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enerteamtn-my.sharepoint.com/personal/a_turki_enerteam_tn/Documents/Bureau/ITIE RCA/ITIE RCA 2022/03_Report/Rapport ITIE/Version Finale/"/>
    </mc:Choice>
  </mc:AlternateContent>
  <xr:revisionPtr revIDLastSave="214" documentId="8_{8D9FF8CD-E4F7-4973-B22F-A407BCD2ACA0}" xr6:coauthVersionLast="47" xr6:coauthVersionMax="47" xr10:uidLastSave="{39EAFEB0-AD6A-4CA0-8180-9171EB86FFEB}"/>
  <bookViews>
    <workbookView xWindow="-110" yWindow="-110" windowWidth="19420" windowHeight="11500" tabRatio="880" firstSheet="3" activeTab="3" xr2:uid="{00000000-000D-0000-FFFF-FFFF00000000}"/>
  </bookViews>
  <sheets>
    <sheet name="Follow-up Gvrn" sheetId="671" state="hidden" r:id="rId1"/>
    <sheet name="Reporting by tax" sheetId="420" state="hidden" r:id="rId2"/>
    <sheet name="Reporting by Comp" sheetId="418" state="hidden" r:id="rId3"/>
    <sheet name="Tableau Général" sheetId="746" r:id="rId4"/>
    <sheet name="Tableau (1)" sheetId="677" r:id="rId5"/>
    <sheet name="Tableau (2)" sheetId="676" r:id="rId6"/>
    <sheet name="Tableau (3)" sheetId="741" r:id="rId7"/>
    <sheet name="1 (2)" sheetId="747" state="hidden" r:id="rId8"/>
    <sheet name="Tableau (4)" sheetId="687" r:id="rId9"/>
    <sheet name="Tableau (5)" sheetId="688" r:id="rId10"/>
    <sheet name="Tableau 6" sheetId="689" state="hidden" r:id="rId11"/>
    <sheet name="Tableau 7" sheetId="690" state="hidden" r:id="rId12"/>
    <sheet name="Tableau 8" sheetId="769" state="hidden" r:id="rId13"/>
    <sheet name="Tableau 11" sheetId="694" state="hidden" r:id="rId14"/>
    <sheet name="Reporting by tax (2)" sheetId="736" state="hidden" r:id="rId15"/>
    <sheet name="Tableau (21)" sheetId="706" r:id="rId16"/>
    <sheet name="Tableau (22)" sheetId="707" r:id="rId17"/>
    <sheet name="Tbaleau (31)" sheetId="714" state="hidden" r:id="rId18"/>
    <sheet name="Tableau (29)" sheetId="715" r:id="rId19"/>
    <sheet name="Tableau (30)" sheetId="716" r:id="rId20"/>
    <sheet name="Tableau (31)" sheetId="717" r:id="rId21"/>
    <sheet name="Tableau (32)" sheetId="718" r:id="rId22"/>
    <sheet name="Tableau (33)" sheetId="719" r:id="rId23"/>
    <sheet name="Tableau (36a)" sheetId="743" state="hidden" r:id="rId24"/>
    <sheet name="Tableau (34)" sheetId="757" r:id="rId25"/>
    <sheet name="Tableau 37" sheetId="720" state="hidden" r:id="rId26"/>
    <sheet name="Tableau (35)" sheetId="721" r:id="rId27"/>
    <sheet name="Tableau 39" sheetId="722" state="hidden" r:id="rId28"/>
    <sheet name="Tableau (36)" sheetId="723" r:id="rId29"/>
    <sheet name="Tableau (38)" sheetId="724" r:id="rId30"/>
    <sheet name="Tableau-(39)" sheetId="744" r:id="rId31"/>
    <sheet name="Tableau -40" sheetId="685" r:id="rId32"/>
    <sheet name="Tableau-(41)" sheetId="748" r:id="rId33"/>
    <sheet name="Tableau-(42)" sheetId="763" r:id="rId34"/>
    <sheet name="Tableau (44)" sheetId="680" r:id="rId35"/>
    <sheet name="Tableau-(45)" sheetId="728" r:id="rId36"/>
    <sheet name="Tableau (46)" sheetId="779" r:id="rId37"/>
    <sheet name="Tableau 47 ()" sheetId="764" r:id="rId38"/>
    <sheet name="Tableau-(51)" sheetId="679" r:id="rId39"/>
    <sheet name="Tableau-(52)" sheetId="674" r:id="rId40"/>
    <sheet name="Tableau (53)" sheetId="682" r:id="rId41"/>
    <sheet name="Tableau (54)" sheetId="683" r:id="rId42"/>
    <sheet name="Tableau (55)" sheetId="778" r:id="rId43"/>
    <sheet name="Tableau 52" sheetId="725" state="hidden" r:id="rId44"/>
    <sheet name="Tableau 59" sheetId="730" state="hidden" r:id="rId45"/>
    <sheet name="Tableau 57" sheetId="686" r:id="rId46"/>
    <sheet name="Tableau (58)" sheetId="733" r:id="rId47"/>
    <sheet name="Tableau (60-61)" sheetId="749" r:id="rId48"/>
    <sheet name="Tableau (61)" sheetId="735" state="hidden" r:id="rId49"/>
    <sheet name="Tab 64-65-66-67-68-69-70-71" sheetId="755" r:id="rId50"/>
    <sheet name="Tableau (72)" sheetId="775" r:id="rId51"/>
    <sheet name="Tableau (73)" sheetId="776" r:id="rId52"/>
    <sheet name="Tableau (74)" sheetId="753" r:id="rId53"/>
    <sheet name="Tableau (75)" sheetId="777" r:id="rId54"/>
    <sheet name="TT" sheetId="772" r:id="rId55"/>
    <sheet name="Flux schema" sheetId="767" r:id="rId56"/>
    <sheet name="Tableau NC Minier" sheetId="750" state="hidden" r:id="rId57"/>
    <sheet name="Tableau NC (3)" sheetId="752" state="hidden" r:id="rId58"/>
    <sheet name="Tableau 61" sheetId="732" state="hidden" r:id="rId59"/>
    <sheet name="Tableau 63" sheetId="734" state="hidden" r:id="rId60"/>
    <sheet name="Lists" sheetId="64" state="hidden" r:id="rId61"/>
    <sheet name="Company adjustment" sheetId="672" state="hidden" r:id="rId62"/>
    <sheet name="Government adjustment" sheetId="675" state="hidden" r:id="rId63"/>
    <sheet name="Taxes RCA 2022" sheetId="66" state="hidden" r:id="rId64"/>
    <sheet name="Taux de change RCA 2022" sheetId="669" state="hidden" r:id="rId65"/>
    <sheet name="Companies" sheetId="54" state="hidden" r:id="rId66"/>
    <sheet name="1" sheetId="59" state="hidden" r:id="rId67"/>
    <sheet name="2" sheetId="100" state="hidden" r:id="rId68"/>
    <sheet name="3" sheetId="101" state="hidden" r:id="rId69"/>
    <sheet name="4" sheetId="102" state="hidden" r:id="rId70"/>
    <sheet name="5" sheetId="103" state="hidden" r:id="rId71"/>
    <sheet name="6" sheetId="104" state="hidden" r:id="rId72"/>
    <sheet name="7" sheetId="105" state="hidden" r:id="rId73"/>
    <sheet name="8" sheetId="106" state="hidden" r:id="rId74"/>
    <sheet name="9" sheetId="107" state="hidden" r:id="rId75"/>
    <sheet name="10" sheetId="108" state="hidden" r:id="rId76"/>
    <sheet name="11" sheetId="110" state="hidden" r:id="rId77"/>
    <sheet name="12" sheetId="111" state="hidden" r:id="rId78"/>
    <sheet name="13" sheetId="112" state="hidden" r:id="rId79"/>
    <sheet name="14" sheetId="472" state="hidden" r:id="rId80"/>
    <sheet name="15" sheetId="114" state="hidden" r:id="rId81"/>
    <sheet name="16" sheetId="115" state="hidden" r:id="rId82"/>
    <sheet name="17" sheetId="124" state="hidden" r:id="rId83"/>
    <sheet name="18" sheetId="116" state="hidden" r:id="rId84"/>
    <sheet name="19" sheetId="117" state="hidden" r:id="rId85"/>
    <sheet name="20" sheetId="118" state="hidden" r:id="rId86"/>
    <sheet name="21" sheetId="119" state="hidden" r:id="rId87"/>
    <sheet name="22" sheetId="120" state="hidden" r:id="rId88"/>
    <sheet name="23" sheetId="121" state="hidden" r:id="rId89"/>
    <sheet name="24" sheetId="122" state="hidden" r:id="rId90"/>
    <sheet name="25" sheetId="123" state="hidden" r:id="rId91"/>
    <sheet name="26" sheetId="125" state="hidden" r:id="rId92"/>
    <sheet name="27" sheetId="475" state="hidden"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xlnm._FilterDatabase" localSheetId="66" hidden="1">'1'!$J$80:$Q$126</definedName>
    <definedName name="_xlnm._FilterDatabase" localSheetId="7" hidden="1">'1 (2)'!$J$80:$Q$126</definedName>
    <definedName name="_xlnm._FilterDatabase" localSheetId="75" hidden="1">#REF!</definedName>
    <definedName name="_xlnm._FilterDatabase" localSheetId="76" hidden="1">#REF!</definedName>
    <definedName name="_xlnm._FilterDatabase" localSheetId="78" hidden="1">#REF!</definedName>
    <definedName name="_xlnm._FilterDatabase" localSheetId="80" hidden="1">#REF!</definedName>
    <definedName name="_xlnm._FilterDatabase" localSheetId="82" hidden="1">#REF!</definedName>
    <definedName name="_xlnm._FilterDatabase" localSheetId="83" hidden="1">#REF!</definedName>
    <definedName name="_xlnm._FilterDatabase" localSheetId="67" hidden="1">'2'!$A$79:$G$191</definedName>
    <definedName name="_xlnm._FilterDatabase" localSheetId="85" hidden="1">#REF!</definedName>
    <definedName name="_xlnm._FilterDatabase" localSheetId="86" hidden="1">'21'!$A$74:$G$87</definedName>
    <definedName name="_xlnm._FilterDatabase" localSheetId="87" hidden="1">#REF!</definedName>
    <definedName name="_xlnm._FilterDatabase" localSheetId="88" hidden="1">'23'!$A$83:$G$88</definedName>
    <definedName name="_xlnm._FilterDatabase" localSheetId="89" hidden="1">#REF!</definedName>
    <definedName name="_xlnm._FilterDatabase" localSheetId="68" hidden="1">'3'!$A$83:$G$116</definedName>
    <definedName name="_xlnm._FilterDatabase" localSheetId="69" hidden="1">#REF!</definedName>
    <definedName name="_xlnm._FilterDatabase" localSheetId="71" hidden="1">'6'!$J$79:$Q$122</definedName>
    <definedName name="_xlnm._FilterDatabase" localSheetId="72" hidden="1">'7'!$A$81:$BL$85</definedName>
    <definedName name="_xlnm._FilterDatabase" localSheetId="73" hidden="1">#REF!</definedName>
    <definedName name="_xlnm._FilterDatabase" localSheetId="65" hidden="1">Companies!$A$2:$D$29</definedName>
    <definedName name="_xlnm._FilterDatabase" localSheetId="61" hidden="1">'Company adjustment'!$B$1:$C$59</definedName>
    <definedName name="_xlnm._FilterDatabase" localSheetId="62" hidden="1">'Government adjustment'!$B$1:$C$58</definedName>
    <definedName name="_xlnm._FilterDatabase" localSheetId="2" hidden="1">'Reporting by Comp'!$C$2:$K$31</definedName>
    <definedName name="_xlnm._FilterDatabase" localSheetId="1" hidden="1">'Reporting by tax'!#REF!</definedName>
    <definedName name="_xlnm._FilterDatabase" localSheetId="14" hidden="1">'Reporting by tax (2)'!#REF!</definedName>
    <definedName name="_xlnm._FilterDatabase" localSheetId="5" hidden="1">#REF!</definedName>
    <definedName name="_xlnm._FilterDatabase" localSheetId="15" hidden="1">#REF!</definedName>
    <definedName name="_xlnm._FilterDatabase" localSheetId="16" hidden="1">#REF!</definedName>
    <definedName name="_xlnm._FilterDatabase" localSheetId="18" hidden="1">#REF!</definedName>
    <definedName name="_xlnm._FilterDatabase" localSheetId="6" hidden="1">#REF!</definedName>
    <definedName name="_xlnm._FilterDatabase" localSheetId="19" hidden="1">'Tableau (30)'!$A$8:$E$37</definedName>
    <definedName name="_xlnm._FilterDatabase" localSheetId="20" hidden="1">'Tableau (31)'!$B$5:$D$16</definedName>
    <definedName name="_xlnm._FilterDatabase" localSheetId="21" hidden="1">'Tableau (32)'!$A$8:$F$20</definedName>
    <definedName name="_xlnm._FilterDatabase" localSheetId="22" hidden="1">'Tableau (33)'!$A$8:$D$12</definedName>
    <definedName name="_xlnm._FilterDatabase" localSheetId="24" hidden="1">'Tableau (34)'!$A$8:$D$16</definedName>
    <definedName name="_xlnm._FilterDatabase" localSheetId="26" hidden="1">'Tableau (35)'!$A$8:$C$21</definedName>
    <definedName name="_xlnm._FilterDatabase" localSheetId="28" hidden="1">#REF!</definedName>
    <definedName name="_xlnm._FilterDatabase" localSheetId="23" hidden="1">'Tableau (36a)'!$A$8:$D$16</definedName>
    <definedName name="_xlnm._FilterDatabase" localSheetId="8" hidden="1">#REF!</definedName>
    <definedName name="_xlnm._FilterDatabase" localSheetId="34" hidden="1">#REF!</definedName>
    <definedName name="_xlnm._FilterDatabase" localSheetId="36" hidden="1">#REF!</definedName>
    <definedName name="_xlnm._FilterDatabase" localSheetId="9" hidden="1">#REF!</definedName>
    <definedName name="_xlnm._FilterDatabase" localSheetId="40" hidden="1">'Tableau (53)'!$D$73:$D$89</definedName>
    <definedName name="_xlnm._FilterDatabase" localSheetId="41" hidden="1">'Tableau (54)'!$D$70:$D$90</definedName>
    <definedName name="_xlnm._FilterDatabase" localSheetId="48" hidden="1">#REF!</definedName>
    <definedName name="_xlnm._FilterDatabase" localSheetId="13" hidden="1">#REF!</definedName>
    <definedName name="_xlnm._FilterDatabase" localSheetId="25" hidden="1">#REF!</definedName>
    <definedName name="_xlnm._FilterDatabase" localSheetId="27" hidden="1">#REF!</definedName>
    <definedName name="_xlnm._FilterDatabase" localSheetId="31" hidden="1">#REF!</definedName>
    <definedName name="_xlnm._FilterDatabase" localSheetId="37" hidden="1">'Tableau 47 ()'!$A$25:$C$36</definedName>
    <definedName name="_xlnm._FilterDatabase" localSheetId="43" hidden="1">#REF!</definedName>
    <definedName name="_xlnm._FilterDatabase" localSheetId="10" hidden="1">#REF!</definedName>
    <definedName name="_xlnm._FilterDatabase" localSheetId="58" hidden="1">#REF!</definedName>
    <definedName name="_xlnm._FilterDatabase" localSheetId="11" hidden="1">#REF!</definedName>
    <definedName name="_xlnm._FilterDatabase" localSheetId="3" hidden="1">'Tableau Général'!$A$1:$BR$39</definedName>
    <definedName name="_xlnm._FilterDatabase" localSheetId="30" hidden="1">'Tableau-(39)'!$A$4:$F$70</definedName>
    <definedName name="_xlnm._FilterDatabase" localSheetId="32" hidden="1">'Tableau-(41)'!$B$53:$C$68</definedName>
    <definedName name="_xlnm._FilterDatabase" localSheetId="33" hidden="1">#REF!</definedName>
    <definedName name="_xlnm._FilterDatabase" localSheetId="38" hidden="1">#REF!</definedName>
    <definedName name="_xlnm._FilterDatabase" localSheetId="63" hidden="1">'Taxes RCA 2022'!$E$2:$G$59</definedName>
    <definedName name="_xlnm._FilterDatabase" localSheetId="17" hidden="1">#REF!</definedName>
    <definedName name="_xlnm._FilterDatabase" hidden="1">#REF!</definedName>
    <definedName name="_FilterDatabase1" localSheetId="75" hidden="1">#REF!</definedName>
    <definedName name="_FilterDatabase1" localSheetId="76" hidden="1">#REF!</definedName>
    <definedName name="_FilterDatabase1" localSheetId="78" hidden="1">#REF!</definedName>
    <definedName name="_FilterDatabase1" localSheetId="80" hidden="1">#REF!</definedName>
    <definedName name="_FilterDatabase1" localSheetId="82" hidden="1">#REF!</definedName>
    <definedName name="_FilterDatabase1" localSheetId="83" hidden="1">#REF!</definedName>
    <definedName name="_FilterDatabase1" localSheetId="67" hidden="1">#REF!</definedName>
    <definedName name="_FilterDatabase1" localSheetId="85" hidden="1">#REF!</definedName>
    <definedName name="_FilterDatabase1" localSheetId="87" hidden="1">#REF!</definedName>
    <definedName name="_FilterDatabase1" localSheetId="89" hidden="1">#REF!</definedName>
    <definedName name="_FilterDatabase1" localSheetId="69" hidden="1">#REF!</definedName>
    <definedName name="_FilterDatabase1" localSheetId="71" hidden="1">#REF!</definedName>
    <definedName name="_FilterDatabase1" localSheetId="73" hidden="1">#REF!</definedName>
    <definedName name="_FilterDatabase1" localSheetId="2" hidden="1">#REF!</definedName>
    <definedName name="_FilterDatabase1" localSheetId="1" hidden="1">#REF!</definedName>
    <definedName name="_FilterDatabase1" localSheetId="14" hidden="1">#REF!</definedName>
    <definedName name="_FilterDatabase1" localSheetId="5" hidden="1">#REF!</definedName>
    <definedName name="_FilterDatabase1" localSheetId="6" hidden="1">#REF!</definedName>
    <definedName name="_FilterDatabase1" localSheetId="34" hidden="1">#REF!</definedName>
    <definedName name="_FilterDatabase1" localSheetId="36" hidden="1">#REF!</definedName>
    <definedName name="_FilterDatabase1" localSheetId="31" hidden="1">#REF!</definedName>
    <definedName name="_FilterDatabase1" localSheetId="3" hidden="1">#REF!</definedName>
    <definedName name="_FilterDatabase1" localSheetId="38" hidden="1">#REF!</definedName>
    <definedName name="_FilterDatabase1" hidden="1">#REF!</definedName>
    <definedName name="_ftn1" localSheetId="8">'Tableau (4)'!$A$5</definedName>
    <definedName name="_ftn2" localSheetId="26">'Tableau (35)'!$A$42</definedName>
    <definedName name="_ftnref1" localSheetId="8">'Tableau (4)'!$A$2</definedName>
    <definedName name="_ftnref2" localSheetId="26">'Tableau (35)'!$E$24</definedName>
    <definedName name="_ftnref4" localSheetId="8">'Tableau (4)'!$L$8</definedName>
    <definedName name="_Hlk177481095" localSheetId="9">'Tableau (5)'!$A$2</definedName>
    <definedName name="_Toc121224407" localSheetId="17">'Tbaleau (31)'!$B$3</definedName>
    <definedName name="_Toc153553216" localSheetId="13">'Tableau 11'!$B$1</definedName>
    <definedName name="_Toc153553234" localSheetId="28">'Tableau (36)'!$B$3</definedName>
    <definedName name="_Toc153553235" localSheetId="29">'Tableau (38)'!$B$4</definedName>
    <definedName name="_Toc159605192" localSheetId="49">'Tab 64-65-66-67-68-69-70-71'!$A$2</definedName>
    <definedName name="_Toc176207760" localSheetId="8">'Tableau (4)'!$A$2</definedName>
    <definedName name="_Toc176377041" localSheetId="30">'Tableau-(39)'!$A$2</definedName>
    <definedName name="_Toc179466673" localSheetId="50">'Tableau (72)'!$B$4</definedName>
    <definedName name="_Toc179466674" localSheetId="51">'Tableau (73)'!$B$4</definedName>
    <definedName name="_Toc179466676" localSheetId="53">'Tableau (75)'!$B$4</definedName>
    <definedName name="aaaa" localSheetId="24" hidden="1">#REF!</definedName>
    <definedName name="aaaa" localSheetId="37" hidden="1">#REF!</definedName>
    <definedName name="aaaa" localSheetId="33" hidden="1">#REF!</definedName>
    <definedName name="aaaa" hidden="1">#REF!</definedName>
    <definedName name="az" localSheetId="75">#REF!</definedName>
    <definedName name="az" localSheetId="76">#REF!</definedName>
    <definedName name="az" localSheetId="78">#REF!</definedName>
    <definedName name="az" localSheetId="80">#REF!</definedName>
    <definedName name="az" localSheetId="82">#REF!</definedName>
    <definedName name="az" localSheetId="83">#REF!</definedName>
    <definedName name="az" localSheetId="67">#REF!</definedName>
    <definedName name="az" localSheetId="85">#REF!</definedName>
    <definedName name="az" localSheetId="87">#REF!</definedName>
    <definedName name="az" localSheetId="89">#REF!</definedName>
    <definedName name="az" localSheetId="69">#REF!</definedName>
    <definedName name="az" localSheetId="71">#REF!</definedName>
    <definedName name="az" localSheetId="73">#REF!</definedName>
    <definedName name="az" localSheetId="2">#REF!</definedName>
    <definedName name="az" localSheetId="1">#REF!</definedName>
    <definedName name="az" localSheetId="14">#REF!</definedName>
    <definedName name="az" localSheetId="5">#REF!</definedName>
    <definedName name="az" localSheetId="15">#REF!</definedName>
    <definedName name="az" localSheetId="16">#REF!</definedName>
    <definedName name="az" localSheetId="18">#REF!</definedName>
    <definedName name="az" localSheetId="6">#REF!</definedName>
    <definedName name="az" localSheetId="19">#REF!</definedName>
    <definedName name="az" localSheetId="20">#REF!</definedName>
    <definedName name="az" localSheetId="21">#REF!</definedName>
    <definedName name="az" localSheetId="22">#REF!</definedName>
    <definedName name="az" localSheetId="24">#REF!</definedName>
    <definedName name="az" localSheetId="26">#REF!</definedName>
    <definedName name="az" localSheetId="28">#REF!</definedName>
    <definedName name="az" localSheetId="23">#REF!</definedName>
    <definedName name="az" localSheetId="34">#REF!</definedName>
    <definedName name="az" localSheetId="36">#REF!</definedName>
    <definedName name="az" localSheetId="13">#REF!</definedName>
    <definedName name="az" localSheetId="25">#REF!</definedName>
    <definedName name="az" localSheetId="27">#REF!</definedName>
    <definedName name="az" localSheetId="31">#REF!</definedName>
    <definedName name="az" localSheetId="37">#REF!</definedName>
    <definedName name="az" localSheetId="43">#REF!</definedName>
    <definedName name="az" localSheetId="10">#REF!</definedName>
    <definedName name="az" localSheetId="58">#REF!</definedName>
    <definedName name="az" localSheetId="11">#REF!</definedName>
    <definedName name="az" localSheetId="3">#REF!</definedName>
    <definedName name="az" localSheetId="38">#REF!</definedName>
    <definedName name="az" localSheetId="17">#REF!</definedName>
    <definedName name="az">#REF!</definedName>
    <definedName name="_xlnm.Database" localSheetId="75">#REF!</definedName>
    <definedName name="_xlnm.Database" localSheetId="76">#REF!</definedName>
    <definedName name="_xlnm.Database" localSheetId="78">#REF!</definedName>
    <definedName name="_xlnm.Database" localSheetId="80">#REF!</definedName>
    <definedName name="_xlnm.Database" localSheetId="82">#REF!</definedName>
    <definedName name="_xlnm.Database" localSheetId="83">#REF!</definedName>
    <definedName name="_xlnm.Database" localSheetId="67">#REF!</definedName>
    <definedName name="_xlnm.Database" localSheetId="85">#REF!</definedName>
    <definedName name="_xlnm.Database" localSheetId="87">#REF!</definedName>
    <definedName name="_xlnm.Database" localSheetId="89">#REF!</definedName>
    <definedName name="_xlnm.Database" localSheetId="69">#REF!</definedName>
    <definedName name="_xlnm.Database" localSheetId="71">#REF!</definedName>
    <definedName name="_xlnm.Database" localSheetId="73">#REF!</definedName>
    <definedName name="_xlnm.Database" localSheetId="2">#REF!</definedName>
    <definedName name="_xlnm.Database" localSheetId="1">#REF!</definedName>
    <definedName name="_xlnm.Database" localSheetId="14">#REF!</definedName>
    <definedName name="_xlnm.Database" localSheetId="5">#REF!</definedName>
    <definedName name="_xlnm.Database" localSheetId="6">#REF!</definedName>
    <definedName name="_xlnm.Database" localSheetId="34">#REF!</definedName>
    <definedName name="_xlnm.Database" localSheetId="36">#REF!</definedName>
    <definedName name="_xlnm.Database" localSheetId="31">#REF!</definedName>
    <definedName name="_xlnm.Database" localSheetId="3">#REF!</definedName>
    <definedName name="_xlnm.Database" localSheetId="38">#REF!</definedName>
    <definedName name="_xlnm.Database">#REF!</definedName>
    <definedName name="BATNA" localSheetId="75">#REF!</definedName>
    <definedName name="BATNA" localSheetId="76">#REF!</definedName>
    <definedName name="BATNA" localSheetId="78">#REF!</definedName>
    <definedName name="BATNA" localSheetId="80">#REF!</definedName>
    <definedName name="BATNA" localSheetId="82">#REF!</definedName>
    <definedName name="BATNA" localSheetId="83">#REF!</definedName>
    <definedName name="BATNA" localSheetId="67">#REF!</definedName>
    <definedName name="BATNA" localSheetId="85">#REF!</definedName>
    <definedName name="BATNA" localSheetId="87">#REF!</definedName>
    <definedName name="BATNA" localSheetId="89">#REF!</definedName>
    <definedName name="BATNA" localSheetId="69">#REF!</definedName>
    <definedName name="BATNA" localSheetId="71">#REF!</definedName>
    <definedName name="BATNA" localSheetId="73">#REF!</definedName>
    <definedName name="BATNA" localSheetId="2">#REF!</definedName>
    <definedName name="BATNA" localSheetId="1">#REF!</definedName>
    <definedName name="BATNA" localSheetId="14">#REF!</definedName>
    <definedName name="BATNA" localSheetId="5">#REF!</definedName>
    <definedName name="BATNA" localSheetId="6">#REF!</definedName>
    <definedName name="BATNA" localSheetId="34">#REF!</definedName>
    <definedName name="BATNA" localSheetId="36">#REF!</definedName>
    <definedName name="BATNA" localSheetId="31">#REF!</definedName>
    <definedName name="BATNA" localSheetId="3">#REF!</definedName>
    <definedName name="BATNA" localSheetId="38">#REF!</definedName>
    <definedName name="BATNA">#REF!</definedName>
    <definedName name="BISKRA" localSheetId="75">#REF!</definedName>
    <definedName name="BISKRA" localSheetId="76">#REF!</definedName>
    <definedName name="BISKRA" localSheetId="78">#REF!</definedName>
    <definedName name="BISKRA" localSheetId="80">#REF!</definedName>
    <definedName name="BISKRA" localSheetId="82">#REF!</definedName>
    <definedName name="BISKRA" localSheetId="83">#REF!</definedName>
    <definedName name="BISKRA" localSheetId="67">#REF!</definedName>
    <definedName name="BISKRA" localSheetId="85">#REF!</definedName>
    <definedName name="BISKRA" localSheetId="87">#REF!</definedName>
    <definedName name="BISKRA" localSheetId="89">#REF!</definedName>
    <definedName name="BISKRA" localSheetId="69">#REF!</definedName>
    <definedName name="BISKRA" localSheetId="71">#REF!</definedName>
    <definedName name="BISKRA" localSheetId="73">#REF!</definedName>
    <definedName name="BISKRA" localSheetId="2">#REF!</definedName>
    <definedName name="BISKRA" localSheetId="1">#REF!</definedName>
    <definedName name="BISKRA" localSheetId="14">#REF!</definedName>
    <definedName name="BISKRA" localSheetId="5">#REF!</definedName>
    <definedName name="BISKRA" localSheetId="6">#REF!</definedName>
    <definedName name="BISKRA" localSheetId="34">#REF!</definedName>
    <definedName name="BISKRA" localSheetId="36">#REF!</definedName>
    <definedName name="BISKRA" localSheetId="31">#REF!</definedName>
    <definedName name="BISKRA" localSheetId="3">#REF!</definedName>
    <definedName name="BISKRA" localSheetId="38">#REF!</definedName>
    <definedName name="BISKRA">#REF!</definedName>
    <definedName name="Compadjust" localSheetId="5">[1]Lists!$A$68:$A$76</definedName>
    <definedName name="Compadjust" localSheetId="6">[1]Lists!$A$68:$A$76</definedName>
    <definedName name="Compadjust" localSheetId="24">[2]Lists!$A$68:$A$76</definedName>
    <definedName name="Compadjust" localSheetId="8">[3]Lists!$A$68:$A$76</definedName>
    <definedName name="Compadjust" localSheetId="34">[4]Lists!$A$68:$A$76</definedName>
    <definedName name="Compadjust" localSheetId="36">[1]Lists!$A$68:$A$76</definedName>
    <definedName name="Compadjust" localSheetId="9">[3]Lists!$A$68:$A$76</definedName>
    <definedName name="Compadjust" localSheetId="48">[3]Lists!$A$68:$A$76</definedName>
    <definedName name="Compadjust" localSheetId="31">[4]Lists!$A$68:$A$76</definedName>
    <definedName name="Compadjust" localSheetId="37">[2]Lists!$A$68:$A$76</definedName>
    <definedName name="Compadjust" localSheetId="43">[3]Lists!$A$68:$A$76</definedName>
    <definedName name="Compadjust" localSheetId="10">[3]Lists!$A$68:$A$76</definedName>
    <definedName name="Compadjust" localSheetId="11">[3]Lists!$A$68:$A$76</definedName>
    <definedName name="Compadjust" localSheetId="3">[4]Lists!$A$68:$A$76</definedName>
    <definedName name="Compadjust" localSheetId="32">[5]Lists!$A$68:$A$76</definedName>
    <definedName name="Compadjust" localSheetId="33">[2]Lists!$A$68:$A$76</definedName>
    <definedName name="Compadjust" localSheetId="38">[1]Lists!$A$68:$A$76</definedName>
    <definedName name="Compadjust">Lists!$A$68:$A$76</definedName>
    <definedName name="DATA5">[6]MEM!$E$2:$E$2</definedName>
    <definedName name="FD" localSheetId="75" hidden="1">#REF!</definedName>
    <definedName name="FD" localSheetId="76" hidden="1">#REF!</definedName>
    <definedName name="FD" localSheetId="78" hidden="1">#REF!</definedName>
    <definedName name="FD" localSheetId="80" hidden="1">#REF!</definedName>
    <definedName name="FD" localSheetId="82" hidden="1">#REF!</definedName>
    <definedName name="FD" localSheetId="83" hidden="1">#REF!</definedName>
    <definedName name="FD" localSheetId="67" hidden="1">#REF!</definedName>
    <definedName name="FD" localSheetId="85" hidden="1">#REF!</definedName>
    <definedName name="FD" localSheetId="87" hidden="1">#REF!</definedName>
    <definedName name="FD" localSheetId="89" hidden="1">#REF!</definedName>
    <definedName name="FD" localSheetId="69" hidden="1">#REF!</definedName>
    <definedName name="FD" localSheetId="71" hidden="1">#REF!</definedName>
    <definedName name="FD" localSheetId="73" hidden="1">#REF!</definedName>
    <definedName name="FD" localSheetId="2" hidden="1">#REF!</definedName>
    <definedName name="FD" localSheetId="1" hidden="1">#REF!</definedName>
    <definedName name="FD" localSheetId="14" hidden="1">#REF!</definedName>
    <definedName name="FD" localSheetId="5" hidden="1">#REF!</definedName>
    <definedName name="FD" localSheetId="15" hidden="1">#REF!</definedName>
    <definedName name="FD" localSheetId="16" hidden="1">#REF!</definedName>
    <definedName name="FD" localSheetId="18" hidden="1">#REF!</definedName>
    <definedName name="FD" localSheetId="6" hidden="1">#REF!</definedName>
    <definedName name="FD" localSheetId="19" hidden="1">#REF!</definedName>
    <definedName name="FD" localSheetId="20" hidden="1">#REF!</definedName>
    <definedName name="FD" localSheetId="21" hidden="1">#REF!</definedName>
    <definedName name="FD" localSheetId="22" hidden="1">#REF!</definedName>
    <definedName name="FD" localSheetId="24" hidden="1">#REF!</definedName>
    <definedName name="FD" localSheetId="26" hidden="1">#REF!</definedName>
    <definedName name="FD" localSheetId="28" hidden="1">#REF!</definedName>
    <definedName name="FD" localSheetId="23" hidden="1">#REF!</definedName>
    <definedName name="FD" localSheetId="34" hidden="1">#REF!</definedName>
    <definedName name="FD" localSheetId="36" hidden="1">#REF!</definedName>
    <definedName name="FD" localSheetId="13" hidden="1">#REF!</definedName>
    <definedName name="FD" localSheetId="25" hidden="1">#REF!</definedName>
    <definedName name="FD" localSheetId="27" hidden="1">#REF!</definedName>
    <definedName name="FD" localSheetId="31" hidden="1">#REF!</definedName>
    <definedName name="FD" localSheetId="37" hidden="1">#REF!</definedName>
    <definedName name="FD" localSheetId="43" hidden="1">#REF!</definedName>
    <definedName name="FD" localSheetId="10" hidden="1">#REF!</definedName>
    <definedName name="FD" localSheetId="58" hidden="1">#REF!</definedName>
    <definedName name="FD" localSheetId="11" hidden="1">#REF!</definedName>
    <definedName name="FD" localSheetId="3" hidden="1">#REF!</definedName>
    <definedName name="FD" localSheetId="38" hidden="1">#REF!</definedName>
    <definedName name="FD" localSheetId="17" hidden="1">#REF!</definedName>
    <definedName name="FD" hidden="1">#REF!</definedName>
    <definedName name="fdb" localSheetId="75" hidden="1">#REF!</definedName>
    <definedName name="fdb" localSheetId="76" hidden="1">#REF!</definedName>
    <definedName name="fdb" localSheetId="78" hidden="1">#REF!</definedName>
    <definedName name="fdb" localSheetId="80" hidden="1">#REF!</definedName>
    <definedName name="fdb" localSheetId="82" hidden="1">#REF!</definedName>
    <definedName name="fdb" localSheetId="83" hidden="1">#REF!</definedName>
    <definedName name="fdb" localSheetId="67" hidden="1">#REF!</definedName>
    <definedName name="fdb" localSheetId="85" hidden="1">#REF!</definedName>
    <definedName name="fdb" localSheetId="87" hidden="1">#REF!</definedName>
    <definedName name="fdb" localSheetId="89" hidden="1">#REF!</definedName>
    <definedName name="fdb" localSheetId="69" hidden="1">#REF!</definedName>
    <definedName name="fdb" localSheetId="71" hidden="1">#REF!</definedName>
    <definedName name="fdb" localSheetId="73" hidden="1">#REF!</definedName>
    <definedName name="fdb" localSheetId="2" hidden="1">#REF!</definedName>
    <definedName name="fdb" localSheetId="1" hidden="1">#REF!</definedName>
    <definedName name="fdb" localSheetId="14" hidden="1">#REF!</definedName>
    <definedName name="fdb" localSheetId="5" hidden="1">#REF!</definedName>
    <definedName name="fdb" localSheetId="6" hidden="1">#REF!</definedName>
    <definedName name="fdb" localSheetId="34" hidden="1">#REF!</definedName>
    <definedName name="fdb" localSheetId="36" hidden="1">#REF!</definedName>
    <definedName name="fdb" localSheetId="31" hidden="1">#REF!</definedName>
    <definedName name="fdb" localSheetId="3" hidden="1">#REF!</definedName>
    <definedName name="fdb" localSheetId="38" hidden="1">#REF!</definedName>
    <definedName name="fdb" hidden="1">#REF!</definedName>
    <definedName name="FinalDiff" localSheetId="5">[1]Lists!$A$91:$A$102</definedName>
    <definedName name="FinalDiff" localSheetId="6">[1]Lists!$A$91:$A$102</definedName>
    <definedName name="FinalDiff" localSheetId="24">[2]Lists!$A$91:$A$102</definedName>
    <definedName name="FinalDiff" localSheetId="8">[3]Lists!$A$91:$A$102</definedName>
    <definedName name="FinalDiff" localSheetId="34">[4]Lists!$A$91:$A$102</definedName>
    <definedName name="FinalDiff" localSheetId="36">[1]Lists!$A$91:$A$102</definedName>
    <definedName name="FinalDiff" localSheetId="9">[3]Lists!$A$91:$A$102</definedName>
    <definedName name="FinalDiff" localSheetId="48">[3]Lists!$A$91:$A$102</definedName>
    <definedName name="FinalDiff" localSheetId="31">[4]Lists!$A$91:$A$102</definedName>
    <definedName name="FinalDiff" localSheetId="37">[2]Lists!$A$91:$A$102</definedName>
    <definedName name="FinalDiff" localSheetId="43">[3]Lists!$A$91:$A$102</definedName>
    <definedName name="FinalDiff" localSheetId="10">[3]Lists!$A$91:$A$102</definedName>
    <definedName name="FinalDiff" localSheetId="11">[3]Lists!$A$91:$A$102</definedName>
    <definedName name="FinalDiff" localSheetId="3">[4]Lists!$A$91:$A$102</definedName>
    <definedName name="FinalDiff" localSheetId="32">[5]Lists!$A$91:$A$102</definedName>
    <definedName name="FinalDiff" localSheetId="33">[2]Lists!$A$91:$A$102</definedName>
    <definedName name="FinalDiff" localSheetId="38">[1]Lists!$A$91:$A$102</definedName>
    <definedName name="FinalDiff">Lists!$A$91:$A$102</definedName>
    <definedName name="Govadjust" localSheetId="5">[1]Lists!$A$80:$A$87</definedName>
    <definedName name="Govadjust" localSheetId="6">[1]Lists!$A$80:$A$87</definedName>
    <definedName name="Govadjust" localSheetId="24">[2]Lists!$A$80:$A$87</definedName>
    <definedName name="Govadjust" localSheetId="8">[3]Lists!$A$80:$A$87</definedName>
    <definedName name="Govadjust" localSheetId="34">[4]Lists!$A$80:$A$87</definedName>
    <definedName name="Govadjust" localSheetId="36">[1]Lists!$A$80:$A$87</definedName>
    <definedName name="Govadjust" localSheetId="9">[3]Lists!$A$80:$A$87</definedName>
    <definedName name="Govadjust" localSheetId="48">[3]Lists!$A$80:$A$87</definedName>
    <definedName name="Govadjust" localSheetId="31">[4]Lists!$A$80:$A$87</definedName>
    <definedName name="Govadjust" localSheetId="37">[2]Lists!$A$80:$A$87</definedName>
    <definedName name="Govadjust" localSheetId="43">[3]Lists!$A$80:$A$87</definedName>
    <definedName name="Govadjust" localSheetId="10">[3]Lists!$A$80:$A$87</definedName>
    <definedName name="Govadjust" localSheetId="11">[3]Lists!$A$80:$A$87</definedName>
    <definedName name="Govadjust" localSheetId="3">[4]Lists!$A$80:$A$87</definedName>
    <definedName name="Govadjust" localSheetId="32">[5]Lists!$A$80:$A$87</definedName>
    <definedName name="Govadjust" localSheetId="33">[2]Lists!$A$80:$A$87</definedName>
    <definedName name="Govadjust" localSheetId="38">[1]Lists!$A$80:$A$87</definedName>
    <definedName name="Govadjust">Lists!$A$80:$A$87</definedName>
    <definedName name="_xlnm.Print_Titles" localSheetId="2">'Reporting by Comp'!$1:$2</definedName>
    <definedName name="JIJEL" localSheetId="75">#REF!</definedName>
    <definedName name="JIJEL" localSheetId="76">#REF!</definedName>
    <definedName name="JIJEL" localSheetId="78">#REF!</definedName>
    <definedName name="JIJEL" localSheetId="80">#REF!</definedName>
    <definedName name="JIJEL" localSheetId="82">#REF!</definedName>
    <definedName name="JIJEL" localSheetId="83">#REF!</definedName>
    <definedName name="JIJEL" localSheetId="67">#REF!</definedName>
    <definedName name="JIJEL" localSheetId="85">#REF!</definedName>
    <definedName name="JIJEL" localSheetId="87">#REF!</definedName>
    <definedName name="JIJEL" localSheetId="89">#REF!</definedName>
    <definedName name="JIJEL" localSheetId="69">#REF!</definedName>
    <definedName name="JIJEL" localSheetId="71">#REF!</definedName>
    <definedName name="JIJEL" localSheetId="73">#REF!</definedName>
    <definedName name="JIJEL" localSheetId="2">#REF!</definedName>
    <definedName name="JIJEL" localSheetId="1">#REF!</definedName>
    <definedName name="JIJEL" localSheetId="14">#REF!</definedName>
    <definedName name="JIJEL" localSheetId="5">#REF!</definedName>
    <definedName name="JIJEL" localSheetId="15">#REF!</definedName>
    <definedName name="JIJEL" localSheetId="16">#REF!</definedName>
    <definedName name="JIJEL" localSheetId="18">#REF!</definedName>
    <definedName name="JIJEL" localSheetId="6">#REF!</definedName>
    <definedName name="JIJEL" localSheetId="19">#REF!</definedName>
    <definedName name="JIJEL" localSheetId="20">#REF!</definedName>
    <definedName name="JIJEL" localSheetId="21">#REF!</definedName>
    <definedName name="JIJEL" localSheetId="22">#REF!</definedName>
    <definedName name="JIJEL" localSheetId="24">#REF!</definedName>
    <definedName name="JIJEL" localSheetId="26">#REF!</definedName>
    <definedName name="JIJEL" localSheetId="28">#REF!</definedName>
    <definedName name="JIJEL" localSheetId="23">#REF!</definedName>
    <definedName name="JIJEL" localSheetId="34">#REF!</definedName>
    <definedName name="JIJEL" localSheetId="36">#REF!</definedName>
    <definedName name="JIJEL" localSheetId="13">#REF!</definedName>
    <definedName name="JIJEL" localSheetId="25">#REF!</definedName>
    <definedName name="JIJEL" localSheetId="27">#REF!</definedName>
    <definedName name="JIJEL" localSheetId="31">#REF!</definedName>
    <definedName name="JIJEL" localSheetId="37">#REF!</definedName>
    <definedName name="JIJEL" localSheetId="43">#REF!</definedName>
    <definedName name="JIJEL" localSheetId="10">#REF!</definedName>
    <definedName name="JIJEL" localSheetId="58">#REF!</definedName>
    <definedName name="JIJEL" localSheetId="11">#REF!</definedName>
    <definedName name="JIJEL" localSheetId="3">#REF!</definedName>
    <definedName name="JIJEL" localSheetId="38">#REF!</definedName>
    <definedName name="JIJEL" localSheetId="17">#REF!</definedName>
    <definedName name="JIJEL">#REF!</definedName>
    <definedName name="KHENCHELA" localSheetId="75">#REF!</definedName>
    <definedName name="KHENCHELA" localSheetId="76">#REF!</definedName>
    <definedName name="KHENCHELA" localSheetId="78">#REF!</definedName>
    <definedName name="KHENCHELA" localSheetId="80">#REF!</definedName>
    <definedName name="KHENCHELA" localSheetId="82">#REF!</definedName>
    <definedName name="KHENCHELA" localSheetId="83">#REF!</definedName>
    <definedName name="KHENCHELA" localSheetId="67">#REF!</definedName>
    <definedName name="KHENCHELA" localSheetId="85">#REF!</definedName>
    <definedName name="KHENCHELA" localSheetId="87">#REF!</definedName>
    <definedName name="KHENCHELA" localSheetId="89">#REF!</definedName>
    <definedName name="KHENCHELA" localSheetId="69">#REF!</definedName>
    <definedName name="KHENCHELA" localSheetId="71">#REF!</definedName>
    <definedName name="KHENCHELA" localSheetId="73">#REF!</definedName>
    <definedName name="KHENCHELA" localSheetId="2">#REF!</definedName>
    <definedName name="KHENCHELA" localSheetId="1">#REF!</definedName>
    <definedName name="KHENCHELA" localSheetId="14">#REF!</definedName>
    <definedName name="KHENCHELA" localSheetId="5">#REF!</definedName>
    <definedName name="KHENCHELA" localSheetId="6">#REF!</definedName>
    <definedName name="KHENCHELA" localSheetId="34">#REF!</definedName>
    <definedName name="KHENCHELA" localSheetId="36">#REF!</definedName>
    <definedName name="KHENCHELA" localSheetId="31">#REF!</definedName>
    <definedName name="KHENCHELA" localSheetId="3">#REF!</definedName>
    <definedName name="KHENCHELA" localSheetId="38">#REF!</definedName>
    <definedName name="KHENCHELA">#REF!</definedName>
    <definedName name="MARI" localSheetId="2">#REF!</definedName>
    <definedName name="MARI" localSheetId="1">#REF!</definedName>
    <definedName name="MARI" localSheetId="14">#REF!</definedName>
    <definedName name="MARI" localSheetId="5">#REF!</definedName>
    <definedName name="MARI" localSheetId="6">#REF!</definedName>
    <definedName name="MARI" localSheetId="34">#REF!</definedName>
    <definedName name="MARI" localSheetId="36">#REF!</definedName>
    <definedName name="MARI" localSheetId="31">#REF!</definedName>
    <definedName name="MARI" localSheetId="3">#REF!</definedName>
    <definedName name="MARI" localSheetId="38">#REF!</definedName>
    <definedName name="MARI">#REF!</definedName>
    <definedName name="MILA" localSheetId="75">#REF!</definedName>
    <definedName name="MILA" localSheetId="76">#REF!</definedName>
    <definedName name="MILA" localSheetId="78">#REF!</definedName>
    <definedName name="MILA" localSheetId="80">#REF!</definedName>
    <definedName name="MILA" localSheetId="82">#REF!</definedName>
    <definedName name="MILA" localSheetId="83">#REF!</definedName>
    <definedName name="MILA" localSheetId="67">#REF!</definedName>
    <definedName name="MILA" localSheetId="85">#REF!</definedName>
    <definedName name="MILA" localSheetId="87">#REF!</definedName>
    <definedName name="MILA" localSheetId="89">#REF!</definedName>
    <definedName name="MILA" localSheetId="69">#REF!</definedName>
    <definedName name="MILA" localSheetId="71">#REF!</definedName>
    <definedName name="MILA" localSheetId="73">#REF!</definedName>
    <definedName name="MILA" localSheetId="2">#REF!</definedName>
    <definedName name="MILA" localSheetId="1">#REF!</definedName>
    <definedName name="MILA" localSheetId="14">#REF!</definedName>
    <definedName name="MILA" localSheetId="5">#REF!</definedName>
    <definedName name="MILA" localSheetId="6">#REF!</definedName>
    <definedName name="MILA" localSheetId="34">#REF!</definedName>
    <definedName name="MILA" localSheetId="36">#REF!</definedName>
    <definedName name="MILA" localSheetId="31">#REF!</definedName>
    <definedName name="MILA" localSheetId="3">#REF!</definedName>
    <definedName name="MILA" localSheetId="38">#REF!</definedName>
    <definedName name="MILA">#REF!</definedName>
    <definedName name="miseenplace03prjpilotes" localSheetId="75">#REF!</definedName>
    <definedName name="miseenplace03prjpilotes" localSheetId="76">#REF!</definedName>
    <definedName name="miseenplace03prjpilotes" localSheetId="78">#REF!</definedName>
    <definedName name="miseenplace03prjpilotes" localSheetId="80">#REF!</definedName>
    <definedName name="miseenplace03prjpilotes" localSheetId="82">#REF!</definedName>
    <definedName name="miseenplace03prjpilotes" localSheetId="83">#REF!</definedName>
    <definedName name="miseenplace03prjpilotes" localSheetId="67">#REF!</definedName>
    <definedName name="miseenplace03prjpilotes" localSheetId="85">#REF!</definedName>
    <definedName name="miseenplace03prjpilotes" localSheetId="87">#REF!</definedName>
    <definedName name="miseenplace03prjpilotes" localSheetId="89">#REF!</definedName>
    <definedName name="miseenplace03prjpilotes" localSheetId="69">#REF!</definedName>
    <definedName name="miseenplace03prjpilotes" localSheetId="71">#REF!</definedName>
    <definedName name="miseenplace03prjpilotes" localSheetId="73">#REF!</definedName>
    <definedName name="miseenplace03prjpilotes" localSheetId="2">#REF!</definedName>
    <definedName name="miseenplace03prjpilotes" localSheetId="1">#REF!</definedName>
    <definedName name="miseenplace03prjpilotes" localSheetId="14">#REF!</definedName>
    <definedName name="miseenplace03prjpilotes" localSheetId="5">#REF!</definedName>
    <definedName name="miseenplace03prjpilotes" localSheetId="6">#REF!</definedName>
    <definedName name="miseenplace03prjpilotes" localSheetId="34">#REF!</definedName>
    <definedName name="miseenplace03prjpilotes" localSheetId="36">#REF!</definedName>
    <definedName name="miseenplace03prjpilotes" localSheetId="31">#REF!</definedName>
    <definedName name="miseenplace03prjpilotes" localSheetId="3">#REF!</definedName>
    <definedName name="miseenplace03prjpilotes" localSheetId="38">#REF!</definedName>
    <definedName name="miseenplace03prjpilotes">#REF!</definedName>
    <definedName name="MS" localSheetId="75">#REF!</definedName>
    <definedName name="MS" localSheetId="76">#REF!</definedName>
    <definedName name="MS" localSheetId="78">#REF!</definedName>
    <definedName name="MS" localSheetId="80">#REF!</definedName>
    <definedName name="MS" localSheetId="82">#REF!</definedName>
    <definedName name="MS" localSheetId="83">#REF!</definedName>
    <definedName name="MS" localSheetId="67">#REF!</definedName>
    <definedName name="MS" localSheetId="85">#REF!</definedName>
    <definedName name="MS" localSheetId="87">#REF!</definedName>
    <definedName name="MS" localSheetId="89">#REF!</definedName>
    <definedName name="MS" localSheetId="69">#REF!</definedName>
    <definedName name="MS" localSheetId="71">#REF!</definedName>
    <definedName name="MS" localSheetId="73">#REF!</definedName>
    <definedName name="MS" localSheetId="2">#REF!</definedName>
    <definedName name="MS" localSheetId="1">#REF!</definedName>
    <definedName name="MS" localSheetId="14">#REF!</definedName>
    <definedName name="MS" localSheetId="5">#REF!</definedName>
    <definedName name="MS" localSheetId="6">#REF!</definedName>
    <definedName name="MS" localSheetId="34">#REF!</definedName>
    <definedName name="MS" localSheetId="36">#REF!</definedName>
    <definedName name="MS" localSheetId="31">#REF!</definedName>
    <definedName name="MS" localSheetId="3">#REF!</definedName>
    <definedName name="MS" localSheetId="38">#REF!</definedName>
    <definedName name="MS">#REF!</definedName>
    <definedName name="msp" localSheetId="75">#REF!</definedName>
    <definedName name="msp" localSheetId="76">#REF!</definedName>
    <definedName name="msp" localSheetId="78">#REF!</definedName>
    <definedName name="msp" localSheetId="80">#REF!</definedName>
    <definedName name="msp" localSheetId="82">#REF!</definedName>
    <definedName name="msp" localSheetId="83">#REF!</definedName>
    <definedName name="msp" localSheetId="67">#REF!</definedName>
    <definedName name="msp" localSheetId="85">#REF!</definedName>
    <definedName name="msp" localSheetId="87">#REF!</definedName>
    <definedName name="msp" localSheetId="89">#REF!</definedName>
    <definedName name="msp" localSheetId="69">#REF!</definedName>
    <definedName name="msp" localSheetId="71">#REF!</definedName>
    <definedName name="msp" localSheetId="73">#REF!</definedName>
    <definedName name="msp" localSheetId="2">#REF!</definedName>
    <definedName name="msp" localSheetId="1">#REF!</definedName>
    <definedName name="msp" localSheetId="14">#REF!</definedName>
    <definedName name="msp" localSheetId="5">#REF!</definedName>
    <definedName name="msp" localSheetId="6">#REF!</definedName>
    <definedName name="msp" localSheetId="34">#REF!</definedName>
    <definedName name="msp" localSheetId="36">#REF!</definedName>
    <definedName name="msp" localSheetId="31">#REF!</definedName>
    <definedName name="msp" localSheetId="3">#REF!</definedName>
    <definedName name="msp" localSheetId="38">#REF!</definedName>
    <definedName name="msp">#REF!</definedName>
    <definedName name="P" localSheetId="75">#REF!</definedName>
    <definedName name="P" localSheetId="76">#REF!</definedName>
    <definedName name="P" localSheetId="78">#REF!</definedName>
    <definedName name="P" localSheetId="80">#REF!</definedName>
    <definedName name="P" localSheetId="82">#REF!</definedName>
    <definedName name="P" localSheetId="83">#REF!</definedName>
    <definedName name="P" localSheetId="67">#REF!</definedName>
    <definedName name="P" localSheetId="85">#REF!</definedName>
    <definedName name="P" localSheetId="87">#REF!</definedName>
    <definedName name="P" localSheetId="89">#REF!</definedName>
    <definedName name="P" localSheetId="69">#REF!</definedName>
    <definedName name="P" localSheetId="71">#REF!</definedName>
    <definedName name="P" localSheetId="73">#REF!</definedName>
    <definedName name="P" localSheetId="2">#REF!</definedName>
    <definedName name="P" localSheetId="1">#REF!</definedName>
    <definedName name="P" localSheetId="14">#REF!</definedName>
    <definedName name="P" localSheetId="5">#REF!</definedName>
    <definedName name="P" localSheetId="6">#REF!</definedName>
    <definedName name="P" localSheetId="34">#REF!</definedName>
    <definedName name="P" localSheetId="36">#REF!</definedName>
    <definedName name="P" localSheetId="31">#REF!</definedName>
    <definedName name="P" localSheetId="3">#REF!</definedName>
    <definedName name="P" localSheetId="38">#REF!</definedName>
    <definedName name="P">#REF!</definedName>
    <definedName name="po" localSheetId="75">#REF!</definedName>
    <definedName name="po" localSheetId="76">#REF!</definedName>
    <definedName name="po" localSheetId="78">#REF!</definedName>
    <definedName name="po" localSheetId="80">#REF!</definedName>
    <definedName name="po" localSheetId="82">#REF!</definedName>
    <definedName name="po" localSheetId="83">#REF!</definedName>
    <definedName name="po" localSheetId="67">#REF!</definedName>
    <definedName name="po" localSheetId="85">#REF!</definedName>
    <definedName name="po" localSheetId="87">#REF!</definedName>
    <definedName name="po" localSheetId="89">#REF!</definedName>
    <definedName name="po" localSheetId="69">#REF!</definedName>
    <definedName name="po" localSheetId="71">#REF!</definedName>
    <definedName name="po" localSheetId="73">#REF!</definedName>
    <definedName name="po" localSheetId="2">#REF!</definedName>
    <definedName name="po" localSheetId="1">#REF!</definedName>
    <definedName name="po" localSheetId="14">#REF!</definedName>
    <definedName name="po" localSheetId="5">#REF!</definedName>
    <definedName name="po" localSheetId="6">#REF!</definedName>
    <definedName name="po" localSheetId="34">#REF!</definedName>
    <definedName name="po" localSheetId="36">#REF!</definedName>
    <definedName name="po" localSheetId="31">#REF!</definedName>
    <definedName name="po" localSheetId="3">#REF!</definedName>
    <definedName name="po" localSheetId="38">#REF!</definedName>
    <definedName name="po">#REF!</definedName>
    <definedName name="POP" localSheetId="75">#REF!</definedName>
    <definedName name="POP" localSheetId="76">#REF!</definedName>
    <definedName name="POP" localSheetId="78">#REF!</definedName>
    <definedName name="POP" localSheetId="80">#REF!</definedName>
    <definedName name="POP" localSheetId="82">#REF!</definedName>
    <definedName name="POP" localSheetId="83">#REF!</definedName>
    <definedName name="POP" localSheetId="67">#REF!</definedName>
    <definedName name="POP" localSheetId="85">#REF!</definedName>
    <definedName name="POP" localSheetId="87">#REF!</definedName>
    <definedName name="POP" localSheetId="89">#REF!</definedName>
    <definedName name="POP" localSheetId="69">#REF!</definedName>
    <definedName name="POP" localSheetId="71">#REF!</definedName>
    <definedName name="POP" localSheetId="73">#REF!</definedName>
    <definedName name="POP" localSheetId="2">#REF!</definedName>
    <definedName name="POP" localSheetId="1">#REF!</definedName>
    <definedName name="POP" localSheetId="14">#REF!</definedName>
    <definedName name="POP" localSheetId="5">#REF!</definedName>
    <definedName name="POP" localSheetId="6">#REF!</definedName>
    <definedName name="POP" localSheetId="34">#REF!</definedName>
    <definedName name="POP" localSheetId="36">#REF!</definedName>
    <definedName name="POP" localSheetId="31">#REF!</definedName>
    <definedName name="POP" localSheetId="3">#REF!</definedName>
    <definedName name="POP" localSheetId="38">#REF!</definedName>
    <definedName name="POP">#REF!</definedName>
    <definedName name="RECAP" localSheetId="75">#REF!</definedName>
    <definedName name="RECAP" localSheetId="76">#REF!</definedName>
    <definedName name="RECAP" localSheetId="78">#REF!</definedName>
    <definedName name="RECAP" localSheetId="80">#REF!</definedName>
    <definedName name="RECAP" localSheetId="82">#REF!</definedName>
    <definedName name="RECAP" localSheetId="83">#REF!</definedName>
    <definedName name="RECAP" localSheetId="67">#REF!</definedName>
    <definedName name="RECAP" localSheetId="85">#REF!</definedName>
    <definedName name="RECAP" localSheetId="87">#REF!</definedName>
    <definedName name="RECAP" localSheetId="89">#REF!</definedName>
    <definedName name="RECAP" localSheetId="69">#REF!</definedName>
    <definedName name="RECAP" localSheetId="71">#REF!</definedName>
    <definedName name="RECAP" localSheetId="73">#REF!</definedName>
    <definedName name="RECAP" localSheetId="2">#REF!</definedName>
    <definedName name="RECAP" localSheetId="1">#REF!</definedName>
    <definedName name="RECAP" localSheetId="14">#REF!</definedName>
    <definedName name="RECAP" localSheetId="5">#REF!</definedName>
    <definedName name="RECAP" localSheetId="6">#REF!</definedName>
    <definedName name="RECAP" localSheetId="34">#REF!</definedName>
    <definedName name="RECAP" localSheetId="36">#REF!</definedName>
    <definedName name="RECAP" localSheetId="31">#REF!</definedName>
    <definedName name="RECAP" localSheetId="3">#REF!</definedName>
    <definedName name="RECAP" localSheetId="38">#REF!</definedName>
    <definedName name="RECAP">#REF!</definedName>
    <definedName name="SOUKAHARS" localSheetId="75">#REF!</definedName>
    <definedName name="SOUKAHARS" localSheetId="76">#REF!</definedName>
    <definedName name="SOUKAHARS" localSheetId="78">#REF!</definedName>
    <definedName name="SOUKAHARS" localSheetId="80">#REF!</definedName>
    <definedName name="SOUKAHARS" localSheetId="82">#REF!</definedName>
    <definedName name="SOUKAHARS" localSheetId="83">#REF!</definedName>
    <definedName name="SOUKAHARS" localSheetId="67">#REF!</definedName>
    <definedName name="SOUKAHARS" localSheetId="85">#REF!</definedName>
    <definedName name="SOUKAHARS" localSheetId="87">#REF!</definedName>
    <definedName name="SOUKAHARS" localSheetId="89">#REF!</definedName>
    <definedName name="SOUKAHARS" localSheetId="69">#REF!</definedName>
    <definedName name="SOUKAHARS" localSheetId="71">#REF!</definedName>
    <definedName name="SOUKAHARS" localSheetId="73">#REF!</definedName>
    <definedName name="SOUKAHARS" localSheetId="2">#REF!</definedName>
    <definedName name="SOUKAHARS" localSheetId="1">#REF!</definedName>
    <definedName name="SOUKAHARS" localSheetId="14">#REF!</definedName>
    <definedName name="SOUKAHARS" localSheetId="5">#REF!</definedName>
    <definedName name="SOUKAHARS" localSheetId="6">#REF!</definedName>
    <definedName name="SOUKAHARS" localSheetId="34">#REF!</definedName>
    <definedName name="SOUKAHARS" localSheetId="36">#REF!</definedName>
    <definedName name="SOUKAHARS" localSheetId="31">#REF!</definedName>
    <definedName name="SOUKAHARS" localSheetId="3">#REF!</definedName>
    <definedName name="SOUKAHARS" localSheetId="38">#REF!</definedName>
    <definedName name="SOUKAHARS">#REF!</definedName>
    <definedName name="Taxes" localSheetId="5">[1]Lists!$A$7:$A$51</definedName>
    <definedName name="Taxes" localSheetId="6">[1]Lists!$A$7:$A$51</definedName>
    <definedName name="Taxes" localSheetId="24">[2]Lists!$A$7:$A$51</definedName>
    <definedName name="Taxes" localSheetId="8">[3]Lists!$A$7:$A$51</definedName>
    <definedName name="Taxes" localSheetId="34">[4]Lists!$A$7:$A$51</definedName>
    <definedName name="Taxes" localSheetId="36">[1]Lists!$A$7:$A$51</definedName>
    <definedName name="Taxes" localSheetId="9">[3]Lists!$A$7:$A$51</definedName>
    <definedName name="Taxes" localSheetId="48">[3]Lists!$A$7:$A$51</definedName>
    <definedName name="Taxes" localSheetId="31">[4]Lists!$A$7:$A$51</definedName>
    <definedName name="Taxes" localSheetId="37">[2]Lists!$A$7:$A$51</definedName>
    <definedName name="Taxes" localSheetId="43">[3]Lists!$A$7:$A$51</definedName>
    <definedName name="Taxes" localSheetId="10">[3]Lists!$A$7:$A$51</definedName>
    <definedName name="Taxes" localSheetId="11">[3]Lists!$A$7:$A$51</definedName>
    <definedName name="Taxes" localSheetId="3">[4]Lists!$A$7:$A$51</definedName>
    <definedName name="Taxes" localSheetId="32">[5]Lists!$A$7:$A$51</definedName>
    <definedName name="Taxes" localSheetId="33">[2]Lists!$A$7:$A$51</definedName>
    <definedName name="Taxes" localSheetId="38">[1]Lists!$A$7:$A$51</definedName>
    <definedName name="Taxes">Lists!$A$7:$A$51</definedName>
    <definedName name="TRAVAUX01" localSheetId="75">#REF!</definedName>
    <definedName name="TRAVAUX01" localSheetId="76">#REF!</definedName>
    <definedName name="TRAVAUX01" localSheetId="78">#REF!</definedName>
    <definedName name="TRAVAUX01" localSheetId="80">#REF!</definedName>
    <definedName name="TRAVAUX01" localSheetId="82">#REF!</definedName>
    <definedName name="TRAVAUX01" localSheetId="83">#REF!</definedName>
    <definedName name="TRAVAUX01" localSheetId="67">#REF!</definedName>
    <definedName name="TRAVAUX01" localSheetId="85">#REF!</definedName>
    <definedName name="TRAVAUX01" localSheetId="87">#REF!</definedName>
    <definedName name="TRAVAUX01" localSheetId="89">#REF!</definedName>
    <definedName name="TRAVAUX01" localSheetId="69">#REF!</definedName>
    <definedName name="TRAVAUX01" localSheetId="71">#REF!</definedName>
    <definedName name="TRAVAUX01" localSheetId="73">#REF!</definedName>
    <definedName name="TRAVAUX01" localSheetId="2">#REF!</definedName>
    <definedName name="TRAVAUX01" localSheetId="1">#REF!</definedName>
    <definedName name="TRAVAUX01" localSheetId="14">#REF!</definedName>
    <definedName name="TRAVAUX01" localSheetId="5">#REF!</definedName>
    <definedName name="TRAVAUX01" localSheetId="15">#REF!</definedName>
    <definedName name="TRAVAUX01" localSheetId="16">#REF!</definedName>
    <definedName name="TRAVAUX01" localSheetId="18">#REF!</definedName>
    <definedName name="TRAVAUX01" localSheetId="6">#REF!</definedName>
    <definedName name="TRAVAUX01" localSheetId="19">#REF!</definedName>
    <definedName name="TRAVAUX01" localSheetId="20">#REF!</definedName>
    <definedName name="TRAVAUX01" localSheetId="21">#REF!</definedName>
    <definedName name="TRAVAUX01" localSheetId="22">#REF!</definedName>
    <definedName name="TRAVAUX01" localSheetId="24">#REF!</definedName>
    <definedName name="TRAVAUX01" localSheetId="26">#REF!</definedName>
    <definedName name="TRAVAUX01" localSheetId="28">#REF!</definedName>
    <definedName name="TRAVAUX01" localSheetId="23">#REF!</definedName>
    <definedName name="TRAVAUX01" localSheetId="34">#REF!</definedName>
    <definedName name="TRAVAUX01" localSheetId="36">#REF!</definedName>
    <definedName name="TRAVAUX01" localSheetId="13">#REF!</definedName>
    <definedName name="TRAVAUX01" localSheetId="25">#REF!</definedName>
    <definedName name="TRAVAUX01" localSheetId="27">#REF!</definedName>
    <definedName name="TRAVAUX01" localSheetId="31">#REF!</definedName>
    <definedName name="TRAVAUX01" localSheetId="37">#REF!</definedName>
    <definedName name="TRAVAUX01" localSheetId="43">#REF!</definedName>
    <definedName name="TRAVAUX01" localSheetId="10">#REF!</definedName>
    <definedName name="TRAVAUX01" localSheetId="58">#REF!</definedName>
    <definedName name="TRAVAUX01" localSheetId="11">#REF!</definedName>
    <definedName name="TRAVAUX01" localSheetId="3">#REF!</definedName>
    <definedName name="TRAVAUX01" localSheetId="38">#REF!</definedName>
    <definedName name="TRAVAUX01" localSheetId="17">#REF!</definedName>
    <definedName name="TRAVAUX01">#REF!</definedName>
    <definedName name="TRAVAUX07" localSheetId="75">#REF!</definedName>
    <definedName name="TRAVAUX07" localSheetId="76">#REF!</definedName>
    <definedName name="TRAVAUX07" localSheetId="78">#REF!</definedName>
    <definedName name="TRAVAUX07" localSheetId="80">#REF!</definedName>
    <definedName name="TRAVAUX07" localSheetId="82">#REF!</definedName>
    <definedName name="TRAVAUX07" localSheetId="83">#REF!</definedName>
    <definedName name="TRAVAUX07" localSheetId="67">#REF!</definedName>
    <definedName name="TRAVAUX07" localSheetId="85">#REF!</definedName>
    <definedName name="TRAVAUX07" localSheetId="87">#REF!</definedName>
    <definedName name="TRAVAUX07" localSheetId="89">#REF!</definedName>
    <definedName name="TRAVAUX07" localSheetId="69">#REF!</definedName>
    <definedName name="TRAVAUX07" localSheetId="71">#REF!</definedName>
    <definedName name="TRAVAUX07" localSheetId="73">#REF!</definedName>
    <definedName name="TRAVAUX07" localSheetId="2">#REF!</definedName>
    <definedName name="TRAVAUX07" localSheetId="1">#REF!</definedName>
    <definedName name="TRAVAUX07" localSheetId="14">#REF!</definedName>
    <definedName name="TRAVAUX07" localSheetId="5">#REF!</definedName>
    <definedName name="TRAVAUX07" localSheetId="6">#REF!</definedName>
    <definedName name="TRAVAUX07" localSheetId="34">#REF!</definedName>
    <definedName name="TRAVAUX07" localSheetId="36">#REF!</definedName>
    <definedName name="TRAVAUX07" localSheetId="31">#REF!</definedName>
    <definedName name="TRAVAUX07" localSheetId="3">#REF!</definedName>
    <definedName name="TRAVAUX07" localSheetId="38">#REF!</definedName>
    <definedName name="TRAVAUX07">#REF!</definedName>
    <definedName name="TRAVAUX08" localSheetId="75">#REF!</definedName>
    <definedName name="TRAVAUX08" localSheetId="76">#REF!</definedName>
    <definedName name="TRAVAUX08" localSheetId="78">#REF!</definedName>
    <definedName name="TRAVAUX08" localSheetId="80">#REF!</definedName>
    <definedName name="TRAVAUX08" localSheetId="82">#REF!</definedName>
    <definedName name="TRAVAUX08" localSheetId="83">#REF!</definedName>
    <definedName name="TRAVAUX08" localSheetId="67">#REF!</definedName>
    <definedName name="TRAVAUX08" localSheetId="85">#REF!</definedName>
    <definedName name="TRAVAUX08" localSheetId="87">#REF!</definedName>
    <definedName name="TRAVAUX08" localSheetId="89">#REF!</definedName>
    <definedName name="TRAVAUX08" localSheetId="69">#REF!</definedName>
    <definedName name="TRAVAUX08" localSheetId="71">#REF!</definedName>
    <definedName name="TRAVAUX08" localSheetId="73">#REF!</definedName>
    <definedName name="TRAVAUX08" localSheetId="2">#REF!</definedName>
    <definedName name="TRAVAUX08" localSheetId="1">#REF!</definedName>
    <definedName name="TRAVAUX08" localSheetId="14">#REF!</definedName>
    <definedName name="TRAVAUX08" localSheetId="5">#REF!</definedName>
    <definedName name="TRAVAUX08" localSheetId="6">#REF!</definedName>
    <definedName name="TRAVAUX08" localSheetId="34">#REF!</definedName>
    <definedName name="TRAVAUX08" localSheetId="36">#REF!</definedName>
    <definedName name="TRAVAUX08" localSheetId="31">#REF!</definedName>
    <definedName name="TRAVAUX08" localSheetId="3">#REF!</definedName>
    <definedName name="TRAVAUX08" localSheetId="38">#REF!</definedName>
    <definedName name="TRAVAUX08">#REF!</definedName>
    <definedName name="TRAVAUX10" localSheetId="75">#REF!</definedName>
    <definedName name="TRAVAUX10" localSheetId="76">#REF!</definedName>
    <definedName name="TRAVAUX10" localSheetId="78">#REF!</definedName>
    <definedName name="TRAVAUX10" localSheetId="80">#REF!</definedName>
    <definedName name="TRAVAUX10" localSheetId="82">#REF!</definedName>
    <definedName name="TRAVAUX10" localSheetId="83">#REF!</definedName>
    <definedName name="TRAVAUX10" localSheetId="67">#REF!</definedName>
    <definedName name="TRAVAUX10" localSheetId="85">#REF!</definedName>
    <definedName name="TRAVAUX10" localSheetId="87">#REF!</definedName>
    <definedName name="TRAVAUX10" localSheetId="89">#REF!</definedName>
    <definedName name="TRAVAUX10" localSheetId="69">#REF!</definedName>
    <definedName name="TRAVAUX10" localSheetId="71">#REF!</definedName>
    <definedName name="TRAVAUX10" localSheetId="73">#REF!</definedName>
    <definedName name="TRAVAUX10" localSheetId="2">#REF!</definedName>
    <definedName name="TRAVAUX10" localSheetId="1">#REF!</definedName>
    <definedName name="TRAVAUX10" localSheetId="14">#REF!</definedName>
    <definedName name="TRAVAUX10" localSheetId="5">#REF!</definedName>
    <definedName name="TRAVAUX10" localSheetId="6">#REF!</definedName>
    <definedName name="TRAVAUX10" localSheetId="34">#REF!</definedName>
    <definedName name="TRAVAUX10" localSheetId="36">#REF!</definedName>
    <definedName name="TRAVAUX10" localSheetId="31">#REF!</definedName>
    <definedName name="TRAVAUX10" localSheetId="3">#REF!</definedName>
    <definedName name="TRAVAUX10" localSheetId="38">#REF!</definedName>
    <definedName name="TRAVAUX10">#REF!</definedName>
    <definedName name="TRAVAUX11" localSheetId="75">#REF!</definedName>
    <definedName name="TRAVAUX11" localSheetId="76">#REF!</definedName>
    <definedName name="TRAVAUX11" localSheetId="78">#REF!</definedName>
    <definedName name="TRAVAUX11" localSheetId="80">#REF!</definedName>
    <definedName name="TRAVAUX11" localSheetId="82">#REF!</definedName>
    <definedName name="TRAVAUX11" localSheetId="83">#REF!</definedName>
    <definedName name="TRAVAUX11" localSheetId="67">#REF!</definedName>
    <definedName name="TRAVAUX11" localSheetId="85">#REF!</definedName>
    <definedName name="TRAVAUX11" localSheetId="87">#REF!</definedName>
    <definedName name="TRAVAUX11" localSheetId="89">#REF!</definedName>
    <definedName name="TRAVAUX11" localSheetId="69">#REF!</definedName>
    <definedName name="TRAVAUX11" localSheetId="71">#REF!</definedName>
    <definedName name="TRAVAUX11" localSheetId="73">#REF!</definedName>
    <definedName name="TRAVAUX11" localSheetId="2">#REF!</definedName>
    <definedName name="TRAVAUX11" localSheetId="1">#REF!</definedName>
    <definedName name="TRAVAUX11" localSheetId="14">#REF!</definedName>
    <definedName name="TRAVAUX11" localSheetId="5">#REF!</definedName>
    <definedName name="TRAVAUX11" localSheetId="6">#REF!</definedName>
    <definedName name="TRAVAUX11" localSheetId="34">#REF!</definedName>
    <definedName name="TRAVAUX11" localSheetId="36">#REF!</definedName>
    <definedName name="TRAVAUX11" localSheetId="31">#REF!</definedName>
    <definedName name="TRAVAUX11" localSheetId="3">#REF!</definedName>
    <definedName name="TRAVAUX11" localSheetId="38">#REF!</definedName>
    <definedName name="TRAVAUX11">#REF!</definedName>
    <definedName name="TRAVAUX12" localSheetId="75">#REF!</definedName>
    <definedName name="TRAVAUX12" localSheetId="76">#REF!</definedName>
    <definedName name="TRAVAUX12" localSheetId="78">#REF!</definedName>
    <definedName name="TRAVAUX12" localSheetId="80">#REF!</definedName>
    <definedName name="TRAVAUX12" localSheetId="82">#REF!</definedName>
    <definedName name="TRAVAUX12" localSheetId="83">#REF!</definedName>
    <definedName name="TRAVAUX12" localSheetId="67">#REF!</definedName>
    <definedName name="TRAVAUX12" localSheetId="85">#REF!</definedName>
    <definedName name="TRAVAUX12" localSheetId="87">#REF!</definedName>
    <definedName name="TRAVAUX12" localSheetId="89">#REF!</definedName>
    <definedName name="TRAVAUX12" localSheetId="69">#REF!</definedName>
    <definedName name="TRAVAUX12" localSheetId="71">#REF!</definedName>
    <definedName name="TRAVAUX12" localSheetId="73">#REF!</definedName>
    <definedName name="TRAVAUX12" localSheetId="2">#REF!</definedName>
    <definedName name="TRAVAUX12" localSheetId="1">#REF!</definedName>
    <definedName name="TRAVAUX12" localSheetId="14">#REF!</definedName>
    <definedName name="TRAVAUX12" localSheetId="5">#REF!</definedName>
    <definedName name="TRAVAUX12" localSheetId="6">#REF!</definedName>
    <definedName name="TRAVAUX12" localSheetId="34">#REF!</definedName>
    <definedName name="TRAVAUX12" localSheetId="36">#REF!</definedName>
    <definedName name="TRAVAUX12" localSheetId="31">#REF!</definedName>
    <definedName name="TRAVAUX12" localSheetId="3">#REF!</definedName>
    <definedName name="TRAVAUX12" localSheetId="38">#REF!</definedName>
    <definedName name="TRAVAUX12">#REF!</definedName>
    <definedName name="TRAVAUX13" localSheetId="75">#REF!</definedName>
    <definedName name="TRAVAUX13" localSheetId="76">#REF!</definedName>
    <definedName name="TRAVAUX13" localSheetId="78">#REF!</definedName>
    <definedName name="TRAVAUX13" localSheetId="80">#REF!</definedName>
    <definedName name="TRAVAUX13" localSheetId="82">#REF!</definedName>
    <definedName name="TRAVAUX13" localSheetId="83">#REF!</definedName>
    <definedName name="TRAVAUX13" localSheetId="67">#REF!</definedName>
    <definedName name="TRAVAUX13" localSheetId="85">#REF!</definedName>
    <definedName name="TRAVAUX13" localSheetId="87">#REF!</definedName>
    <definedName name="TRAVAUX13" localSheetId="89">#REF!</definedName>
    <definedName name="TRAVAUX13" localSheetId="69">#REF!</definedName>
    <definedName name="TRAVAUX13" localSheetId="71">#REF!</definedName>
    <definedName name="TRAVAUX13" localSheetId="73">#REF!</definedName>
    <definedName name="TRAVAUX13" localSheetId="2">#REF!</definedName>
    <definedName name="TRAVAUX13" localSheetId="1">#REF!</definedName>
    <definedName name="TRAVAUX13" localSheetId="14">#REF!</definedName>
    <definedName name="TRAVAUX13" localSheetId="5">#REF!</definedName>
    <definedName name="TRAVAUX13" localSheetId="6">#REF!</definedName>
    <definedName name="TRAVAUX13" localSheetId="34">#REF!</definedName>
    <definedName name="TRAVAUX13" localSheetId="36">#REF!</definedName>
    <definedName name="TRAVAUX13" localSheetId="31">#REF!</definedName>
    <definedName name="TRAVAUX13" localSheetId="3">#REF!</definedName>
    <definedName name="TRAVAUX13" localSheetId="38">#REF!</definedName>
    <definedName name="TRAVAUX13">#REF!</definedName>
    <definedName name="TRAVAUX14" localSheetId="75">#REF!</definedName>
    <definedName name="TRAVAUX14" localSheetId="76">#REF!</definedName>
    <definedName name="TRAVAUX14" localSheetId="78">#REF!</definedName>
    <definedName name="TRAVAUX14" localSheetId="80">#REF!</definedName>
    <definedName name="TRAVAUX14" localSheetId="82">#REF!</definedName>
    <definedName name="TRAVAUX14" localSheetId="83">#REF!</definedName>
    <definedName name="TRAVAUX14" localSheetId="67">#REF!</definedName>
    <definedName name="TRAVAUX14" localSheetId="85">#REF!</definedName>
    <definedName name="TRAVAUX14" localSheetId="87">#REF!</definedName>
    <definedName name="TRAVAUX14" localSheetId="89">#REF!</definedName>
    <definedName name="TRAVAUX14" localSheetId="69">#REF!</definedName>
    <definedName name="TRAVAUX14" localSheetId="71">#REF!</definedName>
    <definedName name="TRAVAUX14" localSheetId="73">#REF!</definedName>
    <definedName name="TRAVAUX14" localSheetId="2">#REF!</definedName>
    <definedName name="TRAVAUX14" localSheetId="1">#REF!</definedName>
    <definedName name="TRAVAUX14" localSheetId="14">#REF!</definedName>
    <definedName name="TRAVAUX14" localSheetId="5">#REF!</definedName>
    <definedName name="TRAVAUX14" localSheetId="6">#REF!</definedName>
    <definedName name="TRAVAUX14" localSheetId="34">#REF!</definedName>
    <definedName name="TRAVAUX14" localSheetId="36">#REF!</definedName>
    <definedName name="TRAVAUX14" localSheetId="31">#REF!</definedName>
    <definedName name="TRAVAUX14" localSheetId="3">#REF!</definedName>
    <definedName name="TRAVAUX14" localSheetId="38">#REF!</definedName>
    <definedName name="TRAVAUX14">#REF!</definedName>
    <definedName name="TRAVAUX15" localSheetId="75">#REF!</definedName>
    <definedName name="TRAVAUX15" localSheetId="76">#REF!</definedName>
    <definedName name="TRAVAUX15" localSheetId="78">#REF!</definedName>
    <definedName name="TRAVAUX15" localSheetId="80">#REF!</definedName>
    <definedName name="TRAVAUX15" localSheetId="82">#REF!</definedName>
    <definedName name="TRAVAUX15" localSheetId="83">#REF!</definedName>
    <definedName name="TRAVAUX15" localSheetId="67">#REF!</definedName>
    <definedName name="TRAVAUX15" localSheetId="85">#REF!</definedName>
    <definedName name="TRAVAUX15" localSheetId="87">#REF!</definedName>
    <definedName name="TRAVAUX15" localSheetId="89">#REF!</definedName>
    <definedName name="TRAVAUX15" localSheetId="69">#REF!</definedName>
    <definedName name="TRAVAUX15" localSheetId="71">#REF!</definedName>
    <definedName name="TRAVAUX15" localSheetId="73">#REF!</definedName>
    <definedName name="TRAVAUX15" localSheetId="2">#REF!</definedName>
    <definedName name="TRAVAUX15" localSheetId="1">#REF!</definedName>
    <definedName name="TRAVAUX15" localSheetId="14">#REF!</definedName>
    <definedName name="TRAVAUX15" localSheetId="5">#REF!</definedName>
    <definedName name="TRAVAUX15" localSheetId="6">#REF!</definedName>
    <definedName name="TRAVAUX15" localSheetId="34">#REF!</definedName>
    <definedName name="TRAVAUX15" localSheetId="36">#REF!</definedName>
    <definedName name="TRAVAUX15" localSheetId="31">#REF!</definedName>
    <definedName name="TRAVAUX15" localSheetId="3">#REF!</definedName>
    <definedName name="TRAVAUX15" localSheetId="38">#REF!</definedName>
    <definedName name="TRAVAUX15">#REF!</definedName>
    <definedName name="TRAVAUX20" localSheetId="75">#REF!</definedName>
    <definedName name="TRAVAUX20" localSheetId="76">#REF!</definedName>
    <definedName name="TRAVAUX20" localSheetId="78">#REF!</definedName>
    <definedName name="TRAVAUX20" localSheetId="80">#REF!</definedName>
    <definedName name="TRAVAUX20" localSheetId="82">#REF!</definedName>
    <definedName name="TRAVAUX20" localSheetId="83">#REF!</definedName>
    <definedName name="TRAVAUX20" localSheetId="67">#REF!</definedName>
    <definedName name="TRAVAUX20" localSheetId="85">#REF!</definedName>
    <definedName name="TRAVAUX20" localSheetId="87">#REF!</definedName>
    <definedName name="TRAVAUX20" localSheetId="89">#REF!</definedName>
    <definedName name="TRAVAUX20" localSheetId="69">#REF!</definedName>
    <definedName name="TRAVAUX20" localSheetId="71">#REF!</definedName>
    <definedName name="TRAVAUX20" localSheetId="73">#REF!</definedName>
    <definedName name="TRAVAUX20" localSheetId="2">#REF!</definedName>
    <definedName name="TRAVAUX20" localSheetId="1">#REF!</definedName>
    <definedName name="TRAVAUX20" localSheetId="14">#REF!</definedName>
    <definedName name="TRAVAUX20" localSheetId="5">#REF!</definedName>
    <definedName name="TRAVAUX20" localSheetId="6">#REF!</definedName>
    <definedName name="TRAVAUX20" localSheetId="34">#REF!</definedName>
    <definedName name="TRAVAUX20" localSheetId="36">#REF!</definedName>
    <definedName name="TRAVAUX20" localSheetId="31">#REF!</definedName>
    <definedName name="TRAVAUX20" localSheetId="3">#REF!</definedName>
    <definedName name="TRAVAUX20" localSheetId="38">#REF!</definedName>
    <definedName name="TRAVAUX20">#REF!</definedName>
    <definedName name="TRAVAUX21" localSheetId="75">#REF!</definedName>
    <definedName name="TRAVAUX21" localSheetId="76">#REF!</definedName>
    <definedName name="TRAVAUX21" localSheetId="78">#REF!</definedName>
    <definedName name="TRAVAUX21" localSheetId="80">#REF!</definedName>
    <definedName name="TRAVAUX21" localSheetId="82">#REF!</definedName>
    <definedName name="TRAVAUX21" localSheetId="83">#REF!</definedName>
    <definedName name="TRAVAUX21" localSheetId="67">#REF!</definedName>
    <definedName name="TRAVAUX21" localSheetId="85">#REF!</definedName>
    <definedName name="TRAVAUX21" localSheetId="87">#REF!</definedName>
    <definedName name="TRAVAUX21" localSheetId="89">#REF!</definedName>
    <definedName name="TRAVAUX21" localSheetId="69">#REF!</definedName>
    <definedName name="TRAVAUX21" localSheetId="71">#REF!</definedName>
    <definedName name="TRAVAUX21" localSheetId="73">#REF!</definedName>
    <definedName name="TRAVAUX21" localSheetId="2">#REF!</definedName>
    <definedName name="TRAVAUX21" localSheetId="1">#REF!</definedName>
    <definedName name="TRAVAUX21" localSheetId="14">#REF!</definedName>
    <definedName name="TRAVAUX21" localSheetId="5">#REF!</definedName>
    <definedName name="TRAVAUX21" localSheetId="6">#REF!</definedName>
    <definedName name="TRAVAUX21" localSheetId="34">#REF!</definedName>
    <definedName name="TRAVAUX21" localSheetId="36">#REF!</definedName>
    <definedName name="TRAVAUX21" localSheetId="31">#REF!</definedName>
    <definedName name="TRAVAUX21" localSheetId="3">#REF!</definedName>
    <definedName name="TRAVAUX21" localSheetId="38">#REF!</definedName>
    <definedName name="TRAVAUX21">#REF!</definedName>
    <definedName name="TRAVAUX22" localSheetId="75">#REF!</definedName>
    <definedName name="TRAVAUX22" localSheetId="76">#REF!</definedName>
    <definedName name="TRAVAUX22" localSheetId="78">#REF!</definedName>
    <definedName name="TRAVAUX22" localSheetId="80">#REF!</definedName>
    <definedName name="TRAVAUX22" localSheetId="82">#REF!</definedName>
    <definedName name="TRAVAUX22" localSheetId="83">#REF!</definedName>
    <definedName name="TRAVAUX22" localSheetId="67">#REF!</definedName>
    <definedName name="TRAVAUX22" localSheetId="85">#REF!</definedName>
    <definedName name="TRAVAUX22" localSheetId="87">#REF!</definedName>
    <definedName name="TRAVAUX22" localSheetId="89">#REF!</definedName>
    <definedName name="TRAVAUX22" localSheetId="69">#REF!</definedName>
    <definedName name="TRAVAUX22" localSheetId="71">#REF!</definedName>
    <definedName name="TRAVAUX22" localSheetId="73">#REF!</definedName>
    <definedName name="TRAVAUX22" localSheetId="2">#REF!</definedName>
    <definedName name="TRAVAUX22" localSheetId="1">#REF!</definedName>
    <definedName name="TRAVAUX22" localSheetId="14">#REF!</definedName>
    <definedName name="TRAVAUX22" localSheetId="5">#REF!</definedName>
    <definedName name="TRAVAUX22" localSheetId="6">#REF!</definedName>
    <definedName name="TRAVAUX22" localSheetId="34">#REF!</definedName>
    <definedName name="TRAVAUX22" localSheetId="36">#REF!</definedName>
    <definedName name="TRAVAUX22" localSheetId="31">#REF!</definedName>
    <definedName name="TRAVAUX22" localSheetId="3">#REF!</definedName>
    <definedName name="TRAVAUX22" localSheetId="38">#REF!</definedName>
    <definedName name="TRAVAUX22">#REF!</definedName>
    <definedName name="TRAVAUX25" localSheetId="75">#REF!</definedName>
    <definedName name="TRAVAUX25" localSheetId="76">#REF!</definedName>
    <definedName name="TRAVAUX25" localSheetId="78">#REF!</definedName>
    <definedName name="TRAVAUX25" localSheetId="80">#REF!</definedName>
    <definedName name="TRAVAUX25" localSheetId="82">#REF!</definedName>
    <definedName name="TRAVAUX25" localSheetId="83">#REF!</definedName>
    <definedName name="TRAVAUX25" localSheetId="67">#REF!</definedName>
    <definedName name="TRAVAUX25" localSheetId="85">#REF!</definedName>
    <definedName name="TRAVAUX25" localSheetId="87">#REF!</definedName>
    <definedName name="TRAVAUX25" localSheetId="89">#REF!</definedName>
    <definedName name="TRAVAUX25" localSheetId="69">#REF!</definedName>
    <definedName name="TRAVAUX25" localSheetId="71">#REF!</definedName>
    <definedName name="TRAVAUX25" localSheetId="73">#REF!</definedName>
    <definedName name="TRAVAUX25" localSheetId="2">#REF!</definedName>
    <definedName name="TRAVAUX25" localSheetId="1">#REF!</definedName>
    <definedName name="TRAVAUX25" localSheetId="14">#REF!</definedName>
    <definedName name="TRAVAUX25" localSheetId="5">#REF!</definedName>
    <definedName name="TRAVAUX25" localSheetId="6">#REF!</definedName>
    <definedName name="TRAVAUX25" localSheetId="34">#REF!</definedName>
    <definedName name="TRAVAUX25" localSheetId="36">#REF!</definedName>
    <definedName name="TRAVAUX25" localSheetId="31">#REF!</definedName>
    <definedName name="TRAVAUX25" localSheetId="3">#REF!</definedName>
    <definedName name="TRAVAUX25" localSheetId="38">#REF!</definedName>
    <definedName name="TRAVAUX25">#REF!</definedName>
    <definedName name="TRAVAUX27" localSheetId="75">#REF!</definedName>
    <definedName name="TRAVAUX27" localSheetId="76">#REF!</definedName>
    <definedName name="TRAVAUX27" localSheetId="78">#REF!</definedName>
    <definedName name="TRAVAUX27" localSheetId="80">#REF!</definedName>
    <definedName name="TRAVAUX27" localSheetId="82">#REF!</definedName>
    <definedName name="TRAVAUX27" localSheetId="83">#REF!</definedName>
    <definedName name="TRAVAUX27" localSheetId="67">#REF!</definedName>
    <definedName name="TRAVAUX27" localSheetId="85">#REF!</definedName>
    <definedName name="TRAVAUX27" localSheetId="87">#REF!</definedName>
    <definedName name="TRAVAUX27" localSheetId="89">#REF!</definedName>
    <definedName name="TRAVAUX27" localSheetId="69">#REF!</definedName>
    <definedName name="TRAVAUX27" localSheetId="71">#REF!</definedName>
    <definedName name="TRAVAUX27" localSheetId="73">#REF!</definedName>
    <definedName name="TRAVAUX27" localSheetId="2">#REF!</definedName>
    <definedName name="TRAVAUX27" localSheetId="1">#REF!</definedName>
    <definedName name="TRAVAUX27" localSheetId="14">#REF!</definedName>
    <definedName name="TRAVAUX27" localSheetId="5">#REF!</definedName>
    <definedName name="TRAVAUX27" localSheetId="6">#REF!</definedName>
    <definedName name="TRAVAUX27" localSheetId="34">#REF!</definedName>
    <definedName name="TRAVAUX27" localSheetId="36">#REF!</definedName>
    <definedName name="TRAVAUX27" localSheetId="31">#REF!</definedName>
    <definedName name="TRAVAUX27" localSheetId="3">#REF!</definedName>
    <definedName name="TRAVAUX27" localSheetId="38">#REF!</definedName>
    <definedName name="TRAVAUX27">#REF!</definedName>
    <definedName name="TRAVAUX28" localSheetId="75">#REF!</definedName>
    <definedName name="TRAVAUX28" localSheetId="76">#REF!</definedName>
    <definedName name="TRAVAUX28" localSheetId="78">#REF!</definedName>
    <definedName name="TRAVAUX28" localSheetId="80">#REF!</definedName>
    <definedName name="TRAVAUX28" localSheetId="82">#REF!</definedName>
    <definedName name="TRAVAUX28" localSheetId="83">#REF!</definedName>
    <definedName name="TRAVAUX28" localSheetId="67">#REF!</definedName>
    <definedName name="TRAVAUX28" localSheetId="85">#REF!</definedName>
    <definedName name="TRAVAUX28" localSheetId="87">#REF!</definedName>
    <definedName name="TRAVAUX28" localSheetId="89">#REF!</definedName>
    <definedName name="TRAVAUX28" localSheetId="69">#REF!</definedName>
    <definedName name="TRAVAUX28" localSheetId="71">#REF!</definedName>
    <definedName name="TRAVAUX28" localSheetId="73">#REF!</definedName>
    <definedName name="TRAVAUX28" localSheetId="2">#REF!</definedName>
    <definedName name="TRAVAUX28" localSheetId="1">#REF!</definedName>
    <definedName name="TRAVAUX28" localSheetId="14">#REF!</definedName>
    <definedName name="TRAVAUX28" localSheetId="5">#REF!</definedName>
    <definedName name="TRAVAUX28" localSheetId="6">#REF!</definedName>
    <definedName name="TRAVAUX28" localSheetId="34">#REF!</definedName>
    <definedName name="TRAVAUX28" localSheetId="36">#REF!</definedName>
    <definedName name="TRAVAUX28" localSheetId="31">#REF!</definedName>
    <definedName name="TRAVAUX28" localSheetId="3">#REF!</definedName>
    <definedName name="TRAVAUX28" localSheetId="38">#REF!</definedName>
    <definedName name="TRAVAUX28">#REF!</definedName>
    <definedName name="TRAVAUX29" localSheetId="75">#REF!</definedName>
    <definedName name="TRAVAUX29" localSheetId="76">#REF!</definedName>
    <definedName name="TRAVAUX29" localSheetId="78">#REF!</definedName>
    <definedName name="TRAVAUX29" localSheetId="80">#REF!</definedName>
    <definedName name="TRAVAUX29" localSheetId="82">#REF!</definedName>
    <definedName name="TRAVAUX29" localSheetId="83">#REF!</definedName>
    <definedName name="TRAVAUX29" localSheetId="67">#REF!</definedName>
    <definedName name="TRAVAUX29" localSheetId="85">#REF!</definedName>
    <definedName name="TRAVAUX29" localSheetId="87">#REF!</definedName>
    <definedName name="TRAVAUX29" localSheetId="89">#REF!</definedName>
    <definedName name="TRAVAUX29" localSheetId="69">#REF!</definedName>
    <definedName name="TRAVAUX29" localSheetId="71">#REF!</definedName>
    <definedName name="TRAVAUX29" localSheetId="73">#REF!</definedName>
    <definedName name="TRAVAUX29" localSheetId="2">#REF!</definedName>
    <definedName name="TRAVAUX29" localSheetId="1">#REF!</definedName>
    <definedName name="TRAVAUX29" localSheetId="14">#REF!</definedName>
    <definedName name="TRAVAUX29" localSheetId="5">#REF!</definedName>
    <definedName name="TRAVAUX29" localSheetId="6">#REF!</definedName>
    <definedName name="TRAVAUX29" localSheetId="34">#REF!</definedName>
    <definedName name="TRAVAUX29" localSheetId="36">#REF!</definedName>
    <definedName name="TRAVAUX29" localSheetId="31">#REF!</definedName>
    <definedName name="TRAVAUX29" localSheetId="3">#REF!</definedName>
    <definedName name="TRAVAUX29" localSheetId="38">#REF!</definedName>
    <definedName name="TRAVAUX29">#REF!</definedName>
    <definedName name="TRAVAUX31" localSheetId="75">#REF!</definedName>
    <definedName name="TRAVAUX31" localSheetId="76">#REF!</definedName>
    <definedName name="TRAVAUX31" localSheetId="78">#REF!</definedName>
    <definedName name="TRAVAUX31" localSheetId="80">#REF!</definedName>
    <definedName name="TRAVAUX31" localSheetId="82">#REF!</definedName>
    <definedName name="TRAVAUX31" localSheetId="83">#REF!</definedName>
    <definedName name="TRAVAUX31" localSheetId="67">#REF!</definedName>
    <definedName name="TRAVAUX31" localSheetId="85">#REF!</definedName>
    <definedName name="TRAVAUX31" localSheetId="87">#REF!</definedName>
    <definedName name="TRAVAUX31" localSheetId="89">#REF!</definedName>
    <definedName name="TRAVAUX31" localSheetId="69">#REF!</definedName>
    <definedName name="TRAVAUX31" localSheetId="71">#REF!</definedName>
    <definedName name="TRAVAUX31" localSheetId="73">#REF!</definedName>
    <definedName name="TRAVAUX31" localSheetId="2">#REF!</definedName>
    <definedName name="TRAVAUX31" localSheetId="1">#REF!</definedName>
    <definedName name="TRAVAUX31" localSheetId="14">#REF!</definedName>
    <definedName name="TRAVAUX31" localSheetId="5">#REF!</definedName>
    <definedName name="TRAVAUX31" localSheetId="6">#REF!</definedName>
    <definedName name="TRAVAUX31" localSheetId="34">#REF!</definedName>
    <definedName name="TRAVAUX31" localSheetId="36">#REF!</definedName>
    <definedName name="TRAVAUX31" localSheetId="31">#REF!</definedName>
    <definedName name="TRAVAUX31" localSheetId="3">#REF!</definedName>
    <definedName name="TRAVAUX31" localSheetId="38">#REF!</definedName>
    <definedName name="TRAVAUX31">#REF!</definedName>
    <definedName name="TRAVAUX32" localSheetId="75">#REF!</definedName>
    <definedName name="TRAVAUX32" localSheetId="76">#REF!</definedName>
    <definedName name="TRAVAUX32" localSheetId="78">#REF!</definedName>
    <definedName name="TRAVAUX32" localSheetId="80">#REF!</definedName>
    <definedName name="TRAVAUX32" localSheetId="82">#REF!</definedName>
    <definedName name="TRAVAUX32" localSheetId="83">#REF!</definedName>
    <definedName name="TRAVAUX32" localSheetId="67">#REF!</definedName>
    <definedName name="TRAVAUX32" localSheetId="85">#REF!</definedName>
    <definedName name="TRAVAUX32" localSheetId="87">#REF!</definedName>
    <definedName name="TRAVAUX32" localSheetId="89">#REF!</definedName>
    <definedName name="TRAVAUX32" localSheetId="69">#REF!</definedName>
    <definedName name="TRAVAUX32" localSheetId="71">#REF!</definedName>
    <definedName name="TRAVAUX32" localSheetId="73">#REF!</definedName>
    <definedName name="TRAVAUX32" localSheetId="2">#REF!</definedName>
    <definedName name="TRAVAUX32" localSheetId="1">#REF!</definedName>
    <definedName name="TRAVAUX32" localSheetId="14">#REF!</definedName>
    <definedName name="TRAVAUX32" localSheetId="5">#REF!</definedName>
    <definedName name="TRAVAUX32" localSheetId="6">#REF!</definedName>
    <definedName name="TRAVAUX32" localSheetId="34">#REF!</definedName>
    <definedName name="TRAVAUX32" localSheetId="36">#REF!</definedName>
    <definedName name="TRAVAUX32" localSheetId="31">#REF!</definedName>
    <definedName name="TRAVAUX32" localSheetId="3">#REF!</definedName>
    <definedName name="TRAVAUX32" localSheetId="38">#REF!</definedName>
    <definedName name="TRAVAUX32">#REF!</definedName>
    <definedName name="TRAVAUX33" localSheetId="75">#REF!</definedName>
    <definedName name="TRAVAUX33" localSheetId="76">#REF!</definedName>
    <definedName name="TRAVAUX33" localSheetId="78">#REF!</definedName>
    <definedName name="TRAVAUX33" localSheetId="80">#REF!</definedName>
    <definedName name="TRAVAUX33" localSheetId="82">#REF!</definedName>
    <definedName name="TRAVAUX33" localSheetId="83">#REF!</definedName>
    <definedName name="TRAVAUX33" localSheetId="67">#REF!</definedName>
    <definedName name="TRAVAUX33" localSheetId="85">#REF!</definedName>
    <definedName name="TRAVAUX33" localSheetId="87">#REF!</definedName>
    <definedName name="TRAVAUX33" localSheetId="89">#REF!</definedName>
    <definedName name="TRAVAUX33" localSheetId="69">#REF!</definedName>
    <definedName name="TRAVAUX33" localSheetId="71">#REF!</definedName>
    <definedName name="TRAVAUX33" localSheetId="73">#REF!</definedName>
    <definedName name="TRAVAUX33" localSheetId="2">#REF!</definedName>
    <definedName name="TRAVAUX33" localSheetId="1">#REF!</definedName>
    <definedName name="TRAVAUX33" localSheetId="14">#REF!</definedName>
    <definedName name="TRAVAUX33" localSheetId="5">#REF!</definedName>
    <definedName name="TRAVAUX33" localSheetId="6">#REF!</definedName>
    <definedName name="TRAVAUX33" localSheetId="34">#REF!</definedName>
    <definedName name="TRAVAUX33" localSheetId="36">#REF!</definedName>
    <definedName name="TRAVAUX33" localSheetId="31">#REF!</definedName>
    <definedName name="TRAVAUX33" localSheetId="3">#REF!</definedName>
    <definedName name="TRAVAUX33" localSheetId="38">#REF!</definedName>
    <definedName name="TRAVAUX33">#REF!</definedName>
    <definedName name="TRAVAUX34" localSheetId="75">#REF!</definedName>
    <definedName name="TRAVAUX34" localSheetId="76">#REF!</definedName>
    <definedName name="TRAVAUX34" localSheetId="78">#REF!</definedName>
    <definedName name="TRAVAUX34" localSheetId="80">#REF!</definedName>
    <definedName name="TRAVAUX34" localSheetId="82">#REF!</definedName>
    <definedName name="TRAVAUX34" localSheetId="83">#REF!</definedName>
    <definedName name="TRAVAUX34" localSheetId="67">#REF!</definedName>
    <definedName name="TRAVAUX34" localSheetId="85">#REF!</definedName>
    <definedName name="TRAVAUX34" localSheetId="87">#REF!</definedName>
    <definedName name="TRAVAUX34" localSheetId="89">#REF!</definedName>
    <definedName name="TRAVAUX34" localSheetId="69">#REF!</definedName>
    <definedName name="TRAVAUX34" localSheetId="71">#REF!</definedName>
    <definedName name="TRAVAUX34" localSheetId="73">#REF!</definedName>
    <definedName name="TRAVAUX34" localSheetId="2">#REF!</definedName>
    <definedName name="TRAVAUX34" localSheetId="1">#REF!</definedName>
    <definedName name="TRAVAUX34" localSheetId="14">#REF!</definedName>
    <definedName name="TRAVAUX34" localSheetId="5">#REF!</definedName>
    <definedName name="TRAVAUX34" localSheetId="6">#REF!</definedName>
    <definedName name="TRAVAUX34" localSheetId="34">#REF!</definedName>
    <definedName name="TRAVAUX34" localSheetId="36">#REF!</definedName>
    <definedName name="TRAVAUX34" localSheetId="31">#REF!</definedName>
    <definedName name="TRAVAUX34" localSheetId="3">#REF!</definedName>
    <definedName name="TRAVAUX34" localSheetId="38">#REF!</definedName>
    <definedName name="TRAVAUX34">#REF!</definedName>
    <definedName name="TRAVAUX35" localSheetId="75">#REF!</definedName>
    <definedName name="TRAVAUX35" localSheetId="76">#REF!</definedName>
    <definedName name="TRAVAUX35" localSheetId="78">#REF!</definedName>
    <definedName name="TRAVAUX35" localSheetId="80">#REF!</definedName>
    <definedName name="TRAVAUX35" localSheetId="82">#REF!</definedName>
    <definedName name="TRAVAUX35" localSheetId="83">#REF!</definedName>
    <definedName name="TRAVAUX35" localSheetId="67">#REF!</definedName>
    <definedName name="TRAVAUX35" localSheetId="85">#REF!</definedName>
    <definedName name="TRAVAUX35" localSheetId="87">#REF!</definedName>
    <definedName name="TRAVAUX35" localSheetId="89">#REF!</definedName>
    <definedName name="TRAVAUX35" localSheetId="69">#REF!</definedName>
    <definedName name="TRAVAUX35" localSheetId="71">#REF!</definedName>
    <definedName name="TRAVAUX35" localSheetId="73">#REF!</definedName>
    <definedName name="TRAVAUX35" localSheetId="2">#REF!</definedName>
    <definedName name="TRAVAUX35" localSheetId="1">#REF!</definedName>
    <definedName name="TRAVAUX35" localSheetId="14">#REF!</definedName>
    <definedName name="TRAVAUX35" localSheetId="5">#REF!</definedName>
    <definedName name="TRAVAUX35" localSheetId="6">#REF!</definedName>
    <definedName name="TRAVAUX35" localSheetId="34">#REF!</definedName>
    <definedName name="TRAVAUX35" localSheetId="36">#REF!</definedName>
    <definedName name="TRAVAUX35" localSheetId="31">#REF!</definedName>
    <definedName name="TRAVAUX35" localSheetId="3">#REF!</definedName>
    <definedName name="TRAVAUX35" localSheetId="38">#REF!</definedName>
    <definedName name="TRAVAUX35">#REF!</definedName>
    <definedName name="TRAVAUX36" localSheetId="75">#REF!</definedName>
    <definedName name="TRAVAUX36" localSheetId="76">#REF!</definedName>
    <definedName name="TRAVAUX36" localSheetId="78">#REF!</definedName>
    <definedName name="TRAVAUX36" localSheetId="80">#REF!</definedName>
    <definedName name="TRAVAUX36" localSheetId="82">#REF!</definedName>
    <definedName name="TRAVAUX36" localSheetId="83">#REF!</definedName>
    <definedName name="TRAVAUX36" localSheetId="67">#REF!</definedName>
    <definedName name="TRAVAUX36" localSheetId="85">#REF!</definedName>
    <definedName name="TRAVAUX36" localSheetId="87">#REF!</definedName>
    <definedName name="TRAVAUX36" localSheetId="89">#REF!</definedName>
    <definedName name="TRAVAUX36" localSheetId="69">#REF!</definedName>
    <definedName name="TRAVAUX36" localSheetId="71">#REF!</definedName>
    <definedName name="TRAVAUX36" localSheetId="73">#REF!</definedName>
    <definedName name="TRAVAUX36" localSheetId="2">#REF!</definedName>
    <definedName name="TRAVAUX36" localSheetId="1">#REF!</definedName>
    <definedName name="TRAVAUX36" localSheetId="14">#REF!</definedName>
    <definedName name="TRAVAUX36" localSheetId="5">#REF!</definedName>
    <definedName name="TRAVAUX36" localSheetId="6">#REF!</definedName>
    <definedName name="TRAVAUX36" localSheetId="34">#REF!</definedName>
    <definedName name="TRAVAUX36" localSheetId="36">#REF!</definedName>
    <definedName name="TRAVAUX36" localSheetId="31">#REF!</definedName>
    <definedName name="TRAVAUX36" localSheetId="3">#REF!</definedName>
    <definedName name="TRAVAUX36" localSheetId="38">#REF!</definedName>
    <definedName name="TRAVAUX36">#REF!</definedName>
    <definedName name="TRAVAUX38" localSheetId="75">#REF!</definedName>
    <definedName name="TRAVAUX38" localSheetId="76">#REF!</definedName>
    <definedName name="TRAVAUX38" localSheetId="78">#REF!</definedName>
    <definedName name="TRAVAUX38" localSheetId="80">#REF!</definedName>
    <definedName name="TRAVAUX38" localSheetId="82">#REF!</definedName>
    <definedName name="TRAVAUX38" localSheetId="83">#REF!</definedName>
    <definedName name="TRAVAUX38" localSheetId="67">#REF!</definedName>
    <definedName name="TRAVAUX38" localSheetId="85">#REF!</definedName>
    <definedName name="TRAVAUX38" localSheetId="87">#REF!</definedName>
    <definedName name="TRAVAUX38" localSheetId="89">#REF!</definedName>
    <definedName name="TRAVAUX38" localSheetId="69">#REF!</definedName>
    <definedName name="TRAVAUX38" localSheetId="71">#REF!</definedName>
    <definedName name="TRAVAUX38" localSheetId="73">#REF!</definedName>
    <definedName name="TRAVAUX38" localSheetId="2">#REF!</definedName>
    <definedName name="TRAVAUX38" localSheetId="1">#REF!</definedName>
    <definedName name="TRAVAUX38" localSheetId="14">#REF!</definedName>
    <definedName name="TRAVAUX38" localSheetId="5">#REF!</definedName>
    <definedName name="TRAVAUX38" localSheetId="6">#REF!</definedName>
    <definedName name="TRAVAUX38" localSheetId="34">#REF!</definedName>
    <definedName name="TRAVAUX38" localSheetId="36">#REF!</definedName>
    <definedName name="TRAVAUX38" localSheetId="31">#REF!</definedName>
    <definedName name="TRAVAUX38" localSheetId="3">#REF!</definedName>
    <definedName name="TRAVAUX38" localSheetId="38">#REF!</definedName>
    <definedName name="TRAVAUX38">#REF!</definedName>
    <definedName name="TRAVAUX39" localSheetId="75">#REF!</definedName>
    <definedName name="TRAVAUX39" localSheetId="76">#REF!</definedName>
    <definedName name="TRAVAUX39" localSheetId="78">#REF!</definedName>
    <definedName name="TRAVAUX39" localSheetId="80">#REF!</definedName>
    <definedName name="TRAVAUX39" localSheetId="82">#REF!</definedName>
    <definedName name="TRAVAUX39" localSheetId="83">#REF!</definedName>
    <definedName name="TRAVAUX39" localSheetId="67">#REF!</definedName>
    <definedName name="TRAVAUX39" localSheetId="85">#REF!</definedName>
    <definedName name="TRAVAUX39" localSheetId="87">#REF!</definedName>
    <definedName name="TRAVAUX39" localSheetId="89">#REF!</definedName>
    <definedName name="TRAVAUX39" localSheetId="69">#REF!</definedName>
    <definedName name="TRAVAUX39" localSheetId="71">#REF!</definedName>
    <definedName name="TRAVAUX39" localSheetId="73">#REF!</definedName>
    <definedName name="TRAVAUX39" localSheetId="2">#REF!</definedName>
    <definedName name="TRAVAUX39" localSheetId="1">#REF!</definedName>
    <definedName name="TRAVAUX39" localSheetId="14">#REF!</definedName>
    <definedName name="TRAVAUX39" localSheetId="5">#REF!</definedName>
    <definedName name="TRAVAUX39" localSheetId="6">#REF!</definedName>
    <definedName name="TRAVAUX39" localSheetId="34">#REF!</definedName>
    <definedName name="TRAVAUX39" localSheetId="36">#REF!</definedName>
    <definedName name="TRAVAUX39" localSheetId="31">#REF!</definedName>
    <definedName name="TRAVAUX39" localSheetId="3">#REF!</definedName>
    <definedName name="TRAVAUX39" localSheetId="38">#REF!</definedName>
    <definedName name="TRAVAUX39">#REF!</definedName>
    <definedName name="TRAVAUX40" localSheetId="75">#REF!</definedName>
    <definedName name="TRAVAUX40" localSheetId="76">#REF!</definedName>
    <definedName name="TRAVAUX40" localSheetId="78">#REF!</definedName>
    <definedName name="TRAVAUX40" localSheetId="80">#REF!</definedName>
    <definedName name="TRAVAUX40" localSheetId="82">#REF!</definedName>
    <definedName name="TRAVAUX40" localSheetId="83">#REF!</definedName>
    <definedName name="TRAVAUX40" localSheetId="67">#REF!</definedName>
    <definedName name="TRAVAUX40" localSheetId="85">#REF!</definedName>
    <definedName name="TRAVAUX40" localSheetId="87">#REF!</definedName>
    <definedName name="TRAVAUX40" localSheetId="89">#REF!</definedName>
    <definedName name="TRAVAUX40" localSheetId="69">#REF!</definedName>
    <definedName name="TRAVAUX40" localSheetId="71">#REF!</definedName>
    <definedName name="TRAVAUX40" localSheetId="73">#REF!</definedName>
    <definedName name="TRAVAUX40" localSheetId="2">#REF!</definedName>
    <definedName name="TRAVAUX40" localSheetId="1">#REF!</definedName>
    <definedName name="TRAVAUX40" localSheetId="14">#REF!</definedName>
    <definedName name="TRAVAUX40" localSheetId="5">#REF!</definedName>
    <definedName name="TRAVAUX40" localSheetId="6">#REF!</definedName>
    <definedName name="TRAVAUX40" localSheetId="34">#REF!</definedName>
    <definedName name="TRAVAUX40" localSheetId="36">#REF!</definedName>
    <definedName name="TRAVAUX40" localSheetId="31">#REF!</definedName>
    <definedName name="TRAVAUX40" localSheetId="3">#REF!</definedName>
    <definedName name="TRAVAUX40" localSheetId="38">#REF!</definedName>
    <definedName name="TRAVAUX40">#REF!</definedName>
    <definedName name="TRAVAUX41" localSheetId="75">#REF!</definedName>
    <definedName name="TRAVAUX41" localSheetId="76">#REF!</definedName>
    <definedName name="TRAVAUX41" localSheetId="78">#REF!</definedName>
    <definedName name="TRAVAUX41" localSheetId="80">#REF!</definedName>
    <definedName name="TRAVAUX41" localSheetId="82">#REF!</definedName>
    <definedName name="TRAVAUX41" localSheetId="83">#REF!</definedName>
    <definedName name="TRAVAUX41" localSheetId="67">#REF!</definedName>
    <definedName name="TRAVAUX41" localSheetId="85">#REF!</definedName>
    <definedName name="TRAVAUX41" localSheetId="87">#REF!</definedName>
    <definedName name="TRAVAUX41" localSheetId="89">#REF!</definedName>
    <definedName name="TRAVAUX41" localSheetId="69">#REF!</definedName>
    <definedName name="TRAVAUX41" localSheetId="71">#REF!</definedName>
    <definedName name="TRAVAUX41" localSheetId="73">#REF!</definedName>
    <definedName name="TRAVAUX41" localSheetId="2">#REF!</definedName>
    <definedName name="TRAVAUX41" localSheetId="1">#REF!</definedName>
    <definedName name="TRAVAUX41" localSheetId="14">#REF!</definedName>
    <definedName name="TRAVAUX41" localSheetId="5">#REF!</definedName>
    <definedName name="TRAVAUX41" localSheetId="6">#REF!</definedName>
    <definedName name="TRAVAUX41" localSheetId="34">#REF!</definedName>
    <definedName name="TRAVAUX41" localSheetId="36">#REF!</definedName>
    <definedName name="TRAVAUX41" localSheetId="31">#REF!</definedName>
    <definedName name="TRAVAUX41" localSheetId="3">#REF!</definedName>
    <definedName name="TRAVAUX41" localSheetId="38">#REF!</definedName>
    <definedName name="TRAVAUX41">#REF!</definedName>
    <definedName name="TRAVAUX42" localSheetId="75">#REF!</definedName>
    <definedName name="TRAVAUX42" localSheetId="76">#REF!</definedName>
    <definedName name="TRAVAUX42" localSheetId="78">#REF!</definedName>
    <definedName name="TRAVAUX42" localSheetId="80">#REF!</definedName>
    <definedName name="TRAVAUX42" localSheetId="82">#REF!</definedName>
    <definedName name="TRAVAUX42" localSheetId="83">#REF!</definedName>
    <definedName name="TRAVAUX42" localSheetId="67">#REF!</definedName>
    <definedName name="TRAVAUX42" localSheetId="85">#REF!</definedName>
    <definedName name="TRAVAUX42" localSheetId="87">#REF!</definedName>
    <definedName name="TRAVAUX42" localSheetId="89">#REF!</definedName>
    <definedName name="TRAVAUX42" localSheetId="69">#REF!</definedName>
    <definedName name="TRAVAUX42" localSheetId="71">#REF!</definedName>
    <definedName name="TRAVAUX42" localSheetId="73">#REF!</definedName>
    <definedName name="TRAVAUX42" localSheetId="2">#REF!</definedName>
    <definedName name="TRAVAUX42" localSheetId="1">#REF!</definedName>
    <definedName name="TRAVAUX42" localSheetId="14">#REF!</definedName>
    <definedName name="TRAVAUX42" localSheetId="5">#REF!</definedName>
    <definedName name="TRAVAUX42" localSheetId="6">#REF!</definedName>
    <definedName name="TRAVAUX42" localSheetId="34">#REF!</definedName>
    <definedName name="TRAVAUX42" localSheetId="36">#REF!</definedName>
    <definedName name="TRAVAUX42" localSheetId="31">#REF!</definedName>
    <definedName name="TRAVAUX42" localSheetId="3">#REF!</definedName>
    <definedName name="TRAVAUX42" localSheetId="38">#REF!</definedName>
    <definedName name="TRAVAUX42">#REF!</definedName>
    <definedName name="TRAVAUX43" localSheetId="75">#REF!</definedName>
    <definedName name="TRAVAUX43" localSheetId="76">#REF!</definedName>
    <definedName name="TRAVAUX43" localSheetId="78">#REF!</definedName>
    <definedName name="TRAVAUX43" localSheetId="80">#REF!</definedName>
    <definedName name="TRAVAUX43" localSheetId="82">#REF!</definedName>
    <definedName name="TRAVAUX43" localSheetId="83">#REF!</definedName>
    <definedName name="TRAVAUX43" localSheetId="67">#REF!</definedName>
    <definedName name="TRAVAUX43" localSheetId="85">#REF!</definedName>
    <definedName name="TRAVAUX43" localSheetId="87">#REF!</definedName>
    <definedName name="TRAVAUX43" localSheetId="89">#REF!</definedName>
    <definedName name="TRAVAUX43" localSheetId="69">#REF!</definedName>
    <definedName name="TRAVAUX43" localSheetId="71">#REF!</definedName>
    <definedName name="TRAVAUX43" localSheetId="73">#REF!</definedName>
    <definedName name="TRAVAUX43" localSheetId="2">#REF!</definedName>
    <definedName name="TRAVAUX43" localSheetId="1">#REF!</definedName>
    <definedName name="TRAVAUX43" localSheetId="14">#REF!</definedName>
    <definedName name="TRAVAUX43" localSheetId="5">#REF!</definedName>
    <definedName name="TRAVAUX43" localSheetId="6">#REF!</definedName>
    <definedName name="TRAVAUX43" localSheetId="34">#REF!</definedName>
    <definedName name="TRAVAUX43" localSheetId="36">#REF!</definedName>
    <definedName name="TRAVAUX43" localSheetId="31">#REF!</definedName>
    <definedName name="TRAVAUX43" localSheetId="3">#REF!</definedName>
    <definedName name="TRAVAUX43" localSheetId="38">#REF!</definedName>
    <definedName name="TRAVAUX43">#REF!</definedName>
    <definedName name="TRAVAUX44" localSheetId="75">#REF!</definedName>
    <definedName name="TRAVAUX44" localSheetId="76">#REF!</definedName>
    <definedName name="TRAVAUX44" localSheetId="78">#REF!</definedName>
    <definedName name="TRAVAUX44" localSheetId="80">#REF!</definedName>
    <definedName name="TRAVAUX44" localSheetId="82">#REF!</definedName>
    <definedName name="TRAVAUX44" localSheetId="83">#REF!</definedName>
    <definedName name="TRAVAUX44" localSheetId="67">#REF!</definedName>
    <definedName name="TRAVAUX44" localSheetId="85">#REF!</definedName>
    <definedName name="TRAVAUX44" localSheetId="87">#REF!</definedName>
    <definedName name="TRAVAUX44" localSheetId="89">#REF!</definedName>
    <definedName name="TRAVAUX44" localSheetId="69">#REF!</definedName>
    <definedName name="TRAVAUX44" localSheetId="71">#REF!</definedName>
    <definedName name="TRAVAUX44" localSheetId="73">#REF!</definedName>
    <definedName name="TRAVAUX44" localSheetId="2">#REF!</definedName>
    <definedName name="TRAVAUX44" localSheetId="1">#REF!</definedName>
    <definedName name="TRAVAUX44" localSheetId="14">#REF!</definedName>
    <definedName name="TRAVAUX44" localSheetId="5">#REF!</definedName>
    <definedName name="TRAVAUX44" localSheetId="6">#REF!</definedName>
    <definedName name="TRAVAUX44" localSheetId="34">#REF!</definedName>
    <definedName name="TRAVAUX44" localSheetId="36">#REF!</definedName>
    <definedName name="TRAVAUX44" localSheetId="31">#REF!</definedName>
    <definedName name="TRAVAUX44" localSheetId="3">#REF!</definedName>
    <definedName name="TRAVAUX44" localSheetId="38">#REF!</definedName>
    <definedName name="TRAVAUX44">#REF!</definedName>
    <definedName name="TRAVAUX45" localSheetId="75">#REF!</definedName>
    <definedName name="TRAVAUX45" localSheetId="76">#REF!</definedName>
    <definedName name="TRAVAUX45" localSheetId="78">#REF!</definedName>
    <definedName name="TRAVAUX45" localSheetId="80">#REF!</definedName>
    <definedName name="TRAVAUX45" localSheetId="82">#REF!</definedName>
    <definedName name="TRAVAUX45" localSheetId="83">#REF!</definedName>
    <definedName name="TRAVAUX45" localSheetId="67">#REF!</definedName>
    <definedName name="TRAVAUX45" localSheetId="85">#REF!</definedName>
    <definedName name="TRAVAUX45" localSheetId="87">#REF!</definedName>
    <definedName name="TRAVAUX45" localSheetId="89">#REF!</definedName>
    <definedName name="TRAVAUX45" localSheetId="69">#REF!</definedName>
    <definedName name="TRAVAUX45" localSheetId="71">#REF!</definedName>
    <definedName name="TRAVAUX45" localSheetId="73">#REF!</definedName>
    <definedName name="TRAVAUX45" localSheetId="2">#REF!</definedName>
    <definedName name="TRAVAUX45" localSheetId="1">#REF!</definedName>
    <definedName name="TRAVAUX45" localSheetId="14">#REF!</definedName>
    <definedName name="TRAVAUX45" localSheetId="5">#REF!</definedName>
    <definedName name="TRAVAUX45" localSheetId="6">#REF!</definedName>
    <definedName name="TRAVAUX45" localSheetId="34">#REF!</definedName>
    <definedName name="TRAVAUX45" localSheetId="36">#REF!</definedName>
    <definedName name="TRAVAUX45" localSheetId="31">#REF!</definedName>
    <definedName name="TRAVAUX45" localSheetId="3">#REF!</definedName>
    <definedName name="TRAVAUX45" localSheetId="38">#REF!</definedName>
    <definedName name="TRAVAUX45">#REF!</definedName>
    <definedName name="TRAVAUX47" localSheetId="75">#REF!</definedName>
    <definedName name="TRAVAUX47" localSheetId="76">#REF!</definedName>
    <definedName name="TRAVAUX47" localSheetId="78">#REF!</definedName>
    <definedName name="TRAVAUX47" localSheetId="80">#REF!</definedName>
    <definedName name="TRAVAUX47" localSheetId="82">#REF!</definedName>
    <definedName name="TRAVAUX47" localSheetId="83">#REF!</definedName>
    <definedName name="TRAVAUX47" localSheetId="67">#REF!</definedName>
    <definedName name="TRAVAUX47" localSheetId="85">#REF!</definedName>
    <definedName name="TRAVAUX47" localSheetId="87">#REF!</definedName>
    <definedName name="TRAVAUX47" localSheetId="89">#REF!</definedName>
    <definedName name="TRAVAUX47" localSheetId="69">#REF!</definedName>
    <definedName name="TRAVAUX47" localSheetId="71">#REF!</definedName>
    <definedName name="TRAVAUX47" localSheetId="73">#REF!</definedName>
    <definedName name="TRAVAUX47" localSheetId="2">#REF!</definedName>
    <definedName name="TRAVAUX47" localSheetId="1">#REF!</definedName>
    <definedName name="TRAVAUX47" localSheetId="14">#REF!</definedName>
    <definedName name="TRAVAUX47" localSheetId="5">#REF!</definedName>
    <definedName name="TRAVAUX47" localSheetId="6">#REF!</definedName>
    <definedName name="TRAVAUX47" localSheetId="34">#REF!</definedName>
    <definedName name="TRAVAUX47" localSheetId="36">#REF!</definedName>
    <definedName name="TRAVAUX47" localSheetId="31">#REF!</definedName>
    <definedName name="TRAVAUX47" localSheetId="3">#REF!</definedName>
    <definedName name="TRAVAUX47" localSheetId="38">#REF!</definedName>
    <definedName name="TRAVAUX47">#REF!</definedName>
    <definedName name="TRAVAUX48" localSheetId="75">#REF!</definedName>
    <definedName name="TRAVAUX48" localSheetId="76">#REF!</definedName>
    <definedName name="TRAVAUX48" localSheetId="78">#REF!</definedName>
    <definedName name="TRAVAUX48" localSheetId="80">#REF!</definedName>
    <definedName name="TRAVAUX48" localSheetId="82">#REF!</definedName>
    <definedName name="TRAVAUX48" localSheetId="83">#REF!</definedName>
    <definedName name="TRAVAUX48" localSheetId="67">#REF!</definedName>
    <definedName name="TRAVAUX48" localSheetId="85">#REF!</definedName>
    <definedName name="TRAVAUX48" localSheetId="87">#REF!</definedName>
    <definedName name="TRAVAUX48" localSheetId="89">#REF!</definedName>
    <definedName name="TRAVAUX48" localSheetId="69">#REF!</definedName>
    <definedName name="TRAVAUX48" localSheetId="71">#REF!</definedName>
    <definedName name="TRAVAUX48" localSheetId="73">#REF!</definedName>
    <definedName name="TRAVAUX48" localSheetId="2">#REF!</definedName>
    <definedName name="TRAVAUX48" localSheetId="1">#REF!</definedName>
    <definedName name="TRAVAUX48" localSheetId="14">#REF!</definedName>
    <definedName name="TRAVAUX48" localSheetId="5">#REF!</definedName>
    <definedName name="TRAVAUX48" localSheetId="6">#REF!</definedName>
    <definedName name="TRAVAUX48" localSheetId="34">#REF!</definedName>
    <definedName name="TRAVAUX48" localSheetId="36">#REF!</definedName>
    <definedName name="TRAVAUX48" localSheetId="31">#REF!</definedName>
    <definedName name="TRAVAUX48" localSheetId="3">#REF!</definedName>
    <definedName name="TRAVAUX48" localSheetId="38">#REF!</definedName>
    <definedName name="TRAVAUX48">#REF!</definedName>
    <definedName name="TRAVAUX49" localSheetId="75">#REF!</definedName>
    <definedName name="TRAVAUX49" localSheetId="76">#REF!</definedName>
    <definedName name="TRAVAUX49" localSheetId="78">#REF!</definedName>
    <definedName name="TRAVAUX49" localSheetId="80">#REF!</definedName>
    <definedName name="TRAVAUX49" localSheetId="82">#REF!</definedName>
    <definedName name="TRAVAUX49" localSheetId="83">#REF!</definedName>
    <definedName name="TRAVAUX49" localSheetId="67">#REF!</definedName>
    <definedName name="TRAVAUX49" localSheetId="85">#REF!</definedName>
    <definedName name="TRAVAUX49" localSheetId="87">#REF!</definedName>
    <definedName name="TRAVAUX49" localSheetId="89">#REF!</definedName>
    <definedName name="TRAVAUX49" localSheetId="69">#REF!</definedName>
    <definedName name="TRAVAUX49" localSheetId="71">#REF!</definedName>
    <definedName name="TRAVAUX49" localSheetId="73">#REF!</definedName>
    <definedName name="TRAVAUX49" localSheetId="2">#REF!</definedName>
    <definedName name="TRAVAUX49" localSheetId="1">#REF!</definedName>
    <definedName name="TRAVAUX49" localSheetId="14">#REF!</definedName>
    <definedName name="TRAVAUX49" localSheetId="5">#REF!</definedName>
    <definedName name="TRAVAUX49" localSheetId="6">#REF!</definedName>
    <definedName name="TRAVAUX49" localSheetId="34">#REF!</definedName>
    <definedName name="TRAVAUX49" localSheetId="36">#REF!</definedName>
    <definedName name="TRAVAUX49" localSheetId="31">#REF!</definedName>
    <definedName name="TRAVAUX49" localSheetId="3">#REF!</definedName>
    <definedName name="TRAVAUX49" localSheetId="38">#REF!</definedName>
    <definedName name="TRAVAUX49">#REF!</definedName>
    <definedName name="TRAVAUX50" localSheetId="75">#REF!</definedName>
    <definedName name="TRAVAUX50" localSheetId="76">#REF!</definedName>
    <definedName name="TRAVAUX50" localSheetId="78">#REF!</definedName>
    <definedName name="TRAVAUX50" localSheetId="80">#REF!</definedName>
    <definedName name="TRAVAUX50" localSheetId="82">#REF!</definedName>
    <definedName name="TRAVAUX50" localSheetId="83">#REF!</definedName>
    <definedName name="TRAVAUX50" localSheetId="67">#REF!</definedName>
    <definedName name="TRAVAUX50" localSheetId="85">#REF!</definedName>
    <definedName name="TRAVAUX50" localSheetId="87">#REF!</definedName>
    <definedName name="TRAVAUX50" localSheetId="89">#REF!</definedName>
    <definedName name="TRAVAUX50" localSheetId="69">#REF!</definedName>
    <definedName name="TRAVAUX50" localSheetId="71">#REF!</definedName>
    <definedName name="TRAVAUX50" localSheetId="73">#REF!</definedName>
    <definedName name="TRAVAUX50" localSheetId="2">#REF!</definedName>
    <definedName name="TRAVAUX50" localSheetId="1">#REF!</definedName>
    <definedName name="TRAVAUX50" localSheetId="14">#REF!</definedName>
    <definedName name="TRAVAUX50" localSheetId="5">#REF!</definedName>
    <definedName name="TRAVAUX50" localSheetId="6">#REF!</definedName>
    <definedName name="TRAVAUX50" localSheetId="34">#REF!</definedName>
    <definedName name="TRAVAUX50" localSheetId="36">#REF!</definedName>
    <definedName name="TRAVAUX50" localSheetId="31">#REF!</definedName>
    <definedName name="TRAVAUX50" localSheetId="3">#REF!</definedName>
    <definedName name="TRAVAUX50" localSheetId="38">#REF!</definedName>
    <definedName name="TRAVAUX50">#REF!</definedName>
    <definedName name="TRAVAUX51" localSheetId="75">#REF!</definedName>
    <definedName name="TRAVAUX51" localSheetId="76">#REF!</definedName>
    <definedName name="TRAVAUX51" localSheetId="78">#REF!</definedName>
    <definedName name="TRAVAUX51" localSheetId="80">#REF!</definedName>
    <definedName name="TRAVAUX51" localSheetId="82">#REF!</definedName>
    <definedName name="TRAVAUX51" localSheetId="83">#REF!</definedName>
    <definedName name="TRAVAUX51" localSheetId="67">#REF!</definedName>
    <definedName name="TRAVAUX51" localSheetId="85">#REF!</definedName>
    <definedName name="TRAVAUX51" localSheetId="87">#REF!</definedName>
    <definedName name="TRAVAUX51" localSheetId="89">#REF!</definedName>
    <definedName name="TRAVAUX51" localSheetId="69">#REF!</definedName>
    <definedName name="TRAVAUX51" localSheetId="71">#REF!</definedName>
    <definedName name="TRAVAUX51" localSheetId="73">#REF!</definedName>
    <definedName name="TRAVAUX51" localSheetId="2">#REF!</definedName>
    <definedName name="TRAVAUX51" localSheetId="1">#REF!</definedName>
    <definedName name="TRAVAUX51" localSheetId="14">#REF!</definedName>
    <definedName name="TRAVAUX51" localSheetId="5">#REF!</definedName>
    <definedName name="TRAVAUX51" localSheetId="6">#REF!</definedName>
    <definedName name="TRAVAUX51" localSheetId="34">#REF!</definedName>
    <definedName name="TRAVAUX51" localSheetId="36">#REF!</definedName>
    <definedName name="TRAVAUX51" localSheetId="31">#REF!</definedName>
    <definedName name="TRAVAUX51" localSheetId="3">#REF!</definedName>
    <definedName name="TRAVAUX51" localSheetId="38">#REF!</definedName>
    <definedName name="TRAVAUX51">#REF!</definedName>
    <definedName name="TRAVAUX53" localSheetId="75">#REF!</definedName>
    <definedName name="TRAVAUX53" localSheetId="76">#REF!</definedName>
    <definedName name="TRAVAUX53" localSheetId="78">#REF!</definedName>
    <definedName name="TRAVAUX53" localSheetId="80">#REF!</definedName>
    <definedName name="TRAVAUX53" localSheetId="82">#REF!</definedName>
    <definedName name="TRAVAUX53" localSheetId="83">#REF!</definedName>
    <definedName name="TRAVAUX53" localSheetId="67">#REF!</definedName>
    <definedName name="TRAVAUX53" localSheetId="85">#REF!</definedName>
    <definedName name="TRAVAUX53" localSheetId="87">#REF!</definedName>
    <definedName name="TRAVAUX53" localSheetId="89">#REF!</definedName>
    <definedName name="TRAVAUX53" localSheetId="69">#REF!</definedName>
    <definedName name="TRAVAUX53" localSheetId="71">#REF!</definedName>
    <definedName name="TRAVAUX53" localSheetId="73">#REF!</definedName>
    <definedName name="TRAVAUX53" localSheetId="2">#REF!</definedName>
    <definedName name="TRAVAUX53" localSheetId="1">#REF!</definedName>
    <definedName name="TRAVAUX53" localSheetId="14">#REF!</definedName>
    <definedName name="TRAVAUX53" localSheetId="5">#REF!</definedName>
    <definedName name="TRAVAUX53" localSheetId="6">#REF!</definedName>
    <definedName name="TRAVAUX53" localSheetId="34">#REF!</definedName>
    <definedName name="TRAVAUX53" localSheetId="36">#REF!</definedName>
    <definedName name="TRAVAUX53" localSheetId="31">#REF!</definedName>
    <definedName name="TRAVAUX53" localSheetId="3">#REF!</definedName>
    <definedName name="TRAVAUX53" localSheetId="38">#REF!</definedName>
    <definedName name="TRAVAUX53">#REF!</definedName>
    <definedName name="TRAVAUX58" localSheetId="75">#REF!</definedName>
    <definedName name="TRAVAUX58" localSheetId="76">#REF!</definedName>
    <definedName name="TRAVAUX58" localSheetId="78">#REF!</definedName>
    <definedName name="TRAVAUX58" localSheetId="80">#REF!</definedName>
    <definedName name="TRAVAUX58" localSheetId="82">#REF!</definedName>
    <definedName name="TRAVAUX58" localSheetId="83">#REF!</definedName>
    <definedName name="TRAVAUX58" localSheetId="67">#REF!</definedName>
    <definedName name="TRAVAUX58" localSheetId="85">#REF!</definedName>
    <definedName name="TRAVAUX58" localSheetId="87">#REF!</definedName>
    <definedName name="TRAVAUX58" localSheetId="89">#REF!</definedName>
    <definedName name="TRAVAUX58" localSheetId="69">#REF!</definedName>
    <definedName name="TRAVAUX58" localSheetId="71">#REF!</definedName>
    <definedName name="TRAVAUX58" localSheetId="73">#REF!</definedName>
    <definedName name="TRAVAUX58" localSheetId="2">#REF!</definedName>
    <definedName name="TRAVAUX58" localSheetId="1">#REF!</definedName>
    <definedName name="TRAVAUX58" localSheetId="14">#REF!</definedName>
    <definedName name="TRAVAUX58" localSheetId="5">#REF!</definedName>
    <definedName name="TRAVAUX58" localSheetId="6">#REF!</definedName>
    <definedName name="TRAVAUX58" localSheetId="34">#REF!</definedName>
    <definedName name="TRAVAUX58" localSheetId="36">#REF!</definedName>
    <definedName name="TRAVAUX58" localSheetId="31">#REF!</definedName>
    <definedName name="TRAVAUX58" localSheetId="3">#REF!</definedName>
    <definedName name="TRAVAUX58" localSheetId="38">#REF!</definedName>
    <definedName name="TRAVAUX58">#REF!</definedName>
    <definedName name="TRAVAUX59" localSheetId="75">#REF!</definedName>
    <definedName name="TRAVAUX59" localSheetId="76">#REF!</definedName>
    <definedName name="TRAVAUX59" localSheetId="78">#REF!</definedName>
    <definedName name="TRAVAUX59" localSheetId="80">#REF!</definedName>
    <definedName name="TRAVAUX59" localSheetId="82">#REF!</definedName>
    <definedName name="TRAVAUX59" localSheetId="83">#REF!</definedName>
    <definedName name="TRAVAUX59" localSheetId="67">#REF!</definedName>
    <definedName name="TRAVAUX59" localSheetId="85">#REF!</definedName>
    <definedName name="TRAVAUX59" localSheetId="87">#REF!</definedName>
    <definedName name="TRAVAUX59" localSheetId="89">#REF!</definedName>
    <definedName name="TRAVAUX59" localSheetId="69">#REF!</definedName>
    <definedName name="TRAVAUX59" localSheetId="71">#REF!</definedName>
    <definedName name="TRAVAUX59" localSheetId="73">#REF!</definedName>
    <definedName name="TRAVAUX59" localSheetId="2">#REF!</definedName>
    <definedName name="TRAVAUX59" localSheetId="1">#REF!</definedName>
    <definedName name="TRAVAUX59" localSheetId="14">#REF!</definedName>
    <definedName name="TRAVAUX59" localSheetId="5">#REF!</definedName>
    <definedName name="TRAVAUX59" localSheetId="6">#REF!</definedName>
    <definedName name="TRAVAUX59" localSheetId="34">#REF!</definedName>
    <definedName name="TRAVAUX59" localSheetId="36">#REF!</definedName>
    <definedName name="TRAVAUX59" localSheetId="31">#REF!</definedName>
    <definedName name="TRAVAUX59" localSheetId="3">#REF!</definedName>
    <definedName name="TRAVAUX59" localSheetId="38">#REF!</definedName>
    <definedName name="TRAVAUX59">#REF!</definedName>
    <definedName name="TRAVAUX67" localSheetId="75">#REF!</definedName>
    <definedName name="TRAVAUX67" localSheetId="76">#REF!</definedName>
    <definedName name="TRAVAUX67" localSheetId="78">#REF!</definedName>
    <definedName name="TRAVAUX67" localSheetId="80">#REF!</definedName>
    <definedName name="TRAVAUX67" localSheetId="82">#REF!</definedName>
    <definedName name="TRAVAUX67" localSheetId="83">#REF!</definedName>
    <definedName name="TRAVAUX67" localSheetId="67">#REF!</definedName>
    <definedName name="TRAVAUX67" localSheetId="85">#REF!</definedName>
    <definedName name="TRAVAUX67" localSheetId="87">#REF!</definedName>
    <definedName name="TRAVAUX67" localSheetId="89">#REF!</definedName>
    <definedName name="TRAVAUX67" localSheetId="69">#REF!</definedName>
    <definedName name="TRAVAUX67" localSheetId="71">#REF!</definedName>
    <definedName name="TRAVAUX67" localSheetId="73">#REF!</definedName>
    <definedName name="TRAVAUX67" localSheetId="2">#REF!</definedName>
    <definedName name="TRAVAUX67" localSheetId="1">#REF!</definedName>
    <definedName name="TRAVAUX67" localSheetId="14">#REF!</definedName>
    <definedName name="TRAVAUX67" localSheetId="5">#REF!</definedName>
    <definedName name="TRAVAUX67" localSheetId="6">#REF!</definedName>
    <definedName name="TRAVAUX67" localSheetId="34">#REF!</definedName>
    <definedName name="TRAVAUX67" localSheetId="36">#REF!</definedName>
    <definedName name="TRAVAUX67" localSheetId="31">#REF!</definedName>
    <definedName name="TRAVAUX67" localSheetId="3">#REF!</definedName>
    <definedName name="TRAVAUX67" localSheetId="38">#REF!</definedName>
    <definedName name="TRAVAUX67">#REF!</definedName>
    <definedName name="ZI" localSheetId="75">#REF!</definedName>
    <definedName name="ZI" localSheetId="76">#REF!</definedName>
    <definedName name="ZI" localSheetId="78">#REF!</definedName>
    <definedName name="ZI" localSheetId="80">#REF!</definedName>
    <definedName name="ZI" localSheetId="82">#REF!</definedName>
    <definedName name="ZI" localSheetId="83">#REF!</definedName>
    <definedName name="ZI" localSheetId="67">#REF!</definedName>
    <definedName name="ZI" localSheetId="85">#REF!</definedName>
    <definedName name="ZI" localSheetId="87">#REF!</definedName>
    <definedName name="ZI" localSheetId="89">#REF!</definedName>
    <definedName name="ZI" localSheetId="69">#REF!</definedName>
    <definedName name="ZI" localSheetId="71">#REF!</definedName>
    <definedName name="ZI" localSheetId="73">#REF!</definedName>
    <definedName name="ZI" localSheetId="2">#REF!</definedName>
    <definedName name="ZI" localSheetId="1">#REF!</definedName>
    <definedName name="ZI" localSheetId="14">#REF!</definedName>
    <definedName name="ZI" localSheetId="5">#REF!</definedName>
    <definedName name="ZI" localSheetId="6">#REF!</definedName>
    <definedName name="ZI" localSheetId="34">#REF!</definedName>
    <definedName name="ZI" localSheetId="36">#REF!</definedName>
    <definedName name="ZI" localSheetId="31">#REF!</definedName>
    <definedName name="ZI" localSheetId="3">#REF!</definedName>
    <definedName name="ZI" localSheetId="38">#REF!</definedName>
    <definedName name="ZI">#REF!</definedName>
    <definedName name="_xlnm.Print_Area" localSheetId="75">#REF!</definedName>
    <definedName name="_xlnm.Print_Area" localSheetId="76">#REF!</definedName>
    <definedName name="_xlnm.Print_Area" localSheetId="78">#REF!</definedName>
    <definedName name="_xlnm.Print_Area" localSheetId="80">#REF!</definedName>
    <definedName name="_xlnm.Print_Area" localSheetId="82">#REF!</definedName>
    <definedName name="_xlnm.Print_Area" localSheetId="83">#REF!</definedName>
    <definedName name="_xlnm.Print_Area" localSheetId="67">#REF!</definedName>
    <definedName name="_xlnm.Print_Area" localSheetId="85">#REF!</definedName>
    <definedName name="_xlnm.Print_Area" localSheetId="87">#REF!</definedName>
    <definedName name="_xlnm.Print_Area" localSheetId="89">#REF!</definedName>
    <definedName name="_xlnm.Print_Area" localSheetId="69">#REF!</definedName>
    <definedName name="_xlnm.Print_Area" localSheetId="71">#REF!</definedName>
    <definedName name="_xlnm.Print_Area" localSheetId="73">#REF!</definedName>
    <definedName name="_xlnm.Print_Area" localSheetId="2">#REF!</definedName>
    <definedName name="_xlnm.Print_Area" localSheetId="1">#REF!</definedName>
    <definedName name="_xlnm.Print_Area" localSheetId="14">#REF!</definedName>
    <definedName name="_xlnm.Print_Area" localSheetId="5">#REF!</definedName>
    <definedName name="_xlnm.Print_Area" localSheetId="6">#REF!</definedName>
    <definedName name="_xlnm.Print_Area" localSheetId="34">#REF!</definedName>
    <definedName name="_xlnm.Print_Area" localSheetId="36">#REF!</definedName>
    <definedName name="_xlnm.Print_Area" localSheetId="31">#REF!</definedName>
    <definedName name="_xlnm.Print_Area" localSheetId="3">#REF!</definedName>
    <definedName name="_xlnm.Print_Area" localSheetId="38">#REF!</definedName>
    <definedName name="_xlnm.Print_Area">#REF!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7" i="687" l="1"/>
  <c r="B27" i="687"/>
  <c r="C26" i="687"/>
  <c r="B26" i="687"/>
  <c r="C25" i="687"/>
  <c r="B25" i="687"/>
  <c r="E42" i="674" l="1"/>
  <c r="E49" i="674" s="1"/>
  <c r="H48" i="674"/>
  <c r="H47" i="674"/>
  <c r="G46" i="674"/>
  <c r="F46" i="674"/>
  <c r="E46" i="674"/>
  <c r="J42" i="108" l="1"/>
  <c r="L34" i="778" l="1"/>
  <c r="J34" i="778"/>
  <c r="G34" i="778"/>
  <c r="D34" i="778"/>
  <c r="I11" i="778"/>
  <c r="H11" i="778"/>
  <c r="G11" i="778"/>
  <c r="F11" i="778"/>
  <c r="E11" i="778"/>
  <c r="C11" i="778"/>
  <c r="I8" i="778"/>
  <c r="H8" i="778"/>
  <c r="G8" i="778"/>
  <c r="F8" i="778"/>
  <c r="E8" i="778"/>
  <c r="C8" i="778"/>
  <c r="A114" i="682" l="1"/>
  <c r="A113" i="682"/>
  <c r="A112" i="682"/>
  <c r="A111" i="682"/>
  <c r="A110" i="682"/>
  <c r="A109" i="682"/>
  <c r="A108" i="682"/>
  <c r="A107" i="682"/>
  <c r="A106" i="682"/>
  <c r="A105" i="682"/>
  <c r="A104" i="682"/>
  <c r="A103" i="682"/>
  <c r="A102" i="682"/>
  <c r="A101" i="682"/>
  <c r="A100" i="682"/>
  <c r="A99" i="682"/>
  <c r="A98" i="682"/>
  <c r="B34" i="772" l="1"/>
  <c r="C120" i="683"/>
  <c r="C115" i="683"/>
  <c r="D102" i="683"/>
  <c r="D101" i="683"/>
  <c r="K72" i="683"/>
  <c r="K71" i="683"/>
  <c r="J90" i="683"/>
  <c r="J85" i="683"/>
  <c r="D72" i="683"/>
  <c r="D71" i="683"/>
  <c r="C90" i="683"/>
  <c r="C85" i="683"/>
  <c r="J74" i="682"/>
  <c r="C98" i="682" s="1"/>
  <c r="J90" i="682"/>
  <c r="C114" i="682" s="1"/>
  <c r="J89" i="682"/>
  <c r="C113" i="682" s="1"/>
  <c r="J88" i="682"/>
  <c r="C112" i="682" s="1"/>
  <c r="J87" i="682"/>
  <c r="C111" i="682" s="1"/>
  <c r="J85" i="682"/>
  <c r="C109" i="682" s="1"/>
  <c r="J84" i="682"/>
  <c r="C108" i="682" s="1"/>
  <c r="J83" i="682"/>
  <c r="C107" i="682" s="1"/>
  <c r="J82" i="682"/>
  <c r="C106" i="682" s="1"/>
  <c r="J81" i="682"/>
  <c r="C105" i="682" s="1"/>
  <c r="J80" i="682"/>
  <c r="C104" i="682" s="1"/>
  <c r="J79" i="682"/>
  <c r="C103" i="682" s="1"/>
  <c r="J78" i="682"/>
  <c r="C102" i="682" s="1"/>
  <c r="J77" i="682"/>
  <c r="C101" i="682" s="1"/>
  <c r="J76" i="682"/>
  <c r="C100" i="682" s="1"/>
  <c r="J75" i="682"/>
  <c r="C99" i="682" s="1"/>
  <c r="C89" i="682"/>
  <c r="C90" i="682"/>
  <c r="C88" i="682"/>
  <c r="C87" i="682"/>
  <c r="C85" i="682"/>
  <c r="C84" i="682"/>
  <c r="C83" i="682"/>
  <c r="C82" i="682"/>
  <c r="C81" i="682"/>
  <c r="C80" i="682"/>
  <c r="C79" i="682"/>
  <c r="C78" i="682"/>
  <c r="C77" i="682"/>
  <c r="C76" i="682"/>
  <c r="C75" i="682"/>
  <c r="C74" i="682"/>
  <c r="C49" i="680"/>
  <c r="C46" i="680"/>
  <c r="A32" i="716" l="1"/>
  <c r="A33" i="716" s="1"/>
  <c r="A34" i="716" s="1"/>
  <c r="A35" i="716" s="1"/>
  <c r="A28" i="716"/>
  <c r="A29" i="716" s="1"/>
  <c r="A30" i="716" s="1"/>
  <c r="A31" i="716" s="1"/>
  <c r="A24" i="716"/>
  <c r="A25" i="716" s="1"/>
  <c r="A26" i="716" s="1"/>
  <c r="A27" i="716" s="1"/>
  <c r="A20" i="716"/>
  <c r="A21" i="716" s="1"/>
  <c r="A22" i="716" s="1"/>
  <c r="A23" i="716" s="1"/>
  <c r="A16" i="716"/>
  <c r="A17" i="716" s="1"/>
  <c r="A18" i="716" s="1"/>
  <c r="A19" i="716" s="1"/>
  <c r="A13" i="716"/>
  <c r="A11" i="716"/>
  <c r="A12" i="716" s="1"/>
  <c r="A10" i="716"/>
  <c r="E36" i="716"/>
  <c r="E37" i="716" s="1"/>
  <c r="D36" i="716"/>
  <c r="D37" i="716" s="1"/>
  <c r="E14" i="716"/>
  <c r="D14" i="716"/>
  <c r="E12" i="676" l="1"/>
  <c r="G12" i="676"/>
  <c r="B7" i="676"/>
  <c r="B9" i="676" s="1"/>
  <c r="B10" i="676" s="1"/>
  <c r="B11" i="676" s="1"/>
  <c r="B12" i="676" s="1"/>
  <c r="B13" i="676" s="1"/>
  <c r="B14" i="676" s="1"/>
  <c r="B15" i="676" s="1"/>
  <c r="B16" i="676" s="1"/>
  <c r="B17" i="676" s="1"/>
  <c r="B18" i="676" s="1"/>
  <c r="B19" i="676" s="1"/>
  <c r="G11" i="676"/>
  <c r="G10" i="676"/>
  <c r="E11" i="676"/>
  <c r="E10" i="676"/>
  <c r="H21" i="676"/>
  <c r="L10" i="753"/>
  <c r="K10" i="753"/>
  <c r="J10" i="753"/>
  <c r="I10" i="753"/>
  <c r="H10" i="753"/>
  <c r="G22" i="753"/>
  <c r="F22" i="753"/>
  <c r="E22" i="753"/>
  <c r="D22" i="753"/>
  <c r="Q88" i="108"/>
  <c r="J46" i="108"/>
  <c r="F44" i="108"/>
  <c r="F11" i="108"/>
  <c r="F10" i="108"/>
  <c r="F23" i="108"/>
  <c r="J21" i="108"/>
  <c r="C95" i="748"/>
  <c r="C96" i="748"/>
  <c r="C97" i="748"/>
  <c r="C98" i="748"/>
  <c r="C99" i="748"/>
  <c r="C100" i="748"/>
  <c r="C101" i="748"/>
  <c r="C102" i="748"/>
  <c r="C103" i="748"/>
  <c r="C104" i="748"/>
  <c r="C105" i="748"/>
  <c r="C106" i="748"/>
  <c r="C107" i="748"/>
  <c r="C108" i="748"/>
  <c r="C109" i="748"/>
  <c r="C110" i="748"/>
  <c r="C111" i="748"/>
  <c r="C112" i="748"/>
  <c r="C113" i="748"/>
  <c r="C114" i="748"/>
  <c r="C115" i="748"/>
  <c r="C116" i="748"/>
  <c r="C117" i="748"/>
  <c r="C118" i="748"/>
  <c r="C119" i="748"/>
  <c r="C120" i="748"/>
  <c r="C121" i="748"/>
  <c r="C122" i="748"/>
  <c r="C123" i="748"/>
  <c r="C124" i="748"/>
  <c r="B125" i="748"/>
  <c r="C136" i="748"/>
  <c r="C137" i="748"/>
  <c r="C138" i="748"/>
  <c r="C139" i="748"/>
  <c r="C140" i="748"/>
  <c r="C141" i="748"/>
  <c r="F12" i="676"/>
  <c r="B11" i="733"/>
  <c r="B16" i="757"/>
  <c r="D12" i="757" s="1"/>
  <c r="C6" i="757"/>
  <c r="C13" i="757" s="1"/>
  <c r="H23" i="753" l="1"/>
  <c r="B20" i="676"/>
  <c r="B21" i="676" s="1"/>
  <c r="B22" i="676" s="1"/>
  <c r="N22" i="753"/>
  <c r="C12" i="757"/>
  <c r="C9" i="757"/>
  <c r="D9" i="757"/>
  <c r="D13" i="757"/>
  <c r="C10" i="757"/>
  <c r="C14" i="757"/>
  <c r="D10" i="757"/>
  <c r="C11" i="757"/>
  <c r="C15" i="757"/>
  <c r="D14" i="757"/>
  <c r="D11" i="757"/>
  <c r="D15" i="757"/>
  <c r="H24" i="753" l="1"/>
  <c r="H25" i="753" s="1"/>
  <c r="H27" i="753" s="1"/>
  <c r="D16" i="757"/>
  <c r="C16" i="757"/>
  <c r="M7" i="753" l="1"/>
  <c r="G7" i="753"/>
  <c r="F7" i="753"/>
  <c r="E7" i="753"/>
  <c r="D7" i="753"/>
  <c r="A115" i="755" l="1"/>
  <c r="A23" i="755"/>
  <c r="A24" i="755"/>
  <c r="A43" i="755" l="1"/>
  <c r="A42" i="755"/>
  <c r="E13" i="749" l="1"/>
  <c r="C12" i="749"/>
  <c r="C14" i="749" s="1"/>
  <c r="C10" i="749"/>
  <c r="C8" i="749"/>
  <c r="B30" i="685" l="1"/>
  <c r="B29" i="685"/>
  <c r="B28" i="685"/>
  <c r="B27" i="685"/>
  <c r="B26" i="685"/>
  <c r="B21" i="685"/>
  <c r="B20" i="685"/>
  <c r="B19" i="685"/>
  <c r="B18" i="685"/>
  <c r="B17" i="685"/>
  <c r="B16" i="685"/>
  <c r="B15" i="685"/>
  <c r="B14" i="685"/>
  <c r="B13" i="685"/>
  <c r="B12" i="685"/>
  <c r="B11" i="685"/>
  <c r="B10" i="685"/>
  <c r="B9" i="685"/>
  <c r="B8" i="685"/>
  <c r="C12" i="748" l="1"/>
  <c r="B24" i="755" s="1"/>
  <c r="C34" i="748"/>
  <c r="C33" i="748"/>
  <c r="C16" i="748"/>
  <c r="C40" i="748"/>
  <c r="C47" i="748"/>
  <c r="C29" i="748"/>
  <c r="C41" i="748"/>
  <c r="C27" i="748"/>
  <c r="C42" i="748"/>
  <c r="C43" i="748"/>
  <c r="C36" i="748"/>
  <c r="C26" i="748"/>
  <c r="C44" i="748"/>
  <c r="C23" i="748"/>
  <c r="C38" i="748"/>
  <c r="C18" i="748"/>
  <c r="C39" i="748"/>
  <c r="C37" i="748"/>
  <c r="C22" i="748"/>
  <c r="C25" i="748"/>
  <c r="C17" i="748"/>
  <c r="C20" i="748"/>
  <c r="C46" i="748"/>
  <c r="C32" i="748" l="1"/>
  <c r="C24" i="748"/>
  <c r="G754" i="747"/>
  <c r="Q751" i="747"/>
  <c r="J79" i="747"/>
  <c r="K79" i="747" s="1"/>
  <c r="G79" i="747"/>
  <c r="C79" i="747"/>
  <c r="B79" i="747"/>
  <c r="F79" i="747" s="1"/>
  <c r="A79" i="747"/>
  <c r="AX78" i="747"/>
  <c r="AL78" i="747"/>
  <c r="Y78" i="747"/>
  <c r="G78" i="747"/>
  <c r="F78" i="747"/>
  <c r="F77" i="747" s="1"/>
  <c r="C78" i="747"/>
  <c r="B78" i="747"/>
  <c r="J78" i="747" s="1"/>
  <c r="A78" i="747"/>
  <c r="I77" i="747"/>
  <c r="E77" i="747"/>
  <c r="C77" i="747"/>
  <c r="A77" i="747"/>
  <c r="J76" i="747"/>
  <c r="K76" i="747" s="1"/>
  <c r="G76" i="747"/>
  <c r="C76" i="747"/>
  <c r="B76" i="747"/>
  <c r="F76" i="747" s="1"/>
  <c r="J75" i="747"/>
  <c r="K75" i="747" s="1"/>
  <c r="G75" i="747"/>
  <c r="C75" i="747"/>
  <c r="B75" i="747"/>
  <c r="F75" i="747" s="1"/>
  <c r="C74" i="747"/>
  <c r="J74" i="747" s="1"/>
  <c r="K74" i="747" s="1"/>
  <c r="B74" i="747"/>
  <c r="F74" i="747" s="1"/>
  <c r="G74" i="747" s="1"/>
  <c r="AY73" i="747"/>
  <c r="AX73" i="747"/>
  <c r="AM73" i="747"/>
  <c r="AL73" i="747"/>
  <c r="Z73" i="747"/>
  <c r="C73" i="747"/>
  <c r="B73" i="747"/>
  <c r="AY72" i="747"/>
  <c r="Z72" i="747"/>
  <c r="F72" i="747"/>
  <c r="G72" i="747" s="1"/>
  <c r="C72" i="747"/>
  <c r="B72" i="747"/>
  <c r="A72" i="747" s="1"/>
  <c r="AX71" i="747"/>
  <c r="AL71" i="747"/>
  <c r="Y71" i="747"/>
  <c r="C71" i="747"/>
  <c r="B71" i="747"/>
  <c r="AL69" i="747" s="1"/>
  <c r="AM70" i="747"/>
  <c r="Z70" i="747"/>
  <c r="C70" i="747"/>
  <c r="J70" i="747" s="1"/>
  <c r="K70" i="747" s="1"/>
  <c r="B70" i="747"/>
  <c r="F70" i="747" s="1"/>
  <c r="G70" i="747" s="1"/>
  <c r="C69" i="747"/>
  <c r="B69" i="747"/>
  <c r="J69" i="747" s="1"/>
  <c r="AM68" i="747"/>
  <c r="I68" i="747"/>
  <c r="E68" i="747"/>
  <c r="C68" i="747"/>
  <c r="AY67" i="747"/>
  <c r="AX67" i="747"/>
  <c r="Y67" i="747"/>
  <c r="F67" i="747"/>
  <c r="G67" i="747" s="1"/>
  <c r="G65" i="747" s="1"/>
  <c r="C67" i="747"/>
  <c r="B67" i="747"/>
  <c r="J67" i="747" s="1"/>
  <c r="K67" i="747" s="1"/>
  <c r="M67" i="747" s="1"/>
  <c r="AY66" i="747"/>
  <c r="AX66" i="747"/>
  <c r="AM66" i="747"/>
  <c r="AL66" i="747"/>
  <c r="Z66" i="747"/>
  <c r="Y66" i="747"/>
  <c r="G66" i="747"/>
  <c r="F66" i="747"/>
  <c r="C66" i="747"/>
  <c r="AM64" i="747" s="1"/>
  <c r="B66" i="747"/>
  <c r="A66" i="747" s="1"/>
  <c r="AY65" i="747"/>
  <c r="AM65" i="747"/>
  <c r="Z65" i="747"/>
  <c r="I65" i="747"/>
  <c r="F65" i="747"/>
  <c r="E65" i="747"/>
  <c r="C65" i="747"/>
  <c r="A65" i="747"/>
  <c r="AX64" i="747"/>
  <c r="AL64" i="747"/>
  <c r="Z64" i="747"/>
  <c r="C64" i="747"/>
  <c r="B64" i="747"/>
  <c r="A64" i="747"/>
  <c r="AX63" i="747"/>
  <c r="AL63" i="747"/>
  <c r="Y63" i="747"/>
  <c r="C63" i="747"/>
  <c r="J63" i="747" s="1"/>
  <c r="K63" i="747" s="1"/>
  <c r="B63" i="747"/>
  <c r="I62" i="747"/>
  <c r="E62" i="747"/>
  <c r="C62" i="747"/>
  <c r="AX61" i="747"/>
  <c r="J61" i="747"/>
  <c r="K61" i="747" s="1"/>
  <c r="C61" i="747"/>
  <c r="B61" i="747"/>
  <c r="Y58" i="747" s="1"/>
  <c r="Z60" i="747"/>
  <c r="J60" i="747"/>
  <c r="K60" i="747" s="1"/>
  <c r="C60" i="747"/>
  <c r="AM57" i="747" s="1"/>
  <c r="B60" i="747"/>
  <c r="AX59" i="747"/>
  <c r="AL59" i="747"/>
  <c r="Y59" i="747"/>
  <c r="C59" i="747"/>
  <c r="B59" i="747"/>
  <c r="AX58" i="747"/>
  <c r="AL58" i="747"/>
  <c r="C58" i="747"/>
  <c r="AM55" i="747" s="1"/>
  <c r="B58" i="747"/>
  <c r="AY57" i="747"/>
  <c r="AX57" i="747"/>
  <c r="AL57" i="747"/>
  <c r="Z57" i="747"/>
  <c r="Y57" i="747"/>
  <c r="J57" i="747"/>
  <c r="K57" i="747" s="1"/>
  <c r="M57" i="747" s="1"/>
  <c r="F57" i="747"/>
  <c r="G57" i="747" s="1"/>
  <c r="C57" i="747"/>
  <c r="B57" i="747"/>
  <c r="AY56" i="747"/>
  <c r="C56" i="747"/>
  <c r="B56" i="747"/>
  <c r="J56" i="747" s="1"/>
  <c r="K56" i="747" s="1"/>
  <c r="I55" i="747"/>
  <c r="E55" i="747"/>
  <c r="C55" i="747"/>
  <c r="AY52" i="747" s="1"/>
  <c r="A55" i="747"/>
  <c r="AY54" i="747"/>
  <c r="AX54" i="747"/>
  <c r="AM54" i="747"/>
  <c r="AL54" i="747"/>
  <c r="Z54" i="747"/>
  <c r="Y54" i="747"/>
  <c r="J54" i="747"/>
  <c r="K54" i="747" s="1"/>
  <c r="C54" i="747"/>
  <c r="AY51" i="747" s="1"/>
  <c r="B54" i="747"/>
  <c r="AX53" i="747"/>
  <c r="AM53" i="747"/>
  <c r="AL53" i="747"/>
  <c r="Y53" i="747"/>
  <c r="J53" i="747"/>
  <c r="K53" i="747" s="1"/>
  <c r="F53" i="747"/>
  <c r="C53" i="747"/>
  <c r="B53" i="747"/>
  <c r="A53" i="747" s="1"/>
  <c r="AX52" i="747"/>
  <c r="AL52" i="747"/>
  <c r="Z52" i="747"/>
  <c r="Y52" i="747"/>
  <c r="I52" i="747"/>
  <c r="E52" i="747"/>
  <c r="C52" i="747"/>
  <c r="AY49" i="747" s="1"/>
  <c r="AX51" i="747"/>
  <c r="AL51" i="747"/>
  <c r="Y51" i="747"/>
  <c r="C51" i="747"/>
  <c r="B51" i="747"/>
  <c r="A51" i="747"/>
  <c r="AY50" i="747"/>
  <c r="AM50" i="747"/>
  <c r="Z50" i="747"/>
  <c r="J50" i="747"/>
  <c r="K50" i="747" s="1"/>
  <c r="F50" i="747"/>
  <c r="G50" i="747" s="1"/>
  <c r="C50" i="747"/>
  <c r="B50" i="747"/>
  <c r="A50" i="747"/>
  <c r="AX49" i="747"/>
  <c r="AM49" i="747"/>
  <c r="AL49" i="747"/>
  <c r="Z49" i="747"/>
  <c r="Y49" i="747"/>
  <c r="C49" i="747"/>
  <c r="AY45" i="747" s="1"/>
  <c r="B49" i="747"/>
  <c r="AY48" i="747"/>
  <c r="AL48" i="747"/>
  <c r="Y48" i="747"/>
  <c r="C48" i="747"/>
  <c r="B48" i="747"/>
  <c r="A48" i="747"/>
  <c r="I47" i="747"/>
  <c r="E47" i="747"/>
  <c r="AY46" i="747"/>
  <c r="AX46" i="747"/>
  <c r="AL46" i="747"/>
  <c r="Y46" i="747"/>
  <c r="C46" i="747"/>
  <c r="Z43" i="747" s="1"/>
  <c r="B46" i="747"/>
  <c r="A46" i="747" s="1"/>
  <c r="AM45" i="747"/>
  <c r="Z45" i="747"/>
  <c r="I45" i="747"/>
  <c r="E45" i="747"/>
  <c r="C45" i="747"/>
  <c r="A45" i="747"/>
  <c r="AX44" i="747"/>
  <c r="C44" i="747"/>
  <c r="B44" i="747"/>
  <c r="A44" i="747"/>
  <c r="AY43" i="747"/>
  <c r="AM43" i="747"/>
  <c r="Y43" i="747"/>
  <c r="C43" i="747"/>
  <c r="B43" i="747"/>
  <c r="A43" i="747" s="1"/>
  <c r="AX42" i="747"/>
  <c r="AL42" i="747"/>
  <c r="Y42" i="747"/>
  <c r="F42" i="747"/>
  <c r="G42" i="747" s="1"/>
  <c r="C42" i="747"/>
  <c r="B42" i="747"/>
  <c r="J42" i="747" s="1"/>
  <c r="K42" i="747" s="1"/>
  <c r="A42" i="747"/>
  <c r="AY41" i="747"/>
  <c r="AX41" i="747"/>
  <c r="AM41" i="747"/>
  <c r="Z41" i="747"/>
  <c r="C41" i="747"/>
  <c r="AY38" i="747" s="1"/>
  <c r="B41" i="747"/>
  <c r="A41" i="747"/>
  <c r="AY40" i="747"/>
  <c r="AX40" i="747"/>
  <c r="AM40" i="747"/>
  <c r="AL40" i="747"/>
  <c r="Z40" i="747"/>
  <c r="Y40" i="747"/>
  <c r="I40" i="747"/>
  <c r="E40" i="747"/>
  <c r="C40" i="747"/>
  <c r="A40" i="747"/>
  <c r="AY39" i="747"/>
  <c r="AM39" i="747"/>
  <c r="AL39" i="747"/>
  <c r="Z39" i="747"/>
  <c r="Y39" i="747"/>
  <c r="C39" i="747"/>
  <c r="AY36" i="747" s="1"/>
  <c r="B39" i="747"/>
  <c r="A39" i="747"/>
  <c r="AX38" i="747"/>
  <c r="AM38" i="747"/>
  <c r="AL38" i="747"/>
  <c r="Z38" i="747"/>
  <c r="Y38" i="747"/>
  <c r="J38" i="747"/>
  <c r="K38" i="747" s="1"/>
  <c r="F38" i="747"/>
  <c r="G38" i="747" s="1"/>
  <c r="C38" i="747"/>
  <c r="AM35" i="747" s="1"/>
  <c r="B38" i="747"/>
  <c r="A38" i="747"/>
  <c r="AY37" i="747"/>
  <c r="AX37" i="747"/>
  <c r="AM37" i="747"/>
  <c r="AL37" i="747"/>
  <c r="Z37" i="747"/>
  <c r="Y37" i="747"/>
  <c r="C37" i="747"/>
  <c r="AY34" i="747" s="1"/>
  <c r="B37" i="747"/>
  <c r="A37" i="747"/>
  <c r="AX36" i="747"/>
  <c r="AM36" i="747"/>
  <c r="AL36" i="747"/>
  <c r="Z36" i="747"/>
  <c r="Y36" i="747"/>
  <c r="J36" i="747"/>
  <c r="K36" i="747" s="1"/>
  <c r="M36" i="747" s="1"/>
  <c r="F36" i="747"/>
  <c r="G36" i="747" s="1"/>
  <c r="C36" i="747"/>
  <c r="Z33" i="747" s="1"/>
  <c r="B36" i="747"/>
  <c r="A36" i="747" s="1"/>
  <c r="AY35" i="747"/>
  <c r="AX35" i="747"/>
  <c r="AL35" i="747"/>
  <c r="Y35" i="747"/>
  <c r="C35" i="747"/>
  <c r="AY32" i="747" s="1"/>
  <c r="B35" i="747"/>
  <c r="A35" i="747"/>
  <c r="AX34" i="747"/>
  <c r="C34" i="747"/>
  <c r="B34" i="747"/>
  <c r="AY33" i="747"/>
  <c r="AM33" i="747"/>
  <c r="J33" i="747"/>
  <c r="K33" i="747" s="1"/>
  <c r="F33" i="747"/>
  <c r="G33" i="747" s="1"/>
  <c r="C33" i="747"/>
  <c r="B33" i="747"/>
  <c r="A33" i="747" s="1"/>
  <c r="AX32" i="747"/>
  <c r="AM32" i="747"/>
  <c r="Z32" i="747"/>
  <c r="S32" i="747"/>
  <c r="R32" i="747"/>
  <c r="C32" i="747"/>
  <c r="B32" i="747"/>
  <c r="A32" i="747" s="1"/>
  <c r="AY31" i="747"/>
  <c r="AM31" i="747"/>
  <c r="Z31" i="747"/>
  <c r="S31" i="747"/>
  <c r="R31" i="747"/>
  <c r="J31" i="747"/>
  <c r="K31" i="747" s="1"/>
  <c r="C31" i="747"/>
  <c r="F31" i="747" s="1"/>
  <c r="G31" i="747" s="1"/>
  <c r="B31" i="747"/>
  <c r="A31" i="747"/>
  <c r="AY30" i="747"/>
  <c r="AM30" i="747"/>
  <c r="AL30" i="747"/>
  <c r="Z30" i="747"/>
  <c r="Y30" i="747"/>
  <c r="R30" i="747"/>
  <c r="S30" i="747" s="1"/>
  <c r="C30" i="747"/>
  <c r="B30" i="747"/>
  <c r="AX29" i="747"/>
  <c r="R29" i="747"/>
  <c r="S29" i="747" s="1"/>
  <c r="K29" i="747"/>
  <c r="J29" i="747"/>
  <c r="C29" i="747"/>
  <c r="AY26" i="747" s="1"/>
  <c r="B29" i="747"/>
  <c r="F29" i="747" s="1"/>
  <c r="G29" i="747" s="1"/>
  <c r="M29" i="747" s="1"/>
  <c r="O29" i="747" s="1"/>
  <c r="P29" i="747" s="1"/>
  <c r="AY28" i="747"/>
  <c r="AX28" i="747"/>
  <c r="AM28" i="747"/>
  <c r="AL28" i="747"/>
  <c r="Z28" i="747"/>
  <c r="Y28" i="747"/>
  <c r="S28" i="747"/>
  <c r="R28" i="747"/>
  <c r="J28" i="747"/>
  <c r="K28" i="747" s="1"/>
  <c r="F28" i="747"/>
  <c r="G28" i="747" s="1"/>
  <c r="C28" i="747"/>
  <c r="B28" i="747"/>
  <c r="A28" i="747"/>
  <c r="AY27" i="747"/>
  <c r="AM27" i="747"/>
  <c r="AL27" i="747"/>
  <c r="Z27" i="747"/>
  <c r="Y27" i="747"/>
  <c r="R27" i="747"/>
  <c r="S27" i="747" s="1"/>
  <c r="C27" i="747"/>
  <c r="B27" i="747"/>
  <c r="J27" i="747" s="1"/>
  <c r="K27" i="747" s="1"/>
  <c r="A27" i="747"/>
  <c r="AX26" i="747"/>
  <c r="AM26" i="747"/>
  <c r="AL26" i="747"/>
  <c r="Z26" i="747"/>
  <c r="Y26" i="747"/>
  <c r="S26" i="747"/>
  <c r="R26" i="747"/>
  <c r="J26" i="747"/>
  <c r="K26" i="747" s="1"/>
  <c r="C26" i="747"/>
  <c r="B26" i="747"/>
  <c r="AY25" i="747"/>
  <c r="AX25" i="747"/>
  <c r="AM25" i="747"/>
  <c r="AL25" i="747"/>
  <c r="Z25" i="747"/>
  <c r="Y25" i="747"/>
  <c r="R25" i="747"/>
  <c r="S25" i="747" s="1"/>
  <c r="S33" i="747" s="1"/>
  <c r="F25" i="747"/>
  <c r="G25" i="747" s="1"/>
  <c r="C25" i="747"/>
  <c r="B25" i="747"/>
  <c r="A25" i="747"/>
  <c r="AY24" i="747"/>
  <c r="AM24" i="747"/>
  <c r="Z24" i="747"/>
  <c r="C24" i="747"/>
  <c r="Z21" i="747" s="1"/>
  <c r="B24" i="747"/>
  <c r="AL21" i="747" s="1"/>
  <c r="AY23" i="747"/>
  <c r="Y23" i="747"/>
  <c r="J23" i="747"/>
  <c r="K23" i="747" s="1"/>
  <c r="C23" i="747"/>
  <c r="B23" i="747"/>
  <c r="AL20" i="747" s="1"/>
  <c r="AM22" i="747"/>
  <c r="C22" i="747"/>
  <c r="F22" i="747" s="1"/>
  <c r="G22" i="747" s="1"/>
  <c r="B22" i="747"/>
  <c r="J22" i="747" s="1"/>
  <c r="K22" i="747" s="1"/>
  <c r="A22" i="747"/>
  <c r="AM21" i="747"/>
  <c r="F21" i="747"/>
  <c r="G21" i="747" s="1"/>
  <c r="C21" i="747"/>
  <c r="AY18" i="747" s="1"/>
  <c r="B21" i="747"/>
  <c r="AY20" i="747"/>
  <c r="AM20" i="747"/>
  <c r="Z20" i="747"/>
  <c r="C20" i="747"/>
  <c r="J20" i="747" s="1"/>
  <c r="K20" i="747" s="1"/>
  <c r="B20" i="747"/>
  <c r="A20" i="747"/>
  <c r="AY19" i="747"/>
  <c r="AX19" i="747"/>
  <c r="AO19" i="747"/>
  <c r="AM19" i="747"/>
  <c r="AL19" i="747"/>
  <c r="AD19" i="747"/>
  <c r="Z19" i="747"/>
  <c r="Y19" i="747"/>
  <c r="C19" i="747"/>
  <c r="Z16" i="747" s="1"/>
  <c r="B19" i="747"/>
  <c r="AX16" i="747" s="1"/>
  <c r="A19" i="747"/>
  <c r="AX18" i="747"/>
  <c r="AM18" i="747"/>
  <c r="Z18" i="747"/>
  <c r="F18" i="747"/>
  <c r="C18" i="747"/>
  <c r="AY15" i="747" s="1"/>
  <c r="B18" i="747"/>
  <c r="AL15" i="747" s="1"/>
  <c r="AY17" i="747"/>
  <c r="AX17" i="747"/>
  <c r="AM17" i="747"/>
  <c r="AT17" i="747" s="1"/>
  <c r="AL17" i="747"/>
  <c r="Z17" i="747"/>
  <c r="Y17" i="747"/>
  <c r="I17" i="747"/>
  <c r="E17" i="747"/>
  <c r="C17" i="747"/>
  <c r="AM14" i="747" s="1"/>
  <c r="A17" i="747"/>
  <c r="AY16" i="747"/>
  <c r="AT16" i="747"/>
  <c r="AS16" i="747"/>
  <c r="AO16" i="747"/>
  <c r="AM16" i="747"/>
  <c r="AL16" i="747"/>
  <c r="AD16" i="747"/>
  <c r="AC16" i="747"/>
  <c r="Y16" i="747"/>
  <c r="C16" i="747"/>
  <c r="B16" i="747"/>
  <c r="AX15" i="747"/>
  <c r="AM15" i="747"/>
  <c r="Z15" i="747"/>
  <c r="I15" i="747"/>
  <c r="E15" i="747"/>
  <c r="C15" i="747"/>
  <c r="AY12" i="747" s="1"/>
  <c r="A15" i="747"/>
  <c r="AY14" i="747"/>
  <c r="AX14" i="747"/>
  <c r="AT14" i="747"/>
  <c r="AO14" i="747"/>
  <c r="AL14" i="747"/>
  <c r="AD14" i="747"/>
  <c r="AC14" i="747"/>
  <c r="Z14" i="747"/>
  <c r="Y14" i="747"/>
  <c r="U14" i="747"/>
  <c r="C14" i="747"/>
  <c r="J14" i="747" s="1"/>
  <c r="B14" i="747"/>
  <c r="AX13" i="747"/>
  <c r="AM13" i="747"/>
  <c r="AL13" i="747"/>
  <c r="Y13" i="747"/>
  <c r="V13" i="747"/>
  <c r="U13" i="747"/>
  <c r="I13" i="747"/>
  <c r="E13" i="747"/>
  <c r="C13" i="747"/>
  <c r="A13" i="747"/>
  <c r="AM12" i="747"/>
  <c r="Z12" i="747"/>
  <c r="U12" i="747"/>
  <c r="V12" i="747" s="1"/>
  <c r="J12" i="747"/>
  <c r="K12" i="747" s="1"/>
  <c r="C12" i="747"/>
  <c r="B12" i="747"/>
  <c r="F12" i="747" s="1"/>
  <c r="G12" i="747" s="1"/>
  <c r="A12" i="747"/>
  <c r="AY11" i="747"/>
  <c r="U11" i="747"/>
  <c r="V11" i="747" s="1"/>
  <c r="R11" i="747"/>
  <c r="S11" i="747" s="1"/>
  <c r="J11" i="747"/>
  <c r="K11" i="747" s="1"/>
  <c r="F11" i="747"/>
  <c r="G11" i="747" s="1"/>
  <c r="M11" i="747" s="1"/>
  <c r="O11" i="747" s="1"/>
  <c r="P11" i="747" s="1"/>
  <c r="C11" i="747"/>
  <c r="B11" i="747"/>
  <c r="A11" i="747"/>
  <c r="AX10" i="747"/>
  <c r="AL10" i="747"/>
  <c r="Y10" i="747"/>
  <c r="U10" i="747"/>
  <c r="V10" i="747" s="1"/>
  <c r="S10" i="747"/>
  <c r="R10" i="747"/>
  <c r="C10" i="747"/>
  <c r="B10" i="747"/>
  <c r="A10" i="747"/>
  <c r="AY9" i="747"/>
  <c r="AX9" i="747"/>
  <c r="AM9" i="747"/>
  <c r="Z9" i="747"/>
  <c r="Y9" i="747"/>
  <c r="AG9" i="747" s="1"/>
  <c r="U9" i="747"/>
  <c r="V9" i="747" s="1"/>
  <c r="R9" i="747"/>
  <c r="S9" i="747" s="1"/>
  <c r="I9" i="747"/>
  <c r="I8" i="747" s="1"/>
  <c r="E9" i="747"/>
  <c r="C9" i="747"/>
  <c r="AY6" i="747" s="1"/>
  <c r="AY8" i="747"/>
  <c r="AX8" i="747"/>
  <c r="AS8" i="747"/>
  <c r="AO8" i="747"/>
  <c r="AN8" i="747"/>
  <c r="AM8" i="747"/>
  <c r="AL8" i="747"/>
  <c r="AP8" i="747" s="1"/>
  <c r="AD8" i="747"/>
  <c r="AC8" i="747"/>
  <c r="AB8" i="747"/>
  <c r="Z8" i="747"/>
  <c r="Y8" i="747"/>
  <c r="U8" i="747"/>
  <c r="V8" i="747" s="1"/>
  <c r="S8" i="747"/>
  <c r="R8" i="747"/>
  <c r="E8" i="747"/>
  <c r="AX7" i="747"/>
  <c r="AM7" i="747"/>
  <c r="AU7" i="747" s="1"/>
  <c r="AL7" i="747"/>
  <c r="Y7" i="747"/>
  <c r="U7" i="747"/>
  <c r="R7" i="747"/>
  <c r="S7" i="747" s="1"/>
  <c r="J7" i="747"/>
  <c r="K7" i="747" s="1"/>
  <c r="G7" i="747"/>
  <c r="F7" i="747"/>
  <c r="AM6" i="747"/>
  <c r="Z6" i="747"/>
  <c r="V6" i="747"/>
  <c r="U6" i="747"/>
  <c r="R6" i="747"/>
  <c r="S6" i="747" s="1"/>
  <c r="J6" i="747"/>
  <c r="K6" i="747" s="1"/>
  <c r="F6" i="747"/>
  <c r="G6" i="747" s="1"/>
  <c r="AX5" i="747"/>
  <c r="AL5" i="747"/>
  <c r="Y5" i="747"/>
  <c r="V5" i="747"/>
  <c r="U5" i="747"/>
  <c r="R5" i="747"/>
  <c r="S5" i="747" s="1"/>
  <c r="I5" i="747"/>
  <c r="F5" i="747"/>
  <c r="E5" i="747"/>
  <c r="AY4" i="747"/>
  <c r="AX4" i="747"/>
  <c r="AM4" i="747"/>
  <c r="AS4" i="747" s="1"/>
  <c r="AL4" i="747"/>
  <c r="AD4" i="747"/>
  <c r="AC4" i="747"/>
  <c r="Z4" i="747"/>
  <c r="AE4" i="747" s="1"/>
  <c r="Y4" i="747"/>
  <c r="U4" i="747"/>
  <c r="V4" i="747" s="1"/>
  <c r="R4" i="747"/>
  <c r="S4" i="747" s="1"/>
  <c r="AY3" i="747"/>
  <c r="AX3" i="747"/>
  <c r="AP3" i="747"/>
  <c r="AM3" i="747"/>
  <c r="AL3" i="747"/>
  <c r="AN3" i="747" s="1"/>
  <c r="AH3" i="747"/>
  <c r="Z3" i="747"/>
  <c r="Y3" i="747"/>
  <c r="AB3" i="747" s="1"/>
  <c r="V3" i="747"/>
  <c r="U3" i="747"/>
  <c r="R3" i="747"/>
  <c r="S3" i="747" s="1"/>
  <c r="AX2" i="747"/>
  <c r="AL2" i="747"/>
  <c r="Y2" i="747"/>
  <c r="J2" i="747"/>
  <c r="BK1" i="747"/>
  <c r="BJ1" i="747"/>
  <c r="BI1" i="747"/>
  <c r="BH1" i="747"/>
  <c r="BG1" i="747"/>
  <c r="BF1" i="747"/>
  <c r="BE1" i="747"/>
  <c r="BD1" i="747"/>
  <c r="BC1" i="747"/>
  <c r="BB1" i="747"/>
  <c r="BA1" i="747"/>
  <c r="AZ1" i="747"/>
  <c r="AU1" i="747"/>
  <c r="AU35" i="747" s="1"/>
  <c r="AT1" i="747"/>
  <c r="AS1" i="747"/>
  <c r="AS19" i="747" s="1"/>
  <c r="AR1" i="747"/>
  <c r="AQ1" i="747"/>
  <c r="AQ14" i="747" s="1"/>
  <c r="AP1" i="747"/>
  <c r="AO1" i="747"/>
  <c r="AO25" i="747" s="1"/>
  <c r="AN1" i="747"/>
  <c r="AI1" i="747"/>
  <c r="AH1" i="747"/>
  <c r="AG1" i="747"/>
  <c r="AG14" i="747" s="1"/>
  <c r="AF1" i="747"/>
  <c r="AF14" i="747" s="1"/>
  <c r="AE1" i="747"/>
  <c r="AD1" i="747"/>
  <c r="AC1" i="747"/>
  <c r="AB1" i="747"/>
  <c r="AA1" i="747"/>
  <c r="AA8" i="747" s="1"/>
  <c r="K1" i="747"/>
  <c r="F1" i="747"/>
  <c r="E1" i="747"/>
  <c r="C28" i="748" l="1"/>
  <c r="C24" i="685"/>
  <c r="C67" i="748"/>
  <c r="C62" i="748"/>
  <c r="C63" i="748"/>
  <c r="K52" i="747"/>
  <c r="M7" i="747"/>
  <c r="J52" i="747"/>
  <c r="K5" i="747"/>
  <c r="M22" i="747"/>
  <c r="O22" i="747" s="1"/>
  <c r="P22" i="747" s="1"/>
  <c r="M70" i="747"/>
  <c r="O70" i="747" s="1"/>
  <c r="M12" i="747"/>
  <c r="O12" i="747" s="1"/>
  <c r="P12" i="747" s="1"/>
  <c r="M76" i="747"/>
  <c r="M31" i="747"/>
  <c r="O31" i="747" s="1"/>
  <c r="P31" i="747" s="1"/>
  <c r="M42" i="747"/>
  <c r="O42" i="747" s="1"/>
  <c r="P42" i="747" s="1"/>
  <c r="T42" i="747"/>
  <c r="M33" i="747"/>
  <c r="O33" i="747" s="1"/>
  <c r="P33" i="747" s="1"/>
  <c r="M38" i="747"/>
  <c r="O38" i="747" s="1"/>
  <c r="P38" i="747" s="1"/>
  <c r="M74" i="747"/>
  <c r="M79" i="747"/>
  <c r="M6" i="747"/>
  <c r="L6" i="747"/>
  <c r="G5" i="747"/>
  <c r="AO20" i="747"/>
  <c r="AS20" i="747"/>
  <c r="AQ20" i="747"/>
  <c r="AT20" i="747"/>
  <c r="AN20" i="747"/>
  <c r="AU20" i="747"/>
  <c r="AR20" i="747"/>
  <c r="AP20" i="747"/>
  <c r="J13" i="747"/>
  <c r="K14" i="747"/>
  <c r="K13" i="747" s="1"/>
  <c r="AN54" i="747"/>
  <c r="AN57" i="747"/>
  <c r="AN39" i="747"/>
  <c r="AN25" i="747"/>
  <c r="AN19" i="747"/>
  <c r="S12" i="747"/>
  <c r="AN4" i="747"/>
  <c r="AN7" i="747"/>
  <c r="AH17" i="747"/>
  <c r="AH4" i="747"/>
  <c r="AH2" i="747" s="1"/>
  <c r="AI4" i="747"/>
  <c r="AG4" i="747"/>
  <c r="AO4" i="747"/>
  <c r="AB7" i="747"/>
  <c r="AO7" i="747"/>
  <c r="AE8" i="747"/>
  <c r="AJ8" i="747" s="1"/>
  <c r="AH8" i="747"/>
  <c r="AG8" i="747"/>
  <c r="AF8" i="747"/>
  <c r="AA9" i="747"/>
  <c r="J16" i="747"/>
  <c r="F16" i="747"/>
  <c r="A16" i="747"/>
  <c r="AE17" i="747"/>
  <c r="AD17" i="747"/>
  <c r="AB17" i="747"/>
  <c r="AP54" i="747"/>
  <c r="AP49" i="747"/>
  <c r="AP53" i="747"/>
  <c r="AP40" i="747"/>
  <c r="AP39" i="747"/>
  <c r="AP37" i="747"/>
  <c r="AO3" i="747"/>
  <c r="AO2" i="747" s="1"/>
  <c r="AP4" i="747"/>
  <c r="AP2" i="747" s="1"/>
  <c r="Z7" i="747"/>
  <c r="AS7" i="747"/>
  <c r="AQ8" i="747"/>
  <c r="AV8" i="747" s="1"/>
  <c r="AB9" i="747"/>
  <c r="Z13" i="747"/>
  <c r="AH13" i="747" s="1"/>
  <c r="AY13" i="747"/>
  <c r="AA17" i="747"/>
  <c r="AQ15" i="747"/>
  <c r="AC9" i="747"/>
  <c r="AX11" i="747"/>
  <c r="Y11" i="747"/>
  <c r="AL11" i="747"/>
  <c r="F14" i="747"/>
  <c r="A14" i="747"/>
  <c r="AH16" i="747"/>
  <c r="AG16" i="747"/>
  <c r="AF16" i="747"/>
  <c r="AE16" i="747"/>
  <c r="AB16" i="747"/>
  <c r="AI16" i="747"/>
  <c r="A23" i="747"/>
  <c r="AX20" i="747"/>
  <c r="F23" i="747"/>
  <c r="G23" i="747" s="1"/>
  <c r="M23" i="747" s="1"/>
  <c r="O23" i="747" s="1"/>
  <c r="P23" i="747" s="1"/>
  <c r="Y20" i="747"/>
  <c r="AA16" i="747"/>
  <c r="AA4" i="747"/>
  <c r="AT7" i="747"/>
  <c r="AB39" i="747"/>
  <c r="AB40" i="747"/>
  <c r="AB38" i="747"/>
  <c r="AB14" i="747"/>
  <c r="AB28" i="747"/>
  <c r="AR54" i="747"/>
  <c r="AR40" i="747"/>
  <c r="AR39" i="747"/>
  <c r="AR35" i="747"/>
  <c r="AR49" i="747"/>
  <c r="AR25" i="747"/>
  <c r="AR19" i="747"/>
  <c r="AR4" i="747"/>
  <c r="AE9" i="747"/>
  <c r="AM10" i="747"/>
  <c r="AY10" i="747"/>
  <c r="AF9" i="747"/>
  <c r="Z10" i="747"/>
  <c r="AT13" i="747"/>
  <c r="AS13" i="747"/>
  <c r="AR13" i="747"/>
  <c r="AQ13" i="747"/>
  <c r="AN13" i="747"/>
  <c r="AU13" i="747"/>
  <c r="AP15" i="747"/>
  <c r="AO15" i="747"/>
  <c r="AN15" i="747"/>
  <c r="AT15" i="747"/>
  <c r="AS15" i="747"/>
  <c r="AR15" i="747"/>
  <c r="AN17" i="747"/>
  <c r="AV17" i="747" s="1"/>
  <c r="AI73" i="747"/>
  <c r="AI66" i="747"/>
  <c r="AI43" i="747"/>
  <c r="AI52" i="747"/>
  <c r="AI14" i="747"/>
  <c r="AA73" i="747"/>
  <c r="AA52" i="747"/>
  <c r="AA54" i="747"/>
  <c r="AA36" i="747"/>
  <c r="AA57" i="747"/>
  <c r="AA38" i="747"/>
  <c r="AA39" i="747"/>
  <c r="AQ49" i="747"/>
  <c r="AQ54" i="747"/>
  <c r="AQ38" i="747"/>
  <c r="AQ19" i="747"/>
  <c r="AA3" i="747"/>
  <c r="AI3" i="747"/>
  <c r="AI2" i="747" s="1"/>
  <c r="AQ4" i="747"/>
  <c r="AQ3" i="747"/>
  <c r="AB4" i="747"/>
  <c r="AB2" i="747" s="1"/>
  <c r="AT4" i="747"/>
  <c r="AR14" i="747"/>
  <c r="AU15" i="747"/>
  <c r="AP17" i="747"/>
  <c r="AD9" i="747"/>
  <c r="AI9" i="747"/>
  <c r="AN2" i="747"/>
  <c r="AC3" i="747"/>
  <c r="AC2" i="747" s="1"/>
  <c r="AS3" i="747"/>
  <c r="AS2" i="747" s="1"/>
  <c r="AE52" i="747"/>
  <c r="AE39" i="747"/>
  <c r="AE40" i="747"/>
  <c r="AE36" i="747"/>
  <c r="AE14" i="747"/>
  <c r="AY7" i="747"/>
  <c r="F10" i="747"/>
  <c r="AS14" i="747"/>
  <c r="AP14" i="747"/>
  <c r="AN14" i="747"/>
  <c r="AR17" i="747"/>
  <c r="AA19" i="747"/>
  <c r="AR3" i="747"/>
  <c r="AR2" i="747" s="1"/>
  <c r="AT3" i="747"/>
  <c r="AT2" i="747" s="1"/>
  <c r="AI8" i="747"/>
  <c r="AH9" i="747"/>
  <c r="AO13" i="747"/>
  <c r="AF73" i="747"/>
  <c r="AF49" i="747"/>
  <c r="AF54" i="747"/>
  <c r="AE3" i="747"/>
  <c r="AE2" i="747" s="1"/>
  <c r="AU3" i="747"/>
  <c r="AF4" i="747"/>
  <c r="AI7" i="747"/>
  <c r="J10" i="747"/>
  <c r="AP13" i="747"/>
  <c r="AU14" i="747"/>
  <c r="AB19" i="747"/>
  <c r="AD3" i="747"/>
  <c r="AD2" i="747" s="1"/>
  <c r="AG73" i="747"/>
  <c r="AG37" i="747"/>
  <c r="AF3" i="747"/>
  <c r="AF2" i="747" s="1"/>
  <c r="AR8" i="747"/>
  <c r="AU8" i="747"/>
  <c r="AT8" i="747"/>
  <c r="AH25" i="747"/>
  <c r="AG25" i="747"/>
  <c r="AF25" i="747"/>
  <c r="AD25" i="747"/>
  <c r="AC25" i="747"/>
  <c r="AI25" i="747"/>
  <c r="AE25" i="747"/>
  <c r="AB25" i="747"/>
  <c r="AA25" i="747"/>
  <c r="Z11" i="747"/>
  <c r="AM11" i="747"/>
  <c r="AH73" i="747"/>
  <c r="AH43" i="747"/>
  <c r="AH52" i="747"/>
  <c r="AH28" i="747"/>
  <c r="AH14" i="747"/>
  <c r="AG3" i="747"/>
  <c r="AG2" i="747" s="1"/>
  <c r="AU4" i="747"/>
  <c r="J5" i="747"/>
  <c r="AR7" i="747"/>
  <c r="AQ7" i="747"/>
  <c r="AP7" i="747"/>
  <c r="AA14" i="747"/>
  <c r="AP16" i="747"/>
  <c r="AF19" i="747"/>
  <c r="AU28" i="747"/>
  <c r="J18" i="747"/>
  <c r="J19" i="747"/>
  <c r="K19" i="747" s="1"/>
  <c r="AC23" i="747"/>
  <c r="AE23" i="747"/>
  <c r="AR16" i="747"/>
  <c r="AN16" i="747"/>
  <c r="AS17" i="747"/>
  <c r="AQ17" i="747"/>
  <c r="AI19" i="747"/>
  <c r="AG19" i="747"/>
  <c r="AE19" i="747"/>
  <c r="A21" i="747"/>
  <c r="AL18" i="747"/>
  <c r="Y18" i="747"/>
  <c r="J21" i="747"/>
  <c r="K21" i="747" s="1"/>
  <c r="AQ16" i="747"/>
  <c r="AI17" i="747"/>
  <c r="AG17" i="747"/>
  <c r="AC17" i="747"/>
  <c r="AO17" i="747"/>
  <c r="AC19" i="747"/>
  <c r="AP21" i="747"/>
  <c r="AO21" i="747"/>
  <c r="AN21" i="747"/>
  <c r="AT21" i="747"/>
  <c r="AR21" i="747"/>
  <c r="AQ21" i="747"/>
  <c r="AU21" i="747"/>
  <c r="AS21" i="747"/>
  <c r="AM29" i="747"/>
  <c r="Z29" i="747"/>
  <c r="AY29" i="747"/>
  <c r="AU16" i="747"/>
  <c r="AG26" i="747"/>
  <c r="J34" i="747"/>
  <c r="K34" i="747" s="1"/>
  <c r="AX31" i="747"/>
  <c r="F34" i="747"/>
  <c r="G34" i="747" s="1"/>
  <c r="A34" i="747"/>
  <c r="AL31" i="747"/>
  <c r="Y31" i="747"/>
  <c r="AU17" i="747"/>
  <c r="AC26" i="747"/>
  <c r="AH26" i="747"/>
  <c r="AA26" i="747"/>
  <c r="AC30" i="747"/>
  <c r="AC73" i="747"/>
  <c r="AC52" i="747"/>
  <c r="AC39" i="747"/>
  <c r="AC49" i="747"/>
  <c r="AC54" i="747"/>
  <c r="AC40" i="747"/>
  <c r="AC37" i="747"/>
  <c r="AD26" i="747"/>
  <c r="AS27" i="747"/>
  <c r="AR27" i="747"/>
  <c r="AQ27" i="747"/>
  <c r="AO27" i="747"/>
  <c r="AN27" i="747"/>
  <c r="AU27" i="747"/>
  <c r="AT27" i="747"/>
  <c r="AP27" i="747"/>
  <c r="AE28" i="747"/>
  <c r="AI30" i="747"/>
  <c r="AG30" i="747"/>
  <c r="AD30" i="747"/>
  <c r="AF30" i="747"/>
  <c r="AS73" i="747"/>
  <c r="AS72" i="747" s="1"/>
  <c r="AS35" i="747"/>
  <c r="AS49" i="747"/>
  <c r="AS30" i="747"/>
  <c r="AN10" i="747"/>
  <c r="AD73" i="747"/>
  <c r="AD49" i="747"/>
  <c r="AD38" i="747"/>
  <c r="AT73" i="747"/>
  <c r="AT72" i="747" s="1"/>
  <c r="AT54" i="747"/>
  <c r="AT19" i="747"/>
  <c r="AL9" i="747"/>
  <c r="AA10" i="747"/>
  <c r="AF17" i="747"/>
  <c r="G18" i="747"/>
  <c r="F19" i="747"/>
  <c r="G19" i="747" s="1"/>
  <c r="AH30" i="747"/>
  <c r="J25" i="747"/>
  <c r="K25" i="747" s="1"/>
  <c r="Z22" i="747"/>
  <c r="AY22" i="747"/>
  <c r="AI35" i="747"/>
  <c r="AE37" i="747"/>
  <c r="AO54" i="747"/>
  <c r="AO57" i="747"/>
  <c r="AO49" i="747"/>
  <c r="AO40" i="747"/>
  <c r="AO66" i="747"/>
  <c r="AO39" i="747"/>
  <c r="Y15" i="747"/>
  <c r="F20" i="747"/>
  <c r="G20" i="747" s="1"/>
  <c r="M20" i="747" s="1"/>
  <c r="O20" i="747" s="1"/>
  <c r="P20" i="747" s="1"/>
  <c r="AP30" i="747"/>
  <c r="AA37" i="747"/>
  <c r="AF38" i="747"/>
  <c r="F24" i="747"/>
  <c r="G24" i="747" s="1"/>
  <c r="AX21" i="747"/>
  <c r="A24" i="747"/>
  <c r="AT26" i="747"/>
  <c r="AF27" i="747"/>
  <c r="AE27" i="747"/>
  <c r="AD27" i="747"/>
  <c r="AB27" i="747"/>
  <c r="AA27" i="747"/>
  <c r="AH27" i="747"/>
  <c r="AG27" i="747"/>
  <c r="AU30" i="747"/>
  <c r="AT30" i="747"/>
  <c r="AQ30" i="747"/>
  <c r="AO35" i="747"/>
  <c r="AD36" i="747"/>
  <c r="AN26" i="747"/>
  <c r="AU26" i="747"/>
  <c r="AR28" i="747"/>
  <c r="AU19" i="747"/>
  <c r="Y21" i="747"/>
  <c r="AY21" i="747"/>
  <c r="J24" i="747"/>
  <c r="K24" i="747" s="1"/>
  <c r="F26" i="747"/>
  <c r="G26" i="747" s="1"/>
  <c r="M26" i="747" s="1"/>
  <c r="O26" i="747" s="1"/>
  <c r="P26" i="747" s="1"/>
  <c r="A26" i="747"/>
  <c r="AX23" i="747"/>
  <c r="AQ26" i="747"/>
  <c r="AC27" i="747"/>
  <c r="F30" i="747"/>
  <c r="G30" i="747" s="1"/>
  <c r="A30" i="747"/>
  <c r="AX27" i="747"/>
  <c r="J30" i="747"/>
  <c r="K30" i="747" s="1"/>
  <c r="AH19" i="747"/>
  <c r="AP19" i="747"/>
  <c r="AL23" i="747"/>
  <c r="AU25" i="747"/>
  <c r="AT25" i="747"/>
  <c r="AS25" i="747"/>
  <c r="AQ25" i="747"/>
  <c r="AP25" i="747"/>
  <c r="AM23" i="747"/>
  <c r="Z23" i="747"/>
  <c r="AA23" i="747" s="1"/>
  <c r="AI27" i="747"/>
  <c r="M28" i="747"/>
  <c r="O28" i="747" s="1"/>
  <c r="P28" i="747" s="1"/>
  <c r="AO28" i="747"/>
  <c r="AR36" i="747"/>
  <c r="AQ36" i="747"/>
  <c r="AX24" i="747"/>
  <c r="AF28" i="747"/>
  <c r="AS28" i="747"/>
  <c r="AQ35" i="747"/>
  <c r="AU39" i="747"/>
  <c r="AA58" i="747"/>
  <c r="AF58" i="747"/>
  <c r="Y24" i="747"/>
  <c r="AL24" i="747"/>
  <c r="AI26" i="747"/>
  <c r="AG28" i="747"/>
  <c r="AT28" i="747"/>
  <c r="AE30" i="747"/>
  <c r="AR30" i="747"/>
  <c r="AN35" i="747"/>
  <c r="AP36" i="747"/>
  <c r="AN36" i="747"/>
  <c r="AU36" i="747"/>
  <c r="AT36" i="747"/>
  <c r="AT39" i="747"/>
  <c r="AG52" i="747"/>
  <c r="Z58" i="747"/>
  <c r="AH58" i="747" s="1"/>
  <c r="AM58" i="747"/>
  <c r="AU58" i="747" s="1"/>
  <c r="F61" i="747"/>
  <c r="G61" i="747" s="1"/>
  <c r="M61" i="747" s="1"/>
  <c r="AM63" i="747"/>
  <c r="Z63" i="747"/>
  <c r="AY63" i="747"/>
  <c r="AF67" i="747"/>
  <c r="AA67" i="747"/>
  <c r="AC67" i="747"/>
  <c r="AI40" i="747"/>
  <c r="AL45" i="747"/>
  <c r="Y45" i="747"/>
  <c r="A49" i="747"/>
  <c r="J49" i="747"/>
  <c r="K49" i="747" s="1"/>
  <c r="AX45" i="747"/>
  <c r="AI28" i="747"/>
  <c r="AP35" i="747"/>
  <c r="AC36" i="747"/>
  <c r="AG36" i="747"/>
  <c r="AO36" i="747"/>
  <c r="J39" i="747"/>
  <c r="K39" i="747" s="1"/>
  <c r="F39" i="747"/>
  <c r="G39" i="747" s="1"/>
  <c r="AA40" i="747"/>
  <c r="AU38" i="747"/>
  <c r="AU46" i="747"/>
  <c r="AR46" i="747"/>
  <c r="AP46" i="747"/>
  <c r="AN46" i="747"/>
  <c r="AY44" i="747"/>
  <c r="Z44" i="747"/>
  <c r="AM44" i="747"/>
  <c r="F49" i="747"/>
  <c r="G49" i="747" s="1"/>
  <c r="AT37" i="747"/>
  <c r="AS37" i="747"/>
  <c r="AQ37" i="747"/>
  <c r="AO37" i="747"/>
  <c r="AU37" i="747"/>
  <c r="AS38" i="747"/>
  <c r="J58" i="747"/>
  <c r="F58" i="747"/>
  <c r="G58" i="747" s="1"/>
  <c r="AL55" i="747"/>
  <c r="AX55" i="747"/>
  <c r="AB26" i="747"/>
  <c r="AO26" i="747"/>
  <c r="A29" i="747"/>
  <c r="Y29" i="747"/>
  <c r="AL29" i="747"/>
  <c r="AX30" i="747"/>
  <c r="F35" i="747"/>
  <c r="G35" i="747" s="1"/>
  <c r="AL32" i="747"/>
  <c r="Y32" i="747"/>
  <c r="AT35" i="747"/>
  <c r="AB36" i="747"/>
  <c r="AS36" i="747"/>
  <c r="F37" i="747"/>
  <c r="G37" i="747" s="1"/>
  <c r="AN38" i="747"/>
  <c r="AI39" i="747"/>
  <c r="F44" i="747"/>
  <c r="G44" i="747" s="1"/>
  <c r="AM59" i="747"/>
  <c r="Z59" i="747"/>
  <c r="AY59" i="747"/>
  <c r="AY61" i="747"/>
  <c r="Z61" i="747"/>
  <c r="AM61" i="747"/>
  <c r="AP26" i="747"/>
  <c r="F27" i="747"/>
  <c r="G27" i="747" s="1"/>
  <c r="M27" i="747" s="1"/>
  <c r="O27" i="747" s="1"/>
  <c r="P27" i="747" s="1"/>
  <c r="AA28" i="747"/>
  <c r="AN28" i="747"/>
  <c r="AN37" i="747"/>
  <c r="AO38" i="747"/>
  <c r="AG39" i="747"/>
  <c r="AU40" i="747"/>
  <c r="J44" i="747"/>
  <c r="K44" i="747" s="1"/>
  <c r="AY42" i="747"/>
  <c r="Z42" i="747"/>
  <c r="AM42" i="747"/>
  <c r="AO53" i="747"/>
  <c r="Y55" i="747"/>
  <c r="AN40" i="747"/>
  <c r="F41" i="747"/>
  <c r="AE26" i="747"/>
  <c r="AR26" i="747"/>
  <c r="AC28" i="747"/>
  <c r="AP28" i="747"/>
  <c r="AA30" i="747"/>
  <c r="AN30" i="747"/>
  <c r="AV30" i="747" s="1"/>
  <c r="F32" i="747"/>
  <c r="G32" i="747" s="1"/>
  <c r="AM34" i="747"/>
  <c r="J35" i="747"/>
  <c r="K35" i="747" s="1"/>
  <c r="AF36" i="747"/>
  <c r="J37" i="747"/>
  <c r="K37" i="747" s="1"/>
  <c r="AR37" i="747"/>
  <c r="J41" i="747"/>
  <c r="AU42" i="747"/>
  <c r="AC43" i="747"/>
  <c r="AB43" i="747"/>
  <c r="AA43" i="747"/>
  <c r="AG43" i="747"/>
  <c r="AF43" i="747"/>
  <c r="AE43" i="747"/>
  <c r="AD43" i="747"/>
  <c r="M50" i="747"/>
  <c r="O50" i="747" s="1"/>
  <c r="P50" i="747" s="1"/>
  <c r="AF26" i="747"/>
  <c r="AS26" i="747"/>
  <c r="AD28" i="747"/>
  <c r="AQ28" i="747"/>
  <c r="AB30" i="747"/>
  <c r="AO30" i="747"/>
  <c r="AH36" i="747"/>
  <c r="AH38" i="747"/>
  <c r="AM48" i="747"/>
  <c r="Z48" i="747"/>
  <c r="AY58" i="747"/>
  <c r="J32" i="747"/>
  <c r="K32" i="747" s="1"/>
  <c r="Z34" i="747"/>
  <c r="AI36" i="747"/>
  <c r="AF37" i="747"/>
  <c r="AD37" i="747"/>
  <c r="AB37" i="747"/>
  <c r="AI37" i="747"/>
  <c r="AH37" i="747"/>
  <c r="AU64" i="747"/>
  <c r="AI38" i="747"/>
  <c r="AX39" i="747"/>
  <c r="Y41" i="747"/>
  <c r="AL41" i="747"/>
  <c r="AI42" i="747"/>
  <c r="AT49" i="747"/>
  <c r="AN49" i="747"/>
  <c r="AB52" i="747"/>
  <c r="G53" i="747"/>
  <c r="AG66" i="747"/>
  <c r="F43" i="747"/>
  <c r="G43" i="747" s="1"/>
  <c r="F46" i="747"/>
  <c r="AX43" i="747"/>
  <c r="J46" i="747"/>
  <c r="K69" i="747"/>
  <c r="AG49" i="747"/>
  <c r="AA49" i="747"/>
  <c r="AA51" i="747"/>
  <c r="AG63" i="747"/>
  <c r="J43" i="747"/>
  <c r="K43" i="747" s="1"/>
  <c r="AB49" i="747"/>
  <c r="AG53" i="747"/>
  <c r="AD53" i="747"/>
  <c r="AI54" i="747"/>
  <c r="AB54" i="747"/>
  <c r="AN66" i="747"/>
  <c r="AU66" i="747"/>
  <c r="AQ66" i="747"/>
  <c r="AT66" i="747"/>
  <c r="AS66" i="747"/>
  <c r="AR66" i="747"/>
  <c r="AC38" i="747"/>
  <c r="AP38" i="747"/>
  <c r="AD39" i="747"/>
  <c r="AQ39" i="747"/>
  <c r="AD40" i="747"/>
  <c r="AQ40" i="747"/>
  <c r="AE42" i="747"/>
  <c r="AS42" i="747"/>
  <c r="AL43" i="747"/>
  <c r="J48" i="747"/>
  <c r="AL44" i="747"/>
  <c r="Y44" i="747"/>
  <c r="AE49" i="747"/>
  <c r="AU49" i="747"/>
  <c r="F51" i="747"/>
  <c r="G51" i="747" s="1"/>
  <c r="AX48" i="747"/>
  <c r="J51" i="747"/>
  <c r="K51" i="747" s="1"/>
  <c r="AD54" i="747"/>
  <c r="AE57" i="747"/>
  <c r="AC57" i="747"/>
  <c r="AB57" i="747"/>
  <c r="AI57" i="747"/>
  <c r="AH57" i="747"/>
  <c r="AG57" i="747"/>
  <c r="AF57" i="747"/>
  <c r="Z55" i="747"/>
  <c r="AY55" i="747"/>
  <c r="AP66" i="747"/>
  <c r="Y34" i="747"/>
  <c r="AL34" i="747"/>
  <c r="Z35" i="747"/>
  <c r="AG35" i="747" s="1"/>
  <c r="AE38" i="747"/>
  <c r="AR38" i="747"/>
  <c r="AF39" i="747"/>
  <c r="AS39" i="747"/>
  <c r="AF40" i="747"/>
  <c r="AS40" i="747"/>
  <c r="AD46" i="747"/>
  <c r="AF46" i="747"/>
  <c r="F48" i="747"/>
  <c r="AH48" i="747"/>
  <c r="AH49" i="747"/>
  <c r="AM46" i="747"/>
  <c r="AO46" i="747" s="1"/>
  <c r="Z46" i="747"/>
  <c r="AH53" i="747"/>
  <c r="AG54" i="747"/>
  <c r="Z53" i="747"/>
  <c r="AY53" i="747"/>
  <c r="J71" i="747"/>
  <c r="K71" i="747" s="1"/>
  <c r="F71" i="747"/>
  <c r="G71" i="747" s="1"/>
  <c r="AX69" i="747"/>
  <c r="A71" i="747"/>
  <c r="Y69" i="747"/>
  <c r="AG40" i="747"/>
  <c r="AT40" i="747"/>
  <c r="AI49" i="747"/>
  <c r="AS54" i="747"/>
  <c r="F56" i="747"/>
  <c r="AQ57" i="747"/>
  <c r="AS57" i="747"/>
  <c r="AR57" i="747"/>
  <c r="AP57" i="747"/>
  <c r="AU57" i="747"/>
  <c r="AT57" i="747"/>
  <c r="F59" i="747"/>
  <c r="G59" i="747" s="1"/>
  <c r="AX56" i="747"/>
  <c r="Y56" i="747"/>
  <c r="J59" i="747"/>
  <c r="K59" i="747" s="1"/>
  <c r="AL56" i="747"/>
  <c r="AM69" i="747"/>
  <c r="AU69" i="747" s="1"/>
  <c r="Z69" i="747"/>
  <c r="AY69" i="747"/>
  <c r="AA72" i="747"/>
  <c r="AI72" i="747"/>
  <c r="AH72" i="747"/>
  <c r="AE72" i="747"/>
  <c r="AD72" i="747"/>
  <c r="AF72" i="747"/>
  <c r="AC72" i="747"/>
  <c r="AB72" i="747"/>
  <c r="AG72" i="747"/>
  <c r="AG38" i="747"/>
  <c r="AT38" i="747"/>
  <c r="AH39" i="747"/>
  <c r="AH40" i="747"/>
  <c r="AN51" i="747"/>
  <c r="AR51" i="747"/>
  <c r="AT51" i="747"/>
  <c r="AF52" i="747"/>
  <c r="AT53" i="747"/>
  <c r="AS53" i="747"/>
  <c r="AR53" i="747"/>
  <c r="AQ53" i="747"/>
  <c r="AN53" i="747"/>
  <c r="AU53" i="747"/>
  <c r="F54" i="747"/>
  <c r="G54" i="747" s="1"/>
  <c r="M54" i="747" s="1"/>
  <c r="O54" i="747" s="1"/>
  <c r="P54" i="747" s="1"/>
  <c r="A54" i="747"/>
  <c r="F63" i="747"/>
  <c r="G63" i="747" s="1"/>
  <c r="M63" i="747" s="1"/>
  <c r="O63" i="747" s="1"/>
  <c r="A63" i="747"/>
  <c r="G77" i="747"/>
  <c r="AY78" i="747"/>
  <c r="AM78" i="747"/>
  <c r="Z78" i="747"/>
  <c r="AM51" i="747"/>
  <c r="Z51" i="747"/>
  <c r="AB51" i="747" s="1"/>
  <c r="AG59" i="747"/>
  <c r="AM60" i="747"/>
  <c r="AY60" i="747"/>
  <c r="AT64" i="747"/>
  <c r="AH78" i="747"/>
  <c r="AD52" i="747"/>
  <c r="AM52" i="747"/>
  <c r="AH54" i="747"/>
  <c r="AI59" i="747"/>
  <c r="Y64" i="747"/>
  <c r="AO64" i="747"/>
  <c r="AC66" i="747"/>
  <c r="AL67" i="747"/>
  <c r="AI71" i="747"/>
  <c r="AI70" i="747" s="1"/>
  <c r="AG71" i="747"/>
  <c r="AG70" i="747" s="1"/>
  <c r="AF71" i="747"/>
  <c r="AF70" i="747" s="1"/>
  <c r="AD71" i="747"/>
  <c r="AD70" i="747" s="1"/>
  <c r="AA71" i="747"/>
  <c r="F73" i="747"/>
  <c r="G73" i="747" s="1"/>
  <c r="AP64" i="747"/>
  <c r="AE66" i="747"/>
  <c r="AM71" i="747"/>
  <c r="AR71" i="747" s="1"/>
  <c r="AR70" i="747" s="1"/>
  <c r="Z71" i="747"/>
  <c r="M75" i="747"/>
  <c r="J77" i="747"/>
  <c r="K78" i="747"/>
  <c r="AR64" i="747"/>
  <c r="AF66" i="747"/>
  <c r="AF65" i="747" s="1"/>
  <c r="AN59" i="747"/>
  <c r="F60" i="747"/>
  <c r="G60" i="747" s="1"/>
  <c r="M60" i="747" s="1"/>
  <c r="AC63" i="747"/>
  <c r="J73" i="747"/>
  <c r="K73" i="747" s="1"/>
  <c r="AE54" i="747"/>
  <c r="AD57" i="747"/>
  <c r="AC59" i="747"/>
  <c r="AQ59" i="747"/>
  <c r="J64" i="747"/>
  <c r="AL61" i="747"/>
  <c r="Y61" i="747"/>
  <c r="F64" i="747"/>
  <c r="AY64" i="747"/>
  <c r="J66" i="747"/>
  <c r="K66" i="747" s="1"/>
  <c r="K65" i="747" s="1"/>
  <c r="AT71" i="747"/>
  <c r="AT70" i="747" s="1"/>
  <c r="AS71" i="747"/>
  <c r="AS70" i="747" s="1"/>
  <c r="AQ71" i="747"/>
  <c r="AQ70" i="747" s="1"/>
  <c r="AN71" i="747"/>
  <c r="J72" i="747"/>
  <c r="K72" i="747" s="1"/>
  <c r="M72" i="747" s="1"/>
  <c r="AY70" i="747"/>
  <c r="AE73" i="747"/>
  <c r="AM56" i="747"/>
  <c r="Z56" i="747"/>
  <c r="AS64" i="747"/>
  <c r="AQ64" i="747"/>
  <c r="AA66" i="747"/>
  <c r="AH66" i="747"/>
  <c r="AD66" i="747"/>
  <c r="AD65" i="747" s="1"/>
  <c r="AU78" i="747"/>
  <c r="AU63" i="747"/>
  <c r="AR63" i="747"/>
  <c r="AP63" i="747"/>
  <c r="F69" i="747"/>
  <c r="AY68" i="747"/>
  <c r="Z68" i="747"/>
  <c r="AU54" i="747"/>
  <c r="AE63" i="747"/>
  <c r="AN64" i="747"/>
  <c r="AV64" i="747" s="1"/>
  <c r="AB66" i="747"/>
  <c r="AM67" i="747"/>
  <c r="Z67" i="747"/>
  <c r="AD67" i="747" s="1"/>
  <c r="AY71" i="747"/>
  <c r="AR73" i="747"/>
  <c r="AR72" i="747" s="1"/>
  <c r="AQ73" i="747"/>
  <c r="AQ72" i="747" s="1"/>
  <c r="AP73" i="747"/>
  <c r="AP72" i="747" s="1"/>
  <c r="AO73" i="747"/>
  <c r="AO72" i="747" s="1"/>
  <c r="AN73" i="747"/>
  <c r="AU73" i="747"/>
  <c r="AU72" i="747" s="1"/>
  <c r="A70" i="747"/>
  <c r="A73" i="747"/>
  <c r="AB73" i="747"/>
  <c r="A76" i="747"/>
  <c r="AM72" i="747"/>
  <c r="C23" i="685" l="1"/>
  <c r="B134" i="755"/>
  <c r="C66" i="748"/>
  <c r="C65" i="748"/>
  <c r="C68" i="748"/>
  <c r="M25" i="747"/>
  <c r="O25" i="747" s="1"/>
  <c r="P25" i="747" s="1"/>
  <c r="K77" i="747"/>
  <c r="J65" i="747"/>
  <c r="M21" i="747"/>
  <c r="O21" i="747" s="1"/>
  <c r="P21" i="747" s="1"/>
  <c r="M5" i="747"/>
  <c r="M44" i="747"/>
  <c r="O44" i="747" s="1"/>
  <c r="P44" i="747" s="1"/>
  <c r="M30" i="747"/>
  <c r="O30" i="747" s="1"/>
  <c r="P30" i="747" s="1"/>
  <c r="M49" i="747"/>
  <c r="O49" i="747" s="1"/>
  <c r="P49" i="747" s="1"/>
  <c r="M66" i="747"/>
  <c r="O66" i="747" s="1"/>
  <c r="P66" i="747" s="1"/>
  <c r="M71" i="747"/>
  <c r="O71" i="747" s="1"/>
  <c r="P71" i="747" s="1"/>
  <c r="M19" i="747"/>
  <c r="O19" i="747" s="1"/>
  <c r="P19" i="747" s="1"/>
  <c r="M39" i="747"/>
  <c r="O39" i="747" s="1"/>
  <c r="P39" i="747" s="1"/>
  <c r="M37" i="747"/>
  <c r="O37" i="747" s="1"/>
  <c r="P37" i="747" s="1"/>
  <c r="M24" i="747"/>
  <c r="O24" i="747" s="1"/>
  <c r="P24" i="747" s="1"/>
  <c r="M32" i="747"/>
  <c r="O32" i="747" s="1"/>
  <c r="P32" i="747" s="1"/>
  <c r="M78" i="747"/>
  <c r="O78" i="747" s="1"/>
  <c r="P78" i="747" s="1"/>
  <c r="M43" i="747"/>
  <c r="O43" i="747" s="1"/>
  <c r="P43" i="747" s="1"/>
  <c r="M51" i="747"/>
  <c r="O51" i="747" s="1"/>
  <c r="P51" i="747" s="1"/>
  <c r="AO65" i="747"/>
  <c r="AN58" i="747"/>
  <c r="AR67" i="747"/>
  <c r="AP67" i="747"/>
  <c r="AP65" i="747" s="1"/>
  <c r="AO67" i="747"/>
  <c r="AU67" i="747"/>
  <c r="AU65" i="747" s="1"/>
  <c r="AS67" i="747"/>
  <c r="AQ67" i="747"/>
  <c r="AN67" i="747"/>
  <c r="AT67" i="747"/>
  <c r="F68" i="747"/>
  <c r="G69" i="747"/>
  <c r="AA70" i="747"/>
  <c r="AT78" i="747"/>
  <c r="AS78" i="747"/>
  <c r="AP78" i="747"/>
  <c r="AO78" i="747"/>
  <c r="AN78" i="747"/>
  <c r="AQ78" i="747"/>
  <c r="AR78" i="747"/>
  <c r="AO69" i="747"/>
  <c r="G41" i="747"/>
  <c r="F40" i="747"/>
  <c r="AH59" i="747"/>
  <c r="AF59" i="747"/>
  <c r="AE59" i="747"/>
  <c r="AD59" i="747"/>
  <c r="AB59" i="747"/>
  <c r="AA59" i="747"/>
  <c r="AS63" i="747"/>
  <c r="AQ63" i="747"/>
  <c r="AO63" i="747"/>
  <c r="AN63" i="747"/>
  <c r="AT63" i="747"/>
  <c r="AF35" i="747"/>
  <c r="AB23" i="747"/>
  <c r="J9" i="747"/>
  <c r="K10" i="747"/>
  <c r="K9" i="747" s="1"/>
  <c r="AV13" i="747"/>
  <c r="AV20" i="747"/>
  <c r="AQ29" i="747"/>
  <c r="AP29" i="747"/>
  <c r="AO29" i="747"/>
  <c r="AU29" i="747"/>
  <c r="AS29" i="747"/>
  <c r="AR29" i="747"/>
  <c r="AN29" i="747"/>
  <c r="AV29" i="747" s="1"/>
  <c r="AT29" i="747"/>
  <c r="AP45" i="747"/>
  <c r="AR45" i="747"/>
  <c r="AT45" i="747"/>
  <c r="AS45" i="747"/>
  <c r="AQ45" i="747"/>
  <c r="AO45" i="747"/>
  <c r="AU45" i="747"/>
  <c r="AN45" i="747"/>
  <c r="AU52" i="747"/>
  <c r="AS52" i="747"/>
  <c r="AR52" i="747"/>
  <c r="AO52" i="747"/>
  <c r="AN52" i="747"/>
  <c r="AC69" i="747"/>
  <c r="AC68" i="747" s="1"/>
  <c r="AA69" i="747"/>
  <c r="AG69" i="747"/>
  <c r="AG68" i="747" s="1"/>
  <c r="AF69" i="747"/>
  <c r="AF68" i="747" s="1"/>
  <c r="AH69" i="747"/>
  <c r="AH68" i="747" s="1"/>
  <c r="AB69" i="747"/>
  <c r="AB68" i="747" s="1"/>
  <c r="AD69" i="747"/>
  <c r="AD68" i="747" s="1"/>
  <c r="AI69" i="747"/>
  <c r="AI68" i="747" s="1"/>
  <c r="AE69" i="747"/>
  <c r="AE68" i="747" s="1"/>
  <c r="AQ43" i="747"/>
  <c r="AP43" i="747"/>
  <c r="AO43" i="747"/>
  <c r="AN43" i="747"/>
  <c r="AU43" i="747"/>
  <c r="AT43" i="747"/>
  <c r="AS43" i="747"/>
  <c r="AR43" i="747"/>
  <c r="F45" i="747"/>
  <c r="G46" i="747"/>
  <c r="AV49" i="747"/>
  <c r="AQ69" i="747"/>
  <c r="AQ68" i="747" s="1"/>
  <c r="AJ43" i="747"/>
  <c r="AV40" i="747"/>
  <c r="AT59" i="747"/>
  <c r="AS59" i="747"/>
  <c r="AP59" i="747"/>
  <c r="AR59" i="747"/>
  <c r="AO59" i="747"/>
  <c r="AV59" i="747" s="1"/>
  <c r="K58" i="747"/>
  <c r="K55" i="747" s="1"/>
  <c r="J55" i="747"/>
  <c r="AJ40" i="747"/>
  <c r="AC45" i="747"/>
  <c r="AD45" i="747"/>
  <c r="AB45" i="747"/>
  <c r="AA45" i="747"/>
  <c r="AH45" i="747"/>
  <c r="AG45" i="747"/>
  <c r="AF45" i="747"/>
  <c r="AE45" i="747"/>
  <c r="AI45" i="747"/>
  <c r="AE58" i="747"/>
  <c r="AH35" i="747"/>
  <c r="M34" i="747"/>
  <c r="O34" i="747" s="1"/>
  <c r="P34" i="747" s="1"/>
  <c r="AH18" i="747"/>
  <c r="AD18" i="747"/>
  <c r="AC18" i="747"/>
  <c r="AB18" i="747"/>
  <c r="AI18" i="747"/>
  <c r="AE18" i="747"/>
  <c r="AG18" i="747"/>
  <c r="AF18" i="747"/>
  <c r="AA18" i="747"/>
  <c r="AD23" i="747"/>
  <c r="AU10" i="747"/>
  <c r="AT10" i="747"/>
  <c r="AS10" i="747"/>
  <c r="AV10" i="747" s="1"/>
  <c r="AR10" i="747"/>
  <c r="AP10" i="747"/>
  <c r="AQ10" i="747"/>
  <c r="AO10" i="747"/>
  <c r="AH55" i="747"/>
  <c r="AB55" i="747"/>
  <c r="AA55" i="747"/>
  <c r="AF55" i="747"/>
  <c r="AE55" i="747"/>
  <c r="AC55" i="747"/>
  <c r="AI55" i="747"/>
  <c r="AG55" i="747"/>
  <c r="AD55" i="747"/>
  <c r="G56" i="747"/>
  <c r="F55" i="747"/>
  <c r="G48" i="747"/>
  <c r="F47" i="747"/>
  <c r="AS65" i="747"/>
  <c r="AJ49" i="747"/>
  <c r="AS69" i="747"/>
  <c r="AS68" i="747" s="1"/>
  <c r="AG48" i="747"/>
  <c r="AD48" i="747"/>
  <c r="AC48" i="747"/>
  <c r="AD29" i="747"/>
  <c r="AC29" i="747"/>
  <c r="AB29" i="747"/>
  <c r="AH29" i="747"/>
  <c r="AF29" i="747"/>
  <c r="AE29" i="747"/>
  <c r="AI29" i="747"/>
  <c r="AG29" i="747"/>
  <c r="AA29" i="747"/>
  <c r="AJ67" i="747"/>
  <c r="AI58" i="747"/>
  <c r="AV26" i="747"/>
  <c r="AD35" i="747"/>
  <c r="AV21" i="747"/>
  <c r="AI23" i="747"/>
  <c r="AJ38" i="747"/>
  <c r="AV7" i="747"/>
  <c r="AV38" i="747"/>
  <c r="AJ57" i="747"/>
  <c r="AH7" i="747"/>
  <c r="AF7" i="747"/>
  <c r="AG7" i="747"/>
  <c r="AD7" i="747"/>
  <c r="AA7" i="747"/>
  <c r="G16" i="747"/>
  <c r="F15" i="747"/>
  <c r="AC7" i="747"/>
  <c r="AV19" i="747"/>
  <c r="AO42" i="747"/>
  <c r="AN42" i="747"/>
  <c r="AR42" i="747"/>
  <c r="AQ42" i="747"/>
  <c r="AT42" i="747"/>
  <c r="AP34" i="747"/>
  <c r="AO34" i="747"/>
  <c r="AN34" i="747"/>
  <c r="AU34" i="747"/>
  <c r="AT34" i="747"/>
  <c r="AR34" i="747"/>
  <c r="AQ34" i="747"/>
  <c r="AS34" i="747"/>
  <c r="AQ65" i="747"/>
  <c r="AA48" i="747"/>
  <c r="AU41" i="747"/>
  <c r="AT41" i="747"/>
  <c r="AR41" i="747"/>
  <c r="AO41" i="747"/>
  <c r="AN41" i="747"/>
  <c r="AS41" i="747"/>
  <c r="AQ41" i="747"/>
  <c r="AP41" i="747"/>
  <c r="AN69" i="747"/>
  <c r="K41" i="747"/>
  <c r="K40" i="747" s="1"/>
  <c r="J40" i="747"/>
  <c r="AJ30" i="747"/>
  <c r="AH42" i="747"/>
  <c r="AB42" i="747"/>
  <c r="AA42" i="747"/>
  <c r="AF42" i="747"/>
  <c r="AD42" i="747"/>
  <c r="AC42" i="747"/>
  <c r="AJ28" i="747"/>
  <c r="AT46" i="747"/>
  <c r="AG67" i="747"/>
  <c r="AG65" i="747" s="1"/>
  <c r="AB58" i="747"/>
  <c r="AU23" i="747"/>
  <c r="AT23" i="747"/>
  <c r="AS23" i="747"/>
  <c r="AQ23" i="747"/>
  <c r="AP23" i="747"/>
  <c r="AR23" i="747"/>
  <c r="AO23" i="747"/>
  <c r="AN23" i="747"/>
  <c r="AJ26" i="747"/>
  <c r="AF23" i="747"/>
  <c r="AJ36" i="747"/>
  <c r="AF10" i="747"/>
  <c r="AE10" i="747"/>
  <c r="AD10" i="747"/>
  <c r="AC10" i="747"/>
  <c r="AB10" i="747"/>
  <c r="AJ10" i="747" s="1"/>
  <c r="AH10" i="747"/>
  <c r="AI10" i="747"/>
  <c r="AI6" i="747" s="1"/>
  <c r="AG10" i="747"/>
  <c r="AJ4" i="747"/>
  <c r="AJ17" i="747"/>
  <c r="K16" i="747"/>
  <c r="K15" i="747" s="1"/>
  <c r="J15" i="747"/>
  <c r="AE7" i="747"/>
  <c r="AV4" i="747"/>
  <c r="AV25" i="747"/>
  <c r="AA13" i="747"/>
  <c r="AS56" i="747"/>
  <c r="AP56" i="747"/>
  <c r="AO56" i="747"/>
  <c r="AN56" i="747"/>
  <c r="AR56" i="747"/>
  <c r="AQ56" i="747"/>
  <c r="AU56" i="747"/>
  <c r="AT56" i="747"/>
  <c r="AN48" i="747"/>
  <c r="AR48" i="747"/>
  <c r="AQ48" i="747"/>
  <c r="AP48" i="747"/>
  <c r="AO48" i="747"/>
  <c r="AU48" i="747"/>
  <c r="AT48" i="747"/>
  <c r="AV73" i="747"/>
  <c r="AV72" i="747" s="1"/>
  <c r="AN72" i="747"/>
  <c r="AC65" i="747"/>
  <c r="AI56" i="747"/>
  <c r="AH56" i="747"/>
  <c r="AE56" i="747"/>
  <c r="AB56" i="747"/>
  <c r="AA56" i="747"/>
  <c r="AA50" i="747" s="1"/>
  <c r="AD56" i="747"/>
  <c r="AC56" i="747"/>
  <c r="AG56" i="747"/>
  <c r="AF56" i="747"/>
  <c r="AI48" i="747"/>
  <c r="AG23" i="747"/>
  <c r="AJ25" i="747"/>
  <c r="AJ19" i="747"/>
  <c r="AJ54" i="747"/>
  <c r="AJ16" i="747"/>
  <c r="AV39" i="747"/>
  <c r="AV3" i="747"/>
  <c r="AV2" i="747" s="1"/>
  <c r="AU18" i="747"/>
  <c r="AS18" i="747"/>
  <c r="AS12" i="747" s="1"/>
  <c r="AR18" i="747"/>
  <c r="AR12" i="747" s="1"/>
  <c r="AQ18" i="747"/>
  <c r="AQ12" i="747" s="1"/>
  <c r="AO18" i="747"/>
  <c r="AN18" i="747"/>
  <c r="AT18" i="747"/>
  <c r="AT12" i="747" s="1"/>
  <c r="AP18" i="747"/>
  <c r="AT65" i="747"/>
  <c r="AT69" i="747"/>
  <c r="AT68" i="747" s="1"/>
  <c r="AV51" i="747"/>
  <c r="AC34" i="747"/>
  <c r="AI34" i="747"/>
  <c r="AH34" i="747"/>
  <c r="AG34" i="747"/>
  <c r="AF34" i="747"/>
  <c r="AE34" i="747"/>
  <c r="AB34" i="747"/>
  <c r="AA34" i="747"/>
  <c r="AD34" i="747"/>
  <c r="AI41" i="747"/>
  <c r="AH41" i="747"/>
  <c r="AG41" i="747"/>
  <c r="AE41" i="747"/>
  <c r="AB41" i="747"/>
  <c r="AA41" i="747"/>
  <c r="AC41" i="747"/>
  <c r="AF41" i="747"/>
  <c r="AD41" i="747"/>
  <c r="AP69" i="747"/>
  <c r="AH67" i="747"/>
  <c r="AC58" i="747"/>
  <c r="AH65" i="747"/>
  <c r="F62" i="747"/>
  <c r="G64" i="747"/>
  <c r="AE71" i="747"/>
  <c r="AE70" i="747" s="1"/>
  <c r="AC71" i="747"/>
  <c r="AC70" i="747" s="1"/>
  <c r="AB71" i="747"/>
  <c r="AB70" i="747" s="1"/>
  <c r="AH71" i="747"/>
  <c r="AH70" i="747" s="1"/>
  <c r="AS48" i="747"/>
  <c r="AI53" i="747"/>
  <c r="AE53" i="747"/>
  <c r="AB53" i="747"/>
  <c r="AB50" i="747" s="1"/>
  <c r="AA53" i="747"/>
  <c r="AG42" i="747"/>
  <c r="AC53" i="747"/>
  <c r="AN65" i="747"/>
  <c r="AV66" i="747"/>
  <c r="AB48" i="747"/>
  <c r="K68" i="747"/>
  <c r="AS46" i="747"/>
  <c r="AI67" i="747"/>
  <c r="AI65" i="747" s="1"/>
  <c r="AD58" i="747"/>
  <c r="AC15" i="747"/>
  <c r="AB15" i="747"/>
  <c r="AA15" i="747"/>
  <c r="AI15" i="747"/>
  <c r="AF15" i="747"/>
  <c r="AD15" i="747"/>
  <c r="AH15" i="747"/>
  <c r="AH12" i="747" s="1"/>
  <c r="AG15" i="747"/>
  <c r="AE15" i="747"/>
  <c r="AH23" i="747"/>
  <c r="AJ14" i="747"/>
  <c r="AQ2" i="747"/>
  <c r="AJ52" i="747"/>
  <c r="AI20" i="747"/>
  <c r="AD20" i="747"/>
  <c r="AH20" i="747"/>
  <c r="AG20" i="747"/>
  <c r="AF20" i="747"/>
  <c r="AE20" i="747"/>
  <c r="AB20" i="747"/>
  <c r="AC20" i="747"/>
  <c r="AA20" i="747"/>
  <c r="F13" i="747"/>
  <c r="G14" i="747"/>
  <c r="AG13" i="747"/>
  <c r="AV57" i="747"/>
  <c r="F17" i="747"/>
  <c r="AA61" i="747"/>
  <c r="AH61" i="747"/>
  <c r="AH60" i="747" s="1"/>
  <c r="AE61" i="747"/>
  <c r="AD61" i="747"/>
  <c r="AC61" i="747"/>
  <c r="AC60" i="747" s="1"/>
  <c r="AB61" i="747"/>
  <c r="AI61" i="747"/>
  <c r="AG61" i="747"/>
  <c r="AF61" i="747"/>
  <c r="AU71" i="747"/>
  <c r="AU70" i="747" s="1"/>
  <c r="AU68" i="747" s="1"/>
  <c r="AP71" i="747"/>
  <c r="AP70" i="747" s="1"/>
  <c r="AO71" i="747"/>
  <c r="AO70" i="747" s="1"/>
  <c r="AI64" i="747"/>
  <c r="AF64" i="747"/>
  <c r="AD64" i="747"/>
  <c r="AG64" i="747"/>
  <c r="AB64" i="747"/>
  <c r="AA64" i="747"/>
  <c r="AH64" i="747"/>
  <c r="AE64" i="747"/>
  <c r="AC64" i="747"/>
  <c r="AH51" i="747"/>
  <c r="AE51" i="747"/>
  <c r="AE50" i="747" s="1"/>
  <c r="AC51" i="747"/>
  <c r="M59" i="747"/>
  <c r="AP52" i="747"/>
  <c r="AE48" i="747"/>
  <c r="J68" i="747"/>
  <c r="AF51" i="747"/>
  <c r="AV37" i="747"/>
  <c r="AQ46" i="747"/>
  <c r="AB67" i="747"/>
  <c r="AV36" i="747"/>
  <c r="AG58" i="747"/>
  <c r="AA35" i="747"/>
  <c r="AQ9" i="747"/>
  <c r="AO9" i="747"/>
  <c r="AO6" i="747" s="1"/>
  <c r="AN9" i="747"/>
  <c r="AU9" i="747"/>
  <c r="AU6" i="747" s="1"/>
  <c r="AT9" i="747"/>
  <c r="AT6" i="747" s="1"/>
  <c r="AR9" i="747"/>
  <c r="AR6" i="747" s="1"/>
  <c r="AS9" i="747"/>
  <c r="AS6" i="747" s="1"/>
  <c r="AP9" i="747"/>
  <c r="AO12" i="747"/>
  <c r="AV14" i="747"/>
  <c r="AJ73" i="747"/>
  <c r="AV15" i="747"/>
  <c r="AN11" i="747"/>
  <c r="AV11" i="747" s="1"/>
  <c r="AT11" i="747"/>
  <c r="AQ11" i="747"/>
  <c r="AO11" i="747"/>
  <c r="AU11" i="747"/>
  <c r="AS11" i="747"/>
  <c r="AR11" i="747"/>
  <c r="AP11" i="747"/>
  <c r="AP6" i="747" s="1"/>
  <c r="AD13" i="747"/>
  <c r="AV54" i="747"/>
  <c r="AR65" i="747"/>
  <c r="AQ58" i="747"/>
  <c r="AP58" i="747"/>
  <c r="AT58" i="747"/>
  <c r="AS58" i="747"/>
  <c r="AJ37" i="747"/>
  <c r="AO61" i="747"/>
  <c r="AO60" i="747" s="1"/>
  <c r="AN61" i="747"/>
  <c r="AS61" i="747"/>
  <c r="AS60" i="747" s="1"/>
  <c r="AR61" i="747"/>
  <c r="AR60" i="747" s="1"/>
  <c r="AQ61" i="747"/>
  <c r="AQ60" i="747" s="1"/>
  <c r="AP61" i="747"/>
  <c r="AP60" i="747" s="1"/>
  <c r="AU61" i="747"/>
  <c r="AU60" i="747" s="1"/>
  <c r="AT61" i="747"/>
  <c r="AT60" i="747" s="1"/>
  <c r="AO51" i="747"/>
  <c r="AU51" i="747"/>
  <c r="AS51" i="747"/>
  <c r="AQ51" i="747"/>
  <c r="AP51" i="747"/>
  <c r="AT52" i="747"/>
  <c r="AT50" i="747" s="1"/>
  <c r="AH44" i="747"/>
  <c r="AG44" i="747"/>
  <c r="AF44" i="747"/>
  <c r="AE44" i="747"/>
  <c r="AC44" i="747"/>
  <c r="AI44" i="747"/>
  <c r="AD44" i="747"/>
  <c r="AB44" i="747"/>
  <c r="AA44" i="747"/>
  <c r="AD51" i="747"/>
  <c r="AG32" i="747"/>
  <c r="AF32" i="747"/>
  <c r="AE32" i="747"/>
  <c r="AD32" i="747"/>
  <c r="AB32" i="747"/>
  <c r="AA32" i="747"/>
  <c r="AI32" i="747"/>
  <c r="AH32" i="747"/>
  <c r="AC32" i="747"/>
  <c r="AE67" i="747"/>
  <c r="AE65" i="747" s="1"/>
  <c r="AC21" i="747"/>
  <c r="AA21" i="747"/>
  <c r="AG21" i="747"/>
  <c r="AE21" i="747"/>
  <c r="AF21" i="747"/>
  <c r="AD21" i="747"/>
  <c r="AB21" i="747"/>
  <c r="AI21" i="747"/>
  <c r="AH21" i="747"/>
  <c r="AB35" i="747"/>
  <c r="G17" i="747"/>
  <c r="AV16" i="747"/>
  <c r="K18" i="747"/>
  <c r="K17" i="747" s="1"/>
  <c r="J17" i="747"/>
  <c r="AU2" i="747"/>
  <c r="AA11" i="747"/>
  <c r="AB11" i="747"/>
  <c r="AI11" i="747"/>
  <c r="AH11" i="747"/>
  <c r="AG11" i="747"/>
  <c r="AF11" i="747"/>
  <c r="AD11" i="747"/>
  <c r="AE11" i="747"/>
  <c r="AC11" i="747"/>
  <c r="AE13" i="747"/>
  <c r="AJ9" i="747"/>
  <c r="AV46" i="747"/>
  <c r="AJ39" i="747"/>
  <c r="AJ66" i="747"/>
  <c r="AA65" i="747"/>
  <c r="AO58" i="747"/>
  <c r="AQ52" i="747"/>
  <c r="AP44" i="747"/>
  <c r="AU44" i="747"/>
  <c r="AT44" i="747"/>
  <c r="AR44" i="747"/>
  <c r="AN44" i="747"/>
  <c r="AO44" i="747"/>
  <c r="AS44" i="747"/>
  <c r="AQ44" i="747"/>
  <c r="AP42" i="747"/>
  <c r="AR58" i="747"/>
  <c r="AF48" i="747"/>
  <c r="F52" i="747"/>
  <c r="AT32" i="747"/>
  <c r="AU32" i="747"/>
  <c r="AS32" i="747"/>
  <c r="AQ32" i="747"/>
  <c r="AP32" i="747"/>
  <c r="AO32" i="747"/>
  <c r="AN32" i="747"/>
  <c r="AR32" i="747"/>
  <c r="AV35" i="747"/>
  <c r="AU24" i="747"/>
  <c r="AT24" i="747"/>
  <c r="AR24" i="747"/>
  <c r="AQ24" i="747"/>
  <c r="AN24" i="747"/>
  <c r="AP24" i="747"/>
  <c r="AS24" i="747"/>
  <c r="AO24" i="747"/>
  <c r="AC35" i="747"/>
  <c r="AV27" i="747"/>
  <c r="AB31" i="747"/>
  <c r="AA31" i="747"/>
  <c r="AI31" i="747"/>
  <c r="AH31" i="747"/>
  <c r="AG31" i="747"/>
  <c r="AF31" i="747"/>
  <c r="AD31" i="747"/>
  <c r="AC31" i="747"/>
  <c r="AE31" i="747"/>
  <c r="AJ3" i="747"/>
  <c r="AJ2" i="747" s="1"/>
  <c r="AA2" i="747"/>
  <c r="AB13" i="747"/>
  <c r="AB12" i="747" s="1"/>
  <c r="AF13" i="747"/>
  <c r="AB65" i="747"/>
  <c r="AR69" i="747"/>
  <c r="AR68" i="747" s="1"/>
  <c r="AV28" i="747"/>
  <c r="AJ58" i="747"/>
  <c r="AV71" i="747"/>
  <c r="AV70" i="747" s="1"/>
  <c r="AN70" i="747"/>
  <c r="K64" i="747"/>
  <c r="K62" i="747" s="1"/>
  <c r="J62" i="747"/>
  <c r="AV53" i="747"/>
  <c r="AI51" i="747"/>
  <c r="AI50" i="747" s="1"/>
  <c r="M73" i="747"/>
  <c r="O73" i="747" s="1"/>
  <c r="P73" i="747" s="1"/>
  <c r="AI78" i="747"/>
  <c r="AG78" i="747"/>
  <c r="AF78" i="747"/>
  <c r="AC78" i="747"/>
  <c r="AB78" i="747"/>
  <c r="AA78" i="747"/>
  <c r="AE78" i="747"/>
  <c r="AD78" i="747"/>
  <c r="AJ72" i="747"/>
  <c r="AC46" i="747"/>
  <c r="AB46" i="747"/>
  <c r="AA46" i="747"/>
  <c r="AI46" i="747"/>
  <c r="AH46" i="747"/>
  <c r="AG46" i="747"/>
  <c r="AE46" i="747"/>
  <c r="AG51" i="747"/>
  <c r="AG50" i="747" s="1"/>
  <c r="J47" i="747"/>
  <c r="K48" i="747"/>
  <c r="K47" i="747" s="1"/>
  <c r="AF53" i="747"/>
  <c r="J45" i="747"/>
  <c r="K46" i="747"/>
  <c r="M53" i="747"/>
  <c r="M52" i="747" s="1"/>
  <c r="G52" i="747"/>
  <c r="M35" i="747"/>
  <c r="O35" i="747" s="1"/>
  <c r="P35" i="747" s="1"/>
  <c r="AU55" i="747"/>
  <c r="AP55" i="747"/>
  <c r="AO55" i="747"/>
  <c r="AN55" i="747"/>
  <c r="AN50" i="747" s="1"/>
  <c r="AT55" i="747"/>
  <c r="AS55" i="747"/>
  <c r="AR55" i="747"/>
  <c r="AR50" i="747" s="1"/>
  <c r="AQ55" i="747"/>
  <c r="AU59" i="747"/>
  <c r="AB63" i="747"/>
  <c r="AA63" i="747"/>
  <c r="AI63" i="747"/>
  <c r="AD63" i="747"/>
  <c r="AH63" i="747"/>
  <c r="AF63" i="747"/>
  <c r="AI24" i="747"/>
  <c r="AH24" i="747"/>
  <c r="AG24" i="747"/>
  <c r="AE24" i="747"/>
  <c r="AE22" i="747" s="1"/>
  <c r="AD24" i="747"/>
  <c r="AA24" i="747"/>
  <c r="AF24" i="747"/>
  <c r="AC24" i="747"/>
  <c r="AC22" i="747" s="1"/>
  <c r="AB24" i="747"/>
  <c r="AJ27" i="747"/>
  <c r="AE35" i="747"/>
  <c r="AU31" i="747"/>
  <c r="AO31" i="747"/>
  <c r="AN31" i="747"/>
  <c r="AT31" i="747"/>
  <c r="AS31" i="747"/>
  <c r="AQ31" i="747"/>
  <c r="AP31" i="747"/>
  <c r="AR31" i="747"/>
  <c r="AQ6" i="747"/>
  <c r="AP12" i="747"/>
  <c r="G10" i="747"/>
  <c r="F9" i="747"/>
  <c r="AU12" i="747"/>
  <c r="AC13" i="747"/>
  <c r="AC12" i="747" s="1"/>
  <c r="AI13" i="747"/>
  <c r="AI12" i="747" s="1"/>
  <c r="D7" i="741" l="1"/>
  <c r="K45" i="747"/>
  <c r="K8" i="747" s="1"/>
  <c r="V7" i="747"/>
  <c r="M65" i="747"/>
  <c r="O65" i="747" s="1"/>
  <c r="P65" i="747" s="1"/>
  <c r="M18" i="747"/>
  <c r="O18" i="747" s="1"/>
  <c r="P18" i="747" s="1"/>
  <c r="M77" i="747"/>
  <c r="J8" i="747"/>
  <c r="J80" i="747" s="1"/>
  <c r="AS5" i="747"/>
  <c r="M64" i="747"/>
  <c r="G62" i="747"/>
  <c r="AC50" i="747"/>
  <c r="AA60" i="747"/>
  <c r="AJ61" i="747"/>
  <c r="AJ60" i="747" s="1"/>
  <c r="AJ51" i="747"/>
  <c r="AJ50" i="747" s="1"/>
  <c r="AP22" i="747"/>
  <c r="AJ42" i="747"/>
  <c r="AO33" i="747"/>
  <c r="G15" i="747"/>
  <c r="M16" i="747"/>
  <c r="AV6" i="747"/>
  <c r="AJ29" i="747"/>
  <c r="AJ32" i="747"/>
  <c r="G45" i="747"/>
  <c r="M46" i="747"/>
  <c r="AB22" i="747"/>
  <c r="AQ22" i="747"/>
  <c r="AA6" i="747"/>
  <c r="AJ7" i="747"/>
  <c r="AJ6" i="747" s="1"/>
  <c r="AB6" i="747"/>
  <c r="AF12" i="747"/>
  <c r="AJ31" i="747"/>
  <c r="AJ65" i="747"/>
  <c r="AD12" i="747"/>
  <c r="AH50" i="747"/>
  <c r="AJ53" i="747"/>
  <c r="AD33" i="747"/>
  <c r="AA12" i="747"/>
  <c r="AJ13" i="747"/>
  <c r="AJ12" i="747" s="1"/>
  <c r="AS22" i="747"/>
  <c r="AD6" i="747"/>
  <c r="AV45" i="747"/>
  <c r="AJ71" i="747"/>
  <c r="AJ70" i="747" s="1"/>
  <c r="AN33" i="747"/>
  <c r="AV34" i="747"/>
  <c r="AN6" i="747"/>
  <c r="AJ35" i="747"/>
  <c r="AJ15" i="747"/>
  <c r="AJ56" i="747"/>
  <c r="AP33" i="747"/>
  <c r="AP5" i="747" s="1"/>
  <c r="AQ5" i="747"/>
  <c r="AJ63" i="747"/>
  <c r="AJ46" i="747"/>
  <c r="AG12" i="747"/>
  <c r="AA33" i="747"/>
  <c r="AJ34" i="747"/>
  <c r="AV48" i="747"/>
  <c r="AT22" i="747"/>
  <c r="AT5" i="747" s="1"/>
  <c r="AG6" i="747"/>
  <c r="AD22" i="747"/>
  <c r="AV58" i="747"/>
  <c r="AR22" i="747"/>
  <c r="AR5" i="747" s="1"/>
  <c r="AV32" i="747"/>
  <c r="AJ11" i="747"/>
  <c r="AJ48" i="747"/>
  <c r="AF6" i="747"/>
  <c r="M48" i="747"/>
  <c r="G47" i="747"/>
  <c r="AJ55" i="747"/>
  <c r="AJ18" i="747"/>
  <c r="G68" i="747"/>
  <c r="M69" i="747"/>
  <c r="M68" i="747" s="1"/>
  <c r="F8" i="747"/>
  <c r="M10" i="747"/>
  <c r="G9" i="747"/>
  <c r="G8" i="747" s="1"/>
  <c r="AP68" i="747"/>
  <c r="AU22" i="747"/>
  <c r="AJ24" i="747"/>
  <c r="AV61" i="747"/>
  <c r="AV60" i="747" s="1"/>
  <c r="AN60" i="747"/>
  <c r="AG60" i="747"/>
  <c r="AE33" i="747"/>
  <c r="AV18" i="747"/>
  <c r="AG22" i="747"/>
  <c r="AE6" i="747"/>
  <c r="AE5" i="747" s="1"/>
  <c r="AH6" i="747"/>
  <c r="AH5" i="747" s="1"/>
  <c r="AV63" i="747"/>
  <c r="M41" i="747"/>
  <c r="G40" i="747"/>
  <c r="AB33" i="747"/>
  <c r="AV44" i="747"/>
  <c r="AP50" i="747"/>
  <c r="AJ64" i="747"/>
  <c r="AI60" i="747"/>
  <c r="AJ20" i="747"/>
  <c r="AH22" i="747"/>
  <c r="AF33" i="747"/>
  <c r="AN68" i="747"/>
  <c r="AV69" i="747"/>
  <c r="AV68" i="747" s="1"/>
  <c r="AS33" i="747"/>
  <c r="AV42" i="747"/>
  <c r="AI22" i="747"/>
  <c r="AI5" i="747" s="1"/>
  <c r="G55" i="747"/>
  <c r="M56" i="747"/>
  <c r="AJ69" i="747"/>
  <c r="AJ68" i="747" s="1"/>
  <c r="AA68" i="747"/>
  <c r="AO68" i="747"/>
  <c r="AV50" i="747"/>
  <c r="AF60" i="747"/>
  <c r="M14" i="747"/>
  <c r="M13" i="747" s="1"/>
  <c r="O13" i="747" s="1"/>
  <c r="P13" i="747" s="1"/>
  <c r="G13" i="747"/>
  <c r="AE12" i="747"/>
  <c r="AJ21" i="747"/>
  <c r="AD50" i="747"/>
  <c r="AQ50" i="747"/>
  <c r="AF50" i="747"/>
  <c r="AB60" i="747"/>
  <c r="AG33" i="747"/>
  <c r="AF22" i="747"/>
  <c r="AQ33" i="747"/>
  <c r="AV43" i="747"/>
  <c r="AN12" i="747"/>
  <c r="AA22" i="747"/>
  <c r="AJ44" i="747"/>
  <c r="AS50" i="747"/>
  <c r="AJ41" i="747"/>
  <c r="AH33" i="747"/>
  <c r="AV56" i="747"/>
  <c r="AR33" i="747"/>
  <c r="AV52" i="747"/>
  <c r="AV12" i="747"/>
  <c r="AV67" i="747"/>
  <c r="AV65" i="747" s="1"/>
  <c r="AJ23" i="747"/>
  <c r="AJ22" i="747" s="1"/>
  <c r="AV31" i="747"/>
  <c r="AJ78" i="747"/>
  <c r="AV24" i="747"/>
  <c r="AU50" i="747"/>
  <c r="AD60" i="747"/>
  <c r="AI33" i="747"/>
  <c r="AN22" i="747"/>
  <c r="AV23" i="747"/>
  <c r="AT33" i="747"/>
  <c r="AJ45" i="747"/>
  <c r="M58" i="747"/>
  <c r="AV78" i="747"/>
  <c r="AV55" i="747"/>
  <c r="AO50" i="747"/>
  <c r="AV9" i="747"/>
  <c r="AE60" i="747"/>
  <c r="AC33" i="747"/>
  <c r="AO22" i="747"/>
  <c r="AO5" i="747" s="1"/>
  <c r="AV41" i="747"/>
  <c r="AU33" i="747"/>
  <c r="AU5" i="747" s="1"/>
  <c r="AC6" i="747"/>
  <c r="AC5" i="747" s="1"/>
  <c r="AJ59" i="747"/>
  <c r="M17" i="747" l="1"/>
  <c r="O17" i="747" s="1"/>
  <c r="P17" i="747" s="1"/>
  <c r="M9" i="747"/>
  <c r="O10" i="747"/>
  <c r="P10" i="747" s="1"/>
  <c r="AG5" i="747"/>
  <c r="AN5" i="747"/>
  <c r="O64" i="747"/>
  <c r="P64" i="747" s="1"/>
  <c r="M62" i="747"/>
  <c r="M55" i="747"/>
  <c r="O55" i="747" s="1"/>
  <c r="P55" i="747" s="1"/>
  <c r="AV33" i="747"/>
  <c r="AV5" i="747"/>
  <c r="AJ33" i="747"/>
  <c r="AJ5" i="747" s="1"/>
  <c r="O16" i="747"/>
  <c r="P16" i="747" s="1"/>
  <c r="M15" i="747"/>
  <c r="M47" i="747"/>
  <c r="O48" i="747"/>
  <c r="P48" i="747" s="1"/>
  <c r="F80" i="747"/>
  <c r="T17" i="747"/>
  <c r="O46" i="747"/>
  <c r="P46" i="747" s="1"/>
  <c r="M45" i="747"/>
  <c r="O45" i="747" s="1"/>
  <c r="P45" i="747" s="1"/>
  <c r="AV22" i="747"/>
  <c r="AF5" i="747"/>
  <c r="AB5" i="747"/>
  <c r="O41" i="747"/>
  <c r="P41" i="747" s="1"/>
  <c r="M40" i="747"/>
  <c r="O40" i="747" s="1"/>
  <c r="P40" i="747" s="1"/>
  <c r="AD5" i="747"/>
  <c r="AA5" i="747"/>
  <c r="BH10" i="747" l="1"/>
  <c r="BC78" i="747"/>
  <c r="AZ3" i="747"/>
  <c r="BE55" i="747"/>
  <c r="BK44" i="747"/>
  <c r="BH63" i="747"/>
  <c r="BJ10" i="747"/>
  <c r="BA55" i="747"/>
  <c r="BE10" i="747"/>
  <c r="BI54" i="747"/>
  <c r="BK41" i="747"/>
  <c r="BI3" i="747"/>
  <c r="BH23" i="747"/>
  <c r="BI10" i="747"/>
  <c r="BD58" i="747"/>
  <c r="BJ44" i="747"/>
  <c r="BF53" i="747"/>
  <c r="BE53" i="747"/>
  <c r="BA10" i="747"/>
  <c r="BI63" i="747"/>
  <c r="BD10" i="747"/>
  <c r="BG29" i="747"/>
  <c r="BC61" i="747"/>
  <c r="BE7" i="747"/>
  <c r="BD53" i="747"/>
  <c r="BJ31" i="747"/>
  <c r="BI32" i="747"/>
  <c r="BE26" i="747"/>
  <c r="AZ26" i="747"/>
  <c r="AZ11" i="747"/>
  <c r="BK73" i="747"/>
  <c r="BK72" i="747" s="1"/>
  <c r="BF26" i="747"/>
  <c r="BB9" i="747"/>
  <c r="AZ18" i="747"/>
  <c r="BG37" i="747"/>
  <c r="BI34" i="747"/>
  <c r="BG30" i="747"/>
  <c r="BA27" i="747"/>
  <c r="BG31" i="747"/>
  <c r="BF57" i="747"/>
  <c r="BI45" i="747"/>
  <c r="BH15" i="747"/>
  <c r="BG57" i="747"/>
  <c r="BF14" i="747"/>
  <c r="BD14" i="747"/>
  <c r="BC48" i="747"/>
  <c r="BE52" i="747"/>
  <c r="BJ14" i="747"/>
  <c r="BH8" i="747"/>
  <c r="BA17" i="747"/>
  <c r="BH52" i="747"/>
  <c r="BD25" i="747"/>
  <c r="AZ38" i="747"/>
  <c r="BA48" i="747"/>
  <c r="BD52" i="747"/>
  <c r="BD20" i="747"/>
  <c r="BB19" i="747"/>
  <c r="BJ18" i="747"/>
  <c r="BE34" i="747"/>
  <c r="BG25" i="747"/>
  <c r="BA45" i="747"/>
  <c r="BE11" i="747"/>
  <c r="BF39" i="747"/>
  <c r="BG48" i="747"/>
  <c r="BK27" i="747"/>
  <c r="BG11" i="747"/>
  <c r="BI16" i="747"/>
  <c r="BA63" i="747"/>
  <c r="BA11" i="747"/>
  <c r="BF41" i="747"/>
  <c r="BC30" i="747"/>
  <c r="BJ15" i="747"/>
  <c r="BD61" i="747"/>
  <c r="BC63" i="747"/>
  <c r="BC64" i="747"/>
  <c r="BG69" i="747"/>
  <c r="AZ29" i="747"/>
  <c r="BJ59" i="747"/>
  <c r="BK63" i="747"/>
  <c r="BB58" i="747"/>
  <c r="BD59" i="747"/>
  <c r="BB7" i="747"/>
  <c r="BA61" i="747"/>
  <c r="BD7" i="747"/>
  <c r="BB42" i="747"/>
  <c r="BG64" i="747"/>
  <c r="BI69" i="747"/>
  <c r="BC58" i="747"/>
  <c r="AZ66" i="747"/>
  <c r="BC38" i="747"/>
  <c r="BE49" i="747"/>
  <c r="AZ52" i="747"/>
  <c r="BF38" i="747"/>
  <c r="AZ73" i="747"/>
  <c r="AZ72" i="747" s="1"/>
  <c r="BK18" i="747"/>
  <c r="AZ31" i="747"/>
  <c r="BG56" i="747"/>
  <c r="BD28" i="747"/>
  <c r="BK23" i="747"/>
  <c r="BD19" i="747"/>
  <c r="BB46" i="747"/>
  <c r="BF45" i="747"/>
  <c r="AZ28" i="747"/>
  <c r="BJ23" i="747"/>
  <c r="BE4" i="747"/>
  <c r="BE20" i="747"/>
  <c r="BB15" i="747"/>
  <c r="BC24" i="747"/>
  <c r="BI24" i="747"/>
  <c r="BJ40" i="747"/>
  <c r="BJ16" i="747"/>
  <c r="BH34" i="747"/>
  <c r="BE66" i="747"/>
  <c r="BJ39" i="747"/>
  <c r="BG36" i="747"/>
  <c r="BK37" i="747"/>
  <c r="AZ24" i="747"/>
  <c r="BH37" i="747"/>
  <c r="BA26" i="747"/>
  <c r="BB49" i="747"/>
  <c r="BD38" i="747"/>
  <c r="BJ32" i="747"/>
  <c r="BI36" i="747"/>
  <c r="AZ39" i="747"/>
  <c r="BA49" i="747"/>
  <c r="BA40" i="747"/>
  <c r="BD31" i="747"/>
  <c r="BA14" i="747"/>
  <c r="BF18" i="747"/>
  <c r="BF4" i="747"/>
  <c r="BD42" i="747"/>
  <c r="BK40" i="747"/>
  <c r="BD27" i="747"/>
  <c r="BJ73" i="747"/>
  <c r="BJ72" i="747" s="1"/>
  <c r="BG39" i="747"/>
  <c r="BB78" i="747"/>
  <c r="BI13" i="747"/>
  <c r="BK7" i="747"/>
  <c r="BH61" i="747"/>
  <c r="BI7" i="747"/>
  <c r="BF69" i="747"/>
  <c r="BF21" i="747"/>
  <c r="BE71" i="747"/>
  <c r="BE70" i="747" s="1"/>
  <c r="BI42" i="747"/>
  <c r="BA58" i="747"/>
  <c r="BF61" i="747"/>
  <c r="AZ44" i="747"/>
  <c r="BI64" i="747"/>
  <c r="BC69" i="747"/>
  <c r="AZ64" i="747"/>
  <c r="BD69" i="747"/>
  <c r="AZ53" i="747"/>
  <c r="BG21" i="747"/>
  <c r="BH71" i="747"/>
  <c r="BH70" i="747" s="1"/>
  <c r="BI44" i="747"/>
  <c r="AZ56" i="747"/>
  <c r="BG32" i="747"/>
  <c r="BH18" i="747"/>
  <c r="BH3" i="747"/>
  <c r="BI39" i="747"/>
  <c r="BJ57" i="747"/>
  <c r="BK31" i="747"/>
  <c r="AZ57" i="747"/>
  <c r="BF37" i="747"/>
  <c r="BA30" i="747"/>
  <c r="AZ27" i="747"/>
  <c r="BH56" i="747"/>
  <c r="AZ15" i="747"/>
  <c r="BC14" i="747"/>
  <c r="BH43" i="747"/>
  <c r="BB27" i="747"/>
  <c r="BF52" i="747"/>
  <c r="BH26" i="747"/>
  <c r="BB52" i="747"/>
  <c r="BC49" i="747"/>
  <c r="BE73" i="747"/>
  <c r="BE72" i="747" s="1"/>
  <c r="BD35" i="747"/>
  <c r="BI66" i="747"/>
  <c r="BC3" i="747"/>
  <c r="BK67" i="747"/>
  <c r="BG54" i="747"/>
  <c r="BJ54" i="747"/>
  <c r="BG52" i="747"/>
  <c r="BK14" i="747"/>
  <c r="BD34" i="747"/>
  <c r="BE56" i="747"/>
  <c r="BA24" i="747"/>
  <c r="BC11" i="747"/>
  <c r="BB34" i="747"/>
  <c r="BD17" i="747"/>
  <c r="BA8" i="747"/>
  <c r="BK57" i="747"/>
  <c r="BH73" i="747"/>
  <c r="BH72" i="747" s="1"/>
  <c r="BI20" i="747"/>
  <c r="BB38" i="747"/>
  <c r="BF67" i="747"/>
  <c r="BE3" i="747"/>
  <c r="AZ13" i="747"/>
  <c r="BA41" i="747"/>
  <c r="BG35" i="747"/>
  <c r="BE54" i="747"/>
  <c r="BD32" i="747"/>
  <c r="BI59" i="747"/>
  <c r="BJ7" i="747"/>
  <c r="BG10" i="747"/>
  <c r="BK64" i="747"/>
  <c r="BH69" i="747"/>
  <c r="BD71" i="747"/>
  <c r="BD70" i="747" s="1"/>
  <c r="BK55" i="747"/>
  <c r="BE13" i="747"/>
  <c r="BB53" i="747"/>
  <c r="BH44" i="747"/>
  <c r="BC59" i="747"/>
  <c r="BI78" i="747"/>
  <c r="AZ21" i="747"/>
  <c r="BK71" i="747"/>
  <c r="BK70" i="747" s="1"/>
  <c r="BD21" i="747"/>
  <c r="BB71" i="747"/>
  <c r="BB70" i="747" s="1"/>
  <c r="BG58" i="747"/>
  <c r="BD55" i="747"/>
  <c r="BE59" i="747"/>
  <c r="BD78" i="747"/>
  <c r="BK66" i="747"/>
  <c r="BJ30" i="747"/>
  <c r="BC36" i="747"/>
  <c r="BG15" i="747"/>
  <c r="BA51" i="747"/>
  <c r="BD37" i="747"/>
  <c r="BI17" i="747"/>
  <c r="BK20" i="747"/>
  <c r="BA31" i="747"/>
  <c r="BG38" i="747"/>
  <c r="BC17" i="747"/>
  <c r="BH28" i="747"/>
  <c r="BA18" i="747"/>
  <c r="BC46" i="747"/>
  <c r="BJ51" i="747"/>
  <c r="BA15" i="747"/>
  <c r="BC15" i="747"/>
  <c r="BD18" i="747"/>
  <c r="BC8" i="747"/>
  <c r="BE14" i="747"/>
  <c r="BA52" i="747"/>
  <c r="AZ43" i="747"/>
  <c r="BC23" i="747"/>
  <c r="BF49" i="747"/>
  <c r="BK49" i="747"/>
  <c r="AZ35" i="747"/>
  <c r="V14" i="747"/>
  <c r="V15" i="747" s="1"/>
  <c r="BI8" i="747"/>
  <c r="BE37" i="747"/>
  <c r="BI38" i="747"/>
  <c r="BF25" i="747"/>
  <c r="AZ41" i="747"/>
  <c r="BJ9" i="747"/>
  <c r="BJ38" i="747"/>
  <c r="BJ20" i="747"/>
  <c r="BK54" i="747"/>
  <c r="BE67" i="747"/>
  <c r="BH57" i="747"/>
  <c r="BC26" i="747"/>
  <c r="BJ3" i="747"/>
  <c r="BC32" i="747"/>
  <c r="BD3" i="747"/>
  <c r="BB30" i="747"/>
  <c r="BI23" i="747"/>
  <c r="BG66" i="747"/>
  <c r="BI37" i="747"/>
  <c r="BA71" i="747"/>
  <c r="BA70" i="747" s="1"/>
  <c r="BI61" i="747"/>
  <c r="AZ58" i="747"/>
  <c r="BH78" i="747"/>
  <c r="BF63" i="747"/>
  <c r="BB10" i="747"/>
  <c r="BI55" i="747"/>
  <c r="BF29" i="747"/>
  <c r="BB55" i="747"/>
  <c r="BA21" i="747"/>
  <c r="BD44" i="747"/>
  <c r="BJ13" i="747"/>
  <c r="BB63" i="747"/>
  <c r="BF10" i="747"/>
  <c r="AZ67" i="747"/>
  <c r="BA43" i="747"/>
  <c r="BF17" i="747"/>
  <c r="BH49" i="747"/>
  <c r="BB39" i="747"/>
  <c r="BC31" i="747"/>
  <c r="BJ28" i="747"/>
  <c r="BG19" i="747"/>
  <c r="BA39" i="747"/>
  <c r="BA28" i="747"/>
  <c r="BB45" i="747"/>
  <c r="BF32" i="747"/>
  <c r="BA54" i="747"/>
  <c r="BC4" i="747"/>
  <c r="BG28" i="747"/>
  <c r="BB17" i="747"/>
  <c r="BC66" i="747"/>
  <c r="AZ25" i="747"/>
  <c r="BA19" i="747"/>
  <c r="BD4" i="747"/>
  <c r="BC28" i="747"/>
  <c r="BC51" i="747"/>
  <c r="BE27" i="747"/>
  <c r="BC19" i="747"/>
  <c r="BI41" i="747"/>
  <c r="BG41" i="747"/>
  <c r="BK15" i="747"/>
  <c r="BH32" i="747"/>
  <c r="BC52" i="747"/>
  <c r="BC34" i="747"/>
  <c r="BH36" i="747"/>
  <c r="BK52" i="747"/>
  <c r="BJ27" i="747"/>
  <c r="BK34" i="747"/>
  <c r="BJ45" i="747"/>
  <c r="BF31" i="747"/>
  <c r="BH67" i="747"/>
  <c r="BJ37" i="747"/>
  <c r="BE24" i="747"/>
  <c r="BA35" i="747"/>
  <c r="BB3" i="747"/>
  <c r="BB4" i="747"/>
  <c r="BE42" i="747"/>
  <c r="BA38" i="747"/>
  <c r="BB16" i="747"/>
  <c r="BD46" i="747"/>
  <c r="BG34" i="747"/>
  <c r="BH7" i="747"/>
  <c r="BG13" i="747"/>
  <c r="AZ10" i="747"/>
  <c r="BG61" i="747"/>
  <c r="BA7" i="747"/>
  <c r="BC13" i="747"/>
  <c r="BE63" i="747"/>
  <c r="BK13" i="747"/>
  <c r="BA59" i="747"/>
  <c r="BE78" i="747"/>
  <c r="BI29" i="747"/>
  <c r="BK61" i="747"/>
  <c r="BG7" i="747"/>
  <c r="BJ66" i="747"/>
  <c r="BJ43" i="747"/>
  <c r="BJ19" i="747"/>
  <c r="BI11" i="747"/>
  <c r="BB8" i="747"/>
  <c r="BE38" i="747"/>
  <c r="BI35" i="747"/>
  <c r="BH41" i="747"/>
  <c r="AZ45" i="747"/>
  <c r="BF43" i="747"/>
  <c r="BA23" i="747"/>
  <c r="BC16" i="747"/>
  <c r="BJ4" i="747"/>
  <c r="BH38" i="747"/>
  <c r="BD48" i="747"/>
  <c r="BB41" i="747"/>
  <c r="BE17" i="747"/>
  <c r="AZ36" i="747"/>
  <c r="BH4" i="747"/>
  <c r="BG4" i="747"/>
  <c r="BI43" i="747"/>
  <c r="BF48" i="747"/>
  <c r="BB18" i="747"/>
  <c r="BC54" i="747"/>
  <c r="BJ46" i="747"/>
  <c r="BD24" i="747"/>
  <c r="BD23" i="747"/>
  <c r="BF54" i="747"/>
  <c r="BE41" i="747"/>
  <c r="BH19" i="747"/>
  <c r="BA3" i="747"/>
  <c r="BG45" i="747"/>
  <c r="BA4" i="747"/>
  <c r="BD43" i="747"/>
  <c r="BI31" i="747"/>
  <c r="BE8" i="747"/>
  <c r="BD66" i="747"/>
  <c r="BB31" i="747"/>
  <c r="BH25" i="747"/>
  <c r="AZ17" i="747"/>
  <c r="BD41" i="747"/>
  <c r="BF8" i="747"/>
  <c r="BJ64" i="747"/>
  <c r="BJ36" i="747"/>
  <c r="BE35" i="747"/>
  <c r="BD57" i="747"/>
  <c r="BD8" i="747"/>
  <c r="AZ4" i="747"/>
  <c r="BH59" i="747"/>
  <c r="BK29" i="747"/>
  <c r="BF44" i="747"/>
  <c r="BF13" i="747"/>
  <c r="AZ71" i="747"/>
  <c r="AZ70" i="747" s="1"/>
  <c r="BB64" i="747"/>
  <c r="AZ42" i="747"/>
  <c r="BF59" i="747"/>
  <c r="BG78" i="747"/>
  <c r="AZ7" i="747"/>
  <c r="BF64" i="747"/>
  <c r="BA69" i="747"/>
  <c r="BD29" i="747"/>
  <c r="BG59" i="747"/>
  <c r="BA29" i="747"/>
  <c r="BJ63" i="747"/>
  <c r="BC10" i="747"/>
  <c r="BC42" i="747"/>
  <c r="BH64" i="747"/>
  <c r="BK69" i="747"/>
  <c r="BE46" i="747"/>
  <c r="BB51" i="747"/>
  <c r="BJ67" i="747"/>
  <c r="BI9" i="747"/>
  <c r="AZ8" i="747"/>
  <c r="BH31" i="747"/>
  <c r="BI27" i="747"/>
  <c r="BF34" i="747"/>
  <c r="BB11" i="747"/>
  <c r="BB48" i="747"/>
  <c r="BA25" i="747"/>
  <c r="BC41" i="747"/>
  <c r="AZ30" i="747"/>
  <c r="BI51" i="747"/>
  <c r="BE25" i="747"/>
  <c r="BC9" i="747"/>
  <c r="BC18" i="747"/>
  <c r="BJ35" i="747"/>
  <c r="AZ51" i="747"/>
  <c r="BK30" i="747"/>
  <c r="BK51" i="747"/>
  <c r="BI26" i="747"/>
  <c r="BB54" i="747"/>
  <c r="BF11" i="747"/>
  <c r="BG40" i="747"/>
  <c r="BI28" i="747"/>
  <c r="BF27" i="747"/>
  <c r="BC35" i="747"/>
  <c r="BE57" i="747"/>
  <c r="BK28" i="747"/>
  <c r="BJ41" i="747"/>
  <c r="BJ8" i="747"/>
  <c r="BK11" i="747"/>
  <c r="BG51" i="747"/>
  <c r="BG23" i="747"/>
  <c r="BH35" i="747"/>
  <c r="BG67" i="747"/>
  <c r="BG24" i="747"/>
  <c r="BA36" i="747"/>
  <c r="AZ40" i="747"/>
  <c r="BH11" i="747"/>
  <c r="BF9" i="747"/>
  <c r="BK59" i="747"/>
  <c r="BD49" i="747"/>
  <c r="BD73" i="747"/>
  <c r="BD72" i="747" s="1"/>
  <c r="BD36" i="747"/>
  <c r="BE40" i="747"/>
  <c r="BH13" i="747"/>
  <c r="BH29" i="747"/>
  <c r="BI53" i="747"/>
  <c r="AZ69" i="747"/>
  <c r="BI21" i="747"/>
  <c r="BI71" i="747"/>
  <c r="BI70" i="747" s="1"/>
  <c r="BH42" i="747"/>
  <c r="BA13" i="747"/>
  <c r="BA42" i="747"/>
  <c r="BB61" i="747"/>
  <c r="BF7" i="747"/>
  <c r="BA53" i="747"/>
  <c r="BJ21" i="747"/>
  <c r="BJ71" i="747"/>
  <c r="BJ70" i="747" s="1"/>
  <c r="BF73" i="747"/>
  <c r="BF72" i="747" s="1"/>
  <c r="AZ32" i="747"/>
  <c r="BI30" i="747"/>
  <c r="BF24" i="747"/>
  <c r="BF35" i="747"/>
  <c r="BF51" i="747"/>
  <c r="BH27" i="747"/>
  <c r="BG9" i="747"/>
  <c r="BK16" i="747"/>
  <c r="BB25" i="747"/>
  <c r="BA67" i="747"/>
  <c r="BD54" i="747"/>
  <c r="AZ54" i="747"/>
  <c r="BI40" i="747"/>
  <c r="BJ25" i="747"/>
  <c r="BA20" i="747"/>
  <c r="BG26" i="747"/>
  <c r="BF16" i="747"/>
  <c r="BK25" i="747"/>
  <c r="BI52" i="747"/>
  <c r="AZ48" i="747"/>
  <c r="BC25" i="747"/>
  <c r="BA34" i="747"/>
  <c r="BD15" i="747"/>
  <c r="BF40" i="747"/>
  <c r="BB43" i="747"/>
  <c r="BE9" i="747"/>
  <c r="BC56" i="747"/>
  <c r="BI25" i="747"/>
  <c r="BK43" i="747"/>
  <c r="BD9" i="747"/>
  <c r="BH30" i="747"/>
  <c r="BH45" i="747"/>
  <c r="BE48" i="747"/>
  <c r="BC27" i="747"/>
  <c r="BF36" i="747"/>
  <c r="BI67" i="747"/>
  <c r="BK38" i="747"/>
  <c r="BG17" i="747"/>
  <c r="BF19" i="747"/>
  <c r="BH14" i="747"/>
  <c r="BK78" i="747"/>
  <c r="BA66" i="747"/>
  <c r="BF46" i="747"/>
  <c r="BE30" i="747"/>
  <c r="BG16" i="747"/>
  <c r="BJ55" i="747"/>
  <c r="BJ29" i="747"/>
  <c r="AZ63" i="747"/>
  <c r="BG42" i="747"/>
  <c r="BK42" i="747"/>
  <c r="BE61" i="747"/>
  <c r="BG71" i="747"/>
  <c r="BG70" i="747" s="1"/>
  <c r="BD64" i="747"/>
  <c r="BB29" i="747"/>
  <c r="BA64" i="747"/>
  <c r="BE69" i="747"/>
  <c r="BK58" i="747"/>
  <c r="BH55" i="747"/>
  <c r="BE28" i="747"/>
  <c r="BI73" i="747"/>
  <c r="BI72" i="747" s="1"/>
  <c r="BH48" i="747"/>
  <c r="BE32" i="747"/>
  <c r="BD11" i="747"/>
  <c r="BG8" i="747"/>
  <c r="BE31" i="747"/>
  <c r="BE23" i="747"/>
  <c r="BC39" i="747"/>
  <c r="BG49" i="747"/>
  <c r="BE36" i="747"/>
  <c r="AZ19" i="747"/>
  <c r="BJ11" i="747"/>
  <c r="BF30" i="747"/>
  <c r="BK56" i="747"/>
  <c r="BK36" i="747"/>
  <c r="BK4" i="747"/>
  <c r="BG18" i="747"/>
  <c r="BI56" i="747"/>
  <c r="BG46" i="747"/>
  <c r="BB23" i="747"/>
  <c r="BI46" i="747"/>
  <c r="BB36" i="747"/>
  <c r="BA9" i="747"/>
  <c r="BB28" i="747"/>
  <c r="BD39" i="747"/>
  <c r="BD51" i="747"/>
  <c r="BB24" i="747"/>
  <c r="BH9" i="747"/>
  <c r="BE15" i="747"/>
  <c r="BC43" i="747"/>
  <c r="BI18" i="747"/>
  <c r="BG14" i="747"/>
  <c r="BH54" i="747"/>
  <c r="BC20" i="747"/>
  <c r="BA16" i="747"/>
  <c r="BF66" i="747"/>
  <c r="BH66" i="747"/>
  <c r="BK32" i="747"/>
  <c r="BJ26" i="747"/>
  <c r="BG20" i="747"/>
  <c r="BB14" i="747"/>
  <c r="BI4" i="747"/>
  <c r="BF42" i="747"/>
  <c r="AZ20" i="747"/>
  <c r="BE18" i="747"/>
  <c r="BJ52" i="747"/>
  <c r="BC37" i="747"/>
  <c r="BB21" i="747"/>
  <c r="BB69" i="747"/>
  <c r="BC21" i="747"/>
  <c r="BK10" i="747"/>
  <c r="BJ42" i="747"/>
  <c r="AZ55" i="747"/>
  <c r="BJ58" i="747"/>
  <c r="BC7" i="747"/>
  <c r="BG55" i="747"/>
  <c r="BH53" i="747"/>
  <c r="BG53" i="747"/>
  <c r="BC53" i="747"/>
  <c r="BJ53" i="747"/>
  <c r="BF58" i="747"/>
  <c r="BK53" i="747"/>
  <c r="BE44" i="747"/>
  <c r="BE64" i="747"/>
  <c r="BJ69" i="747"/>
  <c r="BD63" i="747"/>
  <c r="BD13" i="747"/>
  <c r="BH21" i="747"/>
  <c r="BH58" i="747"/>
  <c r="BG63" i="747"/>
  <c r="BI58" i="747"/>
  <c r="BE21" i="747"/>
  <c r="BC71" i="747"/>
  <c r="BC70" i="747" s="1"/>
  <c r="BG44" i="747"/>
  <c r="BB13" i="747"/>
  <c r="BJ24" i="747"/>
  <c r="BI57" i="747"/>
  <c r="BD30" i="747"/>
  <c r="BG27" i="747"/>
  <c r="BC57" i="747"/>
  <c r="BD45" i="747"/>
  <c r="BI48" i="747"/>
  <c r="BB32" i="747"/>
  <c r="BJ17" i="747"/>
  <c r="BB73" i="747"/>
  <c r="BB72" i="747" s="1"/>
  <c r="AZ16" i="747"/>
  <c r="AZ49" i="747"/>
  <c r="BK8" i="747"/>
  <c r="BK9" i="747"/>
  <c r="BE45" i="747"/>
  <c r="AZ14" i="747"/>
  <c r="AZ37" i="747"/>
  <c r="BH46" i="747"/>
  <c r="BI14" i="747"/>
  <c r="BH17" i="747"/>
  <c r="BC73" i="747"/>
  <c r="BC72" i="747" s="1"/>
  <c r="BC45" i="747"/>
  <c r="BH20" i="747"/>
  <c r="AZ34" i="747"/>
  <c r="BC67" i="747"/>
  <c r="BB57" i="747"/>
  <c r="BJ48" i="747"/>
  <c r="BB66" i="747"/>
  <c r="BD26" i="747"/>
  <c r="BD56" i="747"/>
  <c r="BE51" i="747"/>
  <c r="BF23" i="747"/>
  <c r="BF15" i="747"/>
  <c r="BK46" i="747"/>
  <c r="BF20" i="747"/>
  <c r="BB35" i="747"/>
  <c r="BC40" i="747"/>
  <c r="BA56" i="747"/>
  <c r="BE43" i="747"/>
  <c r="BJ56" i="747"/>
  <c r="BI19" i="747"/>
  <c r="BI15" i="747"/>
  <c r="BF3" i="747"/>
  <c r="BJ78" i="747"/>
  <c r="BB20" i="747"/>
  <c r="BA78" i="747"/>
  <c r="BE58" i="747"/>
  <c r="BC44" i="747"/>
  <c r="AZ59" i="747"/>
  <c r="BF78" i="747"/>
  <c r="BK21" i="747"/>
  <c r="BF71" i="747"/>
  <c r="BF70" i="747" s="1"/>
  <c r="AZ61" i="747"/>
  <c r="BC29" i="747"/>
  <c r="BF55" i="747"/>
  <c r="BA44" i="747"/>
  <c r="BJ61" i="747"/>
  <c r="BB44" i="747"/>
  <c r="BC55" i="747"/>
  <c r="BB59" i="747"/>
  <c r="AZ78" i="747"/>
  <c r="BE29" i="747"/>
  <c r="BH16" i="747"/>
  <c r="BB37" i="747"/>
  <c r="BE39" i="747"/>
  <c r="BB40" i="747"/>
  <c r="BE19" i="747"/>
  <c r="BB67" i="747"/>
  <c r="BF28" i="747"/>
  <c r="BA32" i="747"/>
  <c r="BD67" i="747"/>
  <c r="BA57" i="747"/>
  <c r="BJ34" i="747"/>
  <c r="BK3" i="747"/>
  <c r="BG43" i="747"/>
  <c r="BG3" i="747"/>
  <c r="BD40" i="747"/>
  <c r="BJ49" i="747"/>
  <c r="BK35" i="747"/>
  <c r="BK45" i="747"/>
  <c r="AZ23" i="747"/>
  <c r="BE16" i="747"/>
  <c r="BK39" i="747"/>
  <c r="AZ46" i="747"/>
  <c r="AZ9" i="747"/>
  <c r="BK48" i="747"/>
  <c r="BK19" i="747"/>
  <c r="BA46" i="747"/>
  <c r="BK26" i="747"/>
  <c r="BA37" i="747"/>
  <c r="BA73" i="747"/>
  <c r="BA72" i="747" s="1"/>
  <c r="BH40" i="747"/>
  <c r="BK24" i="747"/>
  <c r="BD16" i="747"/>
  <c r="BF56" i="747"/>
  <c r="BG73" i="747"/>
  <c r="BG72" i="747" s="1"/>
  <c r="BB26" i="747"/>
  <c r="BB56" i="747"/>
  <c r="BK17" i="747"/>
  <c r="BH39" i="747"/>
  <c r="BH51" i="747"/>
  <c r="BI49" i="747"/>
  <c r="BH24" i="747"/>
  <c r="M8" i="747"/>
  <c r="AZ2" i="747" l="1"/>
  <c r="BK2" i="747"/>
  <c r="BF65" i="747"/>
  <c r="BJ68" i="747"/>
  <c r="BA2" i="747"/>
  <c r="BE68" i="747"/>
  <c r="AZ68" i="747"/>
  <c r="BF2" i="747"/>
  <c r="BE2" i="747"/>
  <c r="BI60" i="747"/>
  <c r="BH65" i="747"/>
  <c r="W19" i="747"/>
  <c r="BK68" i="747"/>
  <c r="BB68" i="747"/>
  <c r="BJ60" i="747"/>
  <c r="BH50" i="747"/>
  <c r="AZ60" i="747"/>
  <c r="BG2" i="747"/>
  <c r="BD12" i="747"/>
  <c r="BF6" i="747"/>
  <c r="BC6" i="747"/>
  <c r="BA65" i="747"/>
  <c r="BJ33" i="747"/>
  <c r="BK65" i="747"/>
  <c r="BD68" i="747"/>
  <c r="BD50" i="747"/>
  <c r="BA22" i="747"/>
  <c r="BK60" i="747"/>
  <c r="BC68" i="747"/>
  <c r="BE65" i="747"/>
  <c r="AZ65" i="747"/>
  <c r="BE60" i="747"/>
  <c r="BD65" i="747"/>
  <c r="BJ65" i="747"/>
  <c r="BG12" i="747"/>
  <c r="BH60" i="747"/>
  <c r="AZ33" i="747"/>
  <c r="BB12" i="747"/>
  <c r="BA68" i="747"/>
  <c r="BG6" i="747"/>
  <c r="BH6" i="747"/>
  <c r="BE12" i="747"/>
  <c r="AZ12" i="747"/>
  <c r="BK6" i="747"/>
  <c r="BG33" i="747"/>
  <c r="BC22" i="747"/>
  <c r="BD33" i="747"/>
  <c r="BI12" i="747"/>
  <c r="BI50" i="747"/>
  <c r="BB50" i="747"/>
  <c r="AZ6" i="747"/>
  <c r="BK33" i="747"/>
  <c r="BC50" i="747"/>
  <c r="BJ12" i="747"/>
  <c r="BH33" i="747"/>
  <c r="BG68" i="747"/>
  <c r="AZ22" i="747"/>
  <c r="BG65" i="747"/>
  <c r="BH68" i="747"/>
  <c r="BH2" i="747"/>
  <c r="BK22" i="747"/>
  <c r="BI68" i="747"/>
  <c r="BF22" i="747"/>
  <c r="BA33" i="747"/>
  <c r="BH12" i="747"/>
  <c r="BI22" i="747"/>
  <c r="BF60" i="747"/>
  <c r="BE50" i="747"/>
  <c r="BG22" i="747"/>
  <c r="BK12" i="747"/>
  <c r="BD60" i="747"/>
  <c r="BH22" i="747"/>
  <c r="BG50" i="747"/>
  <c r="BC33" i="747"/>
  <c r="BD2" i="747"/>
  <c r="BJ6" i="747"/>
  <c r="BD6" i="747"/>
  <c r="BI33" i="747"/>
  <c r="BE6" i="747"/>
  <c r="BI2" i="747"/>
  <c r="BB22" i="747"/>
  <c r="BB60" i="747"/>
  <c r="BK50" i="747"/>
  <c r="BC12" i="747"/>
  <c r="BB2" i="747"/>
  <c r="BC65" i="747"/>
  <c r="BA50" i="747"/>
  <c r="BC2" i="747"/>
  <c r="BA60" i="747"/>
  <c r="BE33" i="747"/>
  <c r="BC60" i="747"/>
  <c r="BE22" i="747"/>
  <c r="BF33" i="747"/>
  <c r="BF12" i="747"/>
  <c r="BA6" i="747"/>
  <c r="BJ2" i="747"/>
  <c r="BI65" i="747"/>
  <c r="BB6" i="747"/>
  <c r="BB65" i="747"/>
  <c r="BF50" i="747"/>
  <c r="BA12" i="747"/>
  <c r="AZ50" i="747"/>
  <c r="BD22" i="747"/>
  <c r="BG60" i="747"/>
  <c r="BJ50" i="747"/>
  <c r="BB33" i="747"/>
  <c r="BF68" i="747"/>
  <c r="BI6" i="747"/>
  <c r="BJ22" i="747"/>
  <c r="BF5" i="747" l="1"/>
  <c r="BA5" i="747"/>
  <c r="BC5" i="747"/>
  <c r="BI5" i="747"/>
  <c r="BD5" i="747"/>
  <c r="BJ5" i="747"/>
  <c r="BH5" i="747"/>
  <c r="BE5" i="747"/>
  <c r="BK5" i="747"/>
  <c r="BB5" i="747"/>
  <c r="BG5" i="747"/>
  <c r="AZ5" i="747"/>
  <c r="C22" i="420" l="1"/>
  <c r="E10" i="718" l="1"/>
  <c r="E11" i="718"/>
  <c r="E12" i="718"/>
  <c r="E13" i="718"/>
  <c r="E14" i="718"/>
  <c r="E15" i="718"/>
  <c r="E16" i="718"/>
  <c r="E17" i="718"/>
  <c r="E18" i="718"/>
  <c r="E19" i="718"/>
  <c r="E20" i="718"/>
  <c r="E9" i="718"/>
  <c r="C16" i="743"/>
  <c r="C15" i="743"/>
  <c r="C14" i="743"/>
  <c r="C13" i="743"/>
  <c r="C12" i="743"/>
  <c r="C11" i="743"/>
  <c r="C10" i="743"/>
  <c r="C9" i="743"/>
  <c r="C6" i="743"/>
  <c r="B6" i="743"/>
  <c r="B16" i="743"/>
  <c r="E21" i="718" l="1"/>
  <c r="D9" i="743"/>
  <c r="D10" i="743"/>
  <c r="D11" i="743"/>
  <c r="D12" i="743"/>
  <c r="D13" i="743"/>
  <c r="D14" i="743"/>
  <c r="D15" i="743"/>
  <c r="D16" i="743" l="1"/>
  <c r="D17" i="717" l="1"/>
  <c r="C17" i="687" l="1"/>
  <c r="C18" i="687" s="1"/>
  <c r="B17" i="687"/>
  <c r="C15" i="687"/>
  <c r="C14" i="687"/>
  <c r="F12" i="120"/>
  <c r="C76" i="420"/>
  <c r="F75" i="420"/>
  <c r="C75" i="420"/>
  <c r="C74" i="420"/>
  <c r="F73" i="420"/>
  <c r="C73" i="420"/>
  <c r="F72" i="420"/>
  <c r="C72" i="420"/>
  <c r="F71" i="420"/>
  <c r="C71" i="420"/>
  <c r="F70" i="420"/>
  <c r="C70" i="420"/>
  <c r="F69" i="420"/>
  <c r="C69" i="420"/>
  <c r="F68" i="420"/>
  <c r="C68" i="420"/>
  <c r="F67" i="420"/>
  <c r="C67" i="420"/>
  <c r="F66" i="420"/>
  <c r="C66" i="420"/>
  <c r="F65" i="420"/>
  <c r="C65" i="420"/>
  <c r="F64" i="420"/>
  <c r="C64" i="420"/>
  <c r="F63" i="420"/>
  <c r="C63" i="420"/>
  <c r="F62" i="420"/>
  <c r="C62" i="420"/>
  <c r="F61" i="420"/>
  <c r="C61" i="420"/>
  <c r="F60" i="420"/>
  <c r="C60" i="420"/>
  <c r="F59" i="420"/>
  <c r="C59" i="420"/>
  <c r="F58" i="420"/>
  <c r="C58" i="420"/>
  <c r="F57" i="420"/>
  <c r="C57" i="420"/>
  <c r="F56" i="420"/>
  <c r="C56" i="420"/>
  <c r="F55" i="420"/>
  <c r="C55" i="420"/>
  <c r="F54" i="420"/>
  <c r="C54" i="420"/>
  <c r="F53" i="420"/>
  <c r="C53" i="420"/>
  <c r="F52" i="420"/>
  <c r="C52" i="420"/>
  <c r="F51" i="420"/>
  <c r="C51" i="420"/>
  <c r="C50" i="420"/>
  <c r="F49" i="420"/>
  <c r="C49" i="420"/>
  <c r="F48" i="420"/>
  <c r="C48" i="420"/>
  <c r="F47" i="420"/>
  <c r="C47" i="420"/>
  <c r="F46" i="420"/>
  <c r="C46" i="420"/>
  <c r="C45" i="420"/>
  <c r="F44" i="420"/>
  <c r="C44" i="420"/>
  <c r="F43" i="420"/>
  <c r="C43" i="420"/>
  <c r="F42" i="420"/>
  <c r="C42" i="420"/>
  <c r="F41" i="420"/>
  <c r="C41" i="420"/>
  <c r="F40" i="420"/>
  <c r="C40" i="420"/>
  <c r="F39" i="420"/>
  <c r="C39" i="420"/>
  <c r="C38" i="420"/>
  <c r="F37" i="420"/>
  <c r="C37" i="420"/>
  <c r="F36" i="420"/>
  <c r="C36" i="420"/>
  <c r="F35" i="420"/>
  <c r="C35" i="420"/>
  <c r="F34" i="420"/>
  <c r="C34" i="420"/>
  <c r="F33" i="420"/>
  <c r="C33" i="420"/>
  <c r="F32" i="420"/>
  <c r="C32" i="420"/>
  <c r="F31" i="420"/>
  <c r="C31" i="420"/>
  <c r="F30" i="420"/>
  <c r="C30" i="420"/>
  <c r="F29" i="420"/>
  <c r="C29" i="420"/>
  <c r="F28" i="420"/>
  <c r="C28" i="420"/>
  <c r="F27" i="420"/>
  <c r="C27" i="420"/>
  <c r="F26" i="420"/>
  <c r="C26" i="420"/>
  <c r="F25" i="420"/>
  <c r="C25" i="420"/>
  <c r="F24" i="420"/>
  <c r="C24" i="420"/>
  <c r="F23" i="420"/>
  <c r="C23" i="420"/>
  <c r="F22" i="420"/>
  <c r="F21" i="420"/>
  <c r="C21" i="420"/>
  <c r="F20" i="420"/>
  <c r="C20" i="420"/>
  <c r="F19" i="420"/>
  <c r="C19" i="420"/>
  <c r="F18" i="420"/>
  <c r="C18" i="420"/>
  <c r="F17" i="420"/>
  <c r="C17" i="420"/>
  <c r="F16" i="420"/>
  <c r="C16" i="420"/>
  <c r="C15" i="420"/>
  <c r="F14" i="420"/>
  <c r="C14" i="420"/>
  <c r="F13" i="420"/>
  <c r="C13" i="420"/>
  <c r="F12" i="420"/>
  <c r="C12" i="420"/>
  <c r="F11" i="420"/>
  <c r="C11" i="420"/>
  <c r="F10" i="420"/>
  <c r="C10" i="420"/>
  <c r="F9" i="420"/>
  <c r="C9" i="420"/>
  <c r="F8" i="420"/>
  <c r="C8" i="420"/>
  <c r="C7" i="420"/>
  <c r="C6" i="420"/>
  <c r="F5" i="420"/>
  <c r="C5" i="420"/>
  <c r="F4" i="420"/>
  <c r="C4" i="420"/>
  <c r="F3" i="420"/>
  <c r="C3" i="420"/>
  <c r="O6" i="674"/>
  <c r="N6" i="674"/>
  <c r="M6" i="674"/>
  <c r="L6" i="674"/>
  <c r="J6" i="674"/>
  <c r="I6" i="674"/>
  <c r="H6" i="674"/>
  <c r="G6" i="674"/>
  <c r="D3" i="418"/>
  <c r="C3" i="418"/>
  <c r="Q6" i="674"/>
  <c r="P6" i="674"/>
  <c r="F76" i="420"/>
  <c r="G89" i="120" l="1"/>
  <c r="E8" i="100" l="1"/>
  <c r="E8" i="101"/>
  <c r="E8" i="102"/>
  <c r="E8" i="103"/>
  <c r="E8" i="104"/>
  <c r="E8" i="105"/>
  <c r="E8" i="106"/>
  <c r="E8" i="107"/>
  <c r="E8" i="108"/>
  <c r="E8" i="110"/>
  <c r="E8" i="111"/>
  <c r="E8" i="112"/>
  <c r="E8" i="472"/>
  <c r="E8" i="114"/>
  <c r="E8" i="115"/>
  <c r="E8" i="124"/>
  <c r="E8" i="116"/>
  <c r="E8" i="117"/>
  <c r="E8" i="118"/>
  <c r="E8" i="119"/>
  <c r="E8" i="120"/>
  <c r="E8" i="121"/>
  <c r="E8" i="122"/>
  <c r="E8" i="123"/>
  <c r="E8" i="125"/>
  <c r="E8" i="475"/>
  <c r="E8" i="59"/>
  <c r="I8" i="101"/>
  <c r="I8" i="102"/>
  <c r="I8" i="103"/>
  <c r="I8" i="104"/>
  <c r="I8" i="105"/>
  <c r="I8" i="106"/>
  <c r="I8" i="107"/>
  <c r="I8" i="111"/>
  <c r="I8" i="112"/>
  <c r="I8" i="472"/>
  <c r="I8" i="114"/>
  <c r="I8" i="115"/>
  <c r="I8" i="123"/>
  <c r="I8" i="125"/>
  <c r="I8" i="475"/>
  <c r="I8" i="59"/>
  <c r="M46" i="66" l="1"/>
  <c r="K46" i="66"/>
  <c r="J46" i="66"/>
  <c r="I46" i="66"/>
  <c r="I45" i="100"/>
  <c r="I45" i="101"/>
  <c r="I45" i="102"/>
  <c r="I45" i="103"/>
  <c r="I45" i="104"/>
  <c r="I45" i="105"/>
  <c r="I45" i="106"/>
  <c r="I45" i="107"/>
  <c r="I45" i="108"/>
  <c r="I45" i="110"/>
  <c r="I45" i="111"/>
  <c r="I45" i="112"/>
  <c r="I45" i="472"/>
  <c r="I45" i="114"/>
  <c r="I45" i="115"/>
  <c r="I45" i="124"/>
  <c r="I45" i="116"/>
  <c r="I45" i="117"/>
  <c r="I45" i="118"/>
  <c r="I45" i="119"/>
  <c r="I45" i="120"/>
  <c r="I45" i="121"/>
  <c r="I45" i="122"/>
  <c r="I45" i="123"/>
  <c r="I45" i="125"/>
  <c r="I45" i="475"/>
  <c r="I45" i="59"/>
  <c r="E45" i="100"/>
  <c r="E45" i="101"/>
  <c r="E45" i="102"/>
  <c r="E45" i="103"/>
  <c r="E45" i="104"/>
  <c r="E45" i="105"/>
  <c r="E45" i="106"/>
  <c r="E45" i="107"/>
  <c r="E45" i="108"/>
  <c r="E45" i="110"/>
  <c r="E45" i="111"/>
  <c r="E45" i="112"/>
  <c r="E45" i="472"/>
  <c r="E45" i="114"/>
  <c r="E45" i="115"/>
  <c r="E45" i="124"/>
  <c r="E45" i="116"/>
  <c r="E45" i="117"/>
  <c r="E45" i="118"/>
  <c r="E45" i="119"/>
  <c r="E45" i="120"/>
  <c r="E45" i="121"/>
  <c r="E45" i="122"/>
  <c r="E45" i="123"/>
  <c r="E45" i="125"/>
  <c r="E45" i="475"/>
  <c r="E45" i="59"/>
  <c r="I47" i="100"/>
  <c r="I47" i="101"/>
  <c r="I47" i="102"/>
  <c r="I47" i="103"/>
  <c r="I47" i="104"/>
  <c r="I47" i="105"/>
  <c r="I47" i="106"/>
  <c r="I47" i="107"/>
  <c r="I47" i="108"/>
  <c r="I47" i="110"/>
  <c r="I47" i="111"/>
  <c r="I47" i="112"/>
  <c r="I47" i="472"/>
  <c r="I47" i="114"/>
  <c r="I47" i="115"/>
  <c r="I47" i="124"/>
  <c r="I47" i="116"/>
  <c r="I47" i="117"/>
  <c r="I47" i="118"/>
  <c r="F45" i="420" s="1"/>
  <c r="I47" i="119"/>
  <c r="I47" i="120"/>
  <c r="I47" i="121"/>
  <c r="I47" i="122"/>
  <c r="I47" i="123"/>
  <c r="I47" i="125"/>
  <c r="I47" i="475"/>
  <c r="I47" i="59"/>
  <c r="E47" i="100"/>
  <c r="E47" i="101"/>
  <c r="E47" i="102"/>
  <c r="E47" i="103"/>
  <c r="E47" i="104"/>
  <c r="E47" i="105"/>
  <c r="E47" i="106"/>
  <c r="E47" i="107"/>
  <c r="E47" i="108"/>
  <c r="E47" i="110"/>
  <c r="E47" i="111"/>
  <c r="E47" i="112"/>
  <c r="E47" i="472"/>
  <c r="E47" i="114"/>
  <c r="E47" i="115"/>
  <c r="E47" i="124"/>
  <c r="E47" i="116"/>
  <c r="E47" i="117"/>
  <c r="E47" i="118"/>
  <c r="E47" i="119"/>
  <c r="E47" i="120"/>
  <c r="E47" i="121"/>
  <c r="E47" i="122"/>
  <c r="E47" i="123"/>
  <c r="E47" i="125"/>
  <c r="E47" i="475"/>
  <c r="E47" i="59"/>
  <c r="I77" i="100"/>
  <c r="I77" i="101"/>
  <c r="I77" i="102"/>
  <c r="I77" i="103"/>
  <c r="I77" i="104"/>
  <c r="I77" i="105"/>
  <c r="I77" i="106"/>
  <c r="I77" i="107"/>
  <c r="I77" i="108"/>
  <c r="I77" i="110"/>
  <c r="I77" i="111"/>
  <c r="I77" i="112"/>
  <c r="I77" i="472"/>
  <c r="I77" i="114"/>
  <c r="I77" i="115"/>
  <c r="I77" i="124"/>
  <c r="I77" i="116"/>
  <c r="I77" i="117"/>
  <c r="I77" i="118"/>
  <c r="I77" i="119"/>
  <c r="I77" i="120"/>
  <c r="I77" i="121"/>
  <c r="I77" i="122"/>
  <c r="I77" i="123"/>
  <c r="I77" i="125"/>
  <c r="I77" i="475"/>
  <c r="I77" i="59"/>
  <c r="E77" i="100"/>
  <c r="E77" i="101"/>
  <c r="E77" i="102"/>
  <c r="E77" i="103"/>
  <c r="E77" i="104"/>
  <c r="E77" i="105"/>
  <c r="E77" i="106"/>
  <c r="E77" i="107"/>
  <c r="E77" i="108"/>
  <c r="E77" i="110"/>
  <c r="E77" i="111"/>
  <c r="E77" i="112"/>
  <c r="E77" i="472"/>
  <c r="E77" i="114"/>
  <c r="E77" i="115"/>
  <c r="E77" i="124"/>
  <c r="E77" i="116"/>
  <c r="E77" i="117"/>
  <c r="E77" i="118"/>
  <c r="E77" i="119"/>
  <c r="E77" i="120"/>
  <c r="E77" i="121"/>
  <c r="E77" i="122"/>
  <c r="E77" i="123"/>
  <c r="E77" i="125"/>
  <c r="E77" i="475"/>
  <c r="E77" i="59"/>
  <c r="F74" i="420" l="1"/>
  <c r="I8" i="110"/>
  <c r="G85" i="108"/>
  <c r="J29" i="59" l="1"/>
  <c r="J28" i="59"/>
  <c r="G90" i="120" l="1"/>
  <c r="F37" i="120" s="1"/>
  <c r="G88" i="120"/>
  <c r="G87" i="120" s="1"/>
  <c r="Q87" i="121" l="1"/>
  <c r="G84" i="120"/>
  <c r="G86" i="120"/>
  <c r="F79" i="120" s="1"/>
  <c r="F74" i="120"/>
  <c r="F66" i="108" l="1"/>
  <c r="Q85" i="122" l="1"/>
  <c r="Q87" i="122"/>
  <c r="G97" i="118" l="1"/>
  <c r="G87" i="118" l="1"/>
  <c r="F74" i="118" l="1"/>
  <c r="G85" i="118" l="1"/>
  <c r="G84" i="118"/>
  <c r="Q92" i="118" l="1"/>
  <c r="F76" i="736" l="1"/>
  <c r="C76" i="736"/>
  <c r="B76" i="736"/>
  <c r="A76" i="736"/>
  <c r="B75" i="736"/>
  <c r="F74" i="736"/>
  <c r="C74" i="736"/>
  <c r="B74" i="736"/>
  <c r="A74" i="736"/>
  <c r="F73" i="736"/>
  <c r="C73" i="736"/>
  <c r="B73" i="736"/>
  <c r="A73" i="736"/>
  <c r="F72" i="736"/>
  <c r="C72" i="736"/>
  <c r="B72" i="736"/>
  <c r="A72" i="736"/>
  <c r="F71" i="736"/>
  <c r="C71" i="736"/>
  <c r="B71" i="736"/>
  <c r="A71" i="736"/>
  <c r="F70" i="736"/>
  <c r="C70" i="736"/>
  <c r="B70" i="736"/>
  <c r="A70" i="736"/>
  <c r="F69" i="736"/>
  <c r="C69" i="736"/>
  <c r="B69" i="736"/>
  <c r="A69" i="736"/>
  <c r="F68" i="736"/>
  <c r="C68" i="736"/>
  <c r="B68" i="736"/>
  <c r="A68" i="736"/>
  <c r="F67" i="736"/>
  <c r="C67" i="736"/>
  <c r="B67" i="736"/>
  <c r="A67" i="736"/>
  <c r="B66" i="736"/>
  <c r="F65" i="736"/>
  <c r="C65" i="736"/>
  <c r="B65" i="736"/>
  <c r="A65" i="736"/>
  <c r="F64" i="736"/>
  <c r="C64" i="736"/>
  <c r="B64" i="736"/>
  <c r="A64" i="736"/>
  <c r="B63" i="736"/>
  <c r="F62" i="736"/>
  <c r="C62" i="736"/>
  <c r="B62" i="736"/>
  <c r="A62" i="736"/>
  <c r="F61" i="736"/>
  <c r="C61" i="736"/>
  <c r="B61" i="736"/>
  <c r="A61" i="736"/>
  <c r="B60" i="736"/>
  <c r="F59" i="736"/>
  <c r="C59" i="736"/>
  <c r="B59" i="736"/>
  <c r="A59" i="736"/>
  <c r="F58" i="736"/>
  <c r="C58" i="736"/>
  <c r="B58" i="736"/>
  <c r="A58" i="736"/>
  <c r="F57" i="736"/>
  <c r="C57" i="736"/>
  <c r="B57" i="736"/>
  <c r="A57" i="736"/>
  <c r="F56" i="736"/>
  <c r="C56" i="736"/>
  <c r="B56" i="736"/>
  <c r="A56" i="736"/>
  <c r="F55" i="736"/>
  <c r="C55" i="736"/>
  <c r="B55" i="736"/>
  <c r="A55" i="736"/>
  <c r="F54" i="736"/>
  <c r="C54" i="736"/>
  <c r="B54" i="736"/>
  <c r="A54" i="736"/>
  <c r="B53" i="736"/>
  <c r="F52" i="736"/>
  <c r="C52" i="736"/>
  <c r="B52" i="736"/>
  <c r="A52" i="736"/>
  <c r="F51" i="736"/>
  <c r="C51" i="736"/>
  <c r="B51" i="736"/>
  <c r="A51" i="736"/>
  <c r="B50" i="736"/>
  <c r="F49" i="736"/>
  <c r="C49" i="736"/>
  <c r="B49" i="736"/>
  <c r="A49" i="736"/>
  <c r="F48" i="736"/>
  <c r="C48" i="736"/>
  <c r="B48" i="736"/>
  <c r="A48" i="736"/>
  <c r="F47" i="736"/>
  <c r="C47" i="736"/>
  <c r="B47" i="736"/>
  <c r="A47" i="736"/>
  <c r="F46" i="736"/>
  <c r="C46" i="736"/>
  <c r="B46" i="736"/>
  <c r="A46" i="736"/>
  <c r="F45" i="736"/>
  <c r="C45" i="736"/>
  <c r="B45" i="736"/>
  <c r="A45" i="736"/>
  <c r="B44" i="736"/>
  <c r="F43" i="736"/>
  <c r="C43" i="736"/>
  <c r="B43" i="736"/>
  <c r="A43" i="736"/>
  <c r="F42" i="736"/>
  <c r="C42" i="736"/>
  <c r="B42" i="736"/>
  <c r="A42" i="736"/>
  <c r="F41" i="736"/>
  <c r="C41" i="736"/>
  <c r="B41" i="736"/>
  <c r="A41" i="736"/>
  <c r="F40" i="736"/>
  <c r="C40" i="736"/>
  <c r="B40" i="736"/>
  <c r="A40" i="736"/>
  <c r="F39" i="736"/>
  <c r="C39" i="736"/>
  <c r="B39" i="736"/>
  <c r="A39" i="736"/>
  <c r="B38" i="736"/>
  <c r="F37" i="736"/>
  <c r="C37" i="736"/>
  <c r="B37" i="736"/>
  <c r="A37" i="736"/>
  <c r="F36" i="736"/>
  <c r="C36" i="736"/>
  <c r="B36" i="736"/>
  <c r="A36" i="736"/>
  <c r="F35" i="736"/>
  <c r="C35" i="736"/>
  <c r="B35" i="736"/>
  <c r="A35" i="736"/>
  <c r="F34" i="736"/>
  <c r="C34" i="736"/>
  <c r="B34" i="736"/>
  <c r="A34" i="736"/>
  <c r="F33" i="736"/>
  <c r="C33" i="736"/>
  <c r="B33" i="736"/>
  <c r="A33" i="736"/>
  <c r="F32" i="736"/>
  <c r="C32" i="736"/>
  <c r="B32" i="736"/>
  <c r="A32" i="736"/>
  <c r="F31" i="736"/>
  <c r="C31" i="736"/>
  <c r="B31" i="736"/>
  <c r="A31" i="736"/>
  <c r="F30" i="736"/>
  <c r="C30" i="736"/>
  <c r="B30" i="736"/>
  <c r="A30" i="736"/>
  <c r="F29" i="736"/>
  <c r="C29" i="736"/>
  <c r="B29" i="736"/>
  <c r="A29" i="736"/>
  <c r="F28" i="736"/>
  <c r="C28" i="736"/>
  <c r="B28" i="736"/>
  <c r="A28" i="736"/>
  <c r="F27" i="736"/>
  <c r="C27" i="736"/>
  <c r="B27" i="736"/>
  <c r="A27" i="736"/>
  <c r="F26" i="736"/>
  <c r="C26" i="736"/>
  <c r="B26" i="736"/>
  <c r="A26" i="736"/>
  <c r="F25" i="736"/>
  <c r="C25" i="736"/>
  <c r="B25" i="736"/>
  <c r="A25" i="736"/>
  <c r="F24" i="736"/>
  <c r="C24" i="736"/>
  <c r="B24" i="736"/>
  <c r="A24" i="736"/>
  <c r="F23" i="736"/>
  <c r="C23" i="736"/>
  <c r="B23" i="736"/>
  <c r="A23" i="736"/>
  <c r="F22" i="736"/>
  <c r="C22" i="736"/>
  <c r="B22" i="736"/>
  <c r="A22" i="736"/>
  <c r="F21" i="736"/>
  <c r="C21" i="736"/>
  <c r="B21" i="736"/>
  <c r="A21" i="736"/>
  <c r="F20" i="736"/>
  <c r="C20" i="736"/>
  <c r="B20" i="736"/>
  <c r="A20" i="736"/>
  <c r="F19" i="736"/>
  <c r="C19" i="736"/>
  <c r="B19" i="736"/>
  <c r="A19" i="736"/>
  <c r="F18" i="736"/>
  <c r="C18" i="736"/>
  <c r="B18" i="736"/>
  <c r="A18" i="736"/>
  <c r="F17" i="736"/>
  <c r="C17" i="736"/>
  <c r="B17" i="736"/>
  <c r="A17" i="736"/>
  <c r="F16" i="736"/>
  <c r="C16" i="736"/>
  <c r="B16" i="736"/>
  <c r="A16" i="736"/>
  <c r="B15" i="736"/>
  <c r="F14" i="736"/>
  <c r="C14" i="736"/>
  <c r="B14" i="736"/>
  <c r="A14" i="736"/>
  <c r="B13" i="736"/>
  <c r="F12" i="736"/>
  <c r="C12" i="736"/>
  <c r="B12" i="736"/>
  <c r="A12" i="736"/>
  <c r="B11" i="736"/>
  <c r="F10" i="736"/>
  <c r="C10" i="736"/>
  <c r="B10" i="736"/>
  <c r="A10" i="736"/>
  <c r="F9" i="736"/>
  <c r="C9" i="736"/>
  <c r="B9" i="736"/>
  <c r="A9" i="736"/>
  <c r="F8" i="736"/>
  <c r="C8" i="736"/>
  <c r="B8" i="736"/>
  <c r="A8" i="736"/>
  <c r="B7" i="736"/>
  <c r="F5" i="736"/>
  <c r="C5" i="736"/>
  <c r="F4" i="736"/>
  <c r="C4" i="736"/>
  <c r="F31" i="120"/>
  <c r="J14" i="735" l="1"/>
  <c r="K12" i="735" s="1"/>
  <c r="H14" i="735"/>
  <c r="I13" i="735" s="1"/>
  <c r="F14" i="735"/>
  <c r="G13" i="735" s="1"/>
  <c r="J13" i="735"/>
  <c r="K13" i="735" s="1"/>
  <c r="I12" i="735"/>
  <c r="G12" i="735"/>
  <c r="J9" i="735"/>
  <c r="K9" i="735" s="1"/>
  <c r="H9" i="735"/>
  <c r="I9" i="735" s="1"/>
  <c r="F9" i="735"/>
  <c r="G9" i="735" s="1"/>
  <c r="D9" i="735"/>
  <c r="D14" i="735" s="1"/>
  <c r="B9" i="735"/>
  <c r="B14" i="735" s="1"/>
  <c r="J6" i="735"/>
  <c r="K6" i="735" s="1"/>
  <c r="H6" i="735"/>
  <c r="I6" i="735" s="1"/>
  <c r="F6" i="735"/>
  <c r="G6" i="735" s="1"/>
  <c r="D6" i="735"/>
  <c r="E6" i="735" s="1"/>
  <c r="B6" i="735"/>
  <c r="C6" i="735" s="1"/>
  <c r="D4" i="735"/>
  <c r="F4" i="735" s="1"/>
  <c r="H4" i="735" s="1"/>
  <c r="J4" i="735" s="1"/>
  <c r="C4" i="734"/>
  <c r="D4" i="734" s="1"/>
  <c r="E4" i="734" s="1"/>
  <c r="F4" i="734" s="1"/>
  <c r="C12" i="735" l="1"/>
  <c r="C13" i="735"/>
  <c r="C14" i="735"/>
  <c r="G14" i="735"/>
  <c r="K14" i="735"/>
  <c r="E14" i="735"/>
  <c r="I14" i="735"/>
  <c r="E12" i="735"/>
  <c r="E13" i="735"/>
  <c r="C9" i="735"/>
  <c r="E9" i="735"/>
  <c r="C12" i="730"/>
  <c r="B12" i="730"/>
  <c r="D11" i="730"/>
  <c r="D10" i="730"/>
  <c r="D9" i="730"/>
  <c r="B12" i="720" l="1"/>
  <c r="D11" i="719"/>
  <c r="D12" i="719"/>
  <c r="D10" i="719"/>
  <c r="C9" i="719"/>
  <c r="D9" i="719" s="1"/>
  <c r="B13" i="719"/>
  <c r="D21" i="718"/>
  <c r="F10" i="718" s="1"/>
  <c r="C12" i="718"/>
  <c r="C16" i="718"/>
  <c r="C11" i="718"/>
  <c r="C10" i="718"/>
  <c r="C9" i="718"/>
  <c r="C14" i="718"/>
  <c r="C21" i="718" s="1"/>
  <c r="C12" i="706"/>
  <c r="B12" i="706"/>
  <c r="B11" i="706"/>
  <c r="G8" i="690"/>
  <c r="F8" i="690"/>
  <c r="E8" i="690"/>
  <c r="D8" i="690"/>
  <c r="C8" i="690"/>
  <c r="G6" i="690"/>
  <c r="F6" i="690"/>
  <c r="E6" i="690"/>
  <c r="D6" i="690"/>
  <c r="C6" i="690"/>
  <c r="G9" i="689"/>
  <c r="F9" i="689"/>
  <c r="E9" i="689"/>
  <c r="D9" i="689"/>
  <c r="C9" i="689"/>
  <c r="G7" i="689"/>
  <c r="F7" i="689"/>
  <c r="E7" i="689"/>
  <c r="D7" i="689"/>
  <c r="C7" i="689"/>
  <c r="F14" i="688"/>
  <c r="G13" i="688" s="1"/>
  <c r="D14" i="688"/>
  <c r="E13" i="688" s="1"/>
  <c r="J13" i="688"/>
  <c r="J9" i="688"/>
  <c r="H9" i="688"/>
  <c r="F9" i="688"/>
  <c r="D9" i="688"/>
  <c r="B9" i="688"/>
  <c r="J6" i="688"/>
  <c r="H6" i="688"/>
  <c r="H14" i="688" s="1"/>
  <c r="G6" i="688"/>
  <c r="F6" i="688"/>
  <c r="D6" i="688"/>
  <c r="B6" i="688"/>
  <c r="D4" i="688"/>
  <c r="F4" i="688" s="1"/>
  <c r="H4" i="688" s="1"/>
  <c r="J4" i="688" s="1"/>
  <c r="C4" i="687"/>
  <c r="D4" i="687" s="1"/>
  <c r="E4" i="687" s="1"/>
  <c r="F4" i="687" s="1"/>
  <c r="D13" i="719" l="1"/>
  <c r="F11" i="718"/>
  <c r="F12" i="718"/>
  <c r="F18" i="718"/>
  <c r="F17" i="718"/>
  <c r="F14" i="718"/>
  <c r="F16" i="718"/>
  <c r="F19" i="718"/>
  <c r="F9" i="718"/>
  <c r="F20" i="718"/>
  <c r="F13" i="718"/>
  <c r="F15" i="718"/>
  <c r="K6" i="688"/>
  <c r="G12" i="688"/>
  <c r="J14" i="688"/>
  <c r="K12" i="688" s="1"/>
  <c r="E9" i="688"/>
  <c r="G9" i="688"/>
  <c r="G14" i="688" s="1"/>
  <c r="K9" i="688"/>
  <c r="E12" i="688"/>
  <c r="E6" i="688"/>
  <c r="B14" i="688"/>
  <c r="C13" i="688" s="1"/>
  <c r="E14" i="688"/>
  <c r="I13" i="688"/>
  <c r="I12" i="688"/>
  <c r="I9" i="688"/>
  <c r="K13" i="688"/>
  <c r="I6" i="688"/>
  <c r="I14" i="688" s="1"/>
  <c r="F21" i="718" l="1"/>
  <c r="C6" i="688"/>
  <c r="C12" i="688"/>
  <c r="K14" i="688"/>
  <c r="C9" i="688"/>
  <c r="J21" i="686"/>
  <c r="J15" i="686"/>
  <c r="I15" i="686"/>
  <c r="I21" i="686"/>
  <c r="J20" i="686"/>
  <c r="I20" i="686"/>
  <c r="J19" i="686"/>
  <c r="I19" i="686"/>
  <c r="J18" i="686"/>
  <c r="I18" i="686"/>
  <c r="J17" i="686"/>
  <c r="I17" i="686"/>
  <c r="J16" i="686"/>
  <c r="I16" i="686"/>
  <c r="J14" i="686"/>
  <c r="I14" i="686"/>
  <c r="J13" i="686"/>
  <c r="I13" i="686"/>
  <c r="J12" i="686"/>
  <c r="I12" i="686"/>
  <c r="C14" i="688" l="1"/>
  <c r="H21" i="686"/>
  <c r="H37" i="686" s="1"/>
  <c r="H19" i="686"/>
  <c r="H35" i="686" s="1"/>
  <c r="H18" i="686"/>
  <c r="H34" i="686" s="1"/>
  <c r="H17" i="686"/>
  <c r="H33" i="686" s="1"/>
  <c r="H16" i="686"/>
  <c r="H32" i="686" s="1"/>
  <c r="H15" i="686"/>
  <c r="H31" i="686" s="1"/>
  <c r="H14" i="686"/>
  <c r="H30" i="686" s="1"/>
  <c r="H13" i="686"/>
  <c r="H29" i="686" s="1"/>
  <c r="H12" i="686"/>
  <c r="G21" i="686"/>
  <c r="G37" i="686" s="1"/>
  <c r="G19" i="686"/>
  <c r="G35" i="686" s="1"/>
  <c r="G18" i="686"/>
  <c r="G34" i="686" s="1"/>
  <c r="G17" i="686"/>
  <c r="G33" i="686" s="1"/>
  <c r="G16" i="686"/>
  <c r="G32" i="686" s="1"/>
  <c r="G15" i="686"/>
  <c r="G31" i="686" s="1"/>
  <c r="G14" i="686"/>
  <c r="G30" i="686" s="1"/>
  <c r="G13" i="686"/>
  <c r="G29" i="686" s="1"/>
  <c r="G12" i="686"/>
  <c r="F21" i="686"/>
  <c r="F37" i="686" s="1"/>
  <c r="F19" i="686"/>
  <c r="F35" i="686" s="1"/>
  <c r="F17" i="686"/>
  <c r="F33" i="686" s="1"/>
  <c r="F18" i="686"/>
  <c r="F34" i="686" s="1"/>
  <c r="F16" i="686"/>
  <c r="F32" i="686" s="1"/>
  <c r="F15" i="686"/>
  <c r="F31" i="686" s="1"/>
  <c r="F14" i="686"/>
  <c r="F30" i="686" s="1"/>
  <c r="F13" i="686"/>
  <c r="F29" i="686" s="1"/>
  <c r="F12" i="686"/>
  <c r="E12" i="686"/>
  <c r="D12" i="686"/>
  <c r="C12" i="686"/>
  <c r="E21" i="686"/>
  <c r="E37" i="686" s="1"/>
  <c r="D21" i="686"/>
  <c r="E20" i="686"/>
  <c r="E36" i="686" s="1"/>
  <c r="D20" i="686"/>
  <c r="E19" i="686"/>
  <c r="E35" i="686" s="1"/>
  <c r="D19" i="686"/>
  <c r="D35" i="686" s="1"/>
  <c r="E18" i="686"/>
  <c r="E34" i="686" s="1"/>
  <c r="D18" i="686"/>
  <c r="D34" i="686" s="1"/>
  <c r="E17" i="686"/>
  <c r="E33" i="686" s="1"/>
  <c r="D17" i="686"/>
  <c r="D33" i="686" s="1"/>
  <c r="E16" i="686"/>
  <c r="E32" i="686" s="1"/>
  <c r="D16" i="686"/>
  <c r="D32" i="686" s="1"/>
  <c r="E15" i="686"/>
  <c r="E31" i="686" s="1"/>
  <c r="D15" i="686"/>
  <c r="D31" i="686" s="1"/>
  <c r="E14" i="686"/>
  <c r="E30" i="686" s="1"/>
  <c r="D14" i="686"/>
  <c r="E13" i="686"/>
  <c r="E29" i="686" s="1"/>
  <c r="D13" i="686"/>
  <c r="D29" i="686" s="1"/>
  <c r="C21" i="686"/>
  <c r="C15" i="686"/>
  <c r="C20" i="686"/>
  <c r="J37" i="686"/>
  <c r="I37" i="686"/>
  <c r="H36" i="686"/>
  <c r="G36" i="686"/>
  <c r="F36" i="686"/>
  <c r="J36" i="686"/>
  <c r="I36" i="686"/>
  <c r="C19" i="686"/>
  <c r="C18" i="686"/>
  <c r="C17" i="686"/>
  <c r="C16" i="686"/>
  <c r="C14" i="686"/>
  <c r="C13" i="686"/>
  <c r="J35" i="686"/>
  <c r="I35" i="686"/>
  <c r="J34" i="686"/>
  <c r="I34" i="686"/>
  <c r="J33" i="686"/>
  <c r="I33" i="686"/>
  <c r="J32" i="686"/>
  <c r="I32" i="686"/>
  <c r="J31" i="686"/>
  <c r="I31" i="686"/>
  <c r="J30" i="686"/>
  <c r="I30" i="686"/>
  <c r="J29" i="686"/>
  <c r="I29" i="686"/>
  <c r="J28" i="686"/>
  <c r="I28" i="686"/>
  <c r="A29" i="686"/>
  <c r="A30" i="686" s="1"/>
  <c r="A31" i="686" s="1"/>
  <c r="A32" i="686" s="1"/>
  <c r="A33" i="686" s="1"/>
  <c r="A34" i="686" s="1"/>
  <c r="A35" i="686" s="1"/>
  <c r="A36" i="686" s="1"/>
  <c r="A37" i="686" s="1"/>
  <c r="J22" i="686"/>
  <c r="I22" i="686"/>
  <c r="A13" i="686"/>
  <c r="A14" i="686" s="1"/>
  <c r="A15" i="686" s="1"/>
  <c r="A16" i="686" s="1"/>
  <c r="A17" i="686" s="1"/>
  <c r="A18" i="686" s="1"/>
  <c r="A19" i="686" s="1"/>
  <c r="A20" i="686" s="1"/>
  <c r="C29" i="686" l="1"/>
  <c r="K13" i="686"/>
  <c r="K29" i="686" s="1"/>
  <c r="C35" i="686"/>
  <c r="K19" i="686"/>
  <c r="K35" i="686" s="1"/>
  <c r="C30" i="686"/>
  <c r="K14" i="686"/>
  <c r="K30" i="686" s="1"/>
  <c r="C32" i="686"/>
  <c r="K16" i="686"/>
  <c r="K32" i="686" s="1"/>
  <c r="C28" i="686"/>
  <c r="K12" i="686"/>
  <c r="C36" i="686"/>
  <c r="K20" i="686"/>
  <c r="K36" i="686" s="1"/>
  <c r="C31" i="686"/>
  <c r="K15" i="686"/>
  <c r="K31" i="686" s="1"/>
  <c r="C33" i="686"/>
  <c r="K17" i="686"/>
  <c r="K33" i="686" s="1"/>
  <c r="C37" i="686"/>
  <c r="K21" i="686"/>
  <c r="K37" i="686" s="1"/>
  <c r="C34" i="686"/>
  <c r="K18" i="686"/>
  <c r="K34" i="686" s="1"/>
  <c r="H22" i="686"/>
  <c r="D30" i="686"/>
  <c r="D36" i="686"/>
  <c r="D37" i="686"/>
  <c r="E22" i="686"/>
  <c r="G22" i="686"/>
  <c r="D22" i="686"/>
  <c r="F22" i="686"/>
  <c r="D28" i="686"/>
  <c r="G28" i="686"/>
  <c r="G38" i="686" s="1"/>
  <c r="E28" i="686"/>
  <c r="I38" i="686"/>
  <c r="H28" i="686"/>
  <c r="J38" i="686"/>
  <c r="F28" i="686"/>
  <c r="F38" i="686" s="1"/>
  <c r="A62" i="682"/>
  <c r="A61" i="682"/>
  <c r="A60" i="682"/>
  <c r="A59" i="682"/>
  <c r="A58" i="682"/>
  <c r="A57" i="682"/>
  <c r="A56" i="682"/>
  <c r="A55" i="682"/>
  <c r="A54" i="682"/>
  <c r="A53" i="682"/>
  <c r="A52" i="682"/>
  <c r="A51" i="682"/>
  <c r="A50" i="682"/>
  <c r="A49" i="682"/>
  <c r="A48" i="682"/>
  <c r="A47" i="682"/>
  <c r="A46" i="682"/>
  <c r="A45" i="682"/>
  <c r="A44" i="682"/>
  <c r="A43" i="682"/>
  <c r="A42" i="682"/>
  <c r="A41" i="682"/>
  <c r="A40" i="682"/>
  <c r="A39" i="682"/>
  <c r="A38" i="682"/>
  <c r="A37" i="682"/>
  <c r="A36" i="682"/>
  <c r="A35" i="682"/>
  <c r="A34" i="682"/>
  <c r="A33" i="682"/>
  <c r="A32" i="682"/>
  <c r="A31" i="682"/>
  <c r="A30" i="682"/>
  <c r="A29" i="682"/>
  <c r="A28" i="682"/>
  <c r="A27" i="682"/>
  <c r="A26" i="682"/>
  <c r="A25" i="682"/>
  <c r="A24" i="682"/>
  <c r="A23" i="682"/>
  <c r="A22" i="682"/>
  <c r="A21" i="682"/>
  <c r="A20" i="682"/>
  <c r="A19" i="682"/>
  <c r="A18" i="682"/>
  <c r="A17" i="682"/>
  <c r="A16" i="682"/>
  <c r="A15" i="682"/>
  <c r="A14" i="682"/>
  <c r="A13" i="682"/>
  <c r="A12" i="682"/>
  <c r="A11" i="682"/>
  <c r="A10" i="682"/>
  <c r="A9" i="682"/>
  <c r="A8" i="682"/>
  <c r="A7" i="682"/>
  <c r="A6" i="682"/>
  <c r="C35" i="680"/>
  <c r="C34" i="680"/>
  <c r="C32" i="680"/>
  <c r="C31" i="680"/>
  <c r="C30" i="680"/>
  <c r="C29" i="680"/>
  <c r="C48" i="680" s="1"/>
  <c r="C28" i="680"/>
  <c r="C27" i="680"/>
  <c r="C47" i="680" s="1"/>
  <c r="C26" i="680"/>
  <c r="C25" i="680"/>
  <c r="C24" i="680"/>
  <c r="C22" i="680"/>
  <c r="C21" i="680"/>
  <c r="C20" i="680"/>
  <c r="C19" i="680"/>
  <c r="C18" i="680"/>
  <c r="C45" i="680" s="1"/>
  <c r="C17" i="680"/>
  <c r="C16" i="680"/>
  <c r="C44" i="680" s="1"/>
  <c r="C15" i="680"/>
  <c r="C14" i="680"/>
  <c r="C13" i="680"/>
  <c r="C12" i="680"/>
  <c r="C11" i="680"/>
  <c r="C10" i="680"/>
  <c r="C9" i="680"/>
  <c r="C8" i="680"/>
  <c r="C7" i="680"/>
  <c r="C43" i="680" s="1"/>
  <c r="B25" i="680"/>
  <c r="B26" i="680" s="1"/>
  <c r="B27" i="680" s="1"/>
  <c r="B28" i="680" s="1"/>
  <c r="B29" i="680" s="1"/>
  <c r="B30" i="680" s="1"/>
  <c r="B31" i="680" s="1"/>
  <c r="B32" i="680" s="1"/>
  <c r="B8" i="680"/>
  <c r="B9" i="680" s="1"/>
  <c r="B10" i="680" s="1"/>
  <c r="B11" i="680" s="1"/>
  <c r="B12" i="680" s="1"/>
  <c r="B13" i="680" s="1"/>
  <c r="B14" i="680" s="1"/>
  <c r="B15" i="680" s="1"/>
  <c r="B16" i="680" s="1"/>
  <c r="B17" i="680" s="1"/>
  <c r="B18" i="680" s="1"/>
  <c r="B19" i="680" s="1"/>
  <c r="B20" i="680" s="1"/>
  <c r="B21" i="680" s="1"/>
  <c r="B22" i="680" s="1"/>
  <c r="C38" i="686" l="1"/>
  <c r="E38" i="686"/>
  <c r="H38" i="686"/>
  <c r="B10" i="728" s="1"/>
  <c r="B54" i="685"/>
  <c r="D38" i="686"/>
  <c r="K28" i="686"/>
  <c r="K38" i="686" s="1"/>
  <c r="F20" i="772" l="1"/>
  <c r="F19" i="772"/>
  <c r="F29" i="772"/>
  <c r="F11" i="772"/>
  <c r="F33" i="772"/>
  <c r="F28" i="772"/>
  <c r="F32" i="772"/>
  <c r="F18" i="772"/>
  <c r="F17" i="772"/>
  <c r="F15" i="772"/>
  <c r="F31" i="772"/>
  <c r="F16" i="772"/>
  <c r="F26" i="772"/>
  <c r="C50" i="685"/>
  <c r="F22" i="772"/>
  <c r="F35" i="772"/>
  <c r="F21" i="772"/>
  <c r="F27" i="772"/>
  <c r="B9" i="728"/>
  <c r="B11" i="728" s="1"/>
  <c r="C10" i="728"/>
  <c r="C9" i="728"/>
  <c r="C57" i="685"/>
  <c r="F25" i="772" l="1"/>
  <c r="C11" i="728"/>
  <c r="C55" i="685"/>
  <c r="G84" i="108" l="1"/>
  <c r="F79" i="108" s="1"/>
  <c r="B8" i="420"/>
  <c r="B9" i="420"/>
  <c r="B10" i="420"/>
  <c r="B11" i="420"/>
  <c r="B12" i="420"/>
  <c r="B13" i="420"/>
  <c r="B14" i="420"/>
  <c r="B15" i="420"/>
  <c r="B16" i="420"/>
  <c r="B17" i="420"/>
  <c r="B18" i="420"/>
  <c r="B19" i="420"/>
  <c r="B20" i="420"/>
  <c r="B21" i="420"/>
  <c r="B22" i="420"/>
  <c r="B23" i="420"/>
  <c r="B24" i="420"/>
  <c r="B25" i="420"/>
  <c r="B26" i="420"/>
  <c r="B27" i="420"/>
  <c r="B28" i="420"/>
  <c r="B29" i="420"/>
  <c r="B30" i="420"/>
  <c r="B31" i="420"/>
  <c r="B32" i="420"/>
  <c r="B33" i="420"/>
  <c r="B34" i="420"/>
  <c r="B35" i="420"/>
  <c r="B36" i="420"/>
  <c r="B37" i="420"/>
  <c r="B38" i="420"/>
  <c r="B39" i="420"/>
  <c r="B40" i="420"/>
  <c r="B75" i="420"/>
  <c r="B41" i="420"/>
  <c r="B42" i="420"/>
  <c r="B43" i="420"/>
  <c r="B44" i="420"/>
  <c r="B46" i="420"/>
  <c r="B47" i="420"/>
  <c r="B48" i="420"/>
  <c r="B49" i="420"/>
  <c r="B50" i="420"/>
  <c r="B51" i="420"/>
  <c r="B52" i="420"/>
  <c r="B53" i="420"/>
  <c r="B54" i="420"/>
  <c r="B55" i="420"/>
  <c r="B56" i="420"/>
  <c r="B57" i="420"/>
  <c r="B58" i="420"/>
  <c r="B59" i="420"/>
  <c r="B60" i="420"/>
  <c r="B61" i="420"/>
  <c r="B62" i="420"/>
  <c r="B63" i="420"/>
  <c r="B64" i="420"/>
  <c r="B65" i="420"/>
  <c r="B66" i="420"/>
  <c r="B67" i="420"/>
  <c r="B68" i="420"/>
  <c r="B69" i="420"/>
  <c r="B70" i="420"/>
  <c r="B71" i="420"/>
  <c r="B72" i="420"/>
  <c r="B73" i="420"/>
  <c r="B74" i="420"/>
  <c r="B76" i="420"/>
  <c r="Q88" i="120" l="1"/>
  <c r="Q88" i="117"/>
  <c r="Q88" i="124"/>
  <c r="Q88" i="116"/>
  <c r="Q86" i="115"/>
  <c r="Q87" i="115" s="1"/>
  <c r="Q86" i="124"/>
  <c r="Q87" i="124" s="1"/>
  <c r="Q86" i="116"/>
  <c r="Q87" i="116" s="1"/>
  <c r="Q86" i="117"/>
  <c r="Q87" i="117" s="1"/>
  <c r="Q86" i="120"/>
  <c r="Q87" i="120" s="1"/>
  <c r="Q84" i="115"/>
  <c r="Q85" i="115" s="1"/>
  <c r="Q84" i="124"/>
  <c r="Q85" i="124" s="1"/>
  <c r="Q84" i="116"/>
  <c r="Q85" i="116" s="1"/>
  <c r="Q84" i="117"/>
  <c r="Q85" i="117" s="1"/>
  <c r="Q84" i="120"/>
  <c r="Q85" i="120" s="1"/>
  <c r="Q84" i="121"/>
  <c r="Q85" i="121" s="1"/>
  <c r="Q84" i="122"/>
  <c r="Q84" i="123"/>
  <c r="Q85" i="123" s="1"/>
  <c r="Q88" i="118" l="1"/>
  <c r="Q87" i="118"/>
  <c r="Q84" i="118"/>
  <c r="Q85" i="118" s="1"/>
  <c r="I40" i="59" l="1"/>
  <c r="A76" i="420" l="1"/>
  <c r="A73" i="420"/>
  <c r="A72" i="420"/>
  <c r="A71" i="420"/>
  <c r="A70" i="420"/>
  <c r="A69" i="420"/>
  <c r="A68" i="420"/>
  <c r="A67" i="420"/>
  <c r="A66" i="420"/>
  <c r="A64" i="420"/>
  <c r="A63" i="420"/>
  <c r="A61" i="420"/>
  <c r="A60" i="420"/>
  <c r="A58" i="420"/>
  <c r="A57" i="420"/>
  <c r="A56" i="420"/>
  <c r="A55" i="420"/>
  <c r="A54" i="420"/>
  <c r="A52" i="420"/>
  <c r="A51" i="420"/>
  <c r="A49" i="420"/>
  <c r="A48" i="420"/>
  <c r="A47" i="420"/>
  <c r="A46" i="420"/>
  <c r="A44" i="420"/>
  <c r="A42" i="420"/>
  <c r="A41" i="420"/>
  <c r="A75" i="420"/>
  <c r="A40" i="420"/>
  <c r="A39" i="420"/>
  <c r="A37" i="420"/>
  <c r="A36" i="420"/>
  <c r="A35" i="420"/>
  <c r="A34" i="420"/>
  <c r="A33" i="420"/>
  <c r="A32" i="420"/>
  <c r="A31" i="420"/>
  <c r="A30" i="420"/>
  <c r="A29" i="420"/>
  <c r="A28" i="420"/>
  <c r="A27" i="420"/>
  <c r="A26" i="420"/>
  <c r="A25" i="420"/>
  <c r="A24" i="420"/>
  <c r="A23" i="420"/>
  <c r="A22" i="420"/>
  <c r="A21" i="420"/>
  <c r="A20" i="420"/>
  <c r="A19" i="420"/>
  <c r="A18" i="420"/>
  <c r="A17" i="420"/>
  <c r="A16" i="420"/>
  <c r="A14" i="420"/>
  <c r="A12" i="420"/>
  <c r="A10" i="420"/>
  <c r="A9" i="420"/>
  <c r="A8" i="420"/>
  <c r="B7" i="420"/>
  <c r="A13" i="59"/>
  <c r="A15" i="59"/>
  <c r="A17" i="59"/>
  <c r="A40" i="59"/>
  <c r="A45" i="59"/>
  <c r="A55" i="59"/>
  <c r="A65" i="59"/>
  <c r="A77" i="59"/>
  <c r="E1" i="59"/>
  <c r="F1" i="59"/>
  <c r="K1" i="59"/>
  <c r="AA1" i="59"/>
  <c r="AB1" i="59"/>
  <c r="AC1" i="59"/>
  <c r="AD1" i="59"/>
  <c r="AE1" i="59"/>
  <c r="AF1" i="59"/>
  <c r="AG1" i="59"/>
  <c r="AH1" i="59"/>
  <c r="AI1" i="59"/>
  <c r="AN1" i="59"/>
  <c r="AO1" i="59"/>
  <c r="AP1" i="59"/>
  <c r="AQ1" i="59"/>
  <c r="AR1" i="59"/>
  <c r="AS1" i="59"/>
  <c r="AT1" i="59"/>
  <c r="AU1" i="59"/>
  <c r="AZ1" i="59"/>
  <c r="BA1" i="59"/>
  <c r="BB1" i="59"/>
  <c r="BC1" i="59"/>
  <c r="BD1" i="59"/>
  <c r="BE1" i="59"/>
  <c r="BF1" i="59"/>
  <c r="BG1" i="59"/>
  <c r="BH1" i="59"/>
  <c r="BI1" i="59"/>
  <c r="BJ1" i="59"/>
  <c r="BK1" i="59"/>
  <c r="J2" i="59"/>
  <c r="Y2" i="59"/>
  <c r="AL2" i="59"/>
  <c r="AX2" i="59"/>
  <c r="R3" i="59"/>
  <c r="S3" i="59" s="1"/>
  <c r="U3" i="59"/>
  <c r="V3" i="59" s="1"/>
  <c r="Y3" i="59"/>
  <c r="Z3" i="59"/>
  <c r="AL3" i="59"/>
  <c r="AM3" i="59"/>
  <c r="AX3" i="59"/>
  <c r="AY3" i="59"/>
  <c r="R4" i="59"/>
  <c r="S4" i="59" s="1"/>
  <c r="U4" i="59"/>
  <c r="V4" i="59" s="1"/>
  <c r="Y4" i="59"/>
  <c r="Z4" i="59"/>
  <c r="AL4" i="59"/>
  <c r="AM4" i="59"/>
  <c r="AX4" i="59"/>
  <c r="AY4" i="59"/>
  <c r="R5" i="59"/>
  <c r="S5" i="59" s="1"/>
  <c r="U5" i="59"/>
  <c r="V5" i="59" s="1"/>
  <c r="Y5" i="59"/>
  <c r="AL5" i="59"/>
  <c r="AX5" i="59"/>
  <c r="R6" i="59"/>
  <c r="S6" i="59" s="1"/>
  <c r="U6" i="59"/>
  <c r="V6" i="59" s="1"/>
  <c r="R7" i="59"/>
  <c r="S7" i="59" s="1"/>
  <c r="U7" i="59"/>
  <c r="R8" i="59"/>
  <c r="S8" i="59" s="1"/>
  <c r="U8" i="59"/>
  <c r="R9" i="59"/>
  <c r="S9" i="59" s="1"/>
  <c r="U9" i="59"/>
  <c r="V9" i="59" s="1"/>
  <c r="R10" i="59"/>
  <c r="S10" i="59" s="1"/>
  <c r="U10" i="59"/>
  <c r="Y10" i="59"/>
  <c r="AL10" i="59"/>
  <c r="AX10" i="59"/>
  <c r="R11" i="59"/>
  <c r="S11" i="59" s="1"/>
  <c r="U11" i="59"/>
  <c r="V11" i="59" s="1"/>
  <c r="U12" i="59"/>
  <c r="U13" i="59"/>
  <c r="V13" i="59" s="1"/>
  <c r="U14" i="59"/>
  <c r="Y14" i="59"/>
  <c r="AL14" i="59"/>
  <c r="AX14" i="59"/>
  <c r="R25" i="59"/>
  <c r="S25" i="59" s="1"/>
  <c r="R26" i="59"/>
  <c r="S26" i="59" s="1"/>
  <c r="R27" i="59"/>
  <c r="S27" i="59" s="1"/>
  <c r="R28" i="59"/>
  <c r="S28" i="59" s="1"/>
  <c r="R29" i="59"/>
  <c r="S29" i="59" s="1"/>
  <c r="R30" i="59"/>
  <c r="S30" i="59" s="1"/>
  <c r="R31" i="59"/>
  <c r="S31" i="59" s="1"/>
  <c r="R32" i="59"/>
  <c r="S32" i="59" s="1"/>
  <c r="Y37" i="59"/>
  <c r="AL37" i="59"/>
  <c r="AX37" i="59"/>
  <c r="Y78" i="59"/>
  <c r="AL78" i="59"/>
  <c r="AX78" i="59"/>
  <c r="Y49" i="59"/>
  <c r="AL49" i="59"/>
  <c r="AX49" i="59"/>
  <c r="Y52" i="59"/>
  <c r="AL52" i="59"/>
  <c r="AX52" i="59"/>
  <c r="Y59" i="59"/>
  <c r="AL59" i="59"/>
  <c r="AX59" i="59"/>
  <c r="Y63" i="59"/>
  <c r="AL63" i="59"/>
  <c r="AX63" i="59"/>
  <c r="Y66" i="59"/>
  <c r="AL66" i="59"/>
  <c r="AX66" i="59"/>
  <c r="G754" i="59"/>
  <c r="B24" i="418"/>
  <c r="L24" i="418" s="1"/>
  <c r="B25" i="418"/>
  <c r="L25" i="418" s="1"/>
  <c r="B26" i="418"/>
  <c r="L26" i="418" s="1"/>
  <c r="B27" i="418"/>
  <c r="L27" i="418" s="1"/>
  <c r="B28" i="418"/>
  <c r="L28" i="418" s="1"/>
  <c r="B29" i="418"/>
  <c r="L29" i="418" s="1"/>
  <c r="J2" i="100"/>
  <c r="J2" i="101"/>
  <c r="J2" i="102"/>
  <c r="J2" i="103"/>
  <c r="J2" i="104"/>
  <c r="J2" i="105"/>
  <c r="J2" i="106"/>
  <c r="J2" i="107"/>
  <c r="J2" i="108"/>
  <c r="J2" i="110"/>
  <c r="J2" i="111"/>
  <c r="J2" i="112"/>
  <c r="J2" i="472"/>
  <c r="J2" i="114"/>
  <c r="J2" i="115"/>
  <c r="J2" i="124"/>
  <c r="J2" i="116"/>
  <c r="J2" i="117"/>
  <c r="J2" i="118"/>
  <c r="J2" i="119"/>
  <c r="J2" i="120"/>
  <c r="J2" i="121"/>
  <c r="J2" i="122"/>
  <c r="J2" i="123"/>
  <c r="J2" i="125"/>
  <c r="J2" i="475"/>
  <c r="J10" i="669"/>
  <c r="J11" i="669" s="1"/>
  <c r="I68" i="100"/>
  <c r="I68" i="101"/>
  <c r="I68" i="102"/>
  <c r="I68" i="103"/>
  <c r="I68" i="104"/>
  <c r="I68" i="105"/>
  <c r="I68" i="106"/>
  <c r="I68" i="107"/>
  <c r="I68" i="108"/>
  <c r="I68" i="110"/>
  <c r="I68" i="111"/>
  <c r="I68" i="112"/>
  <c r="I68" i="472"/>
  <c r="I68" i="114"/>
  <c r="I68" i="115"/>
  <c r="I68" i="124"/>
  <c r="I68" i="116"/>
  <c r="I68" i="117"/>
  <c r="I68" i="118"/>
  <c r="I68" i="119"/>
  <c r="I68" i="120"/>
  <c r="I68" i="121"/>
  <c r="I68" i="122"/>
  <c r="I68" i="123"/>
  <c r="I68" i="125"/>
  <c r="I68" i="475"/>
  <c r="I68" i="59"/>
  <c r="I65" i="100"/>
  <c r="I65" i="101"/>
  <c r="I65" i="102"/>
  <c r="I65" i="103"/>
  <c r="I65" i="104"/>
  <c r="I65" i="105"/>
  <c r="I65" i="106"/>
  <c r="I65" i="107"/>
  <c r="I65" i="108"/>
  <c r="I65" i="110"/>
  <c r="I65" i="111"/>
  <c r="I65" i="112"/>
  <c r="I65" i="472"/>
  <c r="I65" i="114"/>
  <c r="I65" i="115"/>
  <c r="I65" i="124"/>
  <c r="I65" i="116"/>
  <c r="I65" i="117"/>
  <c r="I65" i="118"/>
  <c r="I65" i="119"/>
  <c r="I65" i="120"/>
  <c r="I65" i="121"/>
  <c r="I65" i="122"/>
  <c r="I65" i="123"/>
  <c r="I65" i="125"/>
  <c r="I65" i="475"/>
  <c r="I65" i="59"/>
  <c r="I62" i="100"/>
  <c r="I62" i="101"/>
  <c r="I62" i="102"/>
  <c r="I62" i="103"/>
  <c r="I62" i="104"/>
  <c r="I62" i="105"/>
  <c r="I62" i="106"/>
  <c r="I62" i="107"/>
  <c r="I62" i="108"/>
  <c r="I62" i="110"/>
  <c r="I62" i="111"/>
  <c r="I62" i="112"/>
  <c r="I62" i="472"/>
  <c r="I62" i="114"/>
  <c r="I62" i="115"/>
  <c r="I62" i="124"/>
  <c r="I62" i="116"/>
  <c r="I62" i="117"/>
  <c r="I62" i="118"/>
  <c r="I62" i="119"/>
  <c r="I62" i="120"/>
  <c r="I62" i="121"/>
  <c r="I62" i="122"/>
  <c r="I62" i="123"/>
  <c r="I62" i="125"/>
  <c r="I62" i="475"/>
  <c r="I62" i="59"/>
  <c r="I55" i="100"/>
  <c r="I55" i="101"/>
  <c r="I55" i="102"/>
  <c r="I55" i="103"/>
  <c r="I55" i="104"/>
  <c r="I55" i="105"/>
  <c r="I55" i="106"/>
  <c r="I55" i="107"/>
  <c r="I55" i="108"/>
  <c r="I55" i="110"/>
  <c r="I55" i="111"/>
  <c r="I55" i="112"/>
  <c r="I55" i="472"/>
  <c r="I55" i="114"/>
  <c r="I55" i="115"/>
  <c r="I55" i="124"/>
  <c r="I55" i="116"/>
  <c r="I55" i="117"/>
  <c r="I55" i="118"/>
  <c r="I55" i="119"/>
  <c r="I55" i="120"/>
  <c r="I55" i="121"/>
  <c r="I55" i="122"/>
  <c r="I55" i="123"/>
  <c r="I55" i="125"/>
  <c r="I55" i="475"/>
  <c r="I55" i="59"/>
  <c r="I52" i="100"/>
  <c r="I52" i="101"/>
  <c r="I52" i="102"/>
  <c r="I52" i="103"/>
  <c r="I52" i="104"/>
  <c r="I52" i="105"/>
  <c r="I52" i="106"/>
  <c r="I52" i="107"/>
  <c r="I52" i="108"/>
  <c r="I52" i="110"/>
  <c r="I52" i="111"/>
  <c r="I52" i="112"/>
  <c r="I52" i="472"/>
  <c r="I52" i="114"/>
  <c r="I52" i="115"/>
  <c r="I52" i="124"/>
  <c r="I8" i="124" s="1"/>
  <c r="I52" i="116"/>
  <c r="I8" i="116" s="1"/>
  <c r="I52" i="117"/>
  <c r="I8" i="117" s="1"/>
  <c r="I52" i="118"/>
  <c r="I52" i="119"/>
  <c r="I8" i="119" s="1"/>
  <c r="I52" i="120"/>
  <c r="I8" i="120" s="1"/>
  <c r="I52" i="121"/>
  <c r="I8" i="121" s="1"/>
  <c r="I52" i="122"/>
  <c r="I8" i="122" s="1"/>
  <c r="I52" i="123"/>
  <c r="I52" i="125"/>
  <c r="I52" i="475"/>
  <c r="I52" i="59"/>
  <c r="I40" i="100"/>
  <c r="I40" i="101"/>
  <c r="I40" i="102"/>
  <c r="I40" i="103"/>
  <c r="I40" i="104"/>
  <c r="I40" i="105"/>
  <c r="I40" i="106"/>
  <c r="I40" i="107"/>
  <c r="I40" i="108"/>
  <c r="I40" i="110"/>
  <c r="I40" i="111"/>
  <c r="I40" i="112"/>
  <c r="I40" i="472"/>
  <c r="I40" i="114"/>
  <c r="I40" i="115"/>
  <c r="I40" i="124"/>
  <c r="I40" i="116"/>
  <c r="I40" i="117"/>
  <c r="I40" i="118"/>
  <c r="I40" i="119"/>
  <c r="I40" i="120"/>
  <c r="I40" i="121"/>
  <c r="I40" i="122"/>
  <c r="I40" i="123"/>
  <c r="I40" i="125"/>
  <c r="I40" i="475"/>
  <c r="I17" i="100"/>
  <c r="I17" i="101"/>
  <c r="I17" i="102"/>
  <c r="I17" i="103"/>
  <c r="I17" i="104"/>
  <c r="I17" i="105"/>
  <c r="I17" i="106"/>
  <c r="I17" i="107"/>
  <c r="I17" i="108"/>
  <c r="I17" i="110"/>
  <c r="I17" i="111"/>
  <c r="I17" i="112"/>
  <c r="I17" i="472"/>
  <c r="I17" i="114"/>
  <c r="I17" i="115"/>
  <c r="I17" i="124"/>
  <c r="I17" i="116"/>
  <c r="I17" i="117"/>
  <c r="I17" i="118"/>
  <c r="I17" i="119"/>
  <c r="I17" i="120"/>
  <c r="I17" i="121"/>
  <c r="I17" i="122"/>
  <c r="I17" i="123"/>
  <c r="I17" i="125"/>
  <c r="I17" i="475"/>
  <c r="I17" i="59"/>
  <c r="I15" i="100"/>
  <c r="I15" i="101"/>
  <c r="I15" i="102"/>
  <c r="I15" i="103"/>
  <c r="I15" i="104"/>
  <c r="I15" i="105"/>
  <c r="I15" i="106"/>
  <c r="I15" i="107"/>
  <c r="I15" i="108"/>
  <c r="I15" i="110"/>
  <c r="I15" i="111"/>
  <c r="I15" i="112"/>
  <c r="I15" i="472"/>
  <c r="I15" i="114"/>
  <c r="I15" i="115"/>
  <c r="I15" i="124"/>
  <c r="I15" i="116"/>
  <c r="I15" i="117"/>
  <c r="I15" i="118"/>
  <c r="I15" i="119"/>
  <c r="I15" i="120"/>
  <c r="I15" i="121"/>
  <c r="I15" i="122"/>
  <c r="I15" i="123"/>
  <c r="I15" i="125"/>
  <c r="I15" i="475"/>
  <c r="I15" i="59"/>
  <c r="I13" i="100"/>
  <c r="I13" i="101"/>
  <c r="I13" i="102"/>
  <c r="I13" i="103"/>
  <c r="I13" i="104"/>
  <c r="I13" i="105"/>
  <c r="I13" i="106"/>
  <c r="I13" i="107"/>
  <c r="I13" i="108"/>
  <c r="I13" i="110"/>
  <c r="I13" i="111"/>
  <c r="I13" i="112"/>
  <c r="I13" i="472"/>
  <c r="I13" i="114"/>
  <c r="I13" i="115"/>
  <c r="I13" i="124"/>
  <c r="I13" i="116"/>
  <c r="I13" i="117"/>
  <c r="I13" i="118"/>
  <c r="I13" i="119"/>
  <c r="I13" i="120"/>
  <c r="I13" i="121"/>
  <c r="I13" i="122"/>
  <c r="I13" i="123"/>
  <c r="I13" i="125"/>
  <c r="I13" i="475"/>
  <c r="I13" i="59"/>
  <c r="I9" i="100"/>
  <c r="F7" i="420" s="1"/>
  <c r="I9" i="101"/>
  <c r="I9" i="102"/>
  <c r="I9" i="103"/>
  <c r="I9" i="104"/>
  <c r="I9" i="105"/>
  <c r="I9" i="106"/>
  <c r="I9" i="107"/>
  <c r="I9" i="108"/>
  <c r="I9" i="110"/>
  <c r="I9" i="111"/>
  <c r="I9" i="112"/>
  <c r="I9" i="472"/>
  <c r="I9" i="114"/>
  <c r="I9" i="115"/>
  <c r="I9" i="124"/>
  <c r="I9" i="116"/>
  <c r="I9" i="117"/>
  <c r="I9" i="118"/>
  <c r="I9" i="119"/>
  <c r="I9" i="120"/>
  <c r="I9" i="121"/>
  <c r="I9" i="122"/>
  <c r="I9" i="123"/>
  <c r="I9" i="125"/>
  <c r="I9" i="475"/>
  <c r="I9" i="59"/>
  <c r="I5" i="100"/>
  <c r="I5" i="101"/>
  <c r="I5" i="102"/>
  <c r="I5" i="103"/>
  <c r="I5" i="104"/>
  <c r="I5" i="105"/>
  <c r="I5" i="106"/>
  <c r="I5" i="107"/>
  <c r="I5" i="108"/>
  <c r="I5" i="110"/>
  <c r="I5" i="111"/>
  <c r="I5" i="112"/>
  <c r="I5" i="472"/>
  <c r="I5" i="114"/>
  <c r="I5" i="115"/>
  <c r="I5" i="124"/>
  <c r="I5" i="116"/>
  <c r="I5" i="117"/>
  <c r="I5" i="118"/>
  <c r="I5" i="119"/>
  <c r="I5" i="120"/>
  <c r="I5" i="121"/>
  <c r="I5" i="122"/>
  <c r="I5" i="123"/>
  <c r="I5" i="125"/>
  <c r="I5" i="475"/>
  <c r="I5" i="59"/>
  <c r="E68" i="100"/>
  <c r="E68" i="101"/>
  <c r="E68" i="102"/>
  <c r="E68" i="103"/>
  <c r="E68" i="104"/>
  <c r="E68" i="105"/>
  <c r="E68" i="106"/>
  <c r="E68" i="107"/>
  <c r="E68" i="108"/>
  <c r="E68" i="110"/>
  <c r="E68" i="111"/>
  <c r="E68" i="112"/>
  <c r="E68" i="472"/>
  <c r="E68" i="114"/>
  <c r="E68" i="115"/>
  <c r="E68" i="124"/>
  <c r="E68" i="116"/>
  <c r="E68" i="117"/>
  <c r="E68" i="118"/>
  <c r="E68" i="119"/>
  <c r="E68" i="120"/>
  <c r="E68" i="121"/>
  <c r="E68" i="122"/>
  <c r="E68" i="123"/>
  <c r="E68" i="125"/>
  <c r="E68" i="475"/>
  <c r="E68" i="59"/>
  <c r="E65" i="100"/>
  <c r="E65" i="101"/>
  <c r="E65" i="102"/>
  <c r="E65" i="103"/>
  <c r="E65" i="104"/>
  <c r="E65" i="105"/>
  <c r="E65" i="106"/>
  <c r="E65" i="107"/>
  <c r="E65" i="108"/>
  <c r="E65" i="110"/>
  <c r="E65" i="111"/>
  <c r="E65" i="112"/>
  <c r="E65" i="472"/>
  <c r="E65" i="114"/>
  <c r="E65" i="115"/>
  <c r="E65" i="124"/>
  <c r="E65" i="116"/>
  <c r="E65" i="117"/>
  <c r="E65" i="118"/>
  <c r="E65" i="119"/>
  <c r="E65" i="120"/>
  <c r="E65" i="121"/>
  <c r="E65" i="122"/>
  <c r="E65" i="123"/>
  <c r="E65" i="125"/>
  <c r="E65" i="475"/>
  <c r="E65" i="59"/>
  <c r="E62" i="100"/>
  <c r="E62" i="101"/>
  <c r="E62" i="102"/>
  <c r="E62" i="103"/>
  <c r="E62" i="104"/>
  <c r="E62" i="105"/>
  <c r="E62" i="106"/>
  <c r="E62" i="107"/>
  <c r="E62" i="108"/>
  <c r="E62" i="110"/>
  <c r="E62" i="111"/>
  <c r="E62" i="112"/>
  <c r="E62" i="472"/>
  <c r="E62" i="114"/>
  <c r="E62" i="115"/>
  <c r="E62" i="124"/>
  <c r="E62" i="116"/>
  <c r="E62" i="117"/>
  <c r="E62" i="118"/>
  <c r="E62" i="119"/>
  <c r="E62" i="120"/>
  <c r="E62" i="121"/>
  <c r="E62" i="122"/>
  <c r="E62" i="123"/>
  <c r="E62" i="125"/>
  <c r="E62" i="475"/>
  <c r="E62" i="59"/>
  <c r="E55" i="100"/>
  <c r="E55" i="101"/>
  <c r="E55" i="102"/>
  <c r="E55" i="103"/>
  <c r="E55" i="104"/>
  <c r="E55" i="105"/>
  <c r="E55" i="106"/>
  <c r="E55" i="107"/>
  <c r="E55" i="108"/>
  <c r="E55" i="110"/>
  <c r="E55" i="111"/>
  <c r="E55" i="112"/>
  <c r="E55" i="472"/>
  <c r="E55" i="114"/>
  <c r="E55" i="115"/>
  <c r="E55" i="124"/>
  <c r="E55" i="116"/>
  <c r="E55" i="117"/>
  <c r="E55" i="118"/>
  <c r="E55" i="119"/>
  <c r="E55" i="120"/>
  <c r="E55" i="121"/>
  <c r="E55" i="122"/>
  <c r="E55" i="123"/>
  <c r="E55" i="125"/>
  <c r="E55" i="475"/>
  <c r="E55" i="59"/>
  <c r="E40" i="100"/>
  <c r="E40" i="101"/>
  <c r="E40" i="102"/>
  <c r="E40" i="103"/>
  <c r="E40" i="104"/>
  <c r="E40" i="105"/>
  <c r="E40" i="106"/>
  <c r="E40" i="107"/>
  <c r="E40" i="108"/>
  <c r="E40" i="110"/>
  <c r="E40" i="111"/>
  <c r="E40" i="112"/>
  <c r="E40" i="472"/>
  <c r="E40" i="114"/>
  <c r="E40" i="115"/>
  <c r="E40" i="124"/>
  <c r="E40" i="116"/>
  <c r="E40" i="117"/>
  <c r="E40" i="118"/>
  <c r="E40" i="119"/>
  <c r="E40" i="120"/>
  <c r="E40" i="121"/>
  <c r="E40" i="122"/>
  <c r="E40" i="123"/>
  <c r="E40" i="125"/>
  <c r="E40" i="475"/>
  <c r="E40" i="59"/>
  <c r="E15" i="100"/>
  <c r="E15" i="101"/>
  <c r="E15" i="102"/>
  <c r="E15" i="103"/>
  <c r="E15" i="104"/>
  <c r="E15" i="105"/>
  <c r="E15" i="106"/>
  <c r="E15" i="107"/>
  <c r="E15" i="108"/>
  <c r="E15" i="110"/>
  <c r="E15" i="111"/>
  <c r="E15" i="112"/>
  <c r="E15" i="472"/>
  <c r="E15" i="114"/>
  <c r="E15" i="115"/>
  <c r="E15" i="124"/>
  <c r="E15" i="116"/>
  <c r="E15" i="117"/>
  <c r="E15" i="118"/>
  <c r="E15" i="119"/>
  <c r="E15" i="120"/>
  <c r="E15" i="121"/>
  <c r="E15" i="122"/>
  <c r="E15" i="123"/>
  <c r="E15" i="125"/>
  <c r="E15" i="475"/>
  <c r="E15" i="59"/>
  <c r="E13" i="100"/>
  <c r="E13" i="101"/>
  <c r="E13" i="102"/>
  <c r="E13" i="103"/>
  <c r="E13" i="104"/>
  <c r="E13" i="105"/>
  <c r="E13" i="106"/>
  <c r="E13" i="107"/>
  <c r="E13" i="108"/>
  <c r="E13" i="110"/>
  <c r="E13" i="111"/>
  <c r="E13" i="112"/>
  <c r="E13" i="472"/>
  <c r="E13" i="114"/>
  <c r="E13" i="115"/>
  <c r="E13" i="124"/>
  <c r="E13" i="116"/>
  <c r="E13" i="117"/>
  <c r="E13" i="118"/>
  <c r="E13" i="119"/>
  <c r="E13" i="120"/>
  <c r="E13" i="121"/>
  <c r="E13" i="122"/>
  <c r="E13" i="123"/>
  <c r="E13" i="125"/>
  <c r="E13" i="475"/>
  <c r="E13" i="59"/>
  <c r="E9" i="100"/>
  <c r="E9" i="101"/>
  <c r="E9" i="102"/>
  <c r="E9" i="103"/>
  <c r="E9" i="104"/>
  <c r="E9" i="105"/>
  <c r="E9" i="106"/>
  <c r="E9" i="107"/>
  <c r="E9" i="108"/>
  <c r="E9" i="110"/>
  <c r="E9" i="111"/>
  <c r="E9" i="112"/>
  <c r="E9" i="472"/>
  <c r="E9" i="114"/>
  <c r="E9" i="115"/>
  <c r="E9" i="124"/>
  <c r="E9" i="116"/>
  <c r="E9" i="117"/>
  <c r="E9" i="118"/>
  <c r="E9" i="119"/>
  <c r="E9" i="120"/>
  <c r="E9" i="121"/>
  <c r="E9" i="122"/>
  <c r="E9" i="123"/>
  <c r="E9" i="125"/>
  <c r="E9" i="475"/>
  <c r="E9" i="59"/>
  <c r="G74" i="120"/>
  <c r="G66" i="108"/>
  <c r="G31" i="120"/>
  <c r="G12" i="120"/>
  <c r="C79" i="100"/>
  <c r="C79" i="101"/>
  <c r="C79" i="102"/>
  <c r="C79" i="103"/>
  <c r="C79" i="104"/>
  <c r="C79" i="105"/>
  <c r="C79" i="106"/>
  <c r="C79" i="107"/>
  <c r="C79" i="108"/>
  <c r="C79" i="110"/>
  <c r="C79" i="111"/>
  <c r="C79" i="112"/>
  <c r="C79" i="472"/>
  <c r="C79" i="114"/>
  <c r="C79" i="115"/>
  <c r="C79" i="124"/>
  <c r="C79" i="116"/>
  <c r="C79" i="117"/>
  <c r="C79" i="118"/>
  <c r="C79" i="119"/>
  <c r="C79" i="120"/>
  <c r="C79" i="121"/>
  <c r="C79" i="122"/>
  <c r="C79" i="123"/>
  <c r="C79" i="125"/>
  <c r="C79" i="475"/>
  <c r="C79" i="59"/>
  <c r="B10" i="100"/>
  <c r="C10" i="100"/>
  <c r="J10" i="100" s="1"/>
  <c r="B11" i="100"/>
  <c r="C11" i="100"/>
  <c r="J11" i="100" s="1"/>
  <c r="B12" i="100"/>
  <c r="C12" i="100"/>
  <c r="C13" i="100"/>
  <c r="B14" i="100"/>
  <c r="C14" i="100"/>
  <c r="C15" i="100"/>
  <c r="B16" i="100"/>
  <c r="C16" i="100"/>
  <c r="C17" i="100"/>
  <c r="B18" i="100"/>
  <c r="C18" i="100"/>
  <c r="B19" i="100"/>
  <c r="C19" i="100"/>
  <c r="B20" i="100"/>
  <c r="C20" i="100"/>
  <c r="B21" i="100"/>
  <c r="A21" i="100" s="1"/>
  <c r="C21" i="100"/>
  <c r="B22" i="100"/>
  <c r="A22" i="100" s="1"/>
  <c r="C22" i="100"/>
  <c r="B23" i="100"/>
  <c r="A23" i="100" s="1"/>
  <c r="C23" i="100"/>
  <c r="B24" i="100"/>
  <c r="C24" i="100"/>
  <c r="B25" i="100"/>
  <c r="A25" i="100" s="1"/>
  <c r="C25" i="100"/>
  <c r="B26" i="100"/>
  <c r="C26" i="100"/>
  <c r="B27" i="100"/>
  <c r="C27" i="100"/>
  <c r="B28" i="100"/>
  <c r="C28" i="100"/>
  <c r="F28" i="100" s="1"/>
  <c r="G28" i="100" s="1"/>
  <c r="B29" i="100"/>
  <c r="C29" i="100"/>
  <c r="B30" i="100"/>
  <c r="C30" i="100"/>
  <c r="B31" i="100"/>
  <c r="C31" i="100"/>
  <c r="B32" i="100"/>
  <c r="C32" i="100"/>
  <c r="B33" i="100"/>
  <c r="C33" i="100"/>
  <c r="B34" i="100"/>
  <c r="C34" i="100"/>
  <c r="B35" i="100"/>
  <c r="C35" i="100"/>
  <c r="B36" i="100"/>
  <c r="C36" i="100"/>
  <c r="B37" i="100"/>
  <c r="C37" i="100"/>
  <c r="B38" i="100"/>
  <c r="C38" i="100"/>
  <c r="B39" i="100"/>
  <c r="C39" i="100"/>
  <c r="C40" i="100"/>
  <c r="B41" i="100"/>
  <c r="C41" i="100"/>
  <c r="B42" i="100"/>
  <c r="C42" i="100"/>
  <c r="B78" i="100"/>
  <c r="C78" i="100"/>
  <c r="B43" i="100"/>
  <c r="C43" i="100"/>
  <c r="B44" i="100"/>
  <c r="C44" i="100"/>
  <c r="C45" i="100"/>
  <c r="B46" i="100"/>
  <c r="C46" i="100"/>
  <c r="B48" i="100"/>
  <c r="C48" i="100"/>
  <c r="B49" i="100"/>
  <c r="C49" i="100"/>
  <c r="B50" i="100"/>
  <c r="C50" i="100"/>
  <c r="B51" i="100"/>
  <c r="C51" i="100"/>
  <c r="C52" i="100"/>
  <c r="B53" i="100"/>
  <c r="C53" i="100"/>
  <c r="B54" i="100"/>
  <c r="C54" i="100"/>
  <c r="C55" i="100"/>
  <c r="B56" i="100"/>
  <c r="C56" i="100"/>
  <c r="B57" i="100"/>
  <c r="C57" i="100"/>
  <c r="B58" i="100"/>
  <c r="C58" i="100"/>
  <c r="B59" i="100"/>
  <c r="C59" i="100"/>
  <c r="B60" i="100"/>
  <c r="C60" i="100"/>
  <c r="B61" i="100"/>
  <c r="C61" i="100"/>
  <c r="C62" i="100"/>
  <c r="B63" i="100"/>
  <c r="C63" i="100"/>
  <c r="B64" i="100"/>
  <c r="C64" i="100"/>
  <c r="C65" i="100"/>
  <c r="B66" i="100"/>
  <c r="C66" i="100"/>
  <c r="B67" i="100"/>
  <c r="C67" i="100"/>
  <c r="C68" i="100"/>
  <c r="B69" i="100"/>
  <c r="C69" i="100"/>
  <c r="B70" i="100"/>
  <c r="C70" i="100"/>
  <c r="B71" i="100"/>
  <c r="C71" i="100"/>
  <c r="B72" i="100"/>
  <c r="C72" i="100"/>
  <c r="B73" i="100"/>
  <c r="C73" i="100"/>
  <c r="B74" i="100"/>
  <c r="C74" i="100"/>
  <c r="B75" i="100"/>
  <c r="C75" i="100"/>
  <c r="B76" i="100"/>
  <c r="C76" i="100"/>
  <c r="C77" i="100"/>
  <c r="B79" i="100"/>
  <c r="B10" i="101"/>
  <c r="F10" i="101" s="1"/>
  <c r="C10" i="101"/>
  <c r="J10" i="101" s="1"/>
  <c r="B11" i="101"/>
  <c r="C11" i="101"/>
  <c r="J11" i="101" s="1"/>
  <c r="B12" i="101"/>
  <c r="C12" i="101"/>
  <c r="C13" i="101"/>
  <c r="B14" i="101"/>
  <c r="C14" i="101"/>
  <c r="C15" i="101"/>
  <c r="B16" i="101"/>
  <c r="C16" i="101"/>
  <c r="C17" i="101"/>
  <c r="B18" i="101"/>
  <c r="C18" i="101"/>
  <c r="B19" i="101"/>
  <c r="C19" i="101"/>
  <c r="B20" i="101"/>
  <c r="C20" i="101"/>
  <c r="B21" i="101"/>
  <c r="C21" i="101"/>
  <c r="B22" i="101"/>
  <c r="C22" i="101"/>
  <c r="B23" i="101"/>
  <c r="C23" i="101"/>
  <c r="B24" i="101"/>
  <c r="C24" i="101"/>
  <c r="B25" i="101"/>
  <c r="C25" i="101"/>
  <c r="B26" i="101"/>
  <c r="C26" i="101"/>
  <c r="B27" i="101"/>
  <c r="C27" i="101"/>
  <c r="B28" i="101"/>
  <c r="C28" i="101"/>
  <c r="B29" i="101"/>
  <c r="C29" i="101"/>
  <c r="B30" i="101"/>
  <c r="C30" i="101"/>
  <c r="B31" i="101"/>
  <c r="C31" i="101"/>
  <c r="B32" i="101"/>
  <c r="C32" i="101"/>
  <c r="B33" i="101"/>
  <c r="C33" i="101"/>
  <c r="B34" i="101"/>
  <c r="C34" i="101"/>
  <c r="B35" i="101"/>
  <c r="C35" i="101"/>
  <c r="B36" i="101"/>
  <c r="C36" i="101"/>
  <c r="B37" i="101"/>
  <c r="C37" i="101"/>
  <c r="B38" i="101"/>
  <c r="C38" i="101"/>
  <c r="B39" i="101"/>
  <c r="C39" i="101"/>
  <c r="C40" i="101"/>
  <c r="B41" i="101"/>
  <c r="C41" i="101"/>
  <c r="B42" i="101"/>
  <c r="C42" i="101"/>
  <c r="B78" i="101"/>
  <c r="C78" i="101"/>
  <c r="B43" i="101"/>
  <c r="C43" i="101"/>
  <c r="B44" i="101"/>
  <c r="C44" i="101"/>
  <c r="C45" i="101"/>
  <c r="B46" i="101"/>
  <c r="C46" i="101"/>
  <c r="B48" i="101"/>
  <c r="C48" i="101"/>
  <c r="B49" i="101"/>
  <c r="C49" i="101"/>
  <c r="B50" i="101"/>
  <c r="C50" i="101"/>
  <c r="B51" i="101"/>
  <c r="C51" i="101"/>
  <c r="C52" i="101"/>
  <c r="B53" i="101"/>
  <c r="C53" i="101"/>
  <c r="B54" i="101"/>
  <c r="C54" i="101"/>
  <c r="C55" i="101"/>
  <c r="B56" i="101"/>
  <c r="C56" i="101"/>
  <c r="B57" i="101"/>
  <c r="C57" i="101"/>
  <c r="B58" i="101"/>
  <c r="C58" i="101"/>
  <c r="B59" i="101"/>
  <c r="C59" i="101"/>
  <c r="B60" i="101"/>
  <c r="C60" i="101"/>
  <c r="B61" i="101"/>
  <c r="C61" i="101"/>
  <c r="C62" i="101"/>
  <c r="B63" i="101"/>
  <c r="C63" i="101"/>
  <c r="B64" i="101"/>
  <c r="C64" i="101"/>
  <c r="C65" i="101"/>
  <c r="B66" i="101"/>
  <c r="C66" i="101"/>
  <c r="B67" i="101"/>
  <c r="C67" i="101"/>
  <c r="C68" i="101"/>
  <c r="B69" i="101"/>
  <c r="C69" i="101"/>
  <c r="B70" i="101"/>
  <c r="C70" i="101"/>
  <c r="B71" i="101"/>
  <c r="C71" i="101"/>
  <c r="B72" i="101"/>
  <c r="C72" i="101"/>
  <c r="B73" i="101"/>
  <c r="C73" i="101"/>
  <c r="B74" i="101"/>
  <c r="C74" i="101"/>
  <c r="B75" i="101"/>
  <c r="C75" i="101"/>
  <c r="B76" i="101"/>
  <c r="C76" i="101"/>
  <c r="C77" i="101"/>
  <c r="B79" i="101"/>
  <c r="B10" i="102"/>
  <c r="C10" i="102"/>
  <c r="J10" i="102" s="1"/>
  <c r="B11" i="102"/>
  <c r="C11" i="102"/>
  <c r="J11" i="102" s="1"/>
  <c r="B12" i="102"/>
  <c r="C12" i="102"/>
  <c r="C13" i="102"/>
  <c r="B14" i="102"/>
  <c r="C14" i="102"/>
  <c r="C15" i="102"/>
  <c r="B16" i="102"/>
  <c r="C16" i="102"/>
  <c r="C17" i="102"/>
  <c r="B18" i="102"/>
  <c r="C18" i="102"/>
  <c r="B19" i="102"/>
  <c r="C19" i="102"/>
  <c r="B20" i="102"/>
  <c r="C20" i="102"/>
  <c r="B21" i="102"/>
  <c r="A21" i="102" s="1"/>
  <c r="C21" i="102"/>
  <c r="B22" i="102"/>
  <c r="A22" i="102" s="1"/>
  <c r="C22" i="102"/>
  <c r="B23" i="102"/>
  <c r="C23" i="102"/>
  <c r="B24" i="102"/>
  <c r="C24" i="102"/>
  <c r="B25" i="102"/>
  <c r="C25" i="102"/>
  <c r="B26" i="102"/>
  <c r="C26" i="102"/>
  <c r="B27" i="102"/>
  <c r="C27" i="102"/>
  <c r="B28" i="102"/>
  <c r="C28" i="102"/>
  <c r="B29" i="102"/>
  <c r="C29" i="102"/>
  <c r="B30" i="102"/>
  <c r="C30" i="102"/>
  <c r="B31" i="102"/>
  <c r="C31" i="102"/>
  <c r="B32" i="102"/>
  <c r="C32" i="102"/>
  <c r="B33" i="102"/>
  <c r="C33" i="102"/>
  <c r="B34" i="102"/>
  <c r="C34" i="102"/>
  <c r="B35" i="102"/>
  <c r="C35" i="102"/>
  <c r="B36" i="102"/>
  <c r="C36" i="102"/>
  <c r="B37" i="102"/>
  <c r="C37" i="102"/>
  <c r="B38" i="102"/>
  <c r="C38" i="102"/>
  <c r="B39" i="102"/>
  <c r="C39" i="102"/>
  <c r="C40" i="102"/>
  <c r="B41" i="102"/>
  <c r="C41" i="102"/>
  <c r="B42" i="102"/>
  <c r="C42" i="102"/>
  <c r="B78" i="102"/>
  <c r="C78" i="102"/>
  <c r="B43" i="102"/>
  <c r="C43" i="102"/>
  <c r="B44" i="102"/>
  <c r="C44" i="102"/>
  <c r="C45" i="102"/>
  <c r="B46" i="102"/>
  <c r="C46" i="102"/>
  <c r="B48" i="102"/>
  <c r="C48" i="102"/>
  <c r="B49" i="102"/>
  <c r="C49" i="102"/>
  <c r="B50" i="102"/>
  <c r="C50" i="102"/>
  <c r="B51" i="102"/>
  <c r="C51" i="102"/>
  <c r="C52" i="102"/>
  <c r="B53" i="102"/>
  <c r="C53" i="102"/>
  <c r="B54" i="102"/>
  <c r="C54" i="102"/>
  <c r="C55" i="102"/>
  <c r="B56" i="102"/>
  <c r="C56" i="102"/>
  <c r="B57" i="102"/>
  <c r="C57" i="102"/>
  <c r="B58" i="102"/>
  <c r="C58" i="102"/>
  <c r="B59" i="102"/>
  <c r="C59" i="102"/>
  <c r="B60" i="102"/>
  <c r="C60" i="102"/>
  <c r="B61" i="102"/>
  <c r="C61" i="102"/>
  <c r="C62" i="102"/>
  <c r="B63" i="102"/>
  <c r="C63" i="102"/>
  <c r="B64" i="102"/>
  <c r="C64" i="102"/>
  <c r="C65" i="102"/>
  <c r="B66" i="102"/>
  <c r="C66" i="102"/>
  <c r="B67" i="102"/>
  <c r="C67" i="102"/>
  <c r="C68" i="102"/>
  <c r="B69" i="102"/>
  <c r="C69" i="102"/>
  <c r="B70" i="102"/>
  <c r="C70" i="102"/>
  <c r="B71" i="102"/>
  <c r="C71" i="102"/>
  <c r="B72" i="102"/>
  <c r="C72" i="102"/>
  <c r="B73" i="102"/>
  <c r="C73" i="102"/>
  <c r="B74" i="102"/>
  <c r="C74" i="102"/>
  <c r="B75" i="102"/>
  <c r="C75" i="102"/>
  <c r="B76" i="102"/>
  <c r="C76" i="102"/>
  <c r="C77" i="102"/>
  <c r="B79" i="102"/>
  <c r="B10" i="103"/>
  <c r="C10" i="103"/>
  <c r="B11" i="103"/>
  <c r="C11" i="103"/>
  <c r="J11" i="103" s="1"/>
  <c r="B12" i="103"/>
  <c r="C12" i="103"/>
  <c r="C13" i="103"/>
  <c r="B14" i="103"/>
  <c r="C14" i="103"/>
  <c r="C15" i="103"/>
  <c r="B16" i="103"/>
  <c r="C16" i="103"/>
  <c r="C17" i="103"/>
  <c r="B18" i="103"/>
  <c r="C18" i="103"/>
  <c r="B19" i="103"/>
  <c r="C19" i="103"/>
  <c r="B20" i="103"/>
  <c r="C20" i="103"/>
  <c r="B21" i="103"/>
  <c r="C21" i="103"/>
  <c r="B22" i="103"/>
  <c r="C22" i="103"/>
  <c r="B23" i="103"/>
  <c r="C23" i="103"/>
  <c r="B24" i="103"/>
  <c r="C24" i="103"/>
  <c r="B25" i="103"/>
  <c r="C25" i="103"/>
  <c r="F25" i="103" s="1"/>
  <c r="G25" i="103" s="1"/>
  <c r="B26" i="103"/>
  <c r="C26" i="103"/>
  <c r="B27" i="103"/>
  <c r="C27" i="103"/>
  <c r="B28" i="103"/>
  <c r="C28" i="103"/>
  <c r="B29" i="103"/>
  <c r="C29" i="103"/>
  <c r="B30" i="103"/>
  <c r="C30" i="103"/>
  <c r="B31" i="103"/>
  <c r="C31" i="103"/>
  <c r="B32" i="103"/>
  <c r="C32" i="103"/>
  <c r="B33" i="103"/>
  <c r="C33" i="103"/>
  <c r="B34" i="103"/>
  <c r="C34" i="103"/>
  <c r="B35" i="103"/>
  <c r="C35" i="103"/>
  <c r="B36" i="103"/>
  <c r="C36" i="103"/>
  <c r="B37" i="103"/>
  <c r="C37" i="103"/>
  <c r="B38" i="103"/>
  <c r="C38" i="103"/>
  <c r="B39" i="103"/>
  <c r="C39" i="103"/>
  <c r="C40" i="103"/>
  <c r="B41" i="103"/>
  <c r="C41" i="103"/>
  <c r="B42" i="103"/>
  <c r="C42" i="103"/>
  <c r="B78" i="103"/>
  <c r="C78" i="103"/>
  <c r="B43" i="103"/>
  <c r="C43" i="103"/>
  <c r="B44" i="103"/>
  <c r="C44" i="103"/>
  <c r="C45" i="103"/>
  <c r="B46" i="103"/>
  <c r="C46" i="103"/>
  <c r="B48" i="103"/>
  <c r="C48" i="103"/>
  <c r="B49" i="103"/>
  <c r="C49" i="103"/>
  <c r="B50" i="103"/>
  <c r="C50" i="103"/>
  <c r="B51" i="103"/>
  <c r="C51" i="103"/>
  <c r="C52" i="103"/>
  <c r="B53" i="103"/>
  <c r="C53" i="103"/>
  <c r="B54" i="103"/>
  <c r="C54" i="103"/>
  <c r="C55" i="103"/>
  <c r="B56" i="103"/>
  <c r="C56" i="103"/>
  <c r="B57" i="103"/>
  <c r="C57" i="103"/>
  <c r="B58" i="103"/>
  <c r="C58" i="103"/>
  <c r="B59" i="103"/>
  <c r="C59" i="103"/>
  <c r="B60" i="103"/>
  <c r="C60" i="103"/>
  <c r="B61" i="103"/>
  <c r="C61" i="103"/>
  <c r="C62" i="103"/>
  <c r="B63" i="103"/>
  <c r="C63" i="103"/>
  <c r="B64" i="103"/>
  <c r="C64" i="103"/>
  <c r="C65" i="103"/>
  <c r="B66" i="103"/>
  <c r="C66" i="103"/>
  <c r="B67" i="103"/>
  <c r="C67" i="103"/>
  <c r="C68" i="103"/>
  <c r="B69" i="103"/>
  <c r="C69" i="103"/>
  <c r="B70" i="103"/>
  <c r="C70" i="103"/>
  <c r="B71" i="103"/>
  <c r="C71" i="103"/>
  <c r="B72" i="103"/>
  <c r="C72" i="103"/>
  <c r="B73" i="103"/>
  <c r="C73" i="103"/>
  <c r="B74" i="103"/>
  <c r="C74" i="103"/>
  <c r="B75" i="103"/>
  <c r="C75" i="103"/>
  <c r="B76" i="103"/>
  <c r="C76" i="103"/>
  <c r="C77" i="103"/>
  <c r="B79" i="103"/>
  <c r="B10" i="104"/>
  <c r="C10" i="104"/>
  <c r="J10" i="104" s="1"/>
  <c r="B11" i="104"/>
  <c r="C11" i="104"/>
  <c r="J11" i="104" s="1"/>
  <c r="B12" i="104"/>
  <c r="C12" i="104"/>
  <c r="C13" i="104"/>
  <c r="B14" i="104"/>
  <c r="C14" i="104"/>
  <c r="C15" i="104"/>
  <c r="B16" i="104"/>
  <c r="C16" i="104"/>
  <c r="C17" i="104"/>
  <c r="B18" i="104"/>
  <c r="C18" i="104"/>
  <c r="B19" i="104"/>
  <c r="C19" i="104"/>
  <c r="B20" i="104"/>
  <c r="C20" i="104"/>
  <c r="B21" i="104"/>
  <c r="C21" i="104"/>
  <c r="B22" i="104"/>
  <c r="C22" i="104"/>
  <c r="B23" i="104"/>
  <c r="C23" i="104"/>
  <c r="B24" i="104"/>
  <c r="C24" i="104"/>
  <c r="B25" i="104"/>
  <c r="C25" i="104"/>
  <c r="B26" i="104"/>
  <c r="C26" i="104"/>
  <c r="B27" i="104"/>
  <c r="C27" i="104"/>
  <c r="B28" i="104"/>
  <c r="C28" i="104"/>
  <c r="B29" i="104"/>
  <c r="C29" i="104"/>
  <c r="B30" i="104"/>
  <c r="C30" i="104"/>
  <c r="B31" i="104"/>
  <c r="C31" i="104"/>
  <c r="B32" i="104"/>
  <c r="C32" i="104"/>
  <c r="B33" i="104"/>
  <c r="C33" i="104"/>
  <c r="B34" i="104"/>
  <c r="C34" i="104"/>
  <c r="B35" i="104"/>
  <c r="C35" i="104"/>
  <c r="B36" i="104"/>
  <c r="C36" i="104"/>
  <c r="B37" i="104"/>
  <c r="C37" i="104"/>
  <c r="B38" i="104"/>
  <c r="C38" i="104"/>
  <c r="B39" i="104"/>
  <c r="C39" i="104"/>
  <c r="C40" i="104"/>
  <c r="B41" i="104"/>
  <c r="C41" i="104"/>
  <c r="B42" i="104"/>
  <c r="C42" i="104"/>
  <c r="B78" i="104"/>
  <c r="C78" i="104"/>
  <c r="B43" i="104"/>
  <c r="C43" i="104"/>
  <c r="B44" i="104"/>
  <c r="C44" i="104"/>
  <c r="C45" i="104"/>
  <c r="B46" i="104"/>
  <c r="C46" i="104"/>
  <c r="B48" i="104"/>
  <c r="C48" i="104"/>
  <c r="B49" i="104"/>
  <c r="C49" i="104"/>
  <c r="B50" i="104"/>
  <c r="C50" i="104"/>
  <c r="B51" i="104"/>
  <c r="C51" i="104"/>
  <c r="C52" i="104"/>
  <c r="B53" i="104"/>
  <c r="C53" i="104"/>
  <c r="B54" i="104"/>
  <c r="C54" i="104"/>
  <c r="C55" i="104"/>
  <c r="B56" i="104"/>
  <c r="C56" i="104"/>
  <c r="B57" i="104"/>
  <c r="C57" i="104"/>
  <c r="B58" i="104"/>
  <c r="C58" i="104"/>
  <c r="B59" i="104"/>
  <c r="C59" i="104"/>
  <c r="B60" i="104"/>
  <c r="C60" i="104"/>
  <c r="B61" i="104"/>
  <c r="C61" i="104"/>
  <c r="C62" i="104"/>
  <c r="B63" i="104"/>
  <c r="C63" i="104"/>
  <c r="B64" i="104"/>
  <c r="C64" i="104"/>
  <c r="C65" i="104"/>
  <c r="B66" i="104"/>
  <c r="C66" i="104"/>
  <c r="B67" i="104"/>
  <c r="C67" i="104"/>
  <c r="C68" i="104"/>
  <c r="B69" i="104"/>
  <c r="C69" i="104"/>
  <c r="B70" i="104"/>
  <c r="C70" i="104"/>
  <c r="B71" i="104"/>
  <c r="C71" i="104"/>
  <c r="B72" i="104"/>
  <c r="C72" i="104"/>
  <c r="B73" i="104"/>
  <c r="C73" i="104"/>
  <c r="B74" i="104"/>
  <c r="C74" i="104"/>
  <c r="B75" i="104"/>
  <c r="C75" i="104"/>
  <c r="B76" i="104"/>
  <c r="C76" i="104"/>
  <c r="C77" i="104"/>
  <c r="B79" i="104"/>
  <c r="B10" i="105"/>
  <c r="C10" i="105"/>
  <c r="J10" i="105" s="1"/>
  <c r="B11" i="105"/>
  <c r="C11" i="105"/>
  <c r="J11" i="105" s="1"/>
  <c r="B12" i="105"/>
  <c r="C12" i="105"/>
  <c r="C13" i="105"/>
  <c r="B14" i="105"/>
  <c r="C14" i="105"/>
  <c r="C15" i="105"/>
  <c r="B16" i="105"/>
  <c r="C16" i="105"/>
  <c r="C17" i="105"/>
  <c r="B18" i="105"/>
  <c r="C18" i="105"/>
  <c r="B19" i="105"/>
  <c r="C19" i="105"/>
  <c r="B20" i="105"/>
  <c r="C20" i="105"/>
  <c r="B21" i="105"/>
  <c r="C21" i="105"/>
  <c r="B22" i="105"/>
  <c r="C22" i="105"/>
  <c r="B23" i="105"/>
  <c r="C23" i="105"/>
  <c r="B24" i="105"/>
  <c r="C24" i="105"/>
  <c r="B25" i="105"/>
  <c r="C25" i="105"/>
  <c r="B26" i="105"/>
  <c r="C26" i="105"/>
  <c r="B27" i="105"/>
  <c r="C27" i="105"/>
  <c r="B28" i="105"/>
  <c r="C28" i="105"/>
  <c r="B29" i="105"/>
  <c r="C29" i="105"/>
  <c r="B30" i="105"/>
  <c r="C30" i="105"/>
  <c r="B31" i="105"/>
  <c r="C31" i="105"/>
  <c r="B32" i="105"/>
  <c r="C32" i="105"/>
  <c r="B33" i="105"/>
  <c r="C33" i="105"/>
  <c r="B34" i="105"/>
  <c r="C34" i="105"/>
  <c r="B35" i="105"/>
  <c r="C35" i="105"/>
  <c r="B36" i="105"/>
  <c r="C36" i="105"/>
  <c r="B37" i="105"/>
  <c r="C37" i="105"/>
  <c r="B38" i="105"/>
  <c r="C38" i="105"/>
  <c r="B39" i="105"/>
  <c r="C39" i="105"/>
  <c r="C40" i="105"/>
  <c r="B41" i="105"/>
  <c r="C41" i="105"/>
  <c r="B42" i="105"/>
  <c r="C42" i="105"/>
  <c r="B78" i="105"/>
  <c r="C78" i="105"/>
  <c r="B43" i="105"/>
  <c r="C43" i="105"/>
  <c r="B44" i="105"/>
  <c r="C44" i="105"/>
  <c r="C45" i="105"/>
  <c r="B46" i="105"/>
  <c r="C46" i="105"/>
  <c r="B48" i="105"/>
  <c r="C48" i="105"/>
  <c r="B49" i="105"/>
  <c r="C49" i="105"/>
  <c r="B50" i="105"/>
  <c r="C50" i="105"/>
  <c r="B51" i="105"/>
  <c r="C51" i="105"/>
  <c r="C52" i="105"/>
  <c r="B53" i="105"/>
  <c r="C53" i="105"/>
  <c r="B54" i="105"/>
  <c r="C54" i="105"/>
  <c r="C55" i="105"/>
  <c r="B56" i="105"/>
  <c r="C56" i="105"/>
  <c r="B57" i="105"/>
  <c r="C57" i="105"/>
  <c r="B58" i="105"/>
  <c r="C58" i="105"/>
  <c r="B59" i="105"/>
  <c r="C59" i="105"/>
  <c r="B60" i="105"/>
  <c r="C60" i="105"/>
  <c r="B61" i="105"/>
  <c r="C61" i="105"/>
  <c r="C62" i="105"/>
  <c r="B63" i="105"/>
  <c r="C63" i="105"/>
  <c r="B64" i="105"/>
  <c r="C64" i="105"/>
  <c r="C65" i="105"/>
  <c r="B66" i="105"/>
  <c r="C66" i="105"/>
  <c r="B67" i="105"/>
  <c r="C67" i="105"/>
  <c r="C68" i="105"/>
  <c r="B69" i="105"/>
  <c r="C69" i="105"/>
  <c r="B70" i="105"/>
  <c r="C70" i="105"/>
  <c r="B71" i="105"/>
  <c r="C71" i="105"/>
  <c r="B72" i="105"/>
  <c r="C72" i="105"/>
  <c r="B73" i="105"/>
  <c r="C73" i="105"/>
  <c r="B74" i="105"/>
  <c r="C74" i="105"/>
  <c r="B75" i="105"/>
  <c r="C75" i="105"/>
  <c r="B76" i="105"/>
  <c r="C76" i="105"/>
  <c r="C77" i="105"/>
  <c r="B79" i="105"/>
  <c r="B10" i="106"/>
  <c r="C10" i="106"/>
  <c r="J10" i="106" s="1"/>
  <c r="B11" i="106"/>
  <c r="C11" i="106"/>
  <c r="J11" i="106" s="1"/>
  <c r="B12" i="106"/>
  <c r="C12" i="106"/>
  <c r="C13" i="106"/>
  <c r="B14" i="106"/>
  <c r="C14" i="106"/>
  <c r="C15" i="106"/>
  <c r="B16" i="106"/>
  <c r="C16" i="106"/>
  <c r="C17" i="106"/>
  <c r="B18" i="106"/>
  <c r="C18" i="106"/>
  <c r="B19" i="106"/>
  <c r="C19" i="106"/>
  <c r="B20" i="106"/>
  <c r="C20" i="106"/>
  <c r="B21" i="106"/>
  <c r="C21" i="106"/>
  <c r="B22" i="106"/>
  <c r="C22" i="106"/>
  <c r="B23" i="106"/>
  <c r="C23" i="106"/>
  <c r="B24" i="106"/>
  <c r="C24" i="106"/>
  <c r="B25" i="106"/>
  <c r="C25" i="106"/>
  <c r="B26" i="106"/>
  <c r="C26" i="106"/>
  <c r="B27" i="106"/>
  <c r="C27" i="106"/>
  <c r="B28" i="106"/>
  <c r="C28" i="106"/>
  <c r="F28" i="106" s="1"/>
  <c r="G28" i="106" s="1"/>
  <c r="B29" i="106"/>
  <c r="C29" i="106"/>
  <c r="B30" i="106"/>
  <c r="C30" i="106"/>
  <c r="B31" i="106"/>
  <c r="C31" i="106"/>
  <c r="B32" i="106"/>
  <c r="C32" i="106"/>
  <c r="B33" i="106"/>
  <c r="C33" i="106"/>
  <c r="B34" i="106"/>
  <c r="C34" i="106"/>
  <c r="B35" i="106"/>
  <c r="C35" i="106"/>
  <c r="B36" i="106"/>
  <c r="C36" i="106"/>
  <c r="B37" i="106"/>
  <c r="C37" i="106"/>
  <c r="B38" i="106"/>
  <c r="C38" i="106"/>
  <c r="B39" i="106"/>
  <c r="C39" i="106"/>
  <c r="C40" i="106"/>
  <c r="B41" i="106"/>
  <c r="C41" i="106"/>
  <c r="B42" i="106"/>
  <c r="C42" i="106"/>
  <c r="B78" i="106"/>
  <c r="C78" i="106"/>
  <c r="B43" i="106"/>
  <c r="C43" i="106"/>
  <c r="B44" i="106"/>
  <c r="C44" i="106"/>
  <c r="C45" i="106"/>
  <c r="B46" i="106"/>
  <c r="C46" i="106"/>
  <c r="B48" i="106"/>
  <c r="C48" i="106"/>
  <c r="B49" i="106"/>
  <c r="C49" i="106"/>
  <c r="B50" i="106"/>
  <c r="C50" i="106"/>
  <c r="B51" i="106"/>
  <c r="C51" i="106"/>
  <c r="C52" i="106"/>
  <c r="B53" i="106"/>
  <c r="C53" i="106"/>
  <c r="B54" i="106"/>
  <c r="C54" i="106"/>
  <c r="C55" i="106"/>
  <c r="B56" i="106"/>
  <c r="C56" i="106"/>
  <c r="B57" i="106"/>
  <c r="C57" i="106"/>
  <c r="B58" i="106"/>
  <c r="C58" i="106"/>
  <c r="B59" i="106"/>
  <c r="C59" i="106"/>
  <c r="B60" i="106"/>
  <c r="C60" i="106"/>
  <c r="B61" i="106"/>
  <c r="C61" i="106"/>
  <c r="C62" i="106"/>
  <c r="B63" i="106"/>
  <c r="C63" i="106"/>
  <c r="B64" i="106"/>
  <c r="C64" i="106"/>
  <c r="C65" i="106"/>
  <c r="B66" i="106"/>
  <c r="C66" i="106"/>
  <c r="B67" i="106"/>
  <c r="C67" i="106"/>
  <c r="C68" i="106"/>
  <c r="B69" i="106"/>
  <c r="C69" i="106"/>
  <c r="B70" i="106"/>
  <c r="C70" i="106"/>
  <c r="B71" i="106"/>
  <c r="C71" i="106"/>
  <c r="B72" i="106"/>
  <c r="C72" i="106"/>
  <c r="B73" i="106"/>
  <c r="C73" i="106"/>
  <c r="B74" i="106"/>
  <c r="C74" i="106"/>
  <c r="B75" i="106"/>
  <c r="C75" i="106"/>
  <c r="B76" i="106"/>
  <c r="C76" i="106"/>
  <c r="C77" i="106"/>
  <c r="B79" i="106"/>
  <c r="B10" i="107"/>
  <c r="C10" i="107"/>
  <c r="J10" i="107" s="1"/>
  <c r="B11" i="107"/>
  <c r="C11" i="107"/>
  <c r="J11" i="107" s="1"/>
  <c r="B12" i="107"/>
  <c r="C12" i="107"/>
  <c r="C13" i="107"/>
  <c r="B14" i="107"/>
  <c r="C14" i="107"/>
  <c r="C15" i="107"/>
  <c r="B16" i="107"/>
  <c r="C16" i="107"/>
  <c r="C17" i="107"/>
  <c r="B18" i="107"/>
  <c r="C18" i="107"/>
  <c r="B19" i="107"/>
  <c r="C19" i="107"/>
  <c r="B20" i="107"/>
  <c r="C20" i="107"/>
  <c r="B21" i="107"/>
  <c r="C21" i="107"/>
  <c r="B22" i="107"/>
  <c r="C22" i="107"/>
  <c r="B23" i="107"/>
  <c r="C23" i="107"/>
  <c r="B24" i="107"/>
  <c r="C24" i="107"/>
  <c r="B25" i="107"/>
  <c r="C25" i="107"/>
  <c r="B26" i="107"/>
  <c r="C26" i="107"/>
  <c r="B27" i="107"/>
  <c r="C27" i="107"/>
  <c r="B28" i="107"/>
  <c r="C28" i="107"/>
  <c r="B29" i="107"/>
  <c r="C29" i="107"/>
  <c r="B30" i="107"/>
  <c r="C30" i="107"/>
  <c r="B31" i="107"/>
  <c r="C31" i="107"/>
  <c r="B32" i="107"/>
  <c r="C32" i="107"/>
  <c r="B33" i="107"/>
  <c r="C33" i="107"/>
  <c r="B34" i="107"/>
  <c r="C34" i="107"/>
  <c r="B35" i="107"/>
  <c r="C35" i="107"/>
  <c r="B36" i="107"/>
  <c r="C36" i="107"/>
  <c r="B37" i="107"/>
  <c r="C37" i="107"/>
  <c r="B38" i="107"/>
  <c r="C38" i="107"/>
  <c r="B39" i="107"/>
  <c r="C39" i="107"/>
  <c r="C40" i="107"/>
  <c r="B41" i="107"/>
  <c r="C41" i="107"/>
  <c r="B42" i="107"/>
  <c r="C42" i="107"/>
  <c r="B78" i="107"/>
  <c r="C78" i="107"/>
  <c r="B43" i="107"/>
  <c r="C43" i="107"/>
  <c r="B44" i="107"/>
  <c r="C44" i="107"/>
  <c r="C45" i="107"/>
  <c r="B46" i="107"/>
  <c r="C46" i="107"/>
  <c r="B48" i="107"/>
  <c r="C48" i="107"/>
  <c r="B49" i="107"/>
  <c r="C49" i="107"/>
  <c r="B50" i="107"/>
  <c r="C50" i="107"/>
  <c r="B51" i="107"/>
  <c r="C51" i="107"/>
  <c r="C52" i="107"/>
  <c r="B53" i="107"/>
  <c r="C53" i="107"/>
  <c r="B54" i="107"/>
  <c r="C54" i="107"/>
  <c r="C55" i="107"/>
  <c r="B56" i="107"/>
  <c r="C56" i="107"/>
  <c r="B57" i="107"/>
  <c r="C57" i="107"/>
  <c r="B58" i="107"/>
  <c r="C58" i="107"/>
  <c r="B59" i="107"/>
  <c r="C59" i="107"/>
  <c r="B60" i="107"/>
  <c r="C60" i="107"/>
  <c r="B61" i="107"/>
  <c r="C61" i="107"/>
  <c r="C62" i="107"/>
  <c r="B63" i="107"/>
  <c r="C63" i="107"/>
  <c r="B64" i="107"/>
  <c r="C64" i="107"/>
  <c r="C65" i="107"/>
  <c r="B66" i="107"/>
  <c r="C66" i="107"/>
  <c r="B67" i="107"/>
  <c r="C67" i="107"/>
  <c r="C68" i="107"/>
  <c r="B69" i="107"/>
  <c r="C69" i="107"/>
  <c r="B70" i="107"/>
  <c r="C70" i="107"/>
  <c r="B71" i="107"/>
  <c r="C71" i="107"/>
  <c r="B72" i="107"/>
  <c r="C72" i="107"/>
  <c r="B73" i="107"/>
  <c r="C73" i="107"/>
  <c r="B74" i="107"/>
  <c r="C74" i="107"/>
  <c r="B75" i="107"/>
  <c r="C75" i="107"/>
  <c r="B76" i="107"/>
  <c r="C76" i="107"/>
  <c r="C77" i="107"/>
  <c r="B79" i="107"/>
  <c r="B10" i="108"/>
  <c r="C10" i="108"/>
  <c r="J10" i="108" s="1"/>
  <c r="G8" i="420" s="1"/>
  <c r="B11" i="108"/>
  <c r="C11" i="108"/>
  <c r="J11" i="108" s="1"/>
  <c r="G9" i="420" s="1"/>
  <c r="B12" i="108"/>
  <c r="C12" i="108"/>
  <c r="C13" i="108"/>
  <c r="B14" i="108"/>
  <c r="C14" i="108"/>
  <c r="C15" i="108"/>
  <c r="B16" i="108"/>
  <c r="C16" i="108"/>
  <c r="C17" i="108"/>
  <c r="B18" i="108"/>
  <c r="C18" i="108"/>
  <c r="B19" i="108"/>
  <c r="C19" i="108"/>
  <c r="B20" i="108"/>
  <c r="C20" i="108"/>
  <c r="B21" i="108"/>
  <c r="C21" i="108"/>
  <c r="B22" i="108"/>
  <c r="C22" i="108"/>
  <c r="B23" i="108"/>
  <c r="C23" i="108"/>
  <c r="B24" i="108"/>
  <c r="C24" i="108"/>
  <c r="B25" i="108"/>
  <c r="C25" i="108"/>
  <c r="B26" i="108"/>
  <c r="C26" i="108"/>
  <c r="B27" i="108"/>
  <c r="C27" i="108"/>
  <c r="B28" i="108"/>
  <c r="C28" i="108"/>
  <c r="B29" i="108"/>
  <c r="C29" i="108"/>
  <c r="B30" i="108"/>
  <c r="C30" i="108"/>
  <c r="B31" i="108"/>
  <c r="C31" i="108"/>
  <c r="B32" i="108"/>
  <c r="C32" i="108"/>
  <c r="B33" i="108"/>
  <c r="C33" i="108"/>
  <c r="B34" i="108"/>
  <c r="C34" i="108"/>
  <c r="B35" i="108"/>
  <c r="C35" i="108"/>
  <c r="B36" i="108"/>
  <c r="C36" i="108"/>
  <c r="B37" i="108"/>
  <c r="C37" i="108"/>
  <c r="B38" i="108"/>
  <c r="C38" i="108"/>
  <c r="B39" i="108"/>
  <c r="C39" i="108"/>
  <c r="C40" i="108"/>
  <c r="B41" i="108"/>
  <c r="C41" i="108"/>
  <c r="B42" i="108"/>
  <c r="C42" i="108"/>
  <c r="B78" i="108"/>
  <c r="C78" i="108"/>
  <c r="B43" i="108"/>
  <c r="C43" i="108"/>
  <c r="B44" i="108"/>
  <c r="C44" i="108"/>
  <c r="C45" i="108"/>
  <c r="B46" i="108"/>
  <c r="C46" i="108"/>
  <c r="B48" i="108"/>
  <c r="C48" i="108"/>
  <c r="B49" i="108"/>
  <c r="C49" i="108"/>
  <c r="B50" i="108"/>
  <c r="C50" i="108"/>
  <c r="B51" i="108"/>
  <c r="C51" i="108"/>
  <c r="C52" i="108"/>
  <c r="B53" i="108"/>
  <c r="C53" i="108"/>
  <c r="B54" i="108"/>
  <c r="C54" i="108"/>
  <c r="C55" i="108"/>
  <c r="B56" i="108"/>
  <c r="C56" i="108"/>
  <c r="B57" i="108"/>
  <c r="C57" i="108"/>
  <c r="B58" i="108"/>
  <c r="C58" i="108"/>
  <c r="B59" i="108"/>
  <c r="C59" i="108"/>
  <c r="B60" i="108"/>
  <c r="C60" i="108"/>
  <c r="B61" i="108"/>
  <c r="C61" i="108"/>
  <c r="C62" i="108"/>
  <c r="B63" i="108"/>
  <c r="C63" i="108"/>
  <c r="B64" i="108"/>
  <c r="C64" i="108"/>
  <c r="C65" i="108"/>
  <c r="B66" i="108"/>
  <c r="C66" i="108"/>
  <c r="B67" i="108"/>
  <c r="C67" i="108"/>
  <c r="C68" i="108"/>
  <c r="B69" i="108"/>
  <c r="C69" i="108"/>
  <c r="B70" i="108"/>
  <c r="C70" i="108"/>
  <c r="B71" i="108"/>
  <c r="C71" i="108"/>
  <c r="B72" i="108"/>
  <c r="C72" i="108"/>
  <c r="B73" i="108"/>
  <c r="C73" i="108"/>
  <c r="B74" i="108"/>
  <c r="C74" i="108"/>
  <c r="B75" i="108"/>
  <c r="C75" i="108"/>
  <c r="B76" i="108"/>
  <c r="C76" i="108"/>
  <c r="C77" i="108"/>
  <c r="B79" i="108"/>
  <c r="J79" i="108" s="1"/>
  <c r="K79" i="108" s="1"/>
  <c r="B10" i="110"/>
  <c r="C10" i="110"/>
  <c r="J10" i="110" s="1"/>
  <c r="B11" i="110"/>
  <c r="C11" i="110"/>
  <c r="J11" i="110" s="1"/>
  <c r="B12" i="110"/>
  <c r="C12" i="110"/>
  <c r="C13" i="110"/>
  <c r="B14" i="110"/>
  <c r="C14" i="110"/>
  <c r="C15" i="110"/>
  <c r="B16" i="110"/>
  <c r="C16" i="110"/>
  <c r="C17" i="110"/>
  <c r="B18" i="110"/>
  <c r="C18" i="110"/>
  <c r="B19" i="110"/>
  <c r="C19" i="110"/>
  <c r="B20" i="110"/>
  <c r="C20" i="110"/>
  <c r="B21" i="110"/>
  <c r="C21" i="110"/>
  <c r="B22" i="110"/>
  <c r="C22" i="110"/>
  <c r="B23" i="110"/>
  <c r="C23" i="110"/>
  <c r="B24" i="110"/>
  <c r="C24" i="110"/>
  <c r="B25" i="110"/>
  <c r="C25" i="110"/>
  <c r="B26" i="110"/>
  <c r="C26" i="110"/>
  <c r="B27" i="110"/>
  <c r="C27" i="110"/>
  <c r="B28" i="110"/>
  <c r="C28" i="110"/>
  <c r="B29" i="110"/>
  <c r="C29" i="110"/>
  <c r="B30" i="110"/>
  <c r="C30" i="110"/>
  <c r="B31" i="110"/>
  <c r="C31" i="110"/>
  <c r="B32" i="110"/>
  <c r="C32" i="110"/>
  <c r="B33" i="110"/>
  <c r="C33" i="110"/>
  <c r="B34" i="110"/>
  <c r="C34" i="110"/>
  <c r="B35" i="110"/>
  <c r="C35" i="110"/>
  <c r="B36" i="110"/>
  <c r="C36" i="110"/>
  <c r="B37" i="110"/>
  <c r="C37" i="110"/>
  <c r="B38" i="110"/>
  <c r="C38" i="110"/>
  <c r="B39" i="110"/>
  <c r="C39" i="110"/>
  <c r="C40" i="110"/>
  <c r="B41" i="110"/>
  <c r="C41" i="110"/>
  <c r="B42" i="110"/>
  <c r="C42" i="110"/>
  <c r="B78" i="110"/>
  <c r="C78" i="110"/>
  <c r="B43" i="110"/>
  <c r="C43" i="110"/>
  <c r="B44" i="110"/>
  <c r="C44" i="110"/>
  <c r="C45" i="110"/>
  <c r="B46" i="110"/>
  <c r="C46" i="110"/>
  <c r="B48" i="110"/>
  <c r="C48" i="110"/>
  <c r="B49" i="110"/>
  <c r="C49" i="110"/>
  <c r="B50" i="110"/>
  <c r="C50" i="110"/>
  <c r="B51" i="110"/>
  <c r="C51" i="110"/>
  <c r="C52" i="110"/>
  <c r="B53" i="110"/>
  <c r="C53" i="110"/>
  <c r="B54" i="110"/>
  <c r="C54" i="110"/>
  <c r="C55" i="110"/>
  <c r="B56" i="110"/>
  <c r="C56" i="110"/>
  <c r="B57" i="110"/>
  <c r="C57" i="110"/>
  <c r="B58" i="110"/>
  <c r="C58" i="110"/>
  <c r="B59" i="110"/>
  <c r="C59" i="110"/>
  <c r="B60" i="110"/>
  <c r="C60" i="110"/>
  <c r="B61" i="110"/>
  <c r="C61" i="110"/>
  <c r="C62" i="110"/>
  <c r="B63" i="110"/>
  <c r="C63" i="110"/>
  <c r="B64" i="110"/>
  <c r="C64" i="110"/>
  <c r="C65" i="110"/>
  <c r="B66" i="110"/>
  <c r="C66" i="110"/>
  <c r="B67" i="110"/>
  <c r="C67" i="110"/>
  <c r="C68" i="110"/>
  <c r="B69" i="110"/>
  <c r="C69" i="110"/>
  <c r="B70" i="110"/>
  <c r="C70" i="110"/>
  <c r="B71" i="110"/>
  <c r="C71" i="110"/>
  <c r="B72" i="110"/>
  <c r="C72" i="110"/>
  <c r="B73" i="110"/>
  <c r="C73" i="110"/>
  <c r="B74" i="110"/>
  <c r="C74" i="110"/>
  <c r="B75" i="110"/>
  <c r="C75" i="110"/>
  <c r="B76" i="110"/>
  <c r="C76" i="110"/>
  <c r="C77" i="110"/>
  <c r="B79" i="110"/>
  <c r="B10" i="111"/>
  <c r="C10" i="111"/>
  <c r="J10" i="111" s="1"/>
  <c r="B11" i="111"/>
  <c r="C11" i="111"/>
  <c r="J11" i="111" s="1"/>
  <c r="B12" i="111"/>
  <c r="C12" i="111"/>
  <c r="C13" i="111"/>
  <c r="B14" i="111"/>
  <c r="C14" i="111"/>
  <c r="C15" i="111"/>
  <c r="B16" i="111"/>
  <c r="C16" i="111"/>
  <c r="C17" i="111"/>
  <c r="B18" i="111"/>
  <c r="C18" i="111"/>
  <c r="J18" i="111" s="1"/>
  <c r="B19" i="111"/>
  <c r="C19" i="111"/>
  <c r="J19" i="111" s="1"/>
  <c r="B20" i="111"/>
  <c r="C20" i="111"/>
  <c r="J20" i="111" s="1"/>
  <c r="B21" i="111"/>
  <c r="C21" i="111"/>
  <c r="J21" i="111" s="1"/>
  <c r="B22" i="111"/>
  <c r="C22" i="111"/>
  <c r="J22" i="111" s="1"/>
  <c r="B23" i="111"/>
  <c r="C23" i="111"/>
  <c r="J23" i="111" s="1"/>
  <c r="B24" i="111"/>
  <c r="C24" i="111"/>
  <c r="J24" i="111" s="1"/>
  <c r="B25" i="111"/>
  <c r="C25" i="111"/>
  <c r="J25" i="111" s="1"/>
  <c r="B26" i="111"/>
  <c r="C26" i="111"/>
  <c r="J26" i="111" s="1"/>
  <c r="B27" i="111"/>
  <c r="C27" i="111"/>
  <c r="J27" i="111" s="1"/>
  <c r="B28" i="111"/>
  <c r="C28" i="111"/>
  <c r="J28" i="111" s="1"/>
  <c r="B29" i="111"/>
  <c r="C29" i="111"/>
  <c r="J29" i="111" s="1"/>
  <c r="B30" i="111"/>
  <c r="C30" i="111"/>
  <c r="J30" i="111" s="1"/>
  <c r="B31" i="111"/>
  <c r="C31" i="111"/>
  <c r="J31" i="111" s="1"/>
  <c r="B32" i="111"/>
  <c r="C32" i="111"/>
  <c r="J32" i="111" s="1"/>
  <c r="B33" i="111"/>
  <c r="C33" i="111"/>
  <c r="J33" i="111" s="1"/>
  <c r="B34" i="111"/>
  <c r="C34" i="111"/>
  <c r="J34" i="111" s="1"/>
  <c r="B35" i="111"/>
  <c r="C35" i="111"/>
  <c r="J35" i="111" s="1"/>
  <c r="B36" i="111"/>
  <c r="C36" i="111"/>
  <c r="J36" i="111" s="1"/>
  <c r="B37" i="111"/>
  <c r="C37" i="111"/>
  <c r="J37" i="111" s="1"/>
  <c r="B38" i="111"/>
  <c r="C38" i="111"/>
  <c r="J38" i="111" s="1"/>
  <c r="B39" i="111"/>
  <c r="C39" i="111"/>
  <c r="J39" i="111" s="1"/>
  <c r="C40" i="111"/>
  <c r="B41" i="111"/>
  <c r="C41" i="111"/>
  <c r="B42" i="111"/>
  <c r="C42" i="111"/>
  <c r="B78" i="111"/>
  <c r="C78" i="111"/>
  <c r="B43" i="111"/>
  <c r="C43" i="111"/>
  <c r="B44" i="111"/>
  <c r="C44" i="111"/>
  <c r="C45" i="111"/>
  <c r="B46" i="111"/>
  <c r="C46" i="111"/>
  <c r="B48" i="111"/>
  <c r="C48" i="111"/>
  <c r="B49" i="111"/>
  <c r="C49" i="111"/>
  <c r="B50" i="111"/>
  <c r="C50" i="111"/>
  <c r="B51" i="111"/>
  <c r="C51" i="111"/>
  <c r="C52" i="111"/>
  <c r="B53" i="111"/>
  <c r="C53" i="111"/>
  <c r="B54" i="111"/>
  <c r="C54" i="111"/>
  <c r="C55" i="111"/>
  <c r="B56" i="111"/>
  <c r="C56" i="111"/>
  <c r="B57" i="111"/>
  <c r="C57" i="111"/>
  <c r="B58" i="111"/>
  <c r="C58" i="111"/>
  <c r="B59" i="111"/>
  <c r="C59" i="111"/>
  <c r="B60" i="111"/>
  <c r="C60" i="111"/>
  <c r="B61" i="111"/>
  <c r="C61" i="111"/>
  <c r="C62" i="111"/>
  <c r="B63" i="111"/>
  <c r="C63" i="111"/>
  <c r="B64" i="111"/>
  <c r="C64" i="111"/>
  <c r="C65" i="111"/>
  <c r="B66" i="111"/>
  <c r="C66" i="111"/>
  <c r="B67" i="111"/>
  <c r="C67" i="111"/>
  <c r="C68" i="111"/>
  <c r="B69" i="111"/>
  <c r="C69" i="111"/>
  <c r="B70" i="111"/>
  <c r="C70" i="111"/>
  <c r="B71" i="111"/>
  <c r="C71" i="111"/>
  <c r="B72" i="111"/>
  <c r="C72" i="111"/>
  <c r="B73" i="111"/>
  <c r="C73" i="111"/>
  <c r="B74" i="111"/>
  <c r="C74" i="111"/>
  <c r="B75" i="111"/>
  <c r="C75" i="111"/>
  <c r="B76" i="111"/>
  <c r="C76" i="111"/>
  <c r="C77" i="111"/>
  <c r="B79" i="111"/>
  <c r="B10" i="112"/>
  <c r="C10" i="112"/>
  <c r="J10" i="112" s="1"/>
  <c r="B11" i="112"/>
  <c r="C11" i="112"/>
  <c r="J11" i="112" s="1"/>
  <c r="B12" i="112"/>
  <c r="C12" i="112"/>
  <c r="C13" i="112"/>
  <c r="B14" i="112"/>
  <c r="C14" i="112"/>
  <c r="C15" i="112"/>
  <c r="B16" i="112"/>
  <c r="C16" i="112"/>
  <c r="C17" i="112"/>
  <c r="B18" i="112"/>
  <c r="C18" i="112"/>
  <c r="B19" i="112"/>
  <c r="C19" i="112"/>
  <c r="B20" i="112"/>
  <c r="C20" i="112"/>
  <c r="B21" i="112"/>
  <c r="C21" i="112"/>
  <c r="B22" i="112"/>
  <c r="C22" i="112"/>
  <c r="B23" i="112"/>
  <c r="C23" i="112"/>
  <c r="B24" i="112"/>
  <c r="C24" i="112"/>
  <c r="B25" i="112"/>
  <c r="C25" i="112"/>
  <c r="F25" i="112" s="1"/>
  <c r="G25" i="112" s="1"/>
  <c r="B26" i="112"/>
  <c r="C26" i="112"/>
  <c r="B27" i="112"/>
  <c r="C27" i="112"/>
  <c r="B28" i="112"/>
  <c r="C28" i="112"/>
  <c r="B29" i="112"/>
  <c r="C29" i="112"/>
  <c r="B30" i="112"/>
  <c r="C30" i="112"/>
  <c r="B31" i="112"/>
  <c r="C31" i="112"/>
  <c r="B32" i="112"/>
  <c r="C32" i="112"/>
  <c r="B33" i="112"/>
  <c r="C33" i="112"/>
  <c r="B34" i="112"/>
  <c r="C34" i="112"/>
  <c r="B35" i="112"/>
  <c r="C35" i="112"/>
  <c r="B36" i="112"/>
  <c r="C36" i="112"/>
  <c r="B37" i="112"/>
  <c r="C37" i="112"/>
  <c r="B38" i="112"/>
  <c r="C38" i="112"/>
  <c r="B39" i="112"/>
  <c r="C39" i="112"/>
  <c r="C40" i="112"/>
  <c r="B41" i="112"/>
  <c r="C41" i="112"/>
  <c r="B42" i="112"/>
  <c r="C42" i="112"/>
  <c r="B78" i="112"/>
  <c r="C78" i="112"/>
  <c r="B43" i="112"/>
  <c r="C43" i="112"/>
  <c r="B44" i="112"/>
  <c r="C44" i="112"/>
  <c r="C45" i="112"/>
  <c r="B46" i="112"/>
  <c r="C46" i="112"/>
  <c r="B48" i="112"/>
  <c r="C48" i="112"/>
  <c r="B49" i="112"/>
  <c r="C49" i="112"/>
  <c r="B50" i="112"/>
  <c r="C50" i="112"/>
  <c r="B51" i="112"/>
  <c r="C51" i="112"/>
  <c r="C52" i="112"/>
  <c r="B53" i="112"/>
  <c r="C53" i="112"/>
  <c r="B54" i="112"/>
  <c r="C54" i="112"/>
  <c r="C55" i="112"/>
  <c r="B56" i="112"/>
  <c r="C56" i="112"/>
  <c r="B57" i="112"/>
  <c r="C57" i="112"/>
  <c r="B58" i="112"/>
  <c r="C58" i="112"/>
  <c r="B59" i="112"/>
  <c r="C59" i="112"/>
  <c r="B60" i="112"/>
  <c r="C60" i="112"/>
  <c r="B61" i="112"/>
  <c r="C61" i="112"/>
  <c r="C62" i="112"/>
  <c r="B63" i="112"/>
  <c r="C63" i="112"/>
  <c r="B64" i="112"/>
  <c r="C64" i="112"/>
  <c r="C65" i="112"/>
  <c r="B66" i="112"/>
  <c r="C66" i="112"/>
  <c r="B67" i="112"/>
  <c r="C67" i="112"/>
  <c r="C68" i="112"/>
  <c r="B69" i="112"/>
  <c r="C69" i="112"/>
  <c r="B70" i="112"/>
  <c r="C70" i="112"/>
  <c r="B71" i="112"/>
  <c r="C71" i="112"/>
  <c r="B72" i="112"/>
  <c r="C72" i="112"/>
  <c r="B73" i="112"/>
  <c r="C73" i="112"/>
  <c r="B74" i="112"/>
  <c r="C74" i="112"/>
  <c r="B75" i="112"/>
  <c r="C75" i="112"/>
  <c r="B76" i="112"/>
  <c r="C76" i="112"/>
  <c r="C77" i="112"/>
  <c r="B79" i="112"/>
  <c r="B10" i="472"/>
  <c r="C10" i="472"/>
  <c r="J10" i="472" s="1"/>
  <c r="B11" i="472"/>
  <c r="C11" i="472"/>
  <c r="J11" i="472" s="1"/>
  <c r="B12" i="472"/>
  <c r="C12" i="472"/>
  <c r="C13" i="472"/>
  <c r="B14" i="472"/>
  <c r="C14" i="472"/>
  <c r="C15" i="472"/>
  <c r="B16" i="472"/>
  <c r="C16" i="472"/>
  <c r="C17" i="472"/>
  <c r="B18" i="472"/>
  <c r="C18" i="472"/>
  <c r="B19" i="472"/>
  <c r="C19" i="472"/>
  <c r="B20" i="472"/>
  <c r="C20" i="472"/>
  <c r="B21" i="472"/>
  <c r="C21" i="472"/>
  <c r="B22" i="472"/>
  <c r="C22" i="472"/>
  <c r="B23" i="472"/>
  <c r="C23" i="472"/>
  <c r="B24" i="472"/>
  <c r="C24" i="472"/>
  <c r="B25" i="472"/>
  <c r="C25" i="472"/>
  <c r="B26" i="472"/>
  <c r="C26" i="472"/>
  <c r="B27" i="472"/>
  <c r="C27" i="472"/>
  <c r="B28" i="472"/>
  <c r="C28" i="472"/>
  <c r="B29" i="472"/>
  <c r="C29" i="472"/>
  <c r="B30" i="472"/>
  <c r="C30" i="472"/>
  <c r="B31" i="472"/>
  <c r="C31" i="472"/>
  <c r="B32" i="472"/>
  <c r="C32" i="472"/>
  <c r="B33" i="472"/>
  <c r="C33" i="472"/>
  <c r="B34" i="472"/>
  <c r="C34" i="472"/>
  <c r="B35" i="472"/>
  <c r="C35" i="472"/>
  <c r="B36" i="472"/>
  <c r="C36" i="472"/>
  <c r="B37" i="472"/>
  <c r="C37" i="472"/>
  <c r="B38" i="472"/>
  <c r="C38" i="472"/>
  <c r="B39" i="472"/>
  <c r="C39" i="472"/>
  <c r="C40" i="472"/>
  <c r="B41" i="472"/>
  <c r="C41" i="472"/>
  <c r="B42" i="472"/>
  <c r="C42" i="472"/>
  <c r="B78" i="472"/>
  <c r="C78" i="472"/>
  <c r="B43" i="472"/>
  <c r="C43" i="472"/>
  <c r="B44" i="472"/>
  <c r="C44" i="472"/>
  <c r="C45" i="472"/>
  <c r="B46" i="472"/>
  <c r="C46" i="472"/>
  <c r="B48" i="472"/>
  <c r="C48" i="472"/>
  <c r="B49" i="472"/>
  <c r="C49" i="472"/>
  <c r="B50" i="472"/>
  <c r="C50" i="472"/>
  <c r="B51" i="472"/>
  <c r="C51" i="472"/>
  <c r="C52" i="472"/>
  <c r="B53" i="472"/>
  <c r="C53" i="472"/>
  <c r="B54" i="472"/>
  <c r="C54" i="472"/>
  <c r="C55" i="472"/>
  <c r="B56" i="472"/>
  <c r="C56" i="472"/>
  <c r="B57" i="472"/>
  <c r="C57" i="472"/>
  <c r="B58" i="472"/>
  <c r="C58" i="472"/>
  <c r="B59" i="472"/>
  <c r="C59" i="472"/>
  <c r="B60" i="472"/>
  <c r="C60" i="472"/>
  <c r="B61" i="472"/>
  <c r="C61" i="472"/>
  <c r="C62" i="472"/>
  <c r="B63" i="472"/>
  <c r="C63" i="472"/>
  <c r="B64" i="472"/>
  <c r="C64" i="472"/>
  <c r="C65" i="472"/>
  <c r="B66" i="472"/>
  <c r="C66" i="472"/>
  <c r="B67" i="472"/>
  <c r="C67" i="472"/>
  <c r="C68" i="472"/>
  <c r="B69" i="472"/>
  <c r="C69" i="472"/>
  <c r="B70" i="472"/>
  <c r="C70" i="472"/>
  <c r="B71" i="472"/>
  <c r="C71" i="472"/>
  <c r="B72" i="472"/>
  <c r="C72" i="472"/>
  <c r="B73" i="472"/>
  <c r="C73" i="472"/>
  <c r="B74" i="472"/>
  <c r="C74" i="472"/>
  <c r="B75" i="472"/>
  <c r="C75" i="472"/>
  <c r="B76" i="472"/>
  <c r="C76" i="472"/>
  <c r="C77" i="472"/>
  <c r="B79" i="472"/>
  <c r="B10" i="114"/>
  <c r="C10" i="114"/>
  <c r="J10" i="114" s="1"/>
  <c r="B11" i="114"/>
  <c r="C11" i="114"/>
  <c r="J11" i="114" s="1"/>
  <c r="B12" i="114"/>
  <c r="C12" i="114"/>
  <c r="C13" i="114"/>
  <c r="B14" i="114"/>
  <c r="C14" i="114"/>
  <c r="C15" i="114"/>
  <c r="B16" i="114"/>
  <c r="C16" i="114"/>
  <c r="C17" i="114"/>
  <c r="B18" i="114"/>
  <c r="C18" i="114"/>
  <c r="B19" i="114"/>
  <c r="C19" i="114"/>
  <c r="B20" i="114"/>
  <c r="C20" i="114"/>
  <c r="B21" i="114"/>
  <c r="C21" i="114"/>
  <c r="B22" i="114"/>
  <c r="C22" i="114"/>
  <c r="B23" i="114"/>
  <c r="C23" i="114"/>
  <c r="B24" i="114"/>
  <c r="C24" i="114"/>
  <c r="B25" i="114"/>
  <c r="C25" i="114"/>
  <c r="B26" i="114"/>
  <c r="C26" i="114"/>
  <c r="B27" i="114"/>
  <c r="C27" i="114"/>
  <c r="B28" i="114"/>
  <c r="C28" i="114"/>
  <c r="B29" i="114"/>
  <c r="C29" i="114"/>
  <c r="B30" i="114"/>
  <c r="C30" i="114"/>
  <c r="B31" i="114"/>
  <c r="C31" i="114"/>
  <c r="B32" i="114"/>
  <c r="C32" i="114"/>
  <c r="B33" i="114"/>
  <c r="C33" i="114"/>
  <c r="B34" i="114"/>
  <c r="C34" i="114"/>
  <c r="B35" i="114"/>
  <c r="C35" i="114"/>
  <c r="B36" i="114"/>
  <c r="C36" i="114"/>
  <c r="B37" i="114"/>
  <c r="C37" i="114"/>
  <c r="B38" i="114"/>
  <c r="C38" i="114"/>
  <c r="B39" i="114"/>
  <c r="C39" i="114"/>
  <c r="C40" i="114"/>
  <c r="B41" i="114"/>
  <c r="C41" i="114"/>
  <c r="B42" i="114"/>
  <c r="C42" i="114"/>
  <c r="B78" i="114"/>
  <c r="C78" i="114"/>
  <c r="B43" i="114"/>
  <c r="C43" i="114"/>
  <c r="B44" i="114"/>
  <c r="C44" i="114"/>
  <c r="C45" i="114"/>
  <c r="B46" i="114"/>
  <c r="C46" i="114"/>
  <c r="B48" i="114"/>
  <c r="C48" i="114"/>
  <c r="B49" i="114"/>
  <c r="C49" i="114"/>
  <c r="B50" i="114"/>
  <c r="C50" i="114"/>
  <c r="B51" i="114"/>
  <c r="C51" i="114"/>
  <c r="C52" i="114"/>
  <c r="B53" i="114"/>
  <c r="C53" i="114"/>
  <c r="B54" i="114"/>
  <c r="C54" i="114"/>
  <c r="C55" i="114"/>
  <c r="B56" i="114"/>
  <c r="C56" i="114"/>
  <c r="B57" i="114"/>
  <c r="C57" i="114"/>
  <c r="B58" i="114"/>
  <c r="C58" i="114"/>
  <c r="B59" i="114"/>
  <c r="C59" i="114"/>
  <c r="B60" i="114"/>
  <c r="C60" i="114"/>
  <c r="B61" i="114"/>
  <c r="C61" i="114"/>
  <c r="C62" i="114"/>
  <c r="B63" i="114"/>
  <c r="C63" i="114"/>
  <c r="B64" i="114"/>
  <c r="C64" i="114"/>
  <c r="C65" i="114"/>
  <c r="B66" i="114"/>
  <c r="C66" i="114"/>
  <c r="B67" i="114"/>
  <c r="C67" i="114"/>
  <c r="C68" i="114"/>
  <c r="B69" i="114"/>
  <c r="C69" i="114"/>
  <c r="B70" i="114"/>
  <c r="C70" i="114"/>
  <c r="B71" i="114"/>
  <c r="C71" i="114"/>
  <c r="B72" i="114"/>
  <c r="C72" i="114"/>
  <c r="B73" i="114"/>
  <c r="C73" i="114"/>
  <c r="B74" i="114"/>
  <c r="C74" i="114"/>
  <c r="B75" i="114"/>
  <c r="C75" i="114"/>
  <c r="B76" i="114"/>
  <c r="C76" i="114"/>
  <c r="C77" i="114"/>
  <c r="B79" i="114"/>
  <c r="B10" i="115"/>
  <c r="C10" i="115"/>
  <c r="J10" i="115" s="1"/>
  <c r="B11" i="115"/>
  <c r="C11" i="115"/>
  <c r="J11" i="115" s="1"/>
  <c r="B12" i="115"/>
  <c r="C12" i="115"/>
  <c r="C13" i="115"/>
  <c r="B14" i="115"/>
  <c r="C14" i="115"/>
  <c r="C15" i="115"/>
  <c r="B16" i="115"/>
  <c r="C16" i="115"/>
  <c r="C17" i="115"/>
  <c r="B18" i="115"/>
  <c r="C18" i="115"/>
  <c r="B19" i="115"/>
  <c r="C19" i="115"/>
  <c r="B20" i="115"/>
  <c r="C20" i="115"/>
  <c r="B21" i="115"/>
  <c r="C21" i="115"/>
  <c r="B22" i="115"/>
  <c r="C22" i="115"/>
  <c r="B23" i="115"/>
  <c r="C23" i="115"/>
  <c r="B24" i="115"/>
  <c r="C24" i="115"/>
  <c r="B25" i="115"/>
  <c r="C25" i="115"/>
  <c r="B26" i="115"/>
  <c r="C26" i="115"/>
  <c r="B27" i="115"/>
  <c r="C27" i="115"/>
  <c r="B28" i="115"/>
  <c r="C28" i="115"/>
  <c r="B29" i="115"/>
  <c r="C29" i="115"/>
  <c r="B30" i="115"/>
  <c r="C30" i="115"/>
  <c r="B31" i="115"/>
  <c r="C31" i="115"/>
  <c r="B32" i="115"/>
  <c r="C32" i="115"/>
  <c r="B33" i="115"/>
  <c r="C33" i="115"/>
  <c r="B34" i="115"/>
  <c r="C34" i="115"/>
  <c r="B35" i="115"/>
  <c r="C35" i="115"/>
  <c r="B36" i="115"/>
  <c r="C36" i="115"/>
  <c r="B37" i="115"/>
  <c r="C37" i="115"/>
  <c r="B38" i="115"/>
  <c r="C38" i="115"/>
  <c r="B39" i="115"/>
  <c r="C39" i="115"/>
  <c r="C40" i="115"/>
  <c r="B41" i="115"/>
  <c r="C41" i="115"/>
  <c r="B42" i="115"/>
  <c r="C42" i="115"/>
  <c r="B78" i="115"/>
  <c r="C78" i="115"/>
  <c r="B43" i="115"/>
  <c r="C43" i="115"/>
  <c r="B44" i="115"/>
  <c r="C44" i="115"/>
  <c r="C45" i="115"/>
  <c r="B46" i="115"/>
  <c r="C46" i="115"/>
  <c r="B48" i="115"/>
  <c r="C48" i="115"/>
  <c r="B49" i="115"/>
  <c r="C49" i="115"/>
  <c r="B50" i="115"/>
  <c r="C50" i="115"/>
  <c r="B51" i="115"/>
  <c r="C51" i="115"/>
  <c r="C52" i="115"/>
  <c r="B53" i="115"/>
  <c r="C53" i="115"/>
  <c r="B54" i="115"/>
  <c r="C54" i="115"/>
  <c r="C55" i="115"/>
  <c r="B56" i="115"/>
  <c r="C56" i="115"/>
  <c r="B57" i="115"/>
  <c r="C57" i="115"/>
  <c r="B58" i="115"/>
  <c r="C58" i="115"/>
  <c r="B59" i="115"/>
  <c r="C59" i="115"/>
  <c r="B60" i="115"/>
  <c r="C60" i="115"/>
  <c r="B61" i="115"/>
  <c r="C61" i="115"/>
  <c r="C62" i="115"/>
  <c r="B63" i="115"/>
  <c r="C63" i="115"/>
  <c r="B64" i="115"/>
  <c r="C64" i="115"/>
  <c r="C65" i="115"/>
  <c r="B66" i="115"/>
  <c r="C66" i="115"/>
  <c r="B67" i="115"/>
  <c r="C67" i="115"/>
  <c r="C68" i="115"/>
  <c r="B69" i="115"/>
  <c r="C69" i="115"/>
  <c r="B70" i="115"/>
  <c r="C70" i="115"/>
  <c r="B71" i="115"/>
  <c r="C71" i="115"/>
  <c r="B72" i="115"/>
  <c r="C72" i="115"/>
  <c r="B73" i="115"/>
  <c r="C73" i="115"/>
  <c r="B74" i="115"/>
  <c r="C74" i="115"/>
  <c r="B75" i="115"/>
  <c r="C75" i="115"/>
  <c r="B76" i="115"/>
  <c r="C76" i="115"/>
  <c r="C77" i="115"/>
  <c r="B79" i="115"/>
  <c r="B10" i="124"/>
  <c r="C10" i="124"/>
  <c r="J10" i="124" s="1"/>
  <c r="B11" i="124"/>
  <c r="C11" i="124"/>
  <c r="J11" i="124" s="1"/>
  <c r="B12" i="124"/>
  <c r="C12" i="124"/>
  <c r="C13" i="124"/>
  <c r="B14" i="124"/>
  <c r="C14" i="124"/>
  <c r="C15" i="124"/>
  <c r="B16" i="124"/>
  <c r="C16" i="124"/>
  <c r="C17" i="124"/>
  <c r="B18" i="124"/>
  <c r="C18" i="124"/>
  <c r="J18" i="124" s="1"/>
  <c r="K18" i="124" s="1"/>
  <c r="B19" i="124"/>
  <c r="C19" i="124"/>
  <c r="J19" i="124" s="1"/>
  <c r="K19" i="124" s="1"/>
  <c r="B20" i="124"/>
  <c r="C20" i="124"/>
  <c r="J20" i="124" s="1"/>
  <c r="K20" i="124" s="1"/>
  <c r="B21" i="124"/>
  <c r="C21" i="124"/>
  <c r="B22" i="124"/>
  <c r="C22" i="124"/>
  <c r="B23" i="124"/>
  <c r="C23" i="124"/>
  <c r="J23" i="124" s="1"/>
  <c r="K23" i="124" s="1"/>
  <c r="B24" i="124"/>
  <c r="C24" i="124"/>
  <c r="B25" i="124"/>
  <c r="C25" i="124"/>
  <c r="J25" i="124" s="1"/>
  <c r="K25" i="124" s="1"/>
  <c r="B26" i="124"/>
  <c r="C26" i="124"/>
  <c r="J26" i="124" s="1"/>
  <c r="K26" i="124" s="1"/>
  <c r="B27" i="124"/>
  <c r="C27" i="124"/>
  <c r="B28" i="124"/>
  <c r="C28" i="124"/>
  <c r="B29" i="124"/>
  <c r="C29" i="124"/>
  <c r="B30" i="124"/>
  <c r="C30" i="124"/>
  <c r="B31" i="124"/>
  <c r="C31" i="124"/>
  <c r="B32" i="124"/>
  <c r="C32" i="124"/>
  <c r="B33" i="124"/>
  <c r="C33" i="124"/>
  <c r="B34" i="124"/>
  <c r="C34" i="124"/>
  <c r="B35" i="124"/>
  <c r="C35" i="124"/>
  <c r="B36" i="124"/>
  <c r="C36" i="124"/>
  <c r="B37" i="124"/>
  <c r="C37" i="124"/>
  <c r="B38" i="124"/>
  <c r="C38" i="124"/>
  <c r="J38" i="124" s="1"/>
  <c r="K38" i="124" s="1"/>
  <c r="B39" i="124"/>
  <c r="C39" i="124"/>
  <c r="C40" i="124"/>
  <c r="B41" i="124"/>
  <c r="C41" i="124"/>
  <c r="B42" i="124"/>
  <c r="C42" i="124"/>
  <c r="B78" i="124"/>
  <c r="C78" i="124"/>
  <c r="B43" i="124"/>
  <c r="C43" i="124"/>
  <c r="B44" i="124"/>
  <c r="C44" i="124"/>
  <c r="C45" i="124"/>
  <c r="B46" i="124"/>
  <c r="C46" i="124"/>
  <c r="B48" i="124"/>
  <c r="C48" i="124"/>
  <c r="B49" i="124"/>
  <c r="C49" i="124"/>
  <c r="B50" i="124"/>
  <c r="C50" i="124"/>
  <c r="B51" i="124"/>
  <c r="C51" i="124"/>
  <c r="C52" i="124"/>
  <c r="B53" i="124"/>
  <c r="C53" i="124"/>
  <c r="B54" i="124"/>
  <c r="C54" i="124"/>
  <c r="C55" i="124"/>
  <c r="B56" i="124"/>
  <c r="C56" i="124"/>
  <c r="B57" i="124"/>
  <c r="C57" i="124"/>
  <c r="B58" i="124"/>
  <c r="C58" i="124"/>
  <c r="B59" i="124"/>
  <c r="C59" i="124"/>
  <c r="B60" i="124"/>
  <c r="C60" i="124"/>
  <c r="B61" i="124"/>
  <c r="C61" i="124"/>
  <c r="C62" i="124"/>
  <c r="B63" i="124"/>
  <c r="C63" i="124"/>
  <c r="B64" i="124"/>
  <c r="C64" i="124"/>
  <c r="C65" i="124"/>
  <c r="B66" i="124"/>
  <c r="C66" i="124"/>
  <c r="B67" i="124"/>
  <c r="C67" i="124"/>
  <c r="C68" i="124"/>
  <c r="B69" i="124"/>
  <c r="C69" i="124"/>
  <c r="B70" i="124"/>
  <c r="C70" i="124"/>
  <c r="B71" i="124"/>
  <c r="C71" i="124"/>
  <c r="B72" i="124"/>
  <c r="C72" i="124"/>
  <c r="B73" i="124"/>
  <c r="C73" i="124"/>
  <c r="B74" i="124"/>
  <c r="C74" i="124"/>
  <c r="B75" i="124"/>
  <c r="C75" i="124"/>
  <c r="B76" i="124"/>
  <c r="C76" i="124"/>
  <c r="C77" i="124"/>
  <c r="B79" i="124"/>
  <c r="B10" i="116"/>
  <c r="C10" i="116"/>
  <c r="J10" i="116" s="1"/>
  <c r="B11" i="116"/>
  <c r="C11" i="116"/>
  <c r="J11" i="116" s="1"/>
  <c r="B12" i="116"/>
  <c r="C12" i="116"/>
  <c r="C13" i="116"/>
  <c r="B14" i="116"/>
  <c r="C14" i="116"/>
  <c r="C15" i="116"/>
  <c r="B16" i="116"/>
  <c r="C16" i="116"/>
  <c r="C17" i="116"/>
  <c r="B18" i="116"/>
  <c r="C18" i="116"/>
  <c r="J18" i="116" s="1"/>
  <c r="K18" i="116" s="1"/>
  <c r="B19" i="116"/>
  <c r="C19" i="116"/>
  <c r="J19" i="116" s="1"/>
  <c r="K19" i="116" s="1"/>
  <c r="B20" i="116"/>
  <c r="C20" i="116"/>
  <c r="J20" i="116" s="1"/>
  <c r="K20" i="116" s="1"/>
  <c r="B21" i="116"/>
  <c r="C21" i="116"/>
  <c r="B22" i="116"/>
  <c r="C22" i="116"/>
  <c r="B23" i="116"/>
  <c r="C23" i="116"/>
  <c r="J23" i="116" s="1"/>
  <c r="K23" i="116" s="1"/>
  <c r="B24" i="116"/>
  <c r="C24" i="116"/>
  <c r="B25" i="116"/>
  <c r="C25" i="116"/>
  <c r="J25" i="116" s="1"/>
  <c r="K25" i="116" s="1"/>
  <c r="B26" i="116"/>
  <c r="C26" i="116"/>
  <c r="J26" i="116" s="1"/>
  <c r="K26" i="116" s="1"/>
  <c r="B27" i="116"/>
  <c r="C27" i="116"/>
  <c r="B28" i="116"/>
  <c r="C28" i="116"/>
  <c r="B29" i="116"/>
  <c r="C29" i="116"/>
  <c r="B30" i="116"/>
  <c r="C30" i="116"/>
  <c r="B31" i="116"/>
  <c r="C31" i="116"/>
  <c r="B32" i="116"/>
  <c r="C32" i="116"/>
  <c r="B33" i="116"/>
  <c r="C33" i="116"/>
  <c r="B34" i="116"/>
  <c r="C34" i="116"/>
  <c r="B35" i="116"/>
  <c r="C35" i="116"/>
  <c r="B36" i="116"/>
  <c r="C36" i="116"/>
  <c r="B37" i="116"/>
  <c r="C37" i="116"/>
  <c r="B38" i="116"/>
  <c r="C38" i="116"/>
  <c r="J38" i="116" s="1"/>
  <c r="K38" i="116" s="1"/>
  <c r="B39" i="116"/>
  <c r="C39" i="116"/>
  <c r="C40" i="116"/>
  <c r="B41" i="116"/>
  <c r="C41" i="116"/>
  <c r="B42" i="116"/>
  <c r="C42" i="116"/>
  <c r="B78" i="116"/>
  <c r="C78" i="116"/>
  <c r="B43" i="116"/>
  <c r="C43" i="116"/>
  <c r="B44" i="116"/>
  <c r="C44" i="116"/>
  <c r="C45" i="116"/>
  <c r="B46" i="116"/>
  <c r="C46" i="116"/>
  <c r="B48" i="116"/>
  <c r="C48" i="116"/>
  <c r="B49" i="116"/>
  <c r="C49" i="116"/>
  <c r="B50" i="116"/>
  <c r="C50" i="116"/>
  <c r="B51" i="116"/>
  <c r="C51" i="116"/>
  <c r="C52" i="116"/>
  <c r="B53" i="116"/>
  <c r="C53" i="116"/>
  <c r="B54" i="116"/>
  <c r="C54" i="116"/>
  <c r="C55" i="116"/>
  <c r="B56" i="116"/>
  <c r="C56" i="116"/>
  <c r="B57" i="116"/>
  <c r="C57" i="116"/>
  <c r="B58" i="116"/>
  <c r="C58" i="116"/>
  <c r="B59" i="116"/>
  <c r="C59" i="116"/>
  <c r="B60" i="116"/>
  <c r="C60" i="116"/>
  <c r="B61" i="116"/>
  <c r="C61" i="116"/>
  <c r="C62" i="116"/>
  <c r="B63" i="116"/>
  <c r="C63" i="116"/>
  <c r="B64" i="116"/>
  <c r="C64" i="116"/>
  <c r="C65" i="116"/>
  <c r="B66" i="116"/>
  <c r="C66" i="116"/>
  <c r="B67" i="116"/>
  <c r="C67" i="116"/>
  <c r="C68" i="116"/>
  <c r="B69" i="116"/>
  <c r="C69" i="116"/>
  <c r="B70" i="116"/>
  <c r="C70" i="116"/>
  <c r="B71" i="116"/>
  <c r="C71" i="116"/>
  <c r="B72" i="116"/>
  <c r="C72" i="116"/>
  <c r="B73" i="116"/>
  <c r="C73" i="116"/>
  <c r="B74" i="116"/>
  <c r="C74" i="116"/>
  <c r="B75" i="116"/>
  <c r="C75" i="116"/>
  <c r="B76" i="116"/>
  <c r="C76" i="116"/>
  <c r="C77" i="116"/>
  <c r="B79" i="116"/>
  <c r="B10" i="117"/>
  <c r="C10" i="117"/>
  <c r="J10" i="117" s="1"/>
  <c r="B11" i="117"/>
  <c r="C11" i="117"/>
  <c r="J11" i="117" s="1"/>
  <c r="B12" i="117"/>
  <c r="C12" i="117"/>
  <c r="C13" i="117"/>
  <c r="B14" i="117"/>
  <c r="C14" i="117"/>
  <c r="C15" i="117"/>
  <c r="B16" i="117"/>
  <c r="C16" i="117"/>
  <c r="C17" i="117"/>
  <c r="B18" i="117"/>
  <c r="C18" i="117"/>
  <c r="J18" i="117" s="1"/>
  <c r="K18" i="117" s="1"/>
  <c r="B19" i="117"/>
  <c r="C19" i="117"/>
  <c r="J19" i="117" s="1"/>
  <c r="K19" i="117" s="1"/>
  <c r="B20" i="117"/>
  <c r="C20" i="117"/>
  <c r="J20" i="117" s="1"/>
  <c r="K20" i="117" s="1"/>
  <c r="B21" i="117"/>
  <c r="C21" i="117"/>
  <c r="B22" i="117"/>
  <c r="C22" i="117"/>
  <c r="B23" i="117"/>
  <c r="A23" i="117" s="1"/>
  <c r="C23" i="117"/>
  <c r="J23" i="117" s="1"/>
  <c r="K23" i="117" s="1"/>
  <c r="B24" i="117"/>
  <c r="C24" i="117"/>
  <c r="B25" i="117"/>
  <c r="C25" i="117"/>
  <c r="J25" i="117" s="1"/>
  <c r="K25" i="117" s="1"/>
  <c r="B26" i="117"/>
  <c r="A26" i="117" s="1"/>
  <c r="C26" i="117"/>
  <c r="J26" i="117" s="1"/>
  <c r="K26" i="117" s="1"/>
  <c r="B27" i="117"/>
  <c r="C27" i="117"/>
  <c r="B28" i="117"/>
  <c r="C28" i="117"/>
  <c r="B29" i="117"/>
  <c r="C29" i="117"/>
  <c r="B30" i="117"/>
  <c r="C30" i="117"/>
  <c r="B31" i="117"/>
  <c r="C31" i="117"/>
  <c r="B32" i="117"/>
  <c r="C32" i="117"/>
  <c r="B33" i="117"/>
  <c r="C33" i="117"/>
  <c r="B34" i="117"/>
  <c r="C34" i="117"/>
  <c r="B35" i="117"/>
  <c r="C35" i="117"/>
  <c r="B36" i="117"/>
  <c r="C36" i="117"/>
  <c r="B37" i="117"/>
  <c r="C37" i="117"/>
  <c r="B38" i="117"/>
  <c r="C38" i="117"/>
  <c r="J38" i="117" s="1"/>
  <c r="K38" i="117" s="1"/>
  <c r="B39" i="117"/>
  <c r="C39" i="117"/>
  <c r="C40" i="117"/>
  <c r="B41" i="117"/>
  <c r="C41" i="117"/>
  <c r="B42" i="117"/>
  <c r="C42" i="117"/>
  <c r="B78" i="117"/>
  <c r="C78" i="117"/>
  <c r="B43" i="117"/>
  <c r="C43" i="117"/>
  <c r="B44" i="117"/>
  <c r="C44" i="117"/>
  <c r="C45" i="117"/>
  <c r="B46" i="117"/>
  <c r="C46" i="117"/>
  <c r="B48" i="117"/>
  <c r="C48" i="117"/>
  <c r="B49" i="117"/>
  <c r="C49" i="117"/>
  <c r="B50" i="117"/>
  <c r="C50" i="117"/>
  <c r="B51" i="117"/>
  <c r="C51" i="117"/>
  <c r="C52" i="117"/>
  <c r="B53" i="117"/>
  <c r="C53" i="117"/>
  <c r="B54" i="117"/>
  <c r="C54" i="117"/>
  <c r="C55" i="117"/>
  <c r="B56" i="117"/>
  <c r="C56" i="117"/>
  <c r="B57" i="117"/>
  <c r="C57" i="117"/>
  <c r="B58" i="117"/>
  <c r="C58" i="117"/>
  <c r="B59" i="117"/>
  <c r="C59" i="117"/>
  <c r="B60" i="117"/>
  <c r="C60" i="117"/>
  <c r="B61" i="117"/>
  <c r="C61" i="117"/>
  <c r="C62" i="117"/>
  <c r="B63" i="117"/>
  <c r="C63" i="117"/>
  <c r="B64" i="117"/>
  <c r="C64" i="117"/>
  <c r="C65" i="117"/>
  <c r="B66" i="117"/>
  <c r="C66" i="117"/>
  <c r="B67" i="117"/>
  <c r="C67" i="117"/>
  <c r="C68" i="117"/>
  <c r="B69" i="117"/>
  <c r="C69" i="117"/>
  <c r="B70" i="117"/>
  <c r="C70" i="117"/>
  <c r="B71" i="117"/>
  <c r="C71" i="117"/>
  <c r="B72" i="117"/>
  <c r="C72" i="117"/>
  <c r="B73" i="117"/>
  <c r="C73" i="117"/>
  <c r="B74" i="117"/>
  <c r="C74" i="117"/>
  <c r="B75" i="117"/>
  <c r="C75" i="117"/>
  <c r="B76" i="117"/>
  <c r="C76" i="117"/>
  <c r="C77" i="117"/>
  <c r="B79" i="117"/>
  <c r="B10" i="118"/>
  <c r="C10" i="118"/>
  <c r="B11" i="118"/>
  <c r="C11" i="118"/>
  <c r="B12" i="118"/>
  <c r="C12" i="118"/>
  <c r="C13" i="118"/>
  <c r="B14" i="118"/>
  <c r="C14" i="118"/>
  <c r="C15" i="118"/>
  <c r="B16" i="118"/>
  <c r="C16" i="118"/>
  <c r="C17" i="118"/>
  <c r="B18" i="118"/>
  <c r="C18" i="118"/>
  <c r="J18" i="118" s="1"/>
  <c r="B19" i="118"/>
  <c r="C19" i="118"/>
  <c r="J19" i="118" s="1"/>
  <c r="B20" i="118"/>
  <c r="C20" i="118"/>
  <c r="J20" i="118" s="1"/>
  <c r="B21" i="118"/>
  <c r="C21" i="118"/>
  <c r="F21" i="118" s="1"/>
  <c r="B22" i="118"/>
  <c r="C22" i="118"/>
  <c r="B23" i="118"/>
  <c r="C23" i="118"/>
  <c r="J23" i="118" s="1"/>
  <c r="B24" i="118"/>
  <c r="C24" i="118"/>
  <c r="B25" i="118"/>
  <c r="C25" i="118"/>
  <c r="B26" i="118"/>
  <c r="C26" i="118"/>
  <c r="B27" i="118"/>
  <c r="C27" i="118"/>
  <c r="B28" i="118"/>
  <c r="C28" i="118"/>
  <c r="F28" i="118" s="1"/>
  <c r="B29" i="118"/>
  <c r="C29" i="118"/>
  <c r="F29" i="118" s="1"/>
  <c r="B30" i="118"/>
  <c r="C30" i="118"/>
  <c r="F30" i="118" s="1"/>
  <c r="B31" i="118"/>
  <c r="C31" i="118"/>
  <c r="F31" i="118" s="1"/>
  <c r="B32" i="118"/>
  <c r="C32" i="118"/>
  <c r="F32" i="118" s="1"/>
  <c r="B33" i="118"/>
  <c r="C33" i="118"/>
  <c r="B34" i="118"/>
  <c r="C34" i="118"/>
  <c r="B35" i="118"/>
  <c r="C35" i="118"/>
  <c r="B36" i="118"/>
  <c r="C36" i="118"/>
  <c r="B37" i="118"/>
  <c r="C37" i="118"/>
  <c r="B38" i="118"/>
  <c r="C38" i="118"/>
  <c r="J38" i="118" s="1"/>
  <c r="B39" i="118"/>
  <c r="C39" i="118"/>
  <c r="C40" i="118"/>
  <c r="B41" i="118"/>
  <c r="C41" i="118"/>
  <c r="B42" i="118"/>
  <c r="C42" i="118"/>
  <c r="B78" i="118"/>
  <c r="C78" i="118"/>
  <c r="B43" i="118"/>
  <c r="C43" i="118"/>
  <c r="B44" i="118"/>
  <c r="C44" i="118"/>
  <c r="C45" i="118"/>
  <c r="B46" i="118"/>
  <c r="C46" i="118"/>
  <c r="B48" i="118"/>
  <c r="C48" i="118"/>
  <c r="F48" i="118" s="1"/>
  <c r="B49" i="118"/>
  <c r="C49" i="118"/>
  <c r="F49" i="118" s="1"/>
  <c r="B50" i="118"/>
  <c r="C50" i="118"/>
  <c r="B51" i="118"/>
  <c r="C51" i="118"/>
  <c r="C52" i="118"/>
  <c r="B53" i="118"/>
  <c r="C53" i="118"/>
  <c r="F53" i="118" s="1"/>
  <c r="B54" i="118"/>
  <c r="C54" i="118"/>
  <c r="F54" i="118" s="1"/>
  <c r="C55" i="118"/>
  <c r="B56" i="118"/>
  <c r="C56" i="118"/>
  <c r="B57" i="118"/>
  <c r="C57" i="118"/>
  <c r="B58" i="118"/>
  <c r="C58" i="118"/>
  <c r="B59" i="118"/>
  <c r="C59" i="118"/>
  <c r="B60" i="118"/>
  <c r="C60" i="118"/>
  <c r="B61" i="118"/>
  <c r="C61" i="118"/>
  <c r="C62" i="118"/>
  <c r="B63" i="118"/>
  <c r="C63" i="118"/>
  <c r="B64" i="118"/>
  <c r="C64" i="118"/>
  <c r="C65" i="118"/>
  <c r="B66" i="118"/>
  <c r="C66" i="118"/>
  <c r="B67" i="118"/>
  <c r="C67" i="118"/>
  <c r="C68" i="118"/>
  <c r="B69" i="118"/>
  <c r="C69" i="118"/>
  <c r="B70" i="118"/>
  <c r="C70" i="118"/>
  <c r="B71" i="118"/>
  <c r="C71" i="118"/>
  <c r="B72" i="118"/>
  <c r="C72" i="118"/>
  <c r="B73" i="118"/>
  <c r="C73" i="118"/>
  <c r="B74" i="118"/>
  <c r="C74" i="118"/>
  <c r="B75" i="118"/>
  <c r="C75" i="118"/>
  <c r="B76" i="118"/>
  <c r="C76" i="118"/>
  <c r="C77" i="118"/>
  <c r="B79" i="118"/>
  <c r="B10" i="119"/>
  <c r="C10" i="119"/>
  <c r="J10" i="119" s="1"/>
  <c r="B11" i="119"/>
  <c r="C11" i="119"/>
  <c r="J11" i="119" s="1"/>
  <c r="B12" i="119"/>
  <c r="C12" i="119"/>
  <c r="C13" i="119"/>
  <c r="B14" i="119"/>
  <c r="C14" i="119"/>
  <c r="C15" i="119"/>
  <c r="B16" i="119"/>
  <c r="C16" i="119"/>
  <c r="C17" i="119"/>
  <c r="B18" i="119"/>
  <c r="C18" i="119"/>
  <c r="J18" i="119" s="1"/>
  <c r="K18" i="119" s="1"/>
  <c r="B19" i="119"/>
  <c r="C19" i="119"/>
  <c r="J19" i="119" s="1"/>
  <c r="K19" i="119" s="1"/>
  <c r="B20" i="119"/>
  <c r="C20" i="119"/>
  <c r="J20" i="119" s="1"/>
  <c r="K20" i="119" s="1"/>
  <c r="B21" i="119"/>
  <c r="C21" i="119"/>
  <c r="B22" i="119"/>
  <c r="C22" i="119"/>
  <c r="B23" i="119"/>
  <c r="C23" i="119"/>
  <c r="J23" i="119" s="1"/>
  <c r="K23" i="119" s="1"/>
  <c r="B24" i="119"/>
  <c r="C24" i="119"/>
  <c r="B25" i="119"/>
  <c r="C25" i="119"/>
  <c r="J25" i="119" s="1"/>
  <c r="K25" i="119" s="1"/>
  <c r="B26" i="119"/>
  <c r="C26" i="119"/>
  <c r="J26" i="119" s="1"/>
  <c r="K26" i="119" s="1"/>
  <c r="B27" i="119"/>
  <c r="C27" i="119"/>
  <c r="B28" i="119"/>
  <c r="C28" i="119"/>
  <c r="B29" i="119"/>
  <c r="C29" i="119"/>
  <c r="B30" i="119"/>
  <c r="C30" i="119"/>
  <c r="B31" i="119"/>
  <c r="C31" i="119"/>
  <c r="B32" i="119"/>
  <c r="C32" i="119"/>
  <c r="B33" i="119"/>
  <c r="C33" i="119"/>
  <c r="B34" i="119"/>
  <c r="C34" i="119"/>
  <c r="B35" i="119"/>
  <c r="C35" i="119"/>
  <c r="B36" i="119"/>
  <c r="C36" i="119"/>
  <c r="B37" i="119"/>
  <c r="C37" i="119"/>
  <c r="B38" i="119"/>
  <c r="C38" i="119"/>
  <c r="J38" i="119" s="1"/>
  <c r="K38" i="119" s="1"/>
  <c r="B39" i="119"/>
  <c r="C39" i="119"/>
  <c r="C40" i="119"/>
  <c r="B41" i="119"/>
  <c r="C41" i="119"/>
  <c r="B42" i="119"/>
  <c r="C42" i="119"/>
  <c r="B78" i="119"/>
  <c r="C78" i="119"/>
  <c r="B43" i="119"/>
  <c r="C43" i="119"/>
  <c r="B44" i="119"/>
  <c r="C44" i="119"/>
  <c r="C45" i="119"/>
  <c r="B46" i="119"/>
  <c r="C46" i="119"/>
  <c r="B48" i="119"/>
  <c r="C48" i="119"/>
  <c r="B49" i="119"/>
  <c r="C49" i="119"/>
  <c r="B50" i="119"/>
  <c r="C50" i="119"/>
  <c r="B51" i="119"/>
  <c r="C51" i="119"/>
  <c r="C52" i="119"/>
  <c r="B53" i="119"/>
  <c r="C53" i="119"/>
  <c r="B54" i="119"/>
  <c r="C54" i="119"/>
  <c r="C55" i="119"/>
  <c r="B56" i="119"/>
  <c r="C56" i="119"/>
  <c r="B57" i="119"/>
  <c r="C57" i="119"/>
  <c r="B58" i="119"/>
  <c r="C58" i="119"/>
  <c r="B59" i="119"/>
  <c r="C59" i="119"/>
  <c r="B60" i="119"/>
  <c r="C60" i="119"/>
  <c r="B61" i="119"/>
  <c r="C61" i="119"/>
  <c r="C62" i="119"/>
  <c r="B63" i="119"/>
  <c r="C63" i="119"/>
  <c r="B64" i="119"/>
  <c r="C64" i="119"/>
  <c r="C65" i="119"/>
  <c r="B66" i="119"/>
  <c r="C66" i="119"/>
  <c r="B67" i="119"/>
  <c r="C67" i="119"/>
  <c r="C68" i="119"/>
  <c r="B69" i="119"/>
  <c r="C69" i="119"/>
  <c r="B70" i="119"/>
  <c r="C70" i="119"/>
  <c r="B71" i="119"/>
  <c r="C71" i="119"/>
  <c r="B72" i="119"/>
  <c r="C72" i="119"/>
  <c r="B73" i="119"/>
  <c r="C73" i="119"/>
  <c r="B74" i="119"/>
  <c r="C74" i="119"/>
  <c r="B75" i="119"/>
  <c r="C75" i="119"/>
  <c r="B76" i="119"/>
  <c r="C76" i="119"/>
  <c r="C77" i="119"/>
  <c r="B79" i="119"/>
  <c r="B10" i="120"/>
  <c r="C10" i="120"/>
  <c r="J10" i="120" s="1"/>
  <c r="B11" i="120"/>
  <c r="C11" i="120"/>
  <c r="J11" i="120" s="1"/>
  <c r="B12" i="120"/>
  <c r="C12" i="120"/>
  <c r="C13" i="120"/>
  <c r="B14" i="120"/>
  <c r="C14" i="120"/>
  <c r="C15" i="120"/>
  <c r="B16" i="120"/>
  <c r="C16" i="120"/>
  <c r="C17" i="120"/>
  <c r="B18" i="120"/>
  <c r="C18" i="120"/>
  <c r="J18" i="120" s="1"/>
  <c r="K18" i="120" s="1"/>
  <c r="B19" i="120"/>
  <c r="C19" i="120"/>
  <c r="J19" i="120" s="1"/>
  <c r="K19" i="120" s="1"/>
  <c r="B20" i="120"/>
  <c r="C20" i="120"/>
  <c r="J20" i="120" s="1"/>
  <c r="K20" i="120" s="1"/>
  <c r="B21" i="120"/>
  <c r="C21" i="120"/>
  <c r="B22" i="120"/>
  <c r="C22" i="120"/>
  <c r="B23" i="120"/>
  <c r="C23" i="120"/>
  <c r="J23" i="120" s="1"/>
  <c r="K23" i="120" s="1"/>
  <c r="B24" i="120"/>
  <c r="C24" i="120"/>
  <c r="B25" i="120"/>
  <c r="A25" i="120" s="1"/>
  <c r="C25" i="120"/>
  <c r="J25" i="120" s="1"/>
  <c r="K25" i="120" s="1"/>
  <c r="B26" i="120"/>
  <c r="C26" i="120"/>
  <c r="J26" i="120" s="1"/>
  <c r="K26" i="120" s="1"/>
  <c r="B27" i="120"/>
  <c r="C27" i="120"/>
  <c r="B28" i="120"/>
  <c r="C28" i="120"/>
  <c r="B29" i="120"/>
  <c r="C29" i="120"/>
  <c r="B30" i="120"/>
  <c r="C30" i="120"/>
  <c r="B31" i="120"/>
  <c r="C31" i="120"/>
  <c r="B32" i="120"/>
  <c r="C32" i="120"/>
  <c r="B33" i="120"/>
  <c r="C33" i="120"/>
  <c r="B34" i="120"/>
  <c r="C34" i="120"/>
  <c r="B35" i="120"/>
  <c r="C35" i="120"/>
  <c r="B36" i="120"/>
  <c r="C36" i="120"/>
  <c r="B37" i="120"/>
  <c r="C37" i="120"/>
  <c r="B38" i="120"/>
  <c r="C38" i="120"/>
  <c r="J38" i="120" s="1"/>
  <c r="K38" i="120" s="1"/>
  <c r="B39" i="120"/>
  <c r="C39" i="120"/>
  <c r="C40" i="120"/>
  <c r="B41" i="120"/>
  <c r="C41" i="120"/>
  <c r="B42" i="120"/>
  <c r="C42" i="120"/>
  <c r="B78" i="120"/>
  <c r="C78" i="120"/>
  <c r="B43" i="120"/>
  <c r="C43" i="120"/>
  <c r="B44" i="120"/>
  <c r="C44" i="120"/>
  <c r="C45" i="120"/>
  <c r="B46" i="120"/>
  <c r="C46" i="120"/>
  <c r="B48" i="120"/>
  <c r="C48" i="120"/>
  <c r="B49" i="120"/>
  <c r="C49" i="120"/>
  <c r="B50" i="120"/>
  <c r="C50" i="120"/>
  <c r="B51" i="120"/>
  <c r="C51" i="120"/>
  <c r="C52" i="120"/>
  <c r="B53" i="120"/>
  <c r="C53" i="120"/>
  <c r="B54" i="120"/>
  <c r="C54" i="120"/>
  <c r="C55" i="120"/>
  <c r="B56" i="120"/>
  <c r="C56" i="120"/>
  <c r="B57" i="120"/>
  <c r="C57" i="120"/>
  <c r="B58" i="120"/>
  <c r="C58" i="120"/>
  <c r="B59" i="120"/>
  <c r="C59" i="120"/>
  <c r="B60" i="120"/>
  <c r="C60" i="120"/>
  <c r="B61" i="120"/>
  <c r="C61" i="120"/>
  <c r="C62" i="120"/>
  <c r="B63" i="120"/>
  <c r="C63" i="120"/>
  <c r="B64" i="120"/>
  <c r="C64" i="120"/>
  <c r="C65" i="120"/>
  <c r="B66" i="120"/>
  <c r="C66" i="120"/>
  <c r="B67" i="120"/>
  <c r="C67" i="120"/>
  <c r="C68" i="120"/>
  <c r="B69" i="120"/>
  <c r="C69" i="120"/>
  <c r="B70" i="120"/>
  <c r="C70" i="120"/>
  <c r="B71" i="120"/>
  <c r="C71" i="120"/>
  <c r="B72" i="120"/>
  <c r="C72" i="120"/>
  <c r="B73" i="120"/>
  <c r="C73" i="120"/>
  <c r="B74" i="120"/>
  <c r="C74" i="120"/>
  <c r="B75" i="120"/>
  <c r="C75" i="120"/>
  <c r="B76" i="120"/>
  <c r="C76" i="120"/>
  <c r="C77" i="120"/>
  <c r="B79" i="120"/>
  <c r="J79" i="120" s="1"/>
  <c r="K79" i="120" s="1"/>
  <c r="B10" i="121"/>
  <c r="C10" i="121"/>
  <c r="J10" i="121" s="1"/>
  <c r="B11" i="121"/>
  <c r="C11" i="121"/>
  <c r="J11" i="121" s="1"/>
  <c r="B12" i="121"/>
  <c r="C12" i="121"/>
  <c r="C13" i="121"/>
  <c r="B14" i="121"/>
  <c r="C14" i="121"/>
  <c r="C15" i="121"/>
  <c r="B16" i="121"/>
  <c r="C16" i="121"/>
  <c r="C17" i="121"/>
  <c r="B18" i="121"/>
  <c r="C18" i="121"/>
  <c r="J18" i="121" s="1"/>
  <c r="K18" i="121" s="1"/>
  <c r="B19" i="121"/>
  <c r="C19" i="121"/>
  <c r="J19" i="121" s="1"/>
  <c r="K19" i="121" s="1"/>
  <c r="B20" i="121"/>
  <c r="C20" i="121"/>
  <c r="J20" i="121" s="1"/>
  <c r="K20" i="121" s="1"/>
  <c r="B21" i="121"/>
  <c r="C21" i="121"/>
  <c r="B22" i="121"/>
  <c r="C22" i="121"/>
  <c r="B23" i="121"/>
  <c r="C23" i="121"/>
  <c r="J23" i="121" s="1"/>
  <c r="K23" i="121" s="1"/>
  <c r="B24" i="121"/>
  <c r="C24" i="121"/>
  <c r="B25" i="121"/>
  <c r="C25" i="121"/>
  <c r="J25" i="121" s="1"/>
  <c r="K25" i="121" s="1"/>
  <c r="B26" i="121"/>
  <c r="C26" i="121"/>
  <c r="J26" i="121" s="1"/>
  <c r="K26" i="121" s="1"/>
  <c r="B27" i="121"/>
  <c r="C27" i="121"/>
  <c r="B28" i="121"/>
  <c r="C28" i="121"/>
  <c r="B29" i="121"/>
  <c r="C29" i="121"/>
  <c r="B30" i="121"/>
  <c r="C30" i="121"/>
  <c r="B31" i="121"/>
  <c r="C31" i="121"/>
  <c r="B32" i="121"/>
  <c r="C32" i="121"/>
  <c r="B33" i="121"/>
  <c r="C33" i="121"/>
  <c r="B34" i="121"/>
  <c r="C34" i="121"/>
  <c r="B35" i="121"/>
  <c r="C35" i="121"/>
  <c r="B36" i="121"/>
  <c r="C36" i="121"/>
  <c r="B37" i="121"/>
  <c r="C37" i="121"/>
  <c r="B38" i="121"/>
  <c r="C38" i="121"/>
  <c r="J38" i="121" s="1"/>
  <c r="K38" i="121" s="1"/>
  <c r="B39" i="121"/>
  <c r="C39" i="121"/>
  <c r="C40" i="121"/>
  <c r="B41" i="121"/>
  <c r="C41" i="121"/>
  <c r="B42" i="121"/>
  <c r="C42" i="121"/>
  <c r="B78" i="121"/>
  <c r="C78" i="121"/>
  <c r="B43" i="121"/>
  <c r="C43" i="121"/>
  <c r="B44" i="121"/>
  <c r="C44" i="121"/>
  <c r="C45" i="121"/>
  <c r="B46" i="121"/>
  <c r="C46" i="121"/>
  <c r="B48" i="121"/>
  <c r="C48" i="121"/>
  <c r="B49" i="121"/>
  <c r="C49" i="121"/>
  <c r="B50" i="121"/>
  <c r="C50" i="121"/>
  <c r="B51" i="121"/>
  <c r="C51" i="121"/>
  <c r="C52" i="121"/>
  <c r="B53" i="121"/>
  <c r="C53" i="121"/>
  <c r="B54" i="121"/>
  <c r="C54" i="121"/>
  <c r="C55" i="121"/>
  <c r="B56" i="121"/>
  <c r="C56" i="121"/>
  <c r="B57" i="121"/>
  <c r="C57" i="121"/>
  <c r="B58" i="121"/>
  <c r="C58" i="121"/>
  <c r="B59" i="121"/>
  <c r="C59" i="121"/>
  <c r="B60" i="121"/>
  <c r="C60" i="121"/>
  <c r="B61" i="121"/>
  <c r="C61" i="121"/>
  <c r="C62" i="121"/>
  <c r="B63" i="121"/>
  <c r="C63" i="121"/>
  <c r="B64" i="121"/>
  <c r="C64" i="121"/>
  <c r="C65" i="121"/>
  <c r="B66" i="121"/>
  <c r="C66" i="121"/>
  <c r="B67" i="121"/>
  <c r="C67" i="121"/>
  <c r="C68" i="121"/>
  <c r="B69" i="121"/>
  <c r="C69" i="121"/>
  <c r="B70" i="121"/>
  <c r="C70" i="121"/>
  <c r="B71" i="121"/>
  <c r="C71" i="121"/>
  <c r="B72" i="121"/>
  <c r="C72" i="121"/>
  <c r="B73" i="121"/>
  <c r="C73" i="121"/>
  <c r="B74" i="121"/>
  <c r="C74" i="121"/>
  <c r="B75" i="121"/>
  <c r="C75" i="121"/>
  <c r="B76" i="121"/>
  <c r="C76" i="121"/>
  <c r="C77" i="121"/>
  <c r="B79" i="121"/>
  <c r="B10" i="122"/>
  <c r="C10" i="122"/>
  <c r="J10" i="122" s="1"/>
  <c r="B11" i="122"/>
  <c r="C11" i="122"/>
  <c r="J11" i="122" s="1"/>
  <c r="B12" i="122"/>
  <c r="C12" i="122"/>
  <c r="J12" i="122" s="1"/>
  <c r="C13" i="122"/>
  <c r="B14" i="122"/>
  <c r="C14" i="122"/>
  <c r="J14" i="122" s="1"/>
  <c r="J13" i="122" s="1"/>
  <c r="C15" i="122"/>
  <c r="B16" i="122"/>
  <c r="C16" i="122"/>
  <c r="J16" i="122" s="1"/>
  <c r="K16" i="122" s="1"/>
  <c r="K15" i="122" s="1"/>
  <c r="C17" i="122"/>
  <c r="B18" i="122"/>
  <c r="C18" i="122"/>
  <c r="J18" i="122" s="1"/>
  <c r="K18" i="122" s="1"/>
  <c r="B19" i="122"/>
  <c r="C19" i="122"/>
  <c r="J19" i="122" s="1"/>
  <c r="K19" i="122" s="1"/>
  <c r="B20" i="122"/>
  <c r="C20" i="122"/>
  <c r="J20" i="122" s="1"/>
  <c r="K20" i="122" s="1"/>
  <c r="B21" i="122"/>
  <c r="C21" i="122"/>
  <c r="B22" i="122"/>
  <c r="C22" i="122"/>
  <c r="B23" i="122"/>
  <c r="C23" i="122"/>
  <c r="J23" i="122" s="1"/>
  <c r="K23" i="122" s="1"/>
  <c r="B24" i="122"/>
  <c r="C24" i="122"/>
  <c r="B25" i="122"/>
  <c r="C25" i="122"/>
  <c r="J25" i="122" s="1"/>
  <c r="K25" i="122" s="1"/>
  <c r="B26" i="122"/>
  <c r="C26" i="122"/>
  <c r="J26" i="122" s="1"/>
  <c r="K26" i="122" s="1"/>
  <c r="B27" i="122"/>
  <c r="C27" i="122"/>
  <c r="B28" i="122"/>
  <c r="C28" i="122"/>
  <c r="B29" i="122"/>
  <c r="C29" i="122"/>
  <c r="B30" i="122"/>
  <c r="C30" i="122"/>
  <c r="B31" i="122"/>
  <c r="C31" i="122"/>
  <c r="B32" i="122"/>
  <c r="C32" i="122"/>
  <c r="B33" i="122"/>
  <c r="C33" i="122"/>
  <c r="B34" i="122"/>
  <c r="C34" i="122"/>
  <c r="B35" i="122"/>
  <c r="C35" i="122"/>
  <c r="B36" i="122"/>
  <c r="C36" i="122"/>
  <c r="B37" i="122"/>
  <c r="C37" i="122"/>
  <c r="B38" i="122"/>
  <c r="C38" i="122"/>
  <c r="J38" i="122" s="1"/>
  <c r="K38" i="122" s="1"/>
  <c r="B39" i="122"/>
  <c r="C39" i="122"/>
  <c r="C40" i="122"/>
  <c r="B41" i="122"/>
  <c r="C41" i="122"/>
  <c r="B42" i="122"/>
  <c r="C42" i="122"/>
  <c r="B78" i="122"/>
  <c r="C78" i="122"/>
  <c r="B43" i="122"/>
  <c r="C43" i="122"/>
  <c r="B44" i="122"/>
  <c r="C44" i="122"/>
  <c r="C45" i="122"/>
  <c r="B46" i="122"/>
  <c r="C46" i="122"/>
  <c r="B48" i="122"/>
  <c r="C48" i="122"/>
  <c r="B49" i="122"/>
  <c r="C49" i="122"/>
  <c r="B50" i="122"/>
  <c r="C50" i="122"/>
  <c r="B51" i="122"/>
  <c r="C51" i="122"/>
  <c r="C52" i="122"/>
  <c r="B53" i="122"/>
  <c r="C53" i="122"/>
  <c r="B54" i="122"/>
  <c r="C54" i="122"/>
  <c r="C55" i="122"/>
  <c r="B56" i="122"/>
  <c r="C56" i="122"/>
  <c r="B57" i="122"/>
  <c r="C57" i="122"/>
  <c r="B58" i="122"/>
  <c r="C58" i="122"/>
  <c r="B59" i="122"/>
  <c r="C59" i="122"/>
  <c r="B60" i="122"/>
  <c r="C60" i="122"/>
  <c r="B61" i="122"/>
  <c r="C61" i="122"/>
  <c r="C62" i="122"/>
  <c r="B63" i="122"/>
  <c r="C63" i="122"/>
  <c r="B64" i="122"/>
  <c r="C64" i="122"/>
  <c r="C65" i="122"/>
  <c r="B66" i="122"/>
  <c r="C66" i="122"/>
  <c r="B67" i="122"/>
  <c r="C67" i="122"/>
  <c r="C68" i="122"/>
  <c r="B69" i="122"/>
  <c r="C69" i="122"/>
  <c r="B70" i="122"/>
  <c r="C70" i="122"/>
  <c r="B71" i="122"/>
  <c r="C71" i="122"/>
  <c r="B72" i="122"/>
  <c r="C72" i="122"/>
  <c r="B73" i="122"/>
  <c r="C73" i="122"/>
  <c r="B74" i="122"/>
  <c r="C74" i="122"/>
  <c r="B75" i="122"/>
  <c r="C75" i="122"/>
  <c r="B76" i="122"/>
  <c r="C76" i="122"/>
  <c r="C77" i="122"/>
  <c r="B79" i="122"/>
  <c r="B10" i="123"/>
  <c r="C10" i="123"/>
  <c r="J10" i="123" s="1"/>
  <c r="B11" i="123"/>
  <c r="C11" i="123"/>
  <c r="J11" i="123" s="1"/>
  <c r="B12" i="123"/>
  <c r="C12" i="123"/>
  <c r="C13" i="123"/>
  <c r="B14" i="123"/>
  <c r="C14" i="123"/>
  <c r="C15" i="123"/>
  <c r="B16" i="123"/>
  <c r="C16" i="123"/>
  <c r="C17" i="123"/>
  <c r="B18" i="123"/>
  <c r="C18" i="123"/>
  <c r="J18" i="123" s="1"/>
  <c r="K18" i="123" s="1"/>
  <c r="B19" i="123"/>
  <c r="C19" i="123"/>
  <c r="J19" i="123" s="1"/>
  <c r="K19" i="123" s="1"/>
  <c r="B20" i="123"/>
  <c r="C20" i="123"/>
  <c r="J20" i="123" s="1"/>
  <c r="K20" i="123" s="1"/>
  <c r="B21" i="123"/>
  <c r="C21" i="123"/>
  <c r="B22" i="123"/>
  <c r="C22" i="123"/>
  <c r="B23" i="123"/>
  <c r="C23" i="123"/>
  <c r="J23" i="123" s="1"/>
  <c r="K23" i="123" s="1"/>
  <c r="B24" i="123"/>
  <c r="C24" i="123"/>
  <c r="B25" i="123"/>
  <c r="C25" i="123"/>
  <c r="J25" i="123" s="1"/>
  <c r="K25" i="123" s="1"/>
  <c r="B26" i="123"/>
  <c r="C26" i="123"/>
  <c r="J26" i="123" s="1"/>
  <c r="K26" i="123" s="1"/>
  <c r="B27" i="123"/>
  <c r="C27" i="123"/>
  <c r="B28" i="123"/>
  <c r="C28" i="123"/>
  <c r="B29" i="123"/>
  <c r="C29" i="123"/>
  <c r="B30" i="123"/>
  <c r="C30" i="123"/>
  <c r="B31" i="123"/>
  <c r="C31" i="123"/>
  <c r="B32" i="123"/>
  <c r="C32" i="123"/>
  <c r="B33" i="123"/>
  <c r="C33" i="123"/>
  <c r="B34" i="123"/>
  <c r="C34" i="123"/>
  <c r="B35" i="123"/>
  <c r="C35" i="123"/>
  <c r="B36" i="123"/>
  <c r="C36" i="123"/>
  <c r="B37" i="123"/>
  <c r="C37" i="123"/>
  <c r="B38" i="123"/>
  <c r="C38" i="123"/>
  <c r="J38" i="123" s="1"/>
  <c r="K38" i="123" s="1"/>
  <c r="B39" i="123"/>
  <c r="C39" i="123"/>
  <c r="C40" i="123"/>
  <c r="B41" i="123"/>
  <c r="C41" i="123"/>
  <c r="B42" i="123"/>
  <c r="C42" i="123"/>
  <c r="B78" i="123"/>
  <c r="C78" i="123"/>
  <c r="B43" i="123"/>
  <c r="C43" i="123"/>
  <c r="B44" i="123"/>
  <c r="C44" i="123"/>
  <c r="C45" i="123"/>
  <c r="B46" i="123"/>
  <c r="C46" i="123"/>
  <c r="B48" i="123"/>
  <c r="C48" i="123"/>
  <c r="B49" i="123"/>
  <c r="C49" i="123"/>
  <c r="B50" i="123"/>
  <c r="C50" i="123"/>
  <c r="B51" i="123"/>
  <c r="C51" i="123"/>
  <c r="C52" i="123"/>
  <c r="B53" i="123"/>
  <c r="C53" i="123"/>
  <c r="B54" i="123"/>
  <c r="C54" i="123"/>
  <c r="C55" i="123"/>
  <c r="B56" i="123"/>
  <c r="C56" i="123"/>
  <c r="B57" i="123"/>
  <c r="C57" i="123"/>
  <c r="B58" i="123"/>
  <c r="C58" i="123"/>
  <c r="B59" i="123"/>
  <c r="C59" i="123"/>
  <c r="B60" i="123"/>
  <c r="C60" i="123"/>
  <c r="B61" i="123"/>
  <c r="C61" i="123"/>
  <c r="C62" i="123"/>
  <c r="B63" i="123"/>
  <c r="C63" i="123"/>
  <c r="B64" i="123"/>
  <c r="C64" i="123"/>
  <c r="C65" i="123"/>
  <c r="B66" i="123"/>
  <c r="C66" i="123"/>
  <c r="B67" i="123"/>
  <c r="C67" i="123"/>
  <c r="C68" i="123"/>
  <c r="B69" i="123"/>
  <c r="C69" i="123"/>
  <c r="B70" i="123"/>
  <c r="C70" i="123"/>
  <c r="B71" i="123"/>
  <c r="C71" i="123"/>
  <c r="B72" i="123"/>
  <c r="C72" i="123"/>
  <c r="B73" i="123"/>
  <c r="C73" i="123"/>
  <c r="B74" i="123"/>
  <c r="C74" i="123"/>
  <c r="B75" i="123"/>
  <c r="C75" i="123"/>
  <c r="B76" i="123"/>
  <c r="C76" i="123"/>
  <c r="C77" i="123"/>
  <c r="B79" i="123"/>
  <c r="B10" i="125"/>
  <c r="C10" i="125"/>
  <c r="J10" i="125" s="1"/>
  <c r="B11" i="125"/>
  <c r="C11" i="125"/>
  <c r="J11" i="125" s="1"/>
  <c r="B12" i="125"/>
  <c r="C12" i="125"/>
  <c r="C13" i="125"/>
  <c r="B14" i="125"/>
  <c r="C14" i="125"/>
  <c r="C15" i="125"/>
  <c r="B16" i="125"/>
  <c r="C16" i="125"/>
  <c r="C17" i="125"/>
  <c r="B18" i="125"/>
  <c r="C18" i="125"/>
  <c r="B19" i="125"/>
  <c r="C19" i="125"/>
  <c r="B20" i="125"/>
  <c r="C20" i="125"/>
  <c r="B21" i="125"/>
  <c r="C21" i="125"/>
  <c r="B22" i="125"/>
  <c r="C22" i="125"/>
  <c r="B23" i="125"/>
  <c r="C23" i="125"/>
  <c r="B24" i="125"/>
  <c r="C24" i="125"/>
  <c r="B25" i="125"/>
  <c r="C25" i="125"/>
  <c r="B26" i="125"/>
  <c r="C26" i="125"/>
  <c r="B27" i="125"/>
  <c r="C27" i="125"/>
  <c r="B28" i="125"/>
  <c r="C28" i="125"/>
  <c r="B29" i="125"/>
  <c r="C29" i="125"/>
  <c r="B30" i="125"/>
  <c r="C30" i="125"/>
  <c r="B31" i="125"/>
  <c r="C31" i="125"/>
  <c r="B32" i="125"/>
  <c r="C32" i="125"/>
  <c r="B33" i="125"/>
  <c r="C33" i="125"/>
  <c r="B34" i="125"/>
  <c r="C34" i="125"/>
  <c r="B35" i="125"/>
  <c r="C35" i="125"/>
  <c r="B36" i="125"/>
  <c r="C36" i="125"/>
  <c r="B37" i="125"/>
  <c r="C37" i="125"/>
  <c r="B38" i="125"/>
  <c r="C38" i="125"/>
  <c r="B39" i="125"/>
  <c r="C39" i="125"/>
  <c r="C40" i="125"/>
  <c r="B41" i="125"/>
  <c r="C41" i="125"/>
  <c r="B42" i="125"/>
  <c r="C42" i="125"/>
  <c r="B78" i="125"/>
  <c r="C78" i="125"/>
  <c r="B43" i="125"/>
  <c r="C43" i="125"/>
  <c r="B44" i="125"/>
  <c r="C44" i="125"/>
  <c r="C45" i="125"/>
  <c r="B46" i="125"/>
  <c r="C46" i="125"/>
  <c r="B48" i="125"/>
  <c r="C48" i="125"/>
  <c r="B49" i="125"/>
  <c r="C49" i="125"/>
  <c r="B50" i="125"/>
  <c r="C50" i="125"/>
  <c r="B51" i="125"/>
  <c r="C51" i="125"/>
  <c r="C52" i="125"/>
  <c r="B53" i="125"/>
  <c r="C53" i="125"/>
  <c r="B54" i="125"/>
  <c r="C54" i="125"/>
  <c r="C55" i="125"/>
  <c r="B56" i="125"/>
  <c r="C56" i="125"/>
  <c r="B57" i="125"/>
  <c r="C57" i="125"/>
  <c r="B58" i="125"/>
  <c r="C58" i="125"/>
  <c r="B59" i="125"/>
  <c r="C59" i="125"/>
  <c r="B60" i="125"/>
  <c r="C60" i="125"/>
  <c r="B61" i="125"/>
  <c r="C61" i="125"/>
  <c r="C62" i="125"/>
  <c r="B63" i="125"/>
  <c r="C63" i="125"/>
  <c r="J63" i="125" s="1"/>
  <c r="K63" i="125" s="1"/>
  <c r="B64" i="125"/>
  <c r="C64" i="125"/>
  <c r="J64" i="125" s="1"/>
  <c r="K64" i="125" s="1"/>
  <c r="C65" i="125"/>
  <c r="B66" i="125"/>
  <c r="C66" i="125"/>
  <c r="B67" i="125"/>
  <c r="C67" i="125"/>
  <c r="C68" i="125"/>
  <c r="B69" i="125"/>
  <c r="C69" i="125"/>
  <c r="B70" i="125"/>
  <c r="C70" i="125"/>
  <c r="B71" i="125"/>
  <c r="C71" i="125"/>
  <c r="B72" i="125"/>
  <c r="C72" i="125"/>
  <c r="B73" i="125"/>
  <c r="C73" i="125"/>
  <c r="B74" i="125"/>
  <c r="C74" i="125"/>
  <c r="B75" i="125"/>
  <c r="C75" i="125"/>
  <c r="B76" i="125"/>
  <c r="C76" i="125"/>
  <c r="C77" i="125"/>
  <c r="B79" i="125"/>
  <c r="B10" i="475"/>
  <c r="C10" i="475"/>
  <c r="J10" i="475" s="1"/>
  <c r="K10" i="475" s="1"/>
  <c r="B11" i="475"/>
  <c r="C11" i="475"/>
  <c r="J11" i="475" s="1"/>
  <c r="B12" i="475"/>
  <c r="C12" i="475"/>
  <c r="C13" i="475"/>
  <c r="B14" i="475"/>
  <c r="C14" i="475"/>
  <c r="C15" i="475"/>
  <c r="B16" i="475"/>
  <c r="C16" i="475"/>
  <c r="C17" i="475"/>
  <c r="B18" i="475"/>
  <c r="C18" i="475"/>
  <c r="B19" i="475"/>
  <c r="C19" i="475"/>
  <c r="B20" i="475"/>
  <c r="C20" i="475"/>
  <c r="B21" i="475"/>
  <c r="C21" i="475"/>
  <c r="B22" i="475"/>
  <c r="C22" i="475"/>
  <c r="B23" i="475"/>
  <c r="C23" i="475"/>
  <c r="B24" i="475"/>
  <c r="C24" i="475"/>
  <c r="B25" i="475"/>
  <c r="C25" i="475"/>
  <c r="B26" i="475"/>
  <c r="C26" i="475"/>
  <c r="B27" i="475"/>
  <c r="C27" i="475"/>
  <c r="B28" i="475"/>
  <c r="C28" i="475"/>
  <c r="B29" i="475"/>
  <c r="C29" i="475"/>
  <c r="B30" i="475"/>
  <c r="C30" i="475"/>
  <c r="B31" i="475"/>
  <c r="C31" i="475"/>
  <c r="B32" i="475"/>
  <c r="C32" i="475"/>
  <c r="B33" i="475"/>
  <c r="C33" i="475"/>
  <c r="B34" i="475"/>
  <c r="C34" i="475"/>
  <c r="B35" i="475"/>
  <c r="C35" i="475"/>
  <c r="B36" i="475"/>
  <c r="C36" i="475"/>
  <c r="B37" i="475"/>
  <c r="C37" i="475"/>
  <c r="B38" i="475"/>
  <c r="C38" i="475"/>
  <c r="B39" i="475"/>
  <c r="C39" i="475"/>
  <c r="C40" i="475"/>
  <c r="B41" i="475"/>
  <c r="C41" i="475"/>
  <c r="B42" i="475"/>
  <c r="C42" i="475"/>
  <c r="B78" i="475"/>
  <c r="C78" i="475"/>
  <c r="B43" i="475"/>
  <c r="C43" i="475"/>
  <c r="B44" i="475"/>
  <c r="C44" i="475"/>
  <c r="C45" i="475"/>
  <c r="B46" i="475"/>
  <c r="C46" i="475"/>
  <c r="B48" i="475"/>
  <c r="C48" i="475"/>
  <c r="B49" i="475"/>
  <c r="C49" i="475"/>
  <c r="B50" i="475"/>
  <c r="C50" i="475"/>
  <c r="B51" i="475"/>
  <c r="C51" i="475"/>
  <c r="C52" i="475"/>
  <c r="B53" i="475"/>
  <c r="C53" i="475"/>
  <c r="B54" i="475"/>
  <c r="C54" i="475"/>
  <c r="C55" i="475"/>
  <c r="B56" i="475"/>
  <c r="C56" i="475"/>
  <c r="B57" i="475"/>
  <c r="C57" i="475"/>
  <c r="B58" i="475"/>
  <c r="C58" i="475"/>
  <c r="B59" i="475"/>
  <c r="C59" i="475"/>
  <c r="B60" i="475"/>
  <c r="C60" i="475"/>
  <c r="B61" i="475"/>
  <c r="C61" i="475"/>
  <c r="C62" i="475"/>
  <c r="B63" i="475"/>
  <c r="C63" i="475"/>
  <c r="J63" i="475" s="1"/>
  <c r="K63" i="475" s="1"/>
  <c r="B64" i="475"/>
  <c r="C64" i="475"/>
  <c r="J64" i="475" s="1"/>
  <c r="K64" i="475" s="1"/>
  <c r="C65" i="475"/>
  <c r="B66" i="475"/>
  <c r="C66" i="475"/>
  <c r="B67" i="475"/>
  <c r="C67" i="475"/>
  <c r="C68" i="475"/>
  <c r="B69" i="475"/>
  <c r="C69" i="475"/>
  <c r="B70" i="475"/>
  <c r="C70" i="475"/>
  <c r="B71" i="475"/>
  <c r="C71" i="475"/>
  <c r="B72" i="475"/>
  <c r="C72" i="475"/>
  <c r="B73" i="475"/>
  <c r="C73" i="475"/>
  <c r="B74" i="475"/>
  <c r="C74" i="475"/>
  <c r="B75" i="475"/>
  <c r="C75" i="475"/>
  <c r="B76" i="475"/>
  <c r="C76" i="475"/>
  <c r="C77" i="475"/>
  <c r="B79" i="475"/>
  <c r="B10" i="59"/>
  <c r="A10" i="59" s="1"/>
  <c r="C10" i="59"/>
  <c r="J10" i="59" s="1"/>
  <c r="B11" i="59"/>
  <c r="A11" i="59" s="1"/>
  <c r="C11" i="59"/>
  <c r="J11" i="59" s="1"/>
  <c r="B12" i="59"/>
  <c r="A12" i="59" s="1"/>
  <c r="C12" i="59"/>
  <c r="C13" i="59"/>
  <c r="B14" i="59"/>
  <c r="A14" i="59" s="1"/>
  <c r="C14" i="59"/>
  <c r="C15" i="59"/>
  <c r="B16" i="59"/>
  <c r="A16" i="59" s="1"/>
  <c r="C16" i="59"/>
  <c r="C17" i="59"/>
  <c r="B18" i="59"/>
  <c r="C18" i="59"/>
  <c r="J18" i="59" s="1"/>
  <c r="B19" i="59"/>
  <c r="A19" i="59" s="1"/>
  <c r="C19" i="59"/>
  <c r="J19" i="59" s="1"/>
  <c r="B20" i="59"/>
  <c r="A20" i="59" s="1"/>
  <c r="C20" i="59"/>
  <c r="J20" i="59" s="1"/>
  <c r="B21" i="59"/>
  <c r="C21" i="59"/>
  <c r="B22" i="59"/>
  <c r="C22" i="59"/>
  <c r="B23" i="59"/>
  <c r="A23" i="59" s="1"/>
  <c r="C23" i="59"/>
  <c r="J23" i="59" s="1"/>
  <c r="B24" i="59"/>
  <c r="C24" i="59"/>
  <c r="B25" i="59"/>
  <c r="A25" i="59" s="1"/>
  <c r="C25" i="59"/>
  <c r="J25" i="59" s="1"/>
  <c r="B26" i="59"/>
  <c r="A26" i="59" s="1"/>
  <c r="C26" i="59"/>
  <c r="J26" i="59" s="1"/>
  <c r="B27" i="59"/>
  <c r="C27" i="59"/>
  <c r="B28" i="59"/>
  <c r="A28" i="59" s="1"/>
  <c r="C28" i="59"/>
  <c r="B29" i="59"/>
  <c r="A29" i="59" s="1"/>
  <c r="C29" i="59"/>
  <c r="B30" i="59"/>
  <c r="C30" i="59"/>
  <c r="B31" i="59"/>
  <c r="C31" i="59"/>
  <c r="B32" i="59"/>
  <c r="C32" i="59"/>
  <c r="B33" i="59"/>
  <c r="C33" i="59"/>
  <c r="B34" i="59"/>
  <c r="C34" i="59"/>
  <c r="B35" i="59"/>
  <c r="C35" i="59"/>
  <c r="B36" i="59"/>
  <c r="C36" i="59"/>
  <c r="B37" i="59"/>
  <c r="C37" i="59"/>
  <c r="B38" i="59"/>
  <c r="A38" i="59" s="1"/>
  <c r="C38" i="59"/>
  <c r="J38" i="59" s="1"/>
  <c r="B39" i="59"/>
  <c r="C39" i="59"/>
  <c r="C40" i="59"/>
  <c r="B41" i="59"/>
  <c r="A41" i="59" s="1"/>
  <c r="C41" i="59"/>
  <c r="B42" i="59"/>
  <c r="A42" i="59" s="1"/>
  <c r="C42" i="59"/>
  <c r="B78" i="59"/>
  <c r="A78" i="59" s="1"/>
  <c r="C78" i="59"/>
  <c r="B43" i="59"/>
  <c r="A43" i="59" s="1"/>
  <c r="C43" i="59"/>
  <c r="B44" i="59"/>
  <c r="A44" i="59" s="1"/>
  <c r="C44" i="59"/>
  <c r="C45" i="59"/>
  <c r="B46" i="59"/>
  <c r="A46" i="59" s="1"/>
  <c r="C46" i="59"/>
  <c r="B48" i="59"/>
  <c r="A48" i="59" s="1"/>
  <c r="C48" i="59"/>
  <c r="B49" i="59"/>
  <c r="A49" i="59" s="1"/>
  <c r="C49" i="59"/>
  <c r="B50" i="59"/>
  <c r="A50" i="59" s="1"/>
  <c r="C50" i="59"/>
  <c r="B51" i="59"/>
  <c r="A51" i="59" s="1"/>
  <c r="C51" i="59"/>
  <c r="C52" i="59"/>
  <c r="B53" i="59"/>
  <c r="A53" i="59" s="1"/>
  <c r="C53" i="59"/>
  <c r="B54" i="59"/>
  <c r="A54" i="59" s="1"/>
  <c r="C54" i="59"/>
  <c r="Z51" i="59" s="1"/>
  <c r="C55" i="59"/>
  <c r="B56" i="59"/>
  <c r="AX53" i="59" s="1"/>
  <c r="C56" i="59"/>
  <c r="B57" i="59"/>
  <c r="Y54" i="59" s="1"/>
  <c r="C57" i="59"/>
  <c r="B58" i="59"/>
  <c r="C58" i="59"/>
  <c r="B59" i="59"/>
  <c r="AL56" i="59" s="1"/>
  <c r="C59" i="59"/>
  <c r="B60" i="59"/>
  <c r="AL57" i="59" s="1"/>
  <c r="C60" i="59"/>
  <c r="AY57" i="59" s="1"/>
  <c r="B61" i="59"/>
  <c r="C61" i="59"/>
  <c r="C62" i="59"/>
  <c r="AY59" i="59" s="1"/>
  <c r="B63" i="59"/>
  <c r="A63" i="59" s="1"/>
  <c r="C63" i="59"/>
  <c r="AM60" i="59" s="1"/>
  <c r="B64" i="59"/>
  <c r="Y61" i="59" s="1"/>
  <c r="C64" i="59"/>
  <c r="Z61" i="59" s="1"/>
  <c r="C65" i="59"/>
  <c r="AM63" i="59" s="1"/>
  <c r="B66" i="59"/>
  <c r="AL64" i="59" s="1"/>
  <c r="C66" i="59"/>
  <c r="AM64" i="59" s="1"/>
  <c r="B67" i="59"/>
  <c r="C67" i="59"/>
  <c r="C68" i="59"/>
  <c r="Z66" i="59" s="1"/>
  <c r="B69" i="59"/>
  <c r="AL67" i="59" s="1"/>
  <c r="C69" i="59"/>
  <c r="AM67" i="59" s="1"/>
  <c r="B70" i="59"/>
  <c r="A70" i="59" s="1"/>
  <c r="C70" i="59"/>
  <c r="Z68" i="59" s="1"/>
  <c r="B71" i="59"/>
  <c r="AX69" i="59" s="1"/>
  <c r="C71" i="59"/>
  <c r="AM69" i="59" s="1"/>
  <c r="B72" i="59"/>
  <c r="A72" i="59" s="1"/>
  <c r="C72" i="59"/>
  <c r="Z70" i="59" s="1"/>
  <c r="B73" i="59"/>
  <c r="AL71" i="59" s="1"/>
  <c r="C73" i="59"/>
  <c r="AM71" i="59" s="1"/>
  <c r="B74" i="59"/>
  <c r="C74" i="59"/>
  <c r="Z72" i="59" s="1"/>
  <c r="AE72" i="59" s="1"/>
  <c r="B75" i="59"/>
  <c r="AL73" i="59" s="1"/>
  <c r="C75" i="59"/>
  <c r="AM73" i="59" s="1"/>
  <c r="B76" i="59"/>
  <c r="A76" i="59" s="1"/>
  <c r="C76" i="59"/>
  <c r="C77" i="59"/>
  <c r="B79" i="59"/>
  <c r="A79" i="59" s="1"/>
  <c r="C9" i="100"/>
  <c r="C9" i="101"/>
  <c r="C9" i="102"/>
  <c r="C9" i="103"/>
  <c r="C9" i="104"/>
  <c r="C9" i="105"/>
  <c r="C9" i="106"/>
  <c r="C9" i="107"/>
  <c r="C9" i="108"/>
  <c r="C9" i="110"/>
  <c r="C9" i="111"/>
  <c r="C9" i="112"/>
  <c r="C9" i="472"/>
  <c r="C9" i="114"/>
  <c r="C9" i="115"/>
  <c r="C9" i="124"/>
  <c r="C9" i="116"/>
  <c r="C9" i="117"/>
  <c r="C9" i="118"/>
  <c r="C9" i="119"/>
  <c r="C9" i="120"/>
  <c r="C9" i="121"/>
  <c r="C9" i="122"/>
  <c r="C9" i="123"/>
  <c r="C9" i="125"/>
  <c r="C9" i="475"/>
  <c r="C9" i="59"/>
  <c r="E5" i="59"/>
  <c r="J6" i="59"/>
  <c r="F6" i="59"/>
  <c r="F7" i="59"/>
  <c r="J7" i="59"/>
  <c r="E5" i="475"/>
  <c r="R5" i="475"/>
  <c r="S5" i="475" s="1"/>
  <c r="U5" i="475"/>
  <c r="V5" i="475" s="1"/>
  <c r="I32" i="674" s="1"/>
  <c r="Y5" i="475"/>
  <c r="AL5" i="475"/>
  <c r="AX5" i="475"/>
  <c r="R6" i="475"/>
  <c r="S6" i="475" s="1"/>
  <c r="U6" i="475"/>
  <c r="V6" i="475" s="1"/>
  <c r="J32" i="674" s="1"/>
  <c r="J7" i="475"/>
  <c r="K7" i="475" s="1"/>
  <c r="F7" i="475"/>
  <c r="G7" i="475" s="1"/>
  <c r="R7" i="475"/>
  <c r="S7" i="475" s="1"/>
  <c r="U7" i="475"/>
  <c r="V7" i="475" s="1"/>
  <c r="K32" i="674" s="1"/>
  <c r="E5" i="125"/>
  <c r="R5" i="125"/>
  <c r="S5" i="125" s="1"/>
  <c r="U5" i="125"/>
  <c r="V5" i="125" s="1"/>
  <c r="I31" i="674" s="1"/>
  <c r="Y5" i="125"/>
  <c r="AL5" i="125"/>
  <c r="AX5" i="125"/>
  <c r="F6" i="125"/>
  <c r="R6" i="125"/>
  <c r="S6" i="125"/>
  <c r="U6" i="125"/>
  <c r="V6" i="125" s="1"/>
  <c r="J31" i="674" s="1"/>
  <c r="R7" i="125"/>
  <c r="S7" i="125" s="1"/>
  <c r="U7" i="125"/>
  <c r="V7" i="125" s="1"/>
  <c r="K31" i="674" s="1"/>
  <c r="E5" i="123"/>
  <c r="R5" i="123"/>
  <c r="S5" i="123"/>
  <c r="U5" i="123"/>
  <c r="V5" i="123" s="1"/>
  <c r="I30" i="674" s="1"/>
  <c r="Y5" i="123"/>
  <c r="AL5" i="123"/>
  <c r="AX5" i="123"/>
  <c r="F6" i="123"/>
  <c r="J6" i="123"/>
  <c r="K6" i="123" s="1"/>
  <c r="R6" i="123"/>
  <c r="S6" i="123" s="1"/>
  <c r="U6" i="123"/>
  <c r="V6" i="123" s="1"/>
  <c r="J30" i="674" s="1"/>
  <c r="F7" i="123"/>
  <c r="G7" i="123" s="1"/>
  <c r="J7" i="123"/>
  <c r="K7" i="123" s="1"/>
  <c r="R7" i="123"/>
  <c r="S7" i="123" s="1"/>
  <c r="U7" i="123"/>
  <c r="V7" i="123" s="1"/>
  <c r="K30" i="674" s="1"/>
  <c r="E5" i="122"/>
  <c r="R5" i="122"/>
  <c r="S5" i="122" s="1"/>
  <c r="U5" i="122"/>
  <c r="V5" i="122" s="1"/>
  <c r="I29" i="674" s="1"/>
  <c r="Y5" i="122"/>
  <c r="AL5" i="122"/>
  <c r="AX5" i="122"/>
  <c r="J6" i="122"/>
  <c r="K6" i="122" s="1"/>
  <c r="F6" i="122"/>
  <c r="R6" i="122"/>
  <c r="S6" i="122" s="1"/>
  <c r="U6" i="122"/>
  <c r="V6" i="122" s="1"/>
  <c r="J29" i="674" s="1"/>
  <c r="F7" i="122"/>
  <c r="G7" i="122" s="1"/>
  <c r="J7" i="122"/>
  <c r="K7" i="122" s="1"/>
  <c r="R7" i="122"/>
  <c r="S7" i="122" s="1"/>
  <c r="U7" i="122"/>
  <c r="V7" i="122" s="1"/>
  <c r="K29" i="674" s="1"/>
  <c r="E5" i="121"/>
  <c r="R5" i="121"/>
  <c r="S5" i="121" s="1"/>
  <c r="U5" i="121"/>
  <c r="V5" i="121" s="1"/>
  <c r="I28" i="674" s="1"/>
  <c r="Y5" i="121"/>
  <c r="AL5" i="121"/>
  <c r="AX5" i="121"/>
  <c r="R6" i="121"/>
  <c r="S6" i="121" s="1"/>
  <c r="U6" i="121"/>
  <c r="V6" i="121" s="1"/>
  <c r="J28" i="674" s="1"/>
  <c r="F7" i="121"/>
  <c r="G7" i="121" s="1"/>
  <c r="J7" i="121"/>
  <c r="K7" i="121" s="1"/>
  <c r="R7" i="121"/>
  <c r="S7" i="121" s="1"/>
  <c r="U7" i="121"/>
  <c r="V7" i="121" s="1"/>
  <c r="K28" i="674" s="1"/>
  <c r="E5" i="120"/>
  <c r="R5" i="120"/>
  <c r="S5" i="120" s="1"/>
  <c r="U5" i="120"/>
  <c r="Y5" i="120"/>
  <c r="AL5" i="120"/>
  <c r="AX5" i="120"/>
  <c r="F6" i="120"/>
  <c r="R6" i="120"/>
  <c r="S6" i="120" s="1"/>
  <c r="C21" i="672" s="1"/>
  <c r="U6" i="120"/>
  <c r="F7" i="120"/>
  <c r="R7" i="120"/>
  <c r="S7" i="120" s="1"/>
  <c r="U7" i="120"/>
  <c r="E5" i="119"/>
  <c r="R5" i="119"/>
  <c r="S5" i="119" s="1"/>
  <c r="U5" i="119"/>
  <c r="V5" i="119" s="1"/>
  <c r="I26" i="674" s="1"/>
  <c r="Y5" i="119"/>
  <c r="AL5" i="119"/>
  <c r="AX5" i="119"/>
  <c r="F6" i="119"/>
  <c r="R6" i="119"/>
  <c r="S6" i="119" s="1"/>
  <c r="U6" i="119"/>
  <c r="V6" i="119" s="1"/>
  <c r="J26" i="674" s="1"/>
  <c r="J7" i="119"/>
  <c r="K7" i="119" s="1"/>
  <c r="F7" i="119"/>
  <c r="G7" i="119" s="1"/>
  <c r="R7" i="119"/>
  <c r="S7" i="119" s="1"/>
  <c r="U7" i="119"/>
  <c r="V7" i="119"/>
  <c r="K26" i="674" s="1"/>
  <c r="E5" i="118"/>
  <c r="R5" i="118"/>
  <c r="S5" i="118" s="1"/>
  <c r="U5" i="118"/>
  <c r="Y5" i="118"/>
  <c r="AL5" i="118"/>
  <c r="AX5" i="118"/>
  <c r="F6" i="118"/>
  <c r="J6" i="118"/>
  <c r="K6" i="118" s="1"/>
  <c r="R6" i="118"/>
  <c r="S6" i="118" s="1"/>
  <c r="U6" i="118"/>
  <c r="V6" i="118" s="1"/>
  <c r="J25" i="674" s="1"/>
  <c r="R7" i="118"/>
  <c r="S7" i="118" s="1"/>
  <c r="U7" i="118"/>
  <c r="E5" i="117"/>
  <c r="R5" i="117"/>
  <c r="S5" i="117" s="1"/>
  <c r="U5" i="117"/>
  <c r="V5" i="117" s="1"/>
  <c r="I24" i="674" s="1"/>
  <c r="Y5" i="117"/>
  <c r="AL5" i="117"/>
  <c r="AX5" i="117"/>
  <c r="J6" i="117"/>
  <c r="K6" i="117" s="1"/>
  <c r="F6" i="117"/>
  <c r="R6" i="117"/>
  <c r="S6" i="117" s="1"/>
  <c r="U6" i="117"/>
  <c r="V6" i="117" s="1"/>
  <c r="J24" i="674" s="1"/>
  <c r="F7" i="117"/>
  <c r="G7" i="117" s="1"/>
  <c r="J7" i="117"/>
  <c r="K7" i="117" s="1"/>
  <c r="M7" i="117" s="1"/>
  <c r="R7" i="117"/>
  <c r="S7" i="117" s="1"/>
  <c r="U7" i="117"/>
  <c r="V7" i="117"/>
  <c r="K24" i="674" s="1"/>
  <c r="E5" i="116"/>
  <c r="R5" i="116"/>
  <c r="S5" i="116" s="1"/>
  <c r="U5" i="116"/>
  <c r="V5" i="116"/>
  <c r="I23" i="674" s="1"/>
  <c r="Y5" i="116"/>
  <c r="AL5" i="116"/>
  <c r="AX5" i="116"/>
  <c r="R6" i="116"/>
  <c r="S6" i="116" s="1"/>
  <c r="U6" i="116"/>
  <c r="V6" i="116" s="1"/>
  <c r="J23" i="674" s="1"/>
  <c r="J7" i="116"/>
  <c r="K7" i="116" s="1"/>
  <c r="F7" i="116"/>
  <c r="G7" i="116" s="1"/>
  <c r="R7" i="116"/>
  <c r="S7" i="116" s="1"/>
  <c r="U7" i="116"/>
  <c r="V7" i="116" s="1"/>
  <c r="K23" i="674" s="1"/>
  <c r="E5" i="124"/>
  <c r="R5" i="124"/>
  <c r="S5" i="124"/>
  <c r="U5" i="124"/>
  <c r="V5" i="124" s="1"/>
  <c r="I22" i="674" s="1"/>
  <c r="Y5" i="124"/>
  <c r="AL5" i="124"/>
  <c r="AX5" i="124"/>
  <c r="F6" i="124"/>
  <c r="R6" i="124"/>
  <c r="S6" i="124" s="1"/>
  <c r="U6" i="124"/>
  <c r="V6" i="124" s="1"/>
  <c r="J22" i="674" s="1"/>
  <c r="R7" i="124"/>
  <c r="S7" i="124" s="1"/>
  <c r="U7" i="124"/>
  <c r="V7" i="124" s="1"/>
  <c r="K22" i="674" s="1"/>
  <c r="E5" i="115"/>
  <c r="R5" i="115"/>
  <c r="S5" i="115"/>
  <c r="U5" i="115"/>
  <c r="V5" i="115" s="1"/>
  <c r="I21" i="674" s="1"/>
  <c r="Y5" i="115"/>
  <c r="AL5" i="115"/>
  <c r="AX5" i="115"/>
  <c r="F6" i="115"/>
  <c r="J6" i="115"/>
  <c r="K6" i="115" s="1"/>
  <c r="R6" i="115"/>
  <c r="S6" i="115"/>
  <c r="U6" i="115"/>
  <c r="V6" i="115" s="1"/>
  <c r="J21" i="674" s="1"/>
  <c r="R7" i="115"/>
  <c r="S7" i="115" s="1"/>
  <c r="U7" i="115"/>
  <c r="V7" i="115" s="1"/>
  <c r="K21" i="674" s="1"/>
  <c r="E5" i="114"/>
  <c r="R5" i="114"/>
  <c r="S5" i="114" s="1"/>
  <c r="U5" i="114"/>
  <c r="V5" i="114" s="1"/>
  <c r="I20" i="674" s="1"/>
  <c r="Y5" i="114"/>
  <c r="AL5" i="114"/>
  <c r="AX5" i="114"/>
  <c r="J6" i="114"/>
  <c r="K6" i="114" s="1"/>
  <c r="F6" i="114"/>
  <c r="R6" i="114"/>
  <c r="S6" i="114" s="1"/>
  <c r="U6" i="114"/>
  <c r="V6" i="114" s="1"/>
  <c r="J20" i="674" s="1"/>
  <c r="F7" i="114"/>
  <c r="G7" i="114" s="1"/>
  <c r="R7" i="114"/>
  <c r="S7" i="114" s="1"/>
  <c r="U7" i="114"/>
  <c r="V7" i="114" s="1"/>
  <c r="K20" i="674" s="1"/>
  <c r="E5" i="472"/>
  <c r="R5" i="472"/>
  <c r="S5" i="472" s="1"/>
  <c r="U5" i="472"/>
  <c r="V5" i="472" s="1"/>
  <c r="I19" i="674" s="1"/>
  <c r="Y5" i="472"/>
  <c r="AL5" i="472"/>
  <c r="AX5" i="472"/>
  <c r="R6" i="472"/>
  <c r="S6" i="472"/>
  <c r="U6" i="472"/>
  <c r="V6" i="472" s="1"/>
  <c r="J19" i="674" s="1"/>
  <c r="F7" i="472"/>
  <c r="G7" i="472" s="1"/>
  <c r="J7" i="472"/>
  <c r="K7" i="472" s="1"/>
  <c r="R7" i="472"/>
  <c r="S7" i="472" s="1"/>
  <c r="U7" i="472"/>
  <c r="V7" i="472"/>
  <c r="K19" i="674" s="1"/>
  <c r="E5" i="112"/>
  <c r="R5" i="112"/>
  <c r="S5" i="112" s="1"/>
  <c r="U5" i="112"/>
  <c r="V5" i="112" s="1"/>
  <c r="I18" i="674" s="1"/>
  <c r="Y5" i="112"/>
  <c r="AL5" i="112"/>
  <c r="AX5" i="112"/>
  <c r="J6" i="112"/>
  <c r="K6" i="112" s="1"/>
  <c r="F6" i="112"/>
  <c r="R6" i="112"/>
  <c r="S6" i="112" s="1"/>
  <c r="U6" i="112"/>
  <c r="V6" i="112" s="1"/>
  <c r="J18" i="674" s="1"/>
  <c r="R7" i="112"/>
  <c r="S7" i="112" s="1"/>
  <c r="U7" i="112"/>
  <c r="V7" i="112" s="1"/>
  <c r="K18" i="674" s="1"/>
  <c r="E5" i="111"/>
  <c r="R5" i="111"/>
  <c r="S5" i="111" s="1"/>
  <c r="U5" i="111"/>
  <c r="V5" i="111" s="1"/>
  <c r="I17" i="674" s="1"/>
  <c r="Y5" i="111"/>
  <c r="AL5" i="111"/>
  <c r="AX5" i="111"/>
  <c r="R6" i="111"/>
  <c r="S6" i="111" s="1"/>
  <c r="U6" i="111"/>
  <c r="V6" i="111" s="1"/>
  <c r="J17" i="674" s="1"/>
  <c r="J7" i="111"/>
  <c r="K7" i="111" s="1"/>
  <c r="F7" i="111"/>
  <c r="G7" i="111" s="1"/>
  <c r="R7" i="111"/>
  <c r="S7" i="111" s="1"/>
  <c r="U7" i="111"/>
  <c r="V7" i="111" s="1"/>
  <c r="K17" i="674" s="1"/>
  <c r="E5" i="110"/>
  <c r="R5" i="110"/>
  <c r="S5" i="110" s="1"/>
  <c r="U5" i="110"/>
  <c r="V5" i="110" s="1"/>
  <c r="I16" i="674" s="1"/>
  <c r="Y5" i="110"/>
  <c r="AL5" i="110"/>
  <c r="AX5" i="110"/>
  <c r="J6" i="110"/>
  <c r="K6" i="110" s="1"/>
  <c r="F6" i="110"/>
  <c r="R6" i="110"/>
  <c r="S6" i="110"/>
  <c r="U6" i="110"/>
  <c r="V6" i="110" s="1"/>
  <c r="J16" i="674" s="1"/>
  <c r="F7" i="110"/>
  <c r="G7" i="110" s="1"/>
  <c r="J7" i="110"/>
  <c r="K7" i="110" s="1"/>
  <c r="R7" i="110"/>
  <c r="S7" i="110" s="1"/>
  <c r="U7" i="110"/>
  <c r="V7" i="110" s="1"/>
  <c r="K16" i="674" s="1"/>
  <c r="E5" i="108"/>
  <c r="R5" i="108"/>
  <c r="S5" i="108" s="1"/>
  <c r="U5" i="108"/>
  <c r="Y5" i="108"/>
  <c r="AL5" i="108"/>
  <c r="AX5" i="108"/>
  <c r="R6" i="108"/>
  <c r="S6" i="108" s="1"/>
  <c r="U6" i="108"/>
  <c r="J7" i="108"/>
  <c r="K7" i="108" s="1"/>
  <c r="F7" i="108"/>
  <c r="G7" i="108" s="1"/>
  <c r="R7" i="108"/>
  <c r="S7" i="108" s="1"/>
  <c r="U7" i="108"/>
  <c r="V7" i="108" s="1"/>
  <c r="K15" i="674" s="1"/>
  <c r="E5" i="107"/>
  <c r="R5" i="107"/>
  <c r="S5" i="107" s="1"/>
  <c r="U5" i="107"/>
  <c r="V5" i="107" s="1"/>
  <c r="I14" i="674" s="1"/>
  <c r="Y5" i="107"/>
  <c r="AL5" i="107"/>
  <c r="AX5" i="107"/>
  <c r="F6" i="107"/>
  <c r="J6" i="107"/>
  <c r="K6" i="107" s="1"/>
  <c r="R6" i="107"/>
  <c r="S6" i="107" s="1"/>
  <c r="U6" i="107"/>
  <c r="V6" i="107" s="1"/>
  <c r="J14" i="674" s="1"/>
  <c r="R7" i="107"/>
  <c r="S7" i="107"/>
  <c r="U7" i="107"/>
  <c r="V7" i="107" s="1"/>
  <c r="K14" i="674" s="1"/>
  <c r="E5" i="106"/>
  <c r="R5" i="106"/>
  <c r="S5" i="106" s="1"/>
  <c r="U5" i="106"/>
  <c r="V5" i="106" s="1"/>
  <c r="I13" i="674" s="1"/>
  <c r="Y5" i="106"/>
  <c r="AL5" i="106"/>
  <c r="AX5" i="106"/>
  <c r="R6" i="106"/>
  <c r="S6" i="106" s="1"/>
  <c r="U6" i="106"/>
  <c r="V6" i="106" s="1"/>
  <c r="J13" i="674" s="1"/>
  <c r="F7" i="106"/>
  <c r="G7" i="106" s="1"/>
  <c r="J7" i="106"/>
  <c r="K7" i="106" s="1"/>
  <c r="R7" i="106"/>
  <c r="S7" i="106" s="1"/>
  <c r="U7" i="106"/>
  <c r="V7" i="106" s="1"/>
  <c r="K13" i="674" s="1"/>
  <c r="E5" i="105"/>
  <c r="R5" i="105"/>
  <c r="S5" i="105" s="1"/>
  <c r="U5" i="105"/>
  <c r="V5" i="105" s="1"/>
  <c r="I12" i="674" s="1"/>
  <c r="Y5" i="105"/>
  <c r="AL5" i="105"/>
  <c r="AX5" i="105"/>
  <c r="F6" i="105"/>
  <c r="R6" i="105"/>
  <c r="S6" i="105" s="1"/>
  <c r="U6" i="105"/>
  <c r="V6" i="105" s="1"/>
  <c r="J12" i="674" s="1"/>
  <c r="F7" i="105"/>
  <c r="G7" i="105" s="1"/>
  <c r="J7" i="105"/>
  <c r="K7" i="105" s="1"/>
  <c r="M7" i="105" s="1"/>
  <c r="R7" i="105"/>
  <c r="S7" i="105" s="1"/>
  <c r="U7" i="105"/>
  <c r="V7" i="105" s="1"/>
  <c r="K12" i="674" s="1"/>
  <c r="E5" i="104"/>
  <c r="R5" i="104"/>
  <c r="S5" i="104" s="1"/>
  <c r="U5" i="104"/>
  <c r="V5" i="104" s="1"/>
  <c r="I11" i="674" s="1"/>
  <c r="Y5" i="104"/>
  <c r="AL5" i="104"/>
  <c r="AX5" i="104"/>
  <c r="F6" i="104"/>
  <c r="R6" i="104"/>
  <c r="S6" i="104" s="1"/>
  <c r="U6" i="104"/>
  <c r="V6" i="104" s="1"/>
  <c r="J11" i="674" s="1"/>
  <c r="R7" i="104"/>
  <c r="S7" i="104" s="1"/>
  <c r="U7" i="104"/>
  <c r="V7" i="104" s="1"/>
  <c r="K11" i="674" s="1"/>
  <c r="E5" i="103"/>
  <c r="R5" i="103"/>
  <c r="S5" i="103" s="1"/>
  <c r="U5" i="103"/>
  <c r="V5" i="103" s="1"/>
  <c r="I10" i="674" s="1"/>
  <c r="Y5" i="103"/>
  <c r="AL5" i="103"/>
  <c r="AX5" i="103"/>
  <c r="F6" i="103"/>
  <c r="G6" i="103"/>
  <c r="J6" i="103"/>
  <c r="K6" i="103" s="1"/>
  <c r="R6" i="103"/>
  <c r="S6" i="103" s="1"/>
  <c r="U6" i="103"/>
  <c r="V6" i="103" s="1"/>
  <c r="J10" i="674" s="1"/>
  <c r="F7" i="103"/>
  <c r="G7" i="103" s="1"/>
  <c r="J7" i="103"/>
  <c r="K7" i="103" s="1"/>
  <c r="R7" i="103"/>
  <c r="S7" i="103" s="1"/>
  <c r="U7" i="103"/>
  <c r="V7" i="103" s="1"/>
  <c r="K10" i="674" s="1"/>
  <c r="E5" i="102"/>
  <c r="R5" i="102"/>
  <c r="S5" i="102" s="1"/>
  <c r="U5" i="102"/>
  <c r="V5" i="102" s="1"/>
  <c r="I9" i="674" s="1"/>
  <c r="Y5" i="102"/>
  <c r="AL5" i="102"/>
  <c r="AX5" i="102"/>
  <c r="F6" i="102"/>
  <c r="J6" i="102"/>
  <c r="K6" i="102" s="1"/>
  <c r="R6" i="102"/>
  <c r="S6" i="102" s="1"/>
  <c r="U6" i="102"/>
  <c r="V6" i="102" s="1"/>
  <c r="J9" i="674" s="1"/>
  <c r="J7" i="102"/>
  <c r="K7" i="102" s="1"/>
  <c r="F7" i="102"/>
  <c r="G7" i="102" s="1"/>
  <c r="R7" i="102"/>
  <c r="S7" i="102" s="1"/>
  <c r="U7" i="102"/>
  <c r="V7" i="102" s="1"/>
  <c r="K9" i="674" s="1"/>
  <c r="E5" i="101"/>
  <c r="R5" i="101"/>
  <c r="S5" i="101" s="1"/>
  <c r="U5" i="101"/>
  <c r="V5" i="101" s="1"/>
  <c r="I8" i="674" s="1"/>
  <c r="Y5" i="101"/>
  <c r="AL5" i="101"/>
  <c r="AX5" i="101"/>
  <c r="F6" i="101"/>
  <c r="J6" i="101"/>
  <c r="K6" i="101" s="1"/>
  <c r="R6" i="101"/>
  <c r="S6" i="101" s="1"/>
  <c r="U6" i="101"/>
  <c r="V6" i="101" s="1"/>
  <c r="J8" i="674" s="1"/>
  <c r="F7" i="101"/>
  <c r="R7" i="101"/>
  <c r="S7" i="101" s="1"/>
  <c r="U7" i="101"/>
  <c r="V7" i="101" s="1"/>
  <c r="K8" i="674" s="1"/>
  <c r="E5" i="100"/>
  <c r="R5" i="100"/>
  <c r="S5" i="100" s="1"/>
  <c r="U5" i="100"/>
  <c r="V5" i="100" s="1"/>
  <c r="I7" i="674" s="1"/>
  <c r="Y5" i="100"/>
  <c r="AL5" i="100"/>
  <c r="AX5" i="100"/>
  <c r="J6" i="100"/>
  <c r="F6" i="100"/>
  <c r="R6" i="100"/>
  <c r="S6" i="100" s="1"/>
  <c r="U6" i="100"/>
  <c r="V6" i="100" s="1"/>
  <c r="J7" i="674" s="1"/>
  <c r="F7" i="100"/>
  <c r="G7" i="100" s="1"/>
  <c r="J7" i="100"/>
  <c r="R7" i="100"/>
  <c r="S7" i="100" s="1"/>
  <c r="U7" i="100"/>
  <c r="V7" i="100" s="1"/>
  <c r="K7" i="674" s="1"/>
  <c r="C22" i="672" l="1"/>
  <c r="C20" i="672"/>
  <c r="F15" i="420"/>
  <c r="I8" i="108"/>
  <c r="F6" i="420" s="1"/>
  <c r="D13" i="753"/>
  <c r="F38" i="420"/>
  <c r="I8" i="100"/>
  <c r="F50" i="420"/>
  <c r="I8" i="118"/>
  <c r="G7" i="120"/>
  <c r="E5" i="420" s="1"/>
  <c r="D5" i="420"/>
  <c r="K7" i="100"/>
  <c r="M7" i="100" s="1"/>
  <c r="K6" i="100"/>
  <c r="F12" i="104"/>
  <c r="G12" i="104" s="1"/>
  <c r="F31" i="122"/>
  <c r="G31" i="122" s="1"/>
  <c r="J33" i="123"/>
  <c r="K33" i="123" s="1"/>
  <c r="F18" i="122"/>
  <c r="G18" i="122" s="1"/>
  <c r="M18" i="122" s="1"/>
  <c r="F18" i="120"/>
  <c r="J27" i="117"/>
  <c r="K27" i="117" s="1"/>
  <c r="F18" i="116"/>
  <c r="J14" i="124"/>
  <c r="J13" i="124" s="1"/>
  <c r="J18" i="115"/>
  <c r="K18" i="115" s="1"/>
  <c r="J39" i="112"/>
  <c r="K39" i="112" s="1"/>
  <c r="J49" i="111"/>
  <c r="K49" i="111" s="1"/>
  <c r="J33" i="110"/>
  <c r="K33" i="110" s="1"/>
  <c r="J27" i="110"/>
  <c r="K27" i="110" s="1"/>
  <c r="J14" i="103"/>
  <c r="J13" i="103" s="1"/>
  <c r="F56" i="102"/>
  <c r="G56" i="102" s="1"/>
  <c r="J49" i="102"/>
  <c r="K49" i="102" s="1"/>
  <c r="F36" i="102"/>
  <c r="G36" i="102" s="1"/>
  <c r="J30" i="102"/>
  <c r="K30" i="102" s="1"/>
  <c r="F24" i="102"/>
  <c r="G24" i="102" s="1"/>
  <c r="J18" i="102"/>
  <c r="K18" i="102" s="1"/>
  <c r="M18" i="102" s="1"/>
  <c r="F56" i="100"/>
  <c r="G56" i="100" s="1"/>
  <c r="F49" i="100"/>
  <c r="G49" i="100" s="1"/>
  <c r="J36" i="100"/>
  <c r="J30" i="100"/>
  <c r="F24" i="100"/>
  <c r="G24" i="100" s="1"/>
  <c r="J18" i="100"/>
  <c r="F23" i="125"/>
  <c r="G23" i="125" s="1"/>
  <c r="F35" i="108"/>
  <c r="G35" i="108" s="1"/>
  <c r="C28" i="682" s="1"/>
  <c r="F54" i="110"/>
  <c r="G54" i="110" s="1"/>
  <c r="F16" i="103"/>
  <c r="F44" i="100"/>
  <c r="G44" i="100" s="1"/>
  <c r="J46" i="475"/>
  <c r="J28" i="475"/>
  <c r="K28" i="475" s="1"/>
  <c r="F22" i="123"/>
  <c r="G22" i="123" s="1"/>
  <c r="J31" i="122"/>
  <c r="K31" i="122" s="1"/>
  <c r="F19" i="122"/>
  <c r="G19" i="122" s="1"/>
  <c r="M19" i="122" s="1"/>
  <c r="J34" i="121"/>
  <c r="K34" i="121" s="1"/>
  <c r="J31" i="120"/>
  <c r="K31" i="120" s="1"/>
  <c r="F19" i="120"/>
  <c r="F19" i="118"/>
  <c r="F19" i="116"/>
  <c r="G19" i="116" s="1"/>
  <c r="M19" i="116" s="1"/>
  <c r="J28" i="124"/>
  <c r="K28" i="124" s="1"/>
  <c r="J19" i="115"/>
  <c r="K19" i="115" s="1"/>
  <c r="J31" i="472"/>
  <c r="K31" i="472" s="1"/>
  <c r="J57" i="111"/>
  <c r="K57" i="111" s="1"/>
  <c r="F22" i="110"/>
  <c r="G22" i="110" s="1"/>
  <c r="J57" i="108"/>
  <c r="K57" i="108" s="1"/>
  <c r="J19" i="108"/>
  <c r="K19" i="108" s="1"/>
  <c r="J34" i="107"/>
  <c r="K34" i="107" s="1"/>
  <c r="J37" i="104"/>
  <c r="K37" i="104" s="1"/>
  <c r="F57" i="102"/>
  <c r="G57" i="102" s="1"/>
  <c r="F37" i="102"/>
  <c r="G37" i="102" s="1"/>
  <c r="J31" i="102"/>
  <c r="K31" i="102" s="1"/>
  <c r="F25" i="102"/>
  <c r="G25" i="102" s="1"/>
  <c r="J19" i="102"/>
  <c r="K19" i="102" s="1"/>
  <c r="J34" i="101"/>
  <c r="K34" i="101" s="1"/>
  <c r="F57" i="100"/>
  <c r="G57" i="100" s="1"/>
  <c r="F50" i="100"/>
  <c r="G50" i="100" s="1"/>
  <c r="J37" i="100"/>
  <c r="J31" i="100"/>
  <c r="J19" i="100"/>
  <c r="F34" i="107"/>
  <c r="G34" i="107" s="1"/>
  <c r="M7" i="123"/>
  <c r="F63" i="125"/>
  <c r="G63" i="125" s="1"/>
  <c r="M63" i="125" s="1"/>
  <c r="F63" i="116"/>
  <c r="G63" i="116" s="1"/>
  <c r="F11" i="100"/>
  <c r="G11" i="100" s="1"/>
  <c r="J75" i="475"/>
  <c r="K75" i="475" s="1"/>
  <c r="F78" i="114"/>
  <c r="F70" i="107"/>
  <c r="G70" i="107" s="1"/>
  <c r="F19" i="101"/>
  <c r="G19" i="101" s="1"/>
  <c r="F69" i="106"/>
  <c r="G69" i="106" s="1"/>
  <c r="F60" i="100"/>
  <c r="G60" i="100" s="1"/>
  <c r="F46" i="475"/>
  <c r="F20" i="117"/>
  <c r="G20" i="117" s="1"/>
  <c r="M20" i="117" s="1"/>
  <c r="J61" i="111"/>
  <c r="K61" i="111" s="1"/>
  <c r="J38" i="110"/>
  <c r="K38" i="110" s="1"/>
  <c r="J20" i="105"/>
  <c r="K20" i="105" s="1"/>
  <c r="F29" i="102"/>
  <c r="G29" i="102" s="1"/>
  <c r="J38" i="101"/>
  <c r="K38" i="101" s="1"/>
  <c r="F26" i="101"/>
  <c r="G26" i="101" s="1"/>
  <c r="J20" i="101"/>
  <c r="K20" i="101" s="1"/>
  <c r="J35" i="100"/>
  <c r="F7" i="736"/>
  <c r="V5" i="120"/>
  <c r="I27" i="674" s="1"/>
  <c r="F16" i="122"/>
  <c r="G16" i="122" s="1"/>
  <c r="G15" i="122" s="1"/>
  <c r="J74" i="120"/>
  <c r="K74" i="120" s="1"/>
  <c r="J16" i="104"/>
  <c r="K16" i="104" s="1"/>
  <c r="K15" i="104" s="1"/>
  <c r="J41" i="100"/>
  <c r="C38" i="736"/>
  <c r="F11" i="101"/>
  <c r="F14" i="122"/>
  <c r="J30" i="121"/>
  <c r="K30" i="121" s="1"/>
  <c r="F18" i="121"/>
  <c r="G18" i="121" s="1"/>
  <c r="J36" i="119"/>
  <c r="K36" i="119" s="1"/>
  <c r="F24" i="119"/>
  <c r="G24" i="119" s="1"/>
  <c r="F18" i="119"/>
  <c r="G18" i="119" s="1"/>
  <c r="M18" i="119" s="1"/>
  <c r="F66" i="118"/>
  <c r="J36" i="117"/>
  <c r="K36" i="117" s="1"/>
  <c r="F18" i="117"/>
  <c r="G18" i="117" s="1"/>
  <c r="F27" i="472"/>
  <c r="G27" i="472" s="1"/>
  <c r="F24" i="112"/>
  <c r="G24" i="112" s="1"/>
  <c r="J59" i="106"/>
  <c r="K59" i="106" s="1"/>
  <c r="F21" i="106"/>
  <c r="G21" i="106" s="1"/>
  <c r="J14" i="104"/>
  <c r="J13" i="104" s="1"/>
  <c r="F66" i="102"/>
  <c r="G66" i="102" s="1"/>
  <c r="J59" i="102"/>
  <c r="K59" i="102" s="1"/>
  <c r="J39" i="102"/>
  <c r="K39" i="102" s="1"/>
  <c r="F33" i="102"/>
  <c r="G33" i="102" s="1"/>
  <c r="J27" i="102"/>
  <c r="K27" i="102" s="1"/>
  <c r="F14" i="102"/>
  <c r="J18" i="101"/>
  <c r="K18" i="101" s="1"/>
  <c r="F50" i="736"/>
  <c r="M7" i="102"/>
  <c r="F51" i="122"/>
  <c r="G51" i="122" s="1"/>
  <c r="J29" i="124"/>
  <c r="K29" i="124" s="1"/>
  <c r="J20" i="472"/>
  <c r="K20" i="472" s="1"/>
  <c r="J79" i="111"/>
  <c r="K79" i="111" s="1"/>
  <c r="J51" i="111"/>
  <c r="K51" i="111" s="1"/>
  <c r="J29" i="107"/>
  <c r="K29" i="107" s="1"/>
  <c r="J79" i="102"/>
  <c r="K79" i="102" s="1"/>
  <c r="J58" i="102"/>
  <c r="K58" i="102" s="1"/>
  <c r="J38" i="102"/>
  <c r="K38" i="102" s="1"/>
  <c r="F32" i="102"/>
  <c r="G32" i="102" s="1"/>
  <c r="J26" i="102"/>
  <c r="K26" i="102" s="1"/>
  <c r="F20" i="102"/>
  <c r="G20" i="102" s="1"/>
  <c r="J35" i="101"/>
  <c r="K35" i="101" s="1"/>
  <c r="J29" i="101"/>
  <c r="K29" i="101" s="1"/>
  <c r="F23" i="101"/>
  <c r="G23" i="101" s="1"/>
  <c r="F79" i="100"/>
  <c r="J58" i="100"/>
  <c r="F51" i="100"/>
  <c r="G51" i="100" s="1"/>
  <c r="J38" i="100"/>
  <c r="F32" i="100"/>
  <c r="G32" i="100" s="1"/>
  <c r="J26" i="100"/>
  <c r="J20" i="100"/>
  <c r="F18" i="115"/>
  <c r="G18" i="115" s="1"/>
  <c r="C7" i="736"/>
  <c r="C44" i="736"/>
  <c r="C66" i="736"/>
  <c r="F13" i="736"/>
  <c r="AA4" i="59"/>
  <c r="M7" i="472"/>
  <c r="V6" i="120"/>
  <c r="J27" i="674" s="1"/>
  <c r="F12" i="116"/>
  <c r="G12" i="116" s="1"/>
  <c r="F43" i="115"/>
  <c r="G43" i="115" s="1"/>
  <c r="F10" i="125"/>
  <c r="M7" i="116"/>
  <c r="C3" i="736"/>
  <c r="F35" i="122"/>
  <c r="G35" i="122" s="1"/>
  <c r="F20" i="119"/>
  <c r="F38" i="117"/>
  <c r="G38" i="117" s="1"/>
  <c r="M38" i="117" s="1"/>
  <c r="F38" i="124"/>
  <c r="G38" i="124" s="1"/>
  <c r="M38" i="124" s="1"/>
  <c r="J48" i="111"/>
  <c r="J32" i="110"/>
  <c r="K32" i="110" s="1"/>
  <c r="J16" i="116"/>
  <c r="K16" i="116" s="1"/>
  <c r="K15" i="116" s="1"/>
  <c r="J12" i="124"/>
  <c r="J9" i="124" s="1"/>
  <c r="J54" i="111"/>
  <c r="K54" i="111" s="1"/>
  <c r="J74" i="102"/>
  <c r="K74" i="102" s="1"/>
  <c r="J54" i="102"/>
  <c r="K54" i="102" s="1"/>
  <c r="F41" i="102"/>
  <c r="G41" i="102" s="1"/>
  <c r="J16" i="102"/>
  <c r="K16" i="102" s="1"/>
  <c r="J12" i="101"/>
  <c r="K12" i="101" s="1"/>
  <c r="J16" i="100"/>
  <c r="F31" i="112"/>
  <c r="G31" i="112" s="1"/>
  <c r="F63" i="736"/>
  <c r="F11" i="124"/>
  <c r="G11" i="124" s="1"/>
  <c r="F11" i="103"/>
  <c r="G11" i="103" s="1"/>
  <c r="C63" i="736"/>
  <c r="F11" i="736"/>
  <c r="J49" i="475"/>
  <c r="K49" i="475" s="1"/>
  <c r="F18" i="123"/>
  <c r="G18" i="123" s="1"/>
  <c r="J56" i="107"/>
  <c r="K56" i="107" s="1"/>
  <c r="J18" i="107"/>
  <c r="K18" i="107" s="1"/>
  <c r="F42" i="101"/>
  <c r="G42" i="101" s="1"/>
  <c r="M7" i="111"/>
  <c r="F20" i="120"/>
  <c r="F38" i="116"/>
  <c r="G38" i="116" s="1"/>
  <c r="M38" i="116" s="1"/>
  <c r="F20" i="105"/>
  <c r="G20" i="105" s="1"/>
  <c r="F53" i="736"/>
  <c r="F75" i="736"/>
  <c r="F10" i="122"/>
  <c r="G10" i="122" s="1"/>
  <c r="F38" i="736"/>
  <c r="F60" i="736"/>
  <c r="F20" i="124"/>
  <c r="G20" i="124" s="1"/>
  <c r="M20" i="124" s="1"/>
  <c r="J35" i="108"/>
  <c r="K35" i="108" s="1"/>
  <c r="J58" i="105"/>
  <c r="K58" i="105" s="1"/>
  <c r="F61" i="102"/>
  <c r="G61" i="102" s="1"/>
  <c r="J35" i="102"/>
  <c r="K35" i="102" s="1"/>
  <c r="J23" i="102"/>
  <c r="K23" i="102" s="1"/>
  <c r="J61" i="100"/>
  <c r="J29" i="100"/>
  <c r="C13" i="736"/>
  <c r="C60" i="736"/>
  <c r="F64" i="475"/>
  <c r="J41" i="115"/>
  <c r="K41" i="115" s="1"/>
  <c r="J74" i="111"/>
  <c r="K74" i="111" s="1"/>
  <c r="J41" i="111"/>
  <c r="K41" i="111" s="1"/>
  <c r="J12" i="103"/>
  <c r="K12" i="103" s="1"/>
  <c r="F74" i="100"/>
  <c r="G74" i="100" s="1"/>
  <c r="F54" i="100"/>
  <c r="G54" i="100" s="1"/>
  <c r="F50" i="475"/>
  <c r="G50" i="475" s="1"/>
  <c r="F22" i="116"/>
  <c r="G22" i="116" s="1"/>
  <c r="F57" i="101"/>
  <c r="G57" i="101" s="1"/>
  <c r="F44" i="736"/>
  <c r="F11" i="105"/>
  <c r="J14" i="116"/>
  <c r="F18" i="124"/>
  <c r="G18" i="124" s="1"/>
  <c r="M18" i="124" s="1"/>
  <c r="J59" i="111"/>
  <c r="K59" i="111" s="1"/>
  <c r="F14" i="100"/>
  <c r="F5" i="117"/>
  <c r="F10" i="475"/>
  <c r="G10" i="475" s="1"/>
  <c r="M10" i="475" s="1"/>
  <c r="F66" i="736"/>
  <c r="F38" i="120"/>
  <c r="F20" i="116"/>
  <c r="G20" i="116" s="1"/>
  <c r="M20" i="116" s="1"/>
  <c r="J26" i="472"/>
  <c r="K26" i="472" s="1"/>
  <c r="F58" i="111"/>
  <c r="G58" i="111" s="1"/>
  <c r="V5" i="108"/>
  <c r="I15" i="674" s="1"/>
  <c r="F11" i="122"/>
  <c r="G11" i="122" s="1"/>
  <c r="F53" i="110"/>
  <c r="F70" i="100"/>
  <c r="G70" i="100" s="1"/>
  <c r="F63" i="100"/>
  <c r="G63" i="100" s="1"/>
  <c r="F78" i="100"/>
  <c r="C11" i="736"/>
  <c r="C53" i="736"/>
  <c r="C75" i="736"/>
  <c r="F3" i="736"/>
  <c r="K39" i="111"/>
  <c r="K27" i="111"/>
  <c r="K38" i="111"/>
  <c r="K32" i="111"/>
  <c r="K20" i="111"/>
  <c r="K33" i="111"/>
  <c r="K21" i="111"/>
  <c r="K37" i="111"/>
  <c r="K31" i="111"/>
  <c r="K19" i="111"/>
  <c r="K36" i="111"/>
  <c r="K30" i="111"/>
  <c r="K24" i="111"/>
  <c r="K35" i="111"/>
  <c r="K29" i="111"/>
  <c r="K23" i="111"/>
  <c r="K43" i="110"/>
  <c r="F43" i="110"/>
  <c r="G43" i="110" s="1"/>
  <c r="J41" i="108"/>
  <c r="K41" i="108" s="1"/>
  <c r="F41" i="108"/>
  <c r="J71" i="105"/>
  <c r="K71" i="105" s="1"/>
  <c r="F71" i="105"/>
  <c r="G71" i="105" s="1"/>
  <c r="F12" i="124"/>
  <c r="J67" i="125"/>
  <c r="F67" i="125"/>
  <c r="G67" i="125" s="1"/>
  <c r="J37" i="112"/>
  <c r="K37" i="112" s="1"/>
  <c r="F37" i="112"/>
  <c r="G37" i="112" s="1"/>
  <c r="J72" i="475"/>
  <c r="K72" i="475" s="1"/>
  <c r="F72" i="475"/>
  <c r="G72" i="475" s="1"/>
  <c r="J44" i="475"/>
  <c r="K44" i="475" s="1"/>
  <c r="F44" i="475"/>
  <c r="G44" i="475" s="1"/>
  <c r="J75" i="125"/>
  <c r="K75" i="125" s="1"/>
  <c r="F75" i="125"/>
  <c r="G75" i="125" s="1"/>
  <c r="J69" i="125"/>
  <c r="F69" i="125"/>
  <c r="G69" i="125" s="1"/>
  <c r="J42" i="125"/>
  <c r="K42" i="125" s="1"/>
  <c r="F42" i="125"/>
  <c r="G42" i="125" s="1"/>
  <c r="J72" i="123"/>
  <c r="K72" i="123" s="1"/>
  <c r="F72" i="123"/>
  <c r="G72" i="123" s="1"/>
  <c r="J44" i="123"/>
  <c r="K44" i="123" s="1"/>
  <c r="F44" i="123"/>
  <c r="G44" i="123" s="1"/>
  <c r="J75" i="122"/>
  <c r="K75" i="122" s="1"/>
  <c r="F75" i="122"/>
  <c r="G75" i="122" s="1"/>
  <c r="J69" i="122"/>
  <c r="K69" i="122" s="1"/>
  <c r="F69" i="122"/>
  <c r="G69" i="122" s="1"/>
  <c r="J42" i="122"/>
  <c r="K42" i="122" s="1"/>
  <c r="F42" i="122"/>
  <c r="G42" i="122" s="1"/>
  <c r="J72" i="121"/>
  <c r="K72" i="121" s="1"/>
  <c r="F72" i="121"/>
  <c r="G72" i="121" s="1"/>
  <c r="J44" i="121"/>
  <c r="K44" i="121" s="1"/>
  <c r="F44" i="121"/>
  <c r="G44" i="121" s="1"/>
  <c r="J75" i="120"/>
  <c r="K75" i="120" s="1"/>
  <c r="F75" i="120"/>
  <c r="F69" i="120"/>
  <c r="J69" i="120"/>
  <c r="K69" i="120" s="1"/>
  <c r="J42" i="120"/>
  <c r="F42" i="120"/>
  <c r="F10" i="120"/>
  <c r="J72" i="119"/>
  <c r="K72" i="119" s="1"/>
  <c r="F72" i="119"/>
  <c r="G72" i="119" s="1"/>
  <c r="J44" i="119"/>
  <c r="K44" i="119" s="1"/>
  <c r="F44" i="119"/>
  <c r="G44" i="119" s="1"/>
  <c r="J72" i="117"/>
  <c r="K72" i="117" s="1"/>
  <c r="F72" i="117"/>
  <c r="G72" i="117" s="1"/>
  <c r="J44" i="117"/>
  <c r="K44" i="117" s="1"/>
  <c r="F44" i="117"/>
  <c r="G44" i="117" s="1"/>
  <c r="J75" i="116"/>
  <c r="K75" i="116" s="1"/>
  <c r="F75" i="116"/>
  <c r="G75" i="116" s="1"/>
  <c r="J69" i="116"/>
  <c r="K69" i="116" s="1"/>
  <c r="F69" i="116"/>
  <c r="G69" i="116" s="1"/>
  <c r="J42" i="116"/>
  <c r="K42" i="116" s="1"/>
  <c r="F42" i="116"/>
  <c r="G42" i="116" s="1"/>
  <c r="F10" i="116"/>
  <c r="G10" i="116" s="1"/>
  <c r="G9" i="116" s="1"/>
  <c r="J72" i="124"/>
  <c r="K72" i="124" s="1"/>
  <c r="F72" i="124"/>
  <c r="G72" i="124" s="1"/>
  <c r="J44" i="124"/>
  <c r="K44" i="124" s="1"/>
  <c r="F44" i="124"/>
  <c r="G44" i="124" s="1"/>
  <c r="F10" i="115"/>
  <c r="G10" i="115" s="1"/>
  <c r="F10" i="472"/>
  <c r="G10" i="472" s="1"/>
  <c r="F44" i="112"/>
  <c r="G44" i="112" s="1"/>
  <c r="F10" i="106"/>
  <c r="G10" i="106" s="1"/>
  <c r="F10" i="104"/>
  <c r="G10" i="104" s="1"/>
  <c r="F20" i="472"/>
  <c r="G20" i="472" s="1"/>
  <c r="F29" i="124"/>
  <c r="G29" i="124" s="1"/>
  <c r="F59" i="106"/>
  <c r="G59" i="106" s="1"/>
  <c r="J64" i="121"/>
  <c r="K64" i="121" s="1"/>
  <c r="F64" i="121"/>
  <c r="G64" i="121" s="1"/>
  <c r="J12" i="121"/>
  <c r="J9" i="121" s="1"/>
  <c r="F12" i="121"/>
  <c r="G12" i="121" s="1"/>
  <c r="J71" i="119"/>
  <c r="K71" i="119" s="1"/>
  <c r="F71" i="119"/>
  <c r="G71" i="119" s="1"/>
  <c r="J12" i="117"/>
  <c r="K12" i="117" s="1"/>
  <c r="F12" i="117"/>
  <c r="G12" i="117" s="1"/>
  <c r="J54" i="472"/>
  <c r="K54" i="472" s="1"/>
  <c r="F54" i="472"/>
  <c r="J71" i="107"/>
  <c r="K71" i="107" s="1"/>
  <c r="F71" i="107"/>
  <c r="G71" i="107" s="1"/>
  <c r="J31" i="475"/>
  <c r="K31" i="475" s="1"/>
  <c r="F31" i="475"/>
  <c r="G31" i="475" s="1"/>
  <c r="A35" i="59"/>
  <c r="J35" i="59"/>
  <c r="J79" i="475"/>
  <c r="K79" i="475" s="1"/>
  <c r="F79" i="475"/>
  <c r="J58" i="475"/>
  <c r="K58" i="475" s="1"/>
  <c r="F58" i="475"/>
  <c r="G58" i="475" s="1"/>
  <c r="J51" i="475"/>
  <c r="K51" i="475" s="1"/>
  <c r="F51" i="475"/>
  <c r="G51" i="475" s="1"/>
  <c r="J38" i="475"/>
  <c r="K38" i="475" s="1"/>
  <c r="F38" i="475"/>
  <c r="G38" i="475" s="1"/>
  <c r="J32" i="475"/>
  <c r="K32" i="475" s="1"/>
  <c r="F32" i="475"/>
  <c r="G32" i="475" s="1"/>
  <c r="A26" i="475"/>
  <c r="J26" i="475"/>
  <c r="K26" i="475" s="1"/>
  <c r="F26" i="475"/>
  <c r="G26" i="475" s="1"/>
  <c r="J20" i="475"/>
  <c r="K20" i="475" s="1"/>
  <c r="J61" i="125"/>
  <c r="K61" i="125" s="1"/>
  <c r="F61" i="125"/>
  <c r="G61" i="125" s="1"/>
  <c r="J48" i="125"/>
  <c r="F48" i="125"/>
  <c r="J35" i="125"/>
  <c r="K35" i="125" s="1"/>
  <c r="F35" i="125"/>
  <c r="G35" i="125" s="1"/>
  <c r="J29" i="125"/>
  <c r="K29" i="125" s="1"/>
  <c r="A23" i="125"/>
  <c r="J23" i="125"/>
  <c r="K23" i="125" s="1"/>
  <c r="J79" i="123"/>
  <c r="K79" i="123" s="1"/>
  <c r="F79" i="123"/>
  <c r="J58" i="123"/>
  <c r="K58" i="123" s="1"/>
  <c r="F58" i="123"/>
  <c r="G58" i="123" s="1"/>
  <c r="J51" i="123"/>
  <c r="K51" i="123" s="1"/>
  <c r="F51" i="123"/>
  <c r="G51" i="123" s="1"/>
  <c r="F38" i="123"/>
  <c r="G38" i="123" s="1"/>
  <c r="M38" i="123" s="1"/>
  <c r="J32" i="123"/>
  <c r="K32" i="123" s="1"/>
  <c r="A26" i="123"/>
  <c r="F26" i="123"/>
  <c r="G26" i="123" s="1"/>
  <c r="M26" i="123" s="1"/>
  <c r="F20" i="123"/>
  <c r="G20" i="123" s="1"/>
  <c r="J61" i="122"/>
  <c r="K61" i="122" s="1"/>
  <c r="F61" i="122"/>
  <c r="G61" i="122" s="1"/>
  <c r="J48" i="122"/>
  <c r="F48" i="122"/>
  <c r="J35" i="122"/>
  <c r="K35" i="122" s="1"/>
  <c r="J29" i="122"/>
  <c r="K29" i="122" s="1"/>
  <c r="F29" i="122"/>
  <c r="G29" i="122" s="1"/>
  <c r="A23" i="122"/>
  <c r="F23" i="122"/>
  <c r="G23" i="122" s="1"/>
  <c r="M23" i="122" s="1"/>
  <c r="J79" i="121"/>
  <c r="K79" i="121" s="1"/>
  <c r="F79" i="121"/>
  <c r="J58" i="121"/>
  <c r="K58" i="121" s="1"/>
  <c r="F58" i="121"/>
  <c r="G58" i="121" s="1"/>
  <c r="J51" i="121"/>
  <c r="K51" i="121" s="1"/>
  <c r="F38" i="121"/>
  <c r="G38" i="121" s="1"/>
  <c r="M38" i="121" s="1"/>
  <c r="J32" i="121"/>
  <c r="K32" i="121" s="1"/>
  <c r="F32" i="121"/>
  <c r="G32" i="121" s="1"/>
  <c r="A26" i="121"/>
  <c r="F26" i="121"/>
  <c r="G26" i="121" s="1"/>
  <c r="M26" i="121" s="1"/>
  <c r="F20" i="121"/>
  <c r="J61" i="120"/>
  <c r="K61" i="120" s="1"/>
  <c r="F61" i="120"/>
  <c r="J48" i="120"/>
  <c r="F48" i="120"/>
  <c r="J35" i="120"/>
  <c r="K35" i="120" s="1"/>
  <c r="F35" i="120"/>
  <c r="J29" i="120"/>
  <c r="K29" i="120" s="1"/>
  <c r="F29" i="120"/>
  <c r="A23" i="120"/>
  <c r="F23" i="120"/>
  <c r="J79" i="119"/>
  <c r="F79" i="119"/>
  <c r="J58" i="119"/>
  <c r="K58" i="119" s="1"/>
  <c r="F58" i="119"/>
  <c r="G58" i="119" s="1"/>
  <c r="J51" i="119"/>
  <c r="K51" i="119" s="1"/>
  <c r="F51" i="119"/>
  <c r="G51" i="119" s="1"/>
  <c r="F38" i="119"/>
  <c r="G38" i="119" s="1"/>
  <c r="M38" i="119" s="1"/>
  <c r="J32" i="119"/>
  <c r="K32" i="119" s="1"/>
  <c r="F32" i="119"/>
  <c r="G32" i="119" s="1"/>
  <c r="A26" i="119"/>
  <c r="F26" i="119"/>
  <c r="G26" i="119" s="1"/>
  <c r="J79" i="117"/>
  <c r="F79" i="117"/>
  <c r="J58" i="117"/>
  <c r="K58" i="117" s="1"/>
  <c r="F58" i="117"/>
  <c r="G58" i="117" s="1"/>
  <c r="J51" i="117"/>
  <c r="K51" i="117" s="1"/>
  <c r="F51" i="117"/>
  <c r="G51" i="117" s="1"/>
  <c r="J32" i="117"/>
  <c r="K32" i="117" s="1"/>
  <c r="F32" i="117"/>
  <c r="G32" i="117" s="1"/>
  <c r="J61" i="116"/>
  <c r="K61" i="116" s="1"/>
  <c r="F61" i="116"/>
  <c r="G61" i="116" s="1"/>
  <c r="J48" i="116"/>
  <c r="F48" i="116"/>
  <c r="J35" i="116"/>
  <c r="K35" i="116" s="1"/>
  <c r="F35" i="116"/>
  <c r="G35" i="116" s="1"/>
  <c r="J29" i="116"/>
  <c r="K29" i="116" s="1"/>
  <c r="F29" i="116"/>
  <c r="G29" i="116" s="1"/>
  <c r="A23" i="116"/>
  <c r="F23" i="116"/>
  <c r="G23" i="116" s="1"/>
  <c r="M23" i="116" s="1"/>
  <c r="J79" i="124"/>
  <c r="K79" i="124" s="1"/>
  <c r="F79" i="124"/>
  <c r="J58" i="124"/>
  <c r="K58" i="124" s="1"/>
  <c r="F58" i="124"/>
  <c r="G58" i="124" s="1"/>
  <c r="J51" i="124"/>
  <c r="K51" i="124" s="1"/>
  <c r="F51" i="124"/>
  <c r="G51" i="124" s="1"/>
  <c r="J32" i="124"/>
  <c r="K32" i="124" s="1"/>
  <c r="F32" i="124"/>
  <c r="G32" i="124" s="1"/>
  <c r="A26" i="124"/>
  <c r="F26" i="124"/>
  <c r="G26" i="124" s="1"/>
  <c r="M26" i="124" s="1"/>
  <c r="J61" i="115"/>
  <c r="K61" i="115" s="1"/>
  <c r="F61" i="115"/>
  <c r="G61" i="115" s="1"/>
  <c r="J48" i="115"/>
  <c r="F48" i="115"/>
  <c r="J35" i="115"/>
  <c r="K35" i="115" s="1"/>
  <c r="F35" i="115"/>
  <c r="G35" i="115" s="1"/>
  <c r="J29" i="115"/>
  <c r="K29" i="115" s="1"/>
  <c r="F29" i="115"/>
  <c r="G29" i="115" s="1"/>
  <c r="A23" i="115"/>
  <c r="J23" i="115"/>
  <c r="K23" i="115" s="1"/>
  <c r="F23" i="115"/>
  <c r="G23" i="115" s="1"/>
  <c r="J79" i="114"/>
  <c r="K79" i="114" s="1"/>
  <c r="F79" i="114"/>
  <c r="J58" i="114"/>
  <c r="K58" i="114" s="1"/>
  <c r="F58" i="114"/>
  <c r="G58" i="114" s="1"/>
  <c r="J51" i="114"/>
  <c r="K51" i="114" s="1"/>
  <c r="F51" i="114"/>
  <c r="G51" i="114" s="1"/>
  <c r="J38" i="114"/>
  <c r="K38" i="114" s="1"/>
  <c r="F38" i="114"/>
  <c r="G38" i="114" s="1"/>
  <c r="J32" i="114"/>
  <c r="K32" i="114" s="1"/>
  <c r="F32" i="114"/>
  <c r="G32" i="114" s="1"/>
  <c r="A26" i="114"/>
  <c r="J26" i="114"/>
  <c r="K26" i="114" s="1"/>
  <c r="F26" i="114"/>
  <c r="G26" i="114" s="1"/>
  <c r="J20" i="114"/>
  <c r="K20" i="114" s="1"/>
  <c r="F20" i="114"/>
  <c r="G20" i="114" s="1"/>
  <c r="J61" i="472"/>
  <c r="K61" i="472" s="1"/>
  <c r="F61" i="472"/>
  <c r="G61" i="472" s="1"/>
  <c r="J48" i="472"/>
  <c r="F48" i="472"/>
  <c r="J35" i="472"/>
  <c r="K35" i="472" s="1"/>
  <c r="F35" i="472"/>
  <c r="G35" i="472" s="1"/>
  <c r="J29" i="472"/>
  <c r="K29" i="472" s="1"/>
  <c r="F29" i="472"/>
  <c r="G29" i="472" s="1"/>
  <c r="A23" i="472"/>
  <c r="J23" i="472"/>
  <c r="K23" i="472" s="1"/>
  <c r="F23" i="472"/>
  <c r="G23" i="472" s="1"/>
  <c r="J79" i="112"/>
  <c r="K79" i="112" s="1"/>
  <c r="F79" i="112"/>
  <c r="J58" i="112"/>
  <c r="F58" i="112"/>
  <c r="G58" i="112" s="1"/>
  <c r="J51" i="112"/>
  <c r="K51" i="112" s="1"/>
  <c r="F51" i="112"/>
  <c r="G51" i="112" s="1"/>
  <c r="J38" i="112"/>
  <c r="K38" i="112" s="1"/>
  <c r="F38" i="112"/>
  <c r="G38" i="112" s="1"/>
  <c r="J32" i="112"/>
  <c r="K32" i="112" s="1"/>
  <c r="F32" i="112"/>
  <c r="G32" i="112" s="1"/>
  <c r="A26" i="112"/>
  <c r="J26" i="112"/>
  <c r="K26" i="112" s="1"/>
  <c r="F26" i="112"/>
  <c r="G26" i="112" s="1"/>
  <c r="J20" i="112"/>
  <c r="K20" i="112" s="1"/>
  <c r="F20" i="112"/>
  <c r="G20" i="112" s="1"/>
  <c r="F41" i="111"/>
  <c r="G41" i="111" s="1"/>
  <c r="J79" i="110"/>
  <c r="K79" i="110" s="1"/>
  <c r="F79" i="110"/>
  <c r="J58" i="110"/>
  <c r="K58" i="110" s="1"/>
  <c r="F58" i="110"/>
  <c r="G58" i="110" s="1"/>
  <c r="J51" i="110"/>
  <c r="K51" i="110" s="1"/>
  <c r="F51" i="110"/>
  <c r="A26" i="110"/>
  <c r="J26" i="110"/>
  <c r="K26" i="110" s="1"/>
  <c r="F26" i="110"/>
  <c r="G26" i="110" s="1"/>
  <c r="J20" i="110"/>
  <c r="K20" i="110" s="1"/>
  <c r="F20" i="110"/>
  <c r="G20" i="110" s="1"/>
  <c r="J61" i="108"/>
  <c r="K61" i="108" s="1"/>
  <c r="F61" i="108"/>
  <c r="G61" i="108" s="1"/>
  <c r="J48" i="108"/>
  <c r="F48" i="108"/>
  <c r="J29" i="108"/>
  <c r="K29" i="108" s="1"/>
  <c r="F29" i="108"/>
  <c r="G29" i="108" s="1"/>
  <c r="C22" i="682" s="1"/>
  <c r="A23" i="108"/>
  <c r="J23" i="108"/>
  <c r="K23" i="108" s="1"/>
  <c r="G23" i="108"/>
  <c r="C16" i="682" s="1"/>
  <c r="J79" i="107"/>
  <c r="K79" i="107" s="1"/>
  <c r="F79" i="107"/>
  <c r="J58" i="107"/>
  <c r="K58" i="107" s="1"/>
  <c r="F58" i="107"/>
  <c r="G58" i="107" s="1"/>
  <c r="J51" i="107"/>
  <c r="K51" i="107" s="1"/>
  <c r="F51" i="107"/>
  <c r="G51" i="107" s="1"/>
  <c r="J38" i="107"/>
  <c r="K38" i="107" s="1"/>
  <c r="F38" i="107"/>
  <c r="G38" i="107" s="1"/>
  <c r="J32" i="107"/>
  <c r="K32" i="107" s="1"/>
  <c r="F32" i="107"/>
  <c r="G32" i="107" s="1"/>
  <c r="A26" i="107"/>
  <c r="J26" i="107"/>
  <c r="K26" i="107" s="1"/>
  <c r="F26" i="107"/>
  <c r="G26" i="107" s="1"/>
  <c r="J20" i="107"/>
  <c r="K20" i="107" s="1"/>
  <c r="F20" i="107"/>
  <c r="G20" i="107" s="1"/>
  <c r="J61" i="106"/>
  <c r="K61" i="106" s="1"/>
  <c r="F61" i="106"/>
  <c r="G61" i="106" s="1"/>
  <c r="J48" i="106"/>
  <c r="F48" i="106"/>
  <c r="J35" i="106"/>
  <c r="K35" i="106" s="1"/>
  <c r="F35" i="106"/>
  <c r="G35" i="106" s="1"/>
  <c r="J29" i="106"/>
  <c r="K29" i="106" s="1"/>
  <c r="F29" i="106"/>
  <c r="G29" i="106" s="1"/>
  <c r="A23" i="106"/>
  <c r="J23" i="106"/>
  <c r="K23" i="106" s="1"/>
  <c r="F23" i="106"/>
  <c r="G23" i="106" s="1"/>
  <c r="J79" i="105"/>
  <c r="K79" i="105" s="1"/>
  <c r="F79" i="105"/>
  <c r="J51" i="105"/>
  <c r="K51" i="105" s="1"/>
  <c r="F51" i="105"/>
  <c r="G51" i="105" s="1"/>
  <c r="F38" i="105"/>
  <c r="G38" i="105" s="1"/>
  <c r="J38" i="105"/>
  <c r="K38" i="105" s="1"/>
  <c r="M38" i="105" s="1"/>
  <c r="J32" i="105"/>
  <c r="K32" i="105" s="1"/>
  <c r="F32" i="105"/>
  <c r="G32" i="105" s="1"/>
  <c r="A26" i="105"/>
  <c r="J26" i="105"/>
  <c r="K26" i="105" s="1"/>
  <c r="F26" i="105"/>
  <c r="G26" i="105" s="1"/>
  <c r="J61" i="104"/>
  <c r="K61" i="104" s="1"/>
  <c r="F61" i="104"/>
  <c r="G61" i="104" s="1"/>
  <c r="F48" i="104"/>
  <c r="J48" i="104"/>
  <c r="J35" i="104"/>
  <c r="K35" i="104" s="1"/>
  <c r="F35" i="104"/>
  <c r="G35" i="104" s="1"/>
  <c r="J29" i="104"/>
  <c r="K29" i="104" s="1"/>
  <c r="F29" i="104"/>
  <c r="G29" i="104" s="1"/>
  <c r="A23" i="104"/>
  <c r="J23" i="104"/>
  <c r="K23" i="104" s="1"/>
  <c r="J79" i="103"/>
  <c r="K79" i="103" s="1"/>
  <c r="F79" i="103"/>
  <c r="J58" i="103"/>
  <c r="K58" i="103" s="1"/>
  <c r="F58" i="103"/>
  <c r="G58" i="103" s="1"/>
  <c r="J51" i="103"/>
  <c r="K51" i="103" s="1"/>
  <c r="F51" i="103"/>
  <c r="G51" i="103" s="1"/>
  <c r="J38" i="103"/>
  <c r="F38" i="103"/>
  <c r="G38" i="103" s="1"/>
  <c r="J32" i="103"/>
  <c r="K32" i="103" s="1"/>
  <c r="F32" i="103"/>
  <c r="G32" i="103" s="1"/>
  <c r="A26" i="103"/>
  <c r="J26" i="103"/>
  <c r="F26" i="103"/>
  <c r="G26" i="103" s="1"/>
  <c r="J20" i="103"/>
  <c r="K20" i="103" s="1"/>
  <c r="F20" i="103"/>
  <c r="G20" i="103" s="1"/>
  <c r="J48" i="102"/>
  <c r="F48" i="102"/>
  <c r="F29" i="107"/>
  <c r="G29" i="107" s="1"/>
  <c r="F34" i="121"/>
  <c r="G34" i="121" s="1"/>
  <c r="F58" i="105"/>
  <c r="G58" i="105" s="1"/>
  <c r="J27" i="472"/>
  <c r="K27" i="472" s="1"/>
  <c r="J12" i="119"/>
  <c r="K12" i="119" s="1"/>
  <c r="F12" i="119"/>
  <c r="G12" i="119" s="1"/>
  <c r="J74" i="115"/>
  <c r="K74" i="115" s="1"/>
  <c r="F74" i="115"/>
  <c r="G74" i="115" s="1"/>
  <c r="J54" i="115"/>
  <c r="F54" i="115"/>
  <c r="G54" i="115" s="1"/>
  <c r="J12" i="114"/>
  <c r="J9" i="114" s="1"/>
  <c r="F12" i="114"/>
  <c r="G12" i="114" s="1"/>
  <c r="J71" i="110"/>
  <c r="K71" i="110" s="1"/>
  <c r="F71" i="110"/>
  <c r="G71" i="110" s="1"/>
  <c r="J64" i="105"/>
  <c r="K64" i="105" s="1"/>
  <c r="F64" i="105"/>
  <c r="J71" i="103"/>
  <c r="K71" i="103" s="1"/>
  <c r="F71" i="103"/>
  <c r="G71" i="103" s="1"/>
  <c r="J19" i="475"/>
  <c r="K19" i="475" s="1"/>
  <c r="F19" i="475"/>
  <c r="G19" i="475" s="1"/>
  <c r="J22" i="120"/>
  <c r="A22" i="120"/>
  <c r="F22" i="120"/>
  <c r="J50" i="119"/>
  <c r="K50" i="119" s="1"/>
  <c r="F50" i="119"/>
  <c r="G50" i="119" s="1"/>
  <c r="J37" i="119"/>
  <c r="K37" i="119" s="1"/>
  <c r="F37" i="119"/>
  <c r="G37" i="119" s="1"/>
  <c r="F19" i="119"/>
  <c r="G19" i="119" s="1"/>
  <c r="M19" i="119" s="1"/>
  <c r="J57" i="117"/>
  <c r="K57" i="117" s="1"/>
  <c r="F57" i="117"/>
  <c r="G57" i="117" s="1"/>
  <c r="J50" i="117"/>
  <c r="K50" i="117" s="1"/>
  <c r="F50" i="117"/>
  <c r="G50" i="117" s="1"/>
  <c r="F19" i="117"/>
  <c r="G19" i="117" s="1"/>
  <c r="M19" i="117" s="1"/>
  <c r="J46" i="116"/>
  <c r="F46" i="116"/>
  <c r="F45" i="116" s="1"/>
  <c r="J57" i="124"/>
  <c r="K57" i="124" s="1"/>
  <c r="F57" i="124"/>
  <c r="G57" i="124" s="1"/>
  <c r="J50" i="114"/>
  <c r="K50" i="114" s="1"/>
  <c r="F50" i="114"/>
  <c r="G50" i="114" s="1"/>
  <c r="J28" i="108"/>
  <c r="K28" i="108" s="1"/>
  <c r="F28" i="108"/>
  <c r="G28" i="108" s="1"/>
  <c r="C21" i="682" s="1"/>
  <c r="F31" i="107"/>
  <c r="G31" i="107" s="1"/>
  <c r="J31" i="107"/>
  <c r="K31" i="107" s="1"/>
  <c r="F67" i="106"/>
  <c r="J67" i="106"/>
  <c r="J60" i="106"/>
  <c r="K60" i="106" s="1"/>
  <c r="F60" i="106"/>
  <c r="G60" i="106" s="1"/>
  <c r="J46" i="106"/>
  <c r="J45" i="106" s="1"/>
  <c r="F46" i="106"/>
  <c r="J34" i="106"/>
  <c r="K34" i="106" s="1"/>
  <c r="F34" i="106"/>
  <c r="G34" i="106" s="1"/>
  <c r="J28" i="106"/>
  <c r="K28" i="106" s="1"/>
  <c r="A22" i="106"/>
  <c r="J22" i="106"/>
  <c r="K22" i="106" s="1"/>
  <c r="F22" i="106"/>
  <c r="G22" i="106" s="1"/>
  <c r="J57" i="105"/>
  <c r="K57" i="105" s="1"/>
  <c r="F57" i="105"/>
  <c r="G57" i="105" s="1"/>
  <c r="J50" i="105"/>
  <c r="K50" i="105" s="1"/>
  <c r="F50" i="105"/>
  <c r="G50" i="105" s="1"/>
  <c r="J37" i="105"/>
  <c r="K37" i="105" s="1"/>
  <c r="F37" i="105"/>
  <c r="G37" i="105" s="1"/>
  <c r="J31" i="105"/>
  <c r="K31" i="105" s="1"/>
  <c r="F31" i="105"/>
  <c r="G31" i="105" s="1"/>
  <c r="A25" i="105"/>
  <c r="J25" i="105"/>
  <c r="K25" i="105" s="1"/>
  <c r="F25" i="105"/>
  <c r="G25" i="105" s="1"/>
  <c r="J19" i="105"/>
  <c r="K19" i="105" s="1"/>
  <c r="F19" i="105"/>
  <c r="G19" i="105" s="1"/>
  <c r="F22" i="104"/>
  <c r="G22" i="104" s="1"/>
  <c r="F19" i="103"/>
  <c r="G19" i="103" s="1"/>
  <c r="J76" i="475"/>
  <c r="K76" i="475" s="1"/>
  <c r="F76" i="475"/>
  <c r="G76" i="475" s="1"/>
  <c r="J70" i="475"/>
  <c r="K70" i="475" s="1"/>
  <c r="F70" i="475"/>
  <c r="G70" i="475" s="1"/>
  <c r="F63" i="475"/>
  <c r="G63" i="475" s="1"/>
  <c r="M63" i="475" s="1"/>
  <c r="J78" i="475"/>
  <c r="F78" i="475"/>
  <c r="F11" i="475"/>
  <c r="J73" i="125"/>
  <c r="K73" i="125" s="1"/>
  <c r="F73" i="125"/>
  <c r="G73" i="125" s="1"/>
  <c r="J53" i="125"/>
  <c r="K53" i="125" s="1"/>
  <c r="F53" i="125"/>
  <c r="J76" i="123"/>
  <c r="K76" i="123" s="1"/>
  <c r="F76" i="123"/>
  <c r="G76" i="123" s="1"/>
  <c r="J70" i="123"/>
  <c r="K70" i="123" s="1"/>
  <c r="F70" i="123"/>
  <c r="G70" i="123" s="1"/>
  <c r="J63" i="123"/>
  <c r="K63" i="123" s="1"/>
  <c r="F63" i="123"/>
  <c r="G63" i="123" s="1"/>
  <c r="J78" i="123"/>
  <c r="F78" i="123"/>
  <c r="F11" i="123"/>
  <c r="G11" i="123" s="1"/>
  <c r="J73" i="122"/>
  <c r="K73" i="122" s="1"/>
  <c r="F73" i="122"/>
  <c r="G73" i="122" s="1"/>
  <c r="J53" i="122"/>
  <c r="K53" i="122" s="1"/>
  <c r="F53" i="122"/>
  <c r="J76" i="121"/>
  <c r="K76" i="121" s="1"/>
  <c r="F76" i="121"/>
  <c r="G76" i="121" s="1"/>
  <c r="J70" i="121"/>
  <c r="F70" i="121"/>
  <c r="G70" i="121" s="1"/>
  <c r="J63" i="121"/>
  <c r="F63" i="121"/>
  <c r="J78" i="121"/>
  <c r="F78" i="121"/>
  <c r="F11" i="121"/>
  <c r="G11" i="121" s="1"/>
  <c r="J73" i="120"/>
  <c r="K73" i="120" s="1"/>
  <c r="F73" i="120"/>
  <c r="J53" i="120"/>
  <c r="F53" i="120"/>
  <c r="J76" i="119"/>
  <c r="K76" i="119" s="1"/>
  <c r="F76" i="119"/>
  <c r="G76" i="119" s="1"/>
  <c r="J70" i="119"/>
  <c r="K70" i="119" s="1"/>
  <c r="F70" i="119"/>
  <c r="G70" i="119" s="1"/>
  <c r="J63" i="119"/>
  <c r="K63" i="119" s="1"/>
  <c r="F63" i="119"/>
  <c r="G63" i="119" s="1"/>
  <c r="J78" i="119"/>
  <c r="F78" i="119"/>
  <c r="F77" i="119" s="1"/>
  <c r="F11" i="119"/>
  <c r="G11" i="119" s="1"/>
  <c r="F73" i="118"/>
  <c r="G73" i="118" s="1"/>
  <c r="J53" i="118"/>
  <c r="K53" i="118" s="1"/>
  <c r="J76" i="117"/>
  <c r="K76" i="117" s="1"/>
  <c r="F76" i="117"/>
  <c r="G76" i="117" s="1"/>
  <c r="J70" i="117"/>
  <c r="F70" i="117"/>
  <c r="G70" i="117" s="1"/>
  <c r="J63" i="117"/>
  <c r="K63" i="117" s="1"/>
  <c r="F63" i="117"/>
  <c r="G63" i="117" s="1"/>
  <c r="J78" i="117"/>
  <c r="F78" i="117"/>
  <c r="F11" i="117"/>
  <c r="J73" i="116"/>
  <c r="K73" i="116" s="1"/>
  <c r="F73" i="116"/>
  <c r="G73" i="116" s="1"/>
  <c r="J53" i="116"/>
  <c r="K53" i="116" s="1"/>
  <c r="F53" i="116"/>
  <c r="J76" i="124"/>
  <c r="K76" i="124" s="1"/>
  <c r="F76" i="124"/>
  <c r="G76" i="124" s="1"/>
  <c r="J70" i="124"/>
  <c r="K70" i="124" s="1"/>
  <c r="F70" i="124"/>
  <c r="G70" i="124" s="1"/>
  <c r="J63" i="124"/>
  <c r="K63" i="124" s="1"/>
  <c r="F63" i="124"/>
  <c r="G63" i="124" s="1"/>
  <c r="J78" i="124"/>
  <c r="F78" i="124"/>
  <c r="J73" i="115"/>
  <c r="K73" i="115" s="1"/>
  <c r="F73" i="115"/>
  <c r="G73" i="115" s="1"/>
  <c r="J53" i="115"/>
  <c r="K53" i="115" s="1"/>
  <c r="F53" i="115"/>
  <c r="F52" i="115" s="1"/>
  <c r="J76" i="114"/>
  <c r="K76" i="114" s="1"/>
  <c r="F76" i="114"/>
  <c r="G76" i="114" s="1"/>
  <c r="J70" i="114"/>
  <c r="K70" i="114" s="1"/>
  <c r="F70" i="114"/>
  <c r="G70" i="114" s="1"/>
  <c r="J63" i="114"/>
  <c r="K63" i="114" s="1"/>
  <c r="F63" i="114"/>
  <c r="G63" i="114" s="1"/>
  <c r="F11" i="114"/>
  <c r="G11" i="114" s="1"/>
  <c r="F11" i="112"/>
  <c r="G11" i="112" s="1"/>
  <c r="F11" i="110"/>
  <c r="F53" i="108"/>
  <c r="F78" i="107"/>
  <c r="F11" i="107"/>
  <c r="G11" i="107" s="1"/>
  <c r="F12" i="103"/>
  <c r="G12" i="103" s="1"/>
  <c r="F19" i="115"/>
  <c r="G19" i="115" s="1"/>
  <c r="F30" i="121"/>
  <c r="G30" i="121" s="1"/>
  <c r="F36" i="119"/>
  <c r="G36" i="119" s="1"/>
  <c r="F49" i="475"/>
  <c r="J71" i="475"/>
  <c r="K71" i="475" s="1"/>
  <c r="F71" i="475"/>
  <c r="J54" i="120"/>
  <c r="K54" i="120" s="1"/>
  <c r="F54" i="120"/>
  <c r="J71" i="117"/>
  <c r="K71" i="117" s="1"/>
  <c r="F71" i="117"/>
  <c r="G71" i="117" s="1"/>
  <c r="J54" i="116"/>
  <c r="K54" i="116" s="1"/>
  <c r="F54" i="116"/>
  <c r="G54" i="116" s="1"/>
  <c r="J16" i="115"/>
  <c r="K16" i="115" s="1"/>
  <c r="K15" i="115" s="1"/>
  <c r="F16" i="115"/>
  <c r="G16" i="115" s="1"/>
  <c r="G15" i="115" s="1"/>
  <c r="J43" i="114"/>
  <c r="K43" i="114" s="1"/>
  <c r="F43" i="114"/>
  <c r="G43" i="114" s="1"/>
  <c r="J74" i="106"/>
  <c r="K74" i="106" s="1"/>
  <c r="F74" i="106"/>
  <c r="G74" i="106" s="1"/>
  <c r="J54" i="106"/>
  <c r="K54" i="106" s="1"/>
  <c r="F54" i="106"/>
  <c r="G54" i="106" s="1"/>
  <c r="J41" i="106"/>
  <c r="K41" i="106" s="1"/>
  <c r="F41" i="106"/>
  <c r="G41" i="106" s="1"/>
  <c r="J43" i="105"/>
  <c r="K43" i="105" s="1"/>
  <c r="F43" i="105"/>
  <c r="G43" i="105" s="1"/>
  <c r="J74" i="104"/>
  <c r="K74" i="104" s="1"/>
  <c r="F74" i="104"/>
  <c r="G74" i="104" s="1"/>
  <c r="J54" i="104"/>
  <c r="K54" i="104" s="1"/>
  <c r="F54" i="104"/>
  <c r="G54" i="104" s="1"/>
  <c r="J64" i="103"/>
  <c r="K64" i="103" s="1"/>
  <c r="F64" i="103"/>
  <c r="G64" i="103" s="1"/>
  <c r="A34" i="59"/>
  <c r="J34" i="59"/>
  <c r="J67" i="122"/>
  <c r="K67" i="122" s="1"/>
  <c r="F67" i="122"/>
  <c r="J60" i="122"/>
  <c r="K60" i="122" s="1"/>
  <c r="F60" i="122"/>
  <c r="G60" i="122" s="1"/>
  <c r="J46" i="122"/>
  <c r="F46" i="122"/>
  <c r="F45" i="122" s="1"/>
  <c r="J34" i="122"/>
  <c r="K34" i="122" s="1"/>
  <c r="F34" i="122"/>
  <c r="G34" i="122" s="1"/>
  <c r="J57" i="121"/>
  <c r="K57" i="121" s="1"/>
  <c r="F57" i="121"/>
  <c r="J37" i="121"/>
  <c r="K37" i="121" s="1"/>
  <c r="F37" i="121"/>
  <c r="G37" i="121" s="1"/>
  <c r="J31" i="121"/>
  <c r="K31" i="121" s="1"/>
  <c r="F31" i="121"/>
  <c r="G31" i="121" s="1"/>
  <c r="J67" i="120"/>
  <c r="F67" i="120"/>
  <c r="J46" i="120"/>
  <c r="F46" i="120"/>
  <c r="J34" i="120"/>
  <c r="K34" i="120" s="1"/>
  <c r="F34" i="120"/>
  <c r="J57" i="119"/>
  <c r="K57" i="119" s="1"/>
  <c r="F57" i="119"/>
  <c r="G57" i="119" s="1"/>
  <c r="J31" i="119"/>
  <c r="K31" i="119" s="1"/>
  <c r="F31" i="119"/>
  <c r="G31" i="119" s="1"/>
  <c r="A25" i="117"/>
  <c r="F25" i="117"/>
  <c r="G25" i="117" s="1"/>
  <c r="M25" i="117" s="1"/>
  <c r="J60" i="116"/>
  <c r="K60" i="116" s="1"/>
  <c r="F60" i="116"/>
  <c r="G60" i="116" s="1"/>
  <c r="J37" i="124"/>
  <c r="K37" i="124" s="1"/>
  <c r="F37" i="124"/>
  <c r="G37" i="124" s="1"/>
  <c r="A22" i="115"/>
  <c r="J22" i="115"/>
  <c r="K22" i="115" s="1"/>
  <c r="F22" i="115"/>
  <c r="G22" i="115" s="1"/>
  <c r="J19" i="114"/>
  <c r="K19" i="114" s="1"/>
  <c r="F19" i="114"/>
  <c r="G19" i="114" s="1"/>
  <c r="J50" i="112"/>
  <c r="K50" i="112" s="1"/>
  <c r="F50" i="112"/>
  <c r="G50" i="112" s="1"/>
  <c r="A39" i="59"/>
  <c r="J39" i="59"/>
  <c r="A33" i="59"/>
  <c r="J33" i="59"/>
  <c r="A27" i="59"/>
  <c r="J27" i="59"/>
  <c r="A21" i="59"/>
  <c r="J21" i="59"/>
  <c r="J56" i="475"/>
  <c r="K56" i="475" s="1"/>
  <c r="F56" i="475"/>
  <c r="G56" i="475" s="1"/>
  <c r="J36" i="475"/>
  <c r="K36" i="475" s="1"/>
  <c r="F36" i="475"/>
  <c r="G36" i="475" s="1"/>
  <c r="J30" i="475"/>
  <c r="K30" i="475" s="1"/>
  <c r="F30" i="475"/>
  <c r="G30" i="475" s="1"/>
  <c r="A24" i="475"/>
  <c r="J24" i="475"/>
  <c r="F24" i="475"/>
  <c r="G24" i="475" s="1"/>
  <c r="J18" i="475"/>
  <c r="K18" i="475" s="1"/>
  <c r="F18" i="475"/>
  <c r="G18" i="475" s="1"/>
  <c r="J66" i="125"/>
  <c r="K66" i="125" s="1"/>
  <c r="F66" i="125"/>
  <c r="G66" i="125" s="1"/>
  <c r="J59" i="125"/>
  <c r="K59" i="125" s="1"/>
  <c r="F59" i="125"/>
  <c r="G59" i="125" s="1"/>
  <c r="J39" i="125"/>
  <c r="K39" i="125" s="1"/>
  <c r="F39" i="125"/>
  <c r="G39" i="125" s="1"/>
  <c r="J33" i="125"/>
  <c r="K33" i="125" s="1"/>
  <c r="F33" i="125"/>
  <c r="G33" i="125" s="1"/>
  <c r="J27" i="125"/>
  <c r="K27" i="125" s="1"/>
  <c r="F27" i="125"/>
  <c r="G27" i="125" s="1"/>
  <c r="A21" i="125"/>
  <c r="J21" i="125"/>
  <c r="K21" i="125" s="1"/>
  <c r="F21" i="125"/>
  <c r="G21" i="125" s="1"/>
  <c r="J14" i="125"/>
  <c r="J13" i="125" s="1"/>
  <c r="F14" i="125"/>
  <c r="G14" i="125" s="1"/>
  <c r="G13" i="125" s="1"/>
  <c r="J56" i="123"/>
  <c r="K56" i="123" s="1"/>
  <c r="F56" i="123"/>
  <c r="G56" i="123" s="1"/>
  <c r="J49" i="123"/>
  <c r="K49" i="123" s="1"/>
  <c r="F49" i="123"/>
  <c r="G49" i="123" s="1"/>
  <c r="J36" i="123"/>
  <c r="K36" i="123" s="1"/>
  <c r="F36" i="123"/>
  <c r="G36" i="123" s="1"/>
  <c r="J30" i="123"/>
  <c r="K30" i="123" s="1"/>
  <c r="F30" i="123"/>
  <c r="G30" i="123" s="1"/>
  <c r="J24" i="123"/>
  <c r="K24" i="123" s="1"/>
  <c r="A24" i="123"/>
  <c r="F24" i="123"/>
  <c r="G24" i="123" s="1"/>
  <c r="J66" i="122"/>
  <c r="K66" i="122" s="1"/>
  <c r="F66" i="122"/>
  <c r="G66" i="122" s="1"/>
  <c r="J59" i="122"/>
  <c r="K59" i="122" s="1"/>
  <c r="F59" i="122"/>
  <c r="G59" i="122" s="1"/>
  <c r="J39" i="122"/>
  <c r="K39" i="122" s="1"/>
  <c r="F39" i="122"/>
  <c r="G39" i="122" s="1"/>
  <c r="J33" i="122"/>
  <c r="K33" i="122" s="1"/>
  <c r="F33" i="122"/>
  <c r="G33" i="122" s="1"/>
  <c r="J27" i="122"/>
  <c r="K27" i="122" s="1"/>
  <c r="F27" i="122"/>
  <c r="G27" i="122" s="1"/>
  <c r="J21" i="122"/>
  <c r="K21" i="122" s="1"/>
  <c r="A21" i="122"/>
  <c r="F21" i="122"/>
  <c r="J56" i="121"/>
  <c r="F56" i="121"/>
  <c r="J49" i="121"/>
  <c r="K49" i="121" s="1"/>
  <c r="F49" i="121"/>
  <c r="G49" i="121" s="1"/>
  <c r="J36" i="121"/>
  <c r="K36" i="121" s="1"/>
  <c r="F36" i="121"/>
  <c r="G36" i="121" s="1"/>
  <c r="J24" i="121"/>
  <c r="K24" i="121" s="1"/>
  <c r="A24" i="121"/>
  <c r="F24" i="121"/>
  <c r="G24" i="121" s="1"/>
  <c r="J66" i="120"/>
  <c r="K66" i="120" s="1"/>
  <c r="F66" i="120"/>
  <c r="J59" i="120"/>
  <c r="K59" i="120" s="1"/>
  <c r="F59" i="120"/>
  <c r="J39" i="120"/>
  <c r="K39" i="120" s="1"/>
  <c r="F39" i="120"/>
  <c r="J33" i="120"/>
  <c r="K33" i="120" s="1"/>
  <c r="F33" i="120"/>
  <c r="J27" i="120"/>
  <c r="K27" i="120" s="1"/>
  <c r="F27" i="120"/>
  <c r="J21" i="120"/>
  <c r="K21" i="120" s="1"/>
  <c r="A21" i="120"/>
  <c r="J14" i="120"/>
  <c r="J13" i="120" s="1"/>
  <c r="F14" i="120"/>
  <c r="J56" i="119"/>
  <c r="K56" i="119" s="1"/>
  <c r="F56" i="119"/>
  <c r="G56" i="119" s="1"/>
  <c r="J49" i="119"/>
  <c r="K49" i="119" s="1"/>
  <c r="F49" i="119"/>
  <c r="G49" i="119" s="1"/>
  <c r="J30" i="119"/>
  <c r="K30" i="119" s="1"/>
  <c r="F30" i="119"/>
  <c r="G30" i="119" s="1"/>
  <c r="J24" i="119"/>
  <c r="K24" i="119" s="1"/>
  <c r="A24" i="119"/>
  <c r="J56" i="117"/>
  <c r="K56" i="117" s="1"/>
  <c r="F56" i="117"/>
  <c r="G56" i="117" s="1"/>
  <c r="J49" i="117"/>
  <c r="K49" i="117" s="1"/>
  <c r="F49" i="117"/>
  <c r="G49" i="117" s="1"/>
  <c r="J30" i="117"/>
  <c r="K30" i="117" s="1"/>
  <c r="F30" i="117"/>
  <c r="G30" i="117" s="1"/>
  <c r="J24" i="117"/>
  <c r="K24" i="117" s="1"/>
  <c r="A24" i="117"/>
  <c r="F24" i="117"/>
  <c r="G24" i="117" s="1"/>
  <c r="J66" i="116"/>
  <c r="K66" i="116" s="1"/>
  <c r="F66" i="116"/>
  <c r="G66" i="116" s="1"/>
  <c r="J59" i="116"/>
  <c r="K59" i="116" s="1"/>
  <c r="F59" i="116"/>
  <c r="G59" i="116" s="1"/>
  <c r="J39" i="116"/>
  <c r="K39" i="116" s="1"/>
  <c r="F39" i="116"/>
  <c r="G39" i="116" s="1"/>
  <c r="J33" i="116"/>
  <c r="K33" i="116" s="1"/>
  <c r="F33" i="116"/>
  <c r="G33" i="116" s="1"/>
  <c r="J27" i="116"/>
  <c r="K27" i="116" s="1"/>
  <c r="F27" i="116"/>
  <c r="G27" i="116" s="1"/>
  <c r="J21" i="116"/>
  <c r="A21" i="116"/>
  <c r="F21" i="116"/>
  <c r="G21" i="116" s="1"/>
  <c r="J56" i="124"/>
  <c r="K56" i="124" s="1"/>
  <c r="F56" i="124"/>
  <c r="G56" i="124" s="1"/>
  <c r="J49" i="124"/>
  <c r="K49" i="124" s="1"/>
  <c r="F49" i="124"/>
  <c r="J36" i="124"/>
  <c r="K36" i="124" s="1"/>
  <c r="F36" i="124"/>
  <c r="G36" i="124" s="1"/>
  <c r="J30" i="124"/>
  <c r="K30" i="124" s="1"/>
  <c r="F30" i="124"/>
  <c r="G30" i="124" s="1"/>
  <c r="J24" i="124"/>
  <c r="K24" i="124" s="1"/>
  <c r="A24" i="124"/>
  <c r="F24" i="124"/>
  <c r="G24" i="124" s="1"/>
  <c r="J66" i="115"/>
  <c r="K66" i="115" s="1"/>
  <c r="F66" i="115"/>
  <c r="G66" i="115" s="1"/>
  <c r="J59" i="115"/>
  <c r="K59" i="115" s="1"/>
  <c r="F59" i="115"/>
  <c r="G59" i="115" s="1"/>
  <c r="J39" i="115"/>
  <c r="K39" i="115" s="1"/>
  <c r="F39" i="115"/>
  <c r="G39" i="115" s="1"/>
  <c r="J33" i="115"/>
  <c r="K33" i="115" s="1"/>
  <c r="F33" i="115"/>
  <c r="G33" i="115" s="1"/>
  <c r="J27" i="115"/>
  <c r="K27" i="115" s="1"/>
  <c r="F27" i="115"/>
  <c r="G27" i="115" s="1"/>
  <c r="A21" i="115"/>
  <c r="J21" i="115"/>
  <c r="K21" i="115" s="1"/>
  <c r="F21" i="115"/>
  <c r="G21" i="115" s="1"/>
  <c r="J14" i="115"/>
  <c r="J13" i="115" s="1"/>
  <c r="F14" i="115"/>
  <c r="G14" i="115" s="1"/>
  <c r="G13" i="115" s="1"/>
  <c r="J56" i="114"/>
  <c r="K56" i="114" s="1"/>
  <c r="F56" i="114"/>
  <c r="G56" i="114" s="1"/>
  <c r="J49" i="114"/>
  <c r="K49" i="114" s="1"/>
  <c r="F49" i="114"/>
  <c r="G49" i="114" s="1"/>
  <c r="J36" i="114"/>
  <c r="K36" i="114" s="1"/>
  <c r="F36" i="114"/>
  <c r="G36" i="114" s="1"/>
  <c r="J30" i="114"/>
  <c r="K30" i="114" s="1"/>
  <c r="F30" i="114"/>
  <c r="G30" i="114" s="1"/>
  <c r="A24" i="114"/>
  <c r="F24" i="114"/>
  <c r="G24" i="114" s="1"/>
  <c r="J24" i="114"/>
  <c r="K24" i="114" s="1"/>
  <c r="J18" i="114"/>
  <c r="K18" i="114" s="1"/>
  <c r="F18" i="114"/>
  <c r="G18" i="114" s="1"/>
  <c r="J66" i="472"/>
  <c r="K66" i="472" s="1"/>
  <c r="F66" i="472"/>
  <c r="J59" i="472"/>
  <c r="K59" i="472" s="1"/>
  <c r="F59" i="472"/>
  <c r="G59" i="472" s="1"/>
  <c r="J39" i="472"/>
  <c r="K39" i="472" s="1"/>
  <c r="F39" i="472"/>
  <c r="G39" i="472" s="1"/>
  <c r="J33" i="472"/>
  <c r="K33" i="472" s="1"/>
  <c r="F33" i="472"/>
  <c r="G33" i="472" s="1"/>
  <c r="A21" i="472"/>
  <c r="J21" i="472"/>
  <c r="F21" i="472"/>
  <c r="G21" i="472" s="1"/>
  <c r="J14" i="472"/>
  <c r="J13" i="472" s="1"/>
  <c r="F14" i="472"/>
  <c r="J56" i="112"/>
  <c r="K56" i="112" s="1"/>
  <c r="F56" i="112"/>
  <c r="G56" i="112" s="1"/>
  <c r="F49" i="112"/>
  <c r="G49" i="112" s="1"/>
  <c r="J49" i="112"/>
  <c r="K49" i="112" s="1"/>
  <c r="J36" i="112"/>
  <c r="K36" i="112" s="1"/>
  <c r="F36" i="112"/>
  <c r="G36" i="112" s="1"/>
  <c r="J30" i="112"/>
  <c r="K30" i="112" s="1"/>
  <c r="F30" i="112"/>
  <c r="G30" i="112" s="1"/>
  <c r="A24" i="112"/>
  <c r="J24" i="112"/>
  <c r="K24" i="112" s="1"/>
  <c r="J18" i="112"/>
  <c r="K18" i="112" s="1"/>
  <c r="F18" i="112"/>
  <c r="G18" i="112" s="1"/>
  <c r="J14" i="111"/>
  <c r="J13" i="111" s="1"/>
  <c r="F14" i="111"/>
  <c r="G14" i="111" s="1"/>
  <c r="G13" i="111" s="1"/>
  <c r="J56" i="110"/>
  <c r="K56" i="110" s="1"/>
  <c r="F56" i="110"/>
  <c r="G56" i="110" s="1"/>
  <c r="J49" i="110"/>
  <c r="K49" i="110" s="1"/>
  <c r="F49" i="110"/>
  <c r="G49" i="110" s="1"/>
  <c r="J36" i="110"/>
  <c r="K36" i="110" s="1"/>
  <c r="F36" i="110"/>
  <c r="G36" i="110" s="1"/>
  <c r="J30" i="110"/>
  <c r="K30" i="110" s="1"/>
  <c r="F30" i="110"/>
  <c r="G30" i="110" s="1"/>
  <c r="A24" i="110"/>
  <c r="J24" i="110"/>
  <c r="K24" i="110" s="1"/>
  <c r="F24" i="110"/>
  <c r="G24" i="110" s="1"/>
  <c r="J18" i="110"/>
  <c r="K18" i="110" s="1"/>
  <c r="F18" i="110"/>
  <c r="G18" i="110" s="1"/>
  <c r="J59" i="108"/>
  <c r="K59" i="108" s="1"/>
  <c r="F59" i="108"/>
  <c r="G59" i="108" s="1"/>
  <c r="J39" i="108"/>
  <c r="K39" i="108" s="1"/>
  <c r="F39" i="108"/>
  <c r="G39" i="108" s="1"/>
  <c r="C32" i="682" s="1"/>
  <c r="J33" i="108"/>
  <c r="K33" i="108" s="1"/>
  <c r="F33" i="108"/>
  <c r="G33" i="108" s="1"/>
  <c r="C26" i="682" s="1"/>
  <c r="J27" i="108"/>
  <c r="K27" i="108" s="1"/>
  <c r="F27" i="108"/>
  <c r="G27" i="108" s="1"/>
  <c r="C20" i="682" s="1"/>
  <c r="A21" i="108"/>
  <c r="K21" i="108"/>
  <c r="F21" i="108"/>
  <c r="G21" i="108" s="1"/>
  <c r="C14" i="682" s="1"/>
  <c r="J14" i="108"/>
  <c r="J13" i="108" s="1"/>
  <c r="F14" i="108"/>
  <c r="J49" i="107"/>
  <c r="K49" i="107" s="1"/>
  <c r="F49" i="107"/>
  <c r="G49" i="107" s="1"/>
  <c r="F36" i="107"/>
  <c r="G36" i="107" s="1"/>
  <c r="J36" i="107"/>
  <c r="K36" i="107" s="1"/>
  <c r="J30" i="107"/>
  <c r="K30" i="107" s="1"/>
  <c r="F30" i="107"/>
  <c r="G30" i="107" s="1"/>
  <c r="A24" i="107"/>
  <c r="J24" i="107"/>
  <c r="K24" i="107" s="1"/>
  <c r="F24" i="107"/>
  <c r="G24" i="107" s="1"/>
  <c r="J66" i="106"/>
  <c r="K66" i="106" s="1"/>
  <c r="F66" i="106"/>
  <c r="G66" i="106" s="1"/>
  <c r="J39" i="106"/>
  <c r="K39" i="106" s="1"/>
  <c r="F39" i="106"/>
  <c r="G39" i="106" s="1"/>
  <c r="J33" i="106"/>
  <c r="K33" i="106" s="1"/>
  <c r="F33" i="106"/>
  <c r="G33" i="106" s="1"/>
  <c r="J27" i="106"/>
  <c r="K27" i="106" s="1"/>
  <c r="F27" i="106"/>
  <c r="G27" i="106" s="1"/>
  <c r="A21" i="106"/>
  <c r="J21" i="106"/>
  <c r="K21" i="106" s="1"/>
  <c r="J14" i="106"/>
  <c r="J13" i="106" s="1"/>
  <c r="F14" i="106"/>
  <c r="J56" i="105"/>
  <c r="K56" i="105" s="1"/>
  <c r="F56" i="105"/>
  <c r="G56" i="105" s="1"/>
  <c r="J49" i="105"/>
  <c r="K49" i="105" s="1"/>
  <c r="F49" i="105"/>
  <c r="G49" i="105" s="1"/>
  <c r="J36" i="105"/>
  <c r="K36" i="105" s="1"/>
  <c r="F36" i="105"/>
  <c r="G36" i="105" s="1"/>
  <c r="J30" i="105"/>
  <c r="K30" i="105" s="1"/>
  <c r="F30" i="105"/>
  <c r="G30" i="105" s="1"/>
  <c r="A24" i="105"/>
  <c r="J24" i="105"/>
  <c r="K24" i="105" s="1"/>
  <c r="F24" i="105"/>
  <c r="G24" i="105" s="1"/>
  <c r="J18" i="105"/>
  <c r="K18" i="105" s="1"/>
  <c r="F18" i="105"/>
  <c r="J66" i="104"/>
  <c r="K66" i="104" s="1"/>
  <c r="F66" i="104"/>
  <c r="G66" i="104" s="1"/>
  <c r="J59" i="104"/>
  <c r="K59" i="104" s="1"/>
  <c r="F59" i="104"/>
  <c r="G59" i="104" s="1"/>
  <c r="J39" i="104"/>
  <c r="K39" i="104" s="1"/>
  <c r="F39" i="104"/>
  <c r="G39" i="104" s="1"/>
  <c r="J33" i="104"/>
  <c r="K33" i="104" s="1"/>
  <c r="F33" i="104"/>
  <c r="G33" i="104" s="1"/>
  <c r="J27" i="104"/>
  <c r="K27" i="104" s="1"/>
  <c r="F27" i="104"/>
  <c r="G27" i="104" s="1"/>
  <c r="A21" i="104"/>
  <c r="J21" i="104"/>
  <c r="K21" i="104" s="1"/>
  <c r="F21" i="104"/>
  <c r="G21" i="104" s="1"/>
  <c r="J56" i="103"/>
  <c r="F56" i="103"/>
  <c r="J49" i="103"/>
  <c r="K49" i="103" s="1"/>
  <c r="F49" i="103"/>
  <c r="G49" i="103" s="1"/>
  <c r="J36" i="103"/>
  <c r="K36" i="103" s="1"/>
  <c r="F36" i="103"/>
  <c r="G36" i="103" s="1"/>
  <c r="J30" i="103"/>
  <c r="K30" i="103" s="1"/>
  <c r="F30" i="103"/>
  <c r="G30" i="103" s="1"/>
  <c r="A24" i="103"/>
  <c r="J24" i="103"/>
  <c r="K24" i="103" s="1"/>
  <c r="F24" i="103"/>
  <c r="G24" i="103" s="1"/>
  <c r="J18" i="103"/>
  <c r="K18" i="103" s="1"/>
  <c r="F18" i="103"/>
  <c r="G18" i="103" s="1"/>
  <c r="J10" i="103"/>
  <c r="F10" i="103"/>
  <c r="F14" i="116"/>
  <c r="F19" i="108"/>
  <c r="G19" i="108" s="1"/>
  <c r="C12" i="682" s="1"/>
  <c r="F23" i="117"/>
  <c r="G23" i="117" s="1"/>
  <c r="M23" i="117" s="1"/>
  <c r="F26" i="117"/>
  <c r="G26" i="117" s="1"/>
  <c r="F36" i="117"/>
  <c r="G36" i="117" s="1"/>
  <c r="J74" i="472"/>
  <c r="K74" i="472" s="1"/>
  <c r="F74" i="472"/>
  <c r="G74" i="472" s="1"/>
  <c r="J12" i="112"/>
  <c r="J9" i="112" s="1"/>
  <c r="F12" i="112"/>
  <c r="G12" i="112" s="1"/>
  <c r="J54" i="108"/>
  <c r="K54" i="108" s="1"/>
  <c r="F54" i="108"/>
  <c r="G54" i="108" s="1"/>
  <c r="C43" i="682" s="1"/>
  <c r="J64" i="107"/>
  <c r="F64" i="107"/>
  <c r="G64" i="107" s="1"/>
  <c r="J12" i="105"/>
  <c r="J9" i="105" s="1"/>
  <c r="F12" i="105"/>
  <c r="G12" i="105" s="1"/>
  <c r="A22" i="59"/>
  <c r="J22" i="59"/>
  <c r="J34" i="125"/>
  <c r="K34" i="125" s="1"/>
  <c r="F34" i="125"/>
  <c r="G34" i="125" s="1"/>
  <c r="J31" i="117"/>
  <c r="K31" i="117" s="1"/>
  <c r="F31" i="117"/>
  <c r="G31" i="117" s="1"/>
  <c r="A25" i="124"/>
  <c r="F25" i="124"/>
  <c r="G25" i="124" s="1"/>
  <c r="M25" i="124" s="1"/>
  <c r="J46" i="115"/>
  <c r="F46" i="115"/>
  <c r="A25" i="114"/>
  <c r="J25" i="114"/>
  <c r="K25" i="114" s="1"/>
  <c r="F25" i="114"/>
  <c r="G25" i="114" s="1"/>
  <c r="A22" i="472"/>
  <c r="J22" i="472"/>
  <c r="K22" i="472" s="1"/>
  <c r="F22" i="472"/>
  <c r="G22" i="472" s="1"/>
  <c r="J46" i="111"/>
  <c r="J34" i="108"/>
  <c r="K34" i="108" s="1"/>
  <c r="F34" i="108"/>
  <c r="G34" i="108" s="1"/>
  <c r="C27" i="682" s="1"/>
  <c r="F75" i="475"/>
  <c r="G75" i="475" s="1"/>
  <c r="J69" i="475"/>
  <c r="F69" i="475"/>
  <c r="G69" i="475" s="1"/>
  <c r="J42" i="475"/>
  <c r="K42" i="475" s="1"/>
  <c r="F42" i="475"/>
  <c r="G42" i="475" s="1"/>
  <c r="J72" i="125"/>
  <c r="K72" i="125" s="1"/>
  <c r="F72" i="125"/>
  <c r="G72" i="125" s="1"/>
  <c r="J44" i="125"/>
  <c r="K44" i="125" s="1"/>
  <c r="F44" i="125"/>
  <c r="G44" i="125" s="1"/>
  <c r="J75" i="123"/>
  <c r="K75" i="123" s="1"/>
  <c r="F75" i="123"/>
  <c r="G75" i="123" s="1"/>
  <c r="J69" i="123"/>
  <c r="F69" i="123"/>
  <c r="G69" i="123" s="1"/>
  <c r="J42" i="123"/>
  <c r="K42" i="123" s="1"/>
  <c r="F42" i="123"/>
  <c r="G42" i="123" s="1"/>
  <c r="F10" i="123"/>
  <c r="G10" i="123" s="1"/>
  <c r="J72" i="122"/>
  <c r="K72" i="122" s="1"/>
  <c r="F72" i="122"/>
  <c r="G72" i="122" s="1"/>
  <c r="J44" i="122"/>
  <c r="K44" i="122" s="1"/>
  <c r="F44" i="122"/>
  <c r="G44" i="122" s="1"/>
  <c r="J75" i="121"/>
  <c r="K75" i="121" s="1"/>
  <c r="F75" i="121"/>
  <c r="G75" i="121" s="1"/>
  <c r="J69" i="121"/>
  <c r="K69" i="121" s="1"/>
  <c r="F69" i="121"/>
  <c r="G69" i="121" s="1"/>
  <c r="J42" i="121"/>
  <c r="K42" i="121" s="1"/>
  <c r="F42" i="121"/>
  <c r="G42" i="121" s="1"/>
  <c r="F10" i="121"/>
  <c r="G10" i="121" s="1"/>
  <c r="F72" i="120"/>
  <c r="J72" i="120"/>
  <c r="K72" i="120" s="1"/>
  <c r="J44" i="120"/>
  <c r="K44" i="120" s="1"/>
  <c r="F44" i="120"/>
  <c r="J75" i="119"/>
  <c r="K75" i="119" s="1"/>
  <c r="F75" i="119"/>
  <c r="G75" i="119" s="1"/>
  <c r="J69" i="119"/>
  <c r="K69" i="119" s="1"/>
  <c r="F69" i="119"/>
  <c r="J42" i="119"/>
  <c r="K42" i="119" s="1"/>
  <c r="F42" i="119"/>
  <c r="G42" i="119" s="1"/>
  <c r="F10" i="119"/>
  <c r="G10" i="119" s="1"/>
  <c r="J26" i="118"/>
  <c r="K26" i="118" s="1"/>
  <c r="F26" i="118"/>
  <c r="J75" i="117"/>
  <c r="K75" i="117" s="1"/>
  <c r="F75" i="117"/>
  <c r="G75" i="117" s="1"/>
  <c r="J69" i="117"/>
  <c r="K69" i="117" s="1"/>
  <c r="F69" i="117"/>
  <c r="J42" i="117"/>
  <c r="K42" i="117" s="1"/>
  <c r="F42" i="117"/>
  <c r="F10" i="117"/>
  <c r="G10" i="117" s="1"/>
  <c r="J72" i="116"/>
  <c r="K72" i="116" s="1"/>
  <c r="F72" i="116"/>
  <c r="G72" i="116" s="1"/>
  <c r="J44" i="116"/>
  <c r="K44" i="116" s="1"/>
  <c r="F44" i="116"/>
  <c r="G44" i="116" s="1"/>
  <c r="J75" i="124"/>
  <c r="K75" i="124" s="1"/>
  <c r="F75" i="124"/>
  <c r="G75" i="124" s="1"/>
  <c r="J69" i="124"/>
  <c r="K69" i="124" s="1"/>
  <c r="F69" i="124"/>
  <c r="G69" i="124" s="1"/>
  <c r="J42" i="124"/>
  <c r="K42" i="124" s="1"/>
  <c r="M42" i="124" s="1"/>
  <c r="F10" i="114"/>
  <c r="F72" i="472"/>
  <c r="G72" i="472" s="1"/>
  <c r="F44" i="472"/>
  <c r="G44" i="472" s="1"/>
  <c r="F10" i="112"/>
  <c r="F10" i="110"/>
  <c r="G10" i="110" s="1"/>
  <c r="F10" i="107"/>
  <c r="G10" i="107" s="1"/>
  <c r="F10" i="105"/>
  <c r="G10" i="105" s="1"/>
  <c r="F10" i="124"/>
  <c r="G10" i="124" s="1"/>
  <c r="F14" i="124"/>
  <c r="F18" i="107"/>
  <c r="G18" i="107" s="1"/>
  <c r="F27" i="117"/>
  <c r="G27" i="117" s="1"/>
  <c r="F31" i="472"/>
  <c r="G31" i="472" s="1"/>
  <c r="F37" i="104"/>
  <c r="G37" i="104" s="1"/>
  <c r="J50" i="475"/>
  <c r="K50" i="475" s="1"/>
  <c r="J37" i="123"/>
  <c r="K37" i="123" s="1"/>
  <c r="F37" i="123"/>
  <c r="G37" i="123" s="1"/>
  <c r="J28" i="120"/>
  <c r="K28" i="120" s="1"/>
  <c r="F28" i="120"/>
  <c r="J37" i="117"/>
  <c r="K37" i="117" s="1"/>
  <c r="F37" i="117"/>
  <c r="G37" i="117" s="1"/>
  <c r="J22" i="116"/>
  <c r="K22" i="116" s="1"/>
  <c r="A22" i="116"/>
  <c r="J31" i="114"/>
  <c r="K31" i="114" s="1"/>
  <c r="F31" i="114"/>
  <c r="G31" i="114" s="1"/>
  <c r="A22" i="108"/>
  <c r="J22" i="108"/>
  <c r="K22" i="108" s="1"/>
  <c r="F22" i="108"/>
  <c r="G22" i="108" s="1"/>
  <c r="C15" i="682" s="1"/>
  <c r="A32" i="59"/>
  <c r="J32" i="59"/>
  <c r="J61" i="475"/>
  <c r="K61" i="475" s="1"/>
  <c r="F61" i="475"/>
  <c r="G61" i="475" s="1"/>
  <c r="J48" i="475"/>
  <c r="F48" i="475"/>
  <c r="J35" i="475"/>
  <c r="K35" i="475" s="1"/>
  <c r="F35" i="475"/>
  <c r="G35" i="475" s="1"/>
  <c r="J29" i="475"/>
  <c r="K29" i="475" s="1"/>
  <c r="F29" i="475"/>
  <c r="G29" i="475" s="1"/>
  <c r="A23" i="475"/>
  <c r="J23" i="475"/>
  <c r="K23" i="475" s="1"/>
  <c r="F23" i="475"/>
  <c r="G23" i="475" s="1"/>
  <c r="J79" i="125"/>
  <c r="K79" i="125" s="1"/>
  <c r="F79" i="125"/>
  <c r="J58" i="125"/>
  <c r="K58" i="125" s="1"/>
  <c r="F58" i="125"/>
  <c r="G58" i="125" s="1"/>
  <c r="J51" i="125"/>
  <c r="F51" i="125"/>
  <c r="G51" i="125" s="1"/>
  <c r="J38" i="125"/>
  <c r="K38" i="125" s="1"/>
  <c r="J32" i="125"/>
  <c r="K32" i="125" s="1"/>
  <c r="F32" i="125"/>
  <c r="G32" i="125" s="1"/>
  <c r="A26" i="125"/>
  <c r="J26" i="125"/>
  <c r="K26" i="125" s="1"/>
  <c r="F26" i="125"/>
  <c r="G26" i="125" s="1"/>
  <c r="J20" i="125"/>
  <c r="K20" i="125" s="1"/>
  <c r="F20" i="125"/>
  <c r="G20" i="125" s="1"/>
  <c r="J61" i="123"/>
  <c r="K61" i="123" s="1"/>
  <c r="F61" i="123"/>
  <c r="G61" i="123" s="1"/>
  <c r="J48" i="123"/>
  <c r="F48" i="123"/>
  <c r="J35" i="123"/>
  <c r="K35" i="123" s="1"/>
  <c r="F35" i="123"/>
  <c r="G35" i="123" s="1"/>
  <c r="J29" i="123"/>
  <c r="K29" i="123" s="1"/>
  <c r="F29" i="123"/>
  <c r="G29" i="123" s="1"/>
  <c r="A23" i="123"/>
  <c r="F23" i="123"/>
  <c r="G23" i="123" s="1"/>
  <c r="M23" i="123" s="1"/>
  <c r="J79" i="122"/>
  <c r="K79" i="122" s="1"/>
  <c r="F79" i="122"/>
  <c r="J58" i="122"/>
  <c r="K58" i="122" s="1"/>
  <c r="F58" i="122"/>
  <c r="G58" i="122" s="1"/>
  <c r="J51" i="122"/>
  <c r="K51" i="122" s="1"/>
  <c r="F38" i="122"/>
  <c r="G38" i="122" s="1"/>
  <c r="J32" i="122"/>
  <c r="K32" i="122" s="1"/>
  <c r="F32" i="122"/>
  <c r="G32" i="122" s="1"/>
  <c r="A26" i="122"/>
  <c r="F26" i="122"/>
  <c r="G26" i="122" s="1"/>
  <c r="M26" i="122" s="1"/>
  <c r="F20" i="122"/>
  <c r="G20" i="122" s="1"/>
  <c r="M20" i="122" s="1"/>
  <c r="J61" i="121"/>
  <c r="K61" i="121" s="1"/>
  <c r="F61" i="121"/>
  <c r="G61" i="121" s="1"/>
  <c r="J48" i="121"/>
  <c r="F48" i="121"/>
  <c r="J35" i="121"/>
  <c r="K35" i="121" s="1"/>
  <c r="F35" i="121"/>
  <c r="G35" i="121" s="1"/>
  <c r="J29" i="121"/>
  <c r="K29" i="121" s="1"/>
  <c r="F29" i="121"/>
  <c r="G29" i="121" s="1"/>
  <c r="A23" i="121"/>
  <c r="F23" i="121"/>
  <c r="G23" i="121" s="1"/>
  <c r="M23" i="121" s="1"/>
  <c r="J58" i="120"/>
  <c r="K58" i="120" s="1"/>
  <c r="F58" i="120"/>
  <c r="J51" i="120"/>
  <c r="K51" i="120" s="1"/>
  <c r="F51" i="120"/>
  <c r="J32" i="120"/>
  <c r="K32" i="120" s="1"/>
  <c r="F32" i="120"/>
  <c r="A26" i="120"/>
  <c r="F26" i="120"/>
  <c r="J61" i="119"/>
  <c r="K61" i="119" s="1"/>
  <c r="F61" i="119"/>
  <c r="G61" i="119" s="1"/>
  <c r="J48" i="119"/>
  <c r="F48" i="119"/>
  <c r="J35" i="119"/>
  <c r="K35" i="119" s="1"/>
  <c r="F35" i="119"/>
  <c r="G35" i="119" s="1"/>
  <c r="J29" i="119"/>
  <c r="K29" i="119" s="1"/>
  <c r="F29" i="119"/>
  <c r="G29" i="119" s="1"/>
  <c r="A23" i="119"/>
  <c r="F23" i="119"/>
  <c r="G23" i="119" s="1"/>
  <c r="M23" i="119" s="1"/>
  <c r="J61" i="117"/>
  <c r="K61" i="117" s="1"/>
  <c r="F61" i="117"/>
  <c r="G61" i="117" s="1"/>
  <c r="J48" i="117"/>
  <c r="F48" i="117"/>
  <c r="J35" i="117"/>
  <c r="K35" i="117" s="1"/>
  <c r="F35" i="117"/>
  <c r="J29" i="117"/>
  <c r="K29" i="117" s="1"/>
  <c r="F29" i="117"/>
  <c r="G29" i="117" s="1"/>
  <c r="J79" i="116"/>
  <c r="F79" i="116"/>
  <c r="J58" i="116"/>
  <c r="K58" i="116" s="1"/>
  <c r="F58" i="116"/>
  <c r="G58" i="116" s="1"/>
  <c r="J51" i="116"/>
  <c r="F51" i="116"/>
  <c r="G51" i="116" s="1"/>
  <c r="J32" i="116"/>
  <c r="K32" i="116" s="1"/>
  <c r="F32" i="116"/>
  <c r="G32" i="116" s="1"/>
  <c r="A26" i="116"/>
  <c r="F26" i="116"/>
  <c r="J61" i="124"/>
  <c r="K61" i="124" s="1"/>
  <c r="F61" i="124"/>
  <c r="G61" i="124" s="1"/>
  <c r="J48" i="124"/>
  <c r="F48" i="124"/>
  <c r="J35" i="124"/>
  <c r="K35" i="124" s="1"/>
  <c r="F35" i="124"/>
  <c r="G35" i="124" s="1"/>
  <c r="A23" i="124"/>
  <c r="F23" i="124"/>
  <c r="G23" i="124" s="1"/>
  <c r="M23" i="124" s="1"/>
  <c r="J79" i="115"/>
  <c r="K79" i="115" s="1"/>
  <c r="F79" i="115"/>
  <c r="J58" i="115"/>
  <c r="K58" i="115" s="1"/>
  <c r="F58" i="115"/>
  <c r="G58" i="115" s="1"/>
  <c r="J51" i="115"/>
  <c r="K51" i="115" s="1"/>
  <c r="F51" i="115"/>
  <c r="G51" i="115" s="1"/>
  <c r="J38" i="115"/>
  <c r="K38" i="115" s="1"/>
  <c r="F38" i="115"/>
  <c r="G38" i="115" s="1"/>
  <c r="J32" i="115"/>
  <c r="K32" i="115" s="1"/>
  <c r="F32" i="115"/>
  <c r="G32" i="115" s="1"/>
  <c r="A26" i="115"/>
  <c r="J26" i="115"/>
  <c r="K26" i="115" s="1"/>
  <c r="F26" i="115"/>
  <c r="G26" i="115" s="1"/>
  <c r="J20" i="115"/>
  <c r="K20" i="115" s="1"/>
  <c r="F20" i="115"/>
  <c r="J61" i="114"/>
  <c r="K61" i="114" s="1"/>
  <c r="F61" i="114"/>
  <c r="G61" i="114" s="1"/>
  <c r="J48" i="114"/>
  <c r="F48" i="114"/>
  <c r="J35" i="114"/>
  <c r="K35" i="114" s="1"/>
  <c r="F35" i="114"/>
  <c r="G35" i="114" s="1"/>
  <c r="J29" i="114"/>
  <c r="K29" i="114" s="1"/>
  <c r="F29" i="114"/>
  <c r="G29" i="114" s="1"/>
  <c r="A23" i="114"/>
  <c r="J23" i="114"/>
  <c r="K23" i="114" s="1"/>
  <c r="F23" i="114"/>
  <c r="G23" i="114" s="1"/>
  <c r="J79" i="472"/>
  <c r="F79" i="472"/>
  <c r="J58" i="472"/>
  <c r="K58" i="472" s="1"/>
  <c r="F58" i="472"/>
  <c r="F51" i="472"/>
  <c r="G51" i="472" s="1"/>
  <c r="J51" i="472"/>
  <c r="K51" i="472" s="1"/>
  <c r="J38" i="472"/>
  <c r="K38" i="472" s="1"/>
  <c r="F38" i="472"/>
  <c r="G38" i="472" s="1"/>
  <c r="J32" i="472"/>
  <c r="K32" i="472" s="1"/>
  <c r="F32" i="472"/>
  <c r="G32" i="472" s="1"/>
  <c r="A26" i="472"/>
  <c r="F26" i="472"/>
  <c r="G26" i="472" s="1"/>
  <c r="J61" i="112"/>
  <c r="K61" i="112" s="1"/>
  <c r="F61" i="112"/>
  <c r="G61" i="112" s="1"/>
  <c r="J48" i="112"/>
  <c r="F48" i="112"/>
  <c r="J35" i="112"/>
  <c r="K35" i="112" s="1"/>
  <c r="F35" i="112"/>
  <c r="G35" i="112" s="1"/>
  <c r="J29" i="112"/>
  <c r="K29" i="112" s="1"/>
  <c r="F29" i="112"/>
  <c r="G29" i="112" s="1"/>
  <c r="A23" i="112"/>
  <c r="J23" i="112"/>
  <c r="K23" i="112" s="1"/>
  <c r="K26" i="111"/>
  <c r="A26" i="111"/>
  <c r="J61" i="110"/>
  <c r="K61" i="110" s="1"/>
  <c r="F61" i="110"/>
  <c r="G61" i="110" s="1"/>
  <c r="J48" i="110"/>
  <c r="F48" i="110"/>
  <c r="J35" i="110"/>
  <c r="K35" i="110" s="1"/>
  <c r="F35" i="110"/>
  <c r="G35" i="110" s="1"/>
  <c r="J29" i="110"/>
  <c r="K29" i="110" s="1"/>
  <c r="F29" i="110"/>
  <c r="G29" i="110" s="1"/>
  <c r="A23" i="110"/>
  <c r="J23" i="110"/>
  <c r="K23" i="110" s="1"/>
  <c r="F23" i="110"/>
  <c r="G23" i="110" s="1"/>
  <c r="J58" i="108"/>
  <c r="K58" i="108" s="1"/>
  <c r="F58" i="108"/>
  <c r="G58" i="108" s="1"/>
  <c r="J51" i="108"/>
  <c r="K51" i="108" s="1"/>
  <c r="F51" i="108"/>
  <c r="G51" i="108" s="1"/>
  <c r="C41" i="682" s="1"/>
  <c r="J38" i="108"/>
  <c r="K38" i="108" s="1"/>
  <c r="F38" i="108"/>
  <c r="G38" i="108" s="1"/>
  <c r="C31" i="682" s="1"/>
  <c r="F32" i="108"/>
  <c r="G32" i="108" s="1"/>
  <c r="C25" i="682" s="1"/>
  <c r="J32" i="108"/>
  <c r="K32" i="108" s="1"/>
  <c r="A26" i="108"/>
  <c r="J26" i="108"/>
  <c r="K26" i="108" s="1"/>
  <c r="J20" i="108"/>
  <c r="K20" i="108" s="1"/>
  <c r="F20" i="108"/>
  <c r="G20" i="108" s="1"/>
  <c r="C13" i="682" s="1"/>
  <c r="J61" i="107"/>
  <c r="K61" i="107" s="1"/>
  <c r="F61" i="107"/>
  <c r="G61" i="107" s="1"/>
  <c r="J48" i="107"/>
  <c r="F48" i="107"/>
  <c r="J35" i="107"/>
  <c r="K35" i="107" s="1"/>
  <c r="F35" i="107"/>
  <c r="G35" i="107" s="1"/>
  <c r="A23" i="107"/>
  <c r="J23" i="107"/>
  <c r="K23" i="107" s="1"/>
  <c r="F23" i="107"/>
  <c r="G23" i="107" s="1"/>
  <c r="J79" i="106"/>
  <c r="F79" i="106"/>
  <c r="J58" i="106"/>
  <c r="K58" i="106" s="1"/>
  <c r="F58" i="106"/>
  <c r="G58" i="106" s="1"/>
  <c r="J51" i="106"/>
  <c r="K51" i="106" s="1"/>
  <c r="F51" i="106"/>
  <c r="G51" i="106" s="1"/>
  <c r="F38" i="106"/>
  <c r="G38" i="106" s="1"/>
  <c r="J38" i="106"/>
  <c r="K38" i="106" s="1"/>
  <c r="M38" i="106" s="1"/>
  <c r="J32" i="106"/>
  <c r="K32" i="106" s="1"/>
  <c r="F32" i="106"/>
  <c r="G32" i="106" s="1"/>
  <c r="A26" i="106"/>
  <c r="J26" i="106"/>
  <c r="K26" i="106" s="1"/>
  <c r="F26" i="106"/>
  <c r="G26" i="106" s="1"/>
  <c r="J20" i="106"/>
  <c r="K20" i="106" s="1"/>
  <c r="F20" i="106"/>
  <c r="G20" i="106" s="1"/>
  <c r="J61" i="105"/>
  <c r="K61" i="105" s="1"/>
  <c r="F61" i="105"/>
  <c r="G61" i="105" s="1"/>
  <c r="J48" i="105"/>
  <c r="F48" i="105"/>
  <c r="J35" i="105"/>
  <c r="K35" i="105" s="1"/>
  <c r="F35" i="105"/>
  <c r="G35" i="105" s="1"/>
  <c r="J29" i="105"/>
  <c r="K29" i="105" s="1"/>
  <c r="F29" i="105"/>
  <c r="G29" i="105" s="1"/>
  <c r="A23" i="105"/>
  <c r="J23" i="105"/>
  <c r="K23" i="105" s="1"/>
  <c r="F23" i="105"/>
  <c r="G23" i="105" s="1"/>
  <c r="J79" i="104"/>
  <c r="F79" i="104"/>
  <c r="J58" i="104"/>
  <c r="K58" i="104" s="1"/>
  <c r="F58" i="104"/>
  <c r="G58" i="104" s="1"/>
  <c r="J51" i="104"/>
  <c r="K51" i="104" s="1"/>
  <c r="F51" i="104"/>
  <c r="G51" i="104" s="1"/>
  <c r="J38" i="104"/>
  <c r="K38" i="104" s="1"/>
  <c r="F38" i="104"/>
  <c r="G38" i="104" s="1"/>
  <c r="J32" i="104"/>
  <c r="K32" i="104" s="1"/>
  <c r="F32" i="104"/>
  <c r="G32" i="104" s="1"/>
  <c r="A26" i="104"/>
  <c r="J26" i="104"/>
  <c r="K26" i="104" s="1"/>
  <c r="F26" i="104"/>
  <c r="G26" i="104" s="1"/>
  <c r="J20" i="104"/>
  <c r="K20" i="104" s="1"/>
  <c r="F20" i="104"/>
  <c r="G20" i="104" s="1"/>
  <c r="J61" i="103"/>
  <c r="K61" i="103" s="1"/>
  <c r="F61" i="103"/>
  <c r="G61" i="103" s="1"/>
  <c r="F48" i="103"/>
  <c r="J48" i="103"/>
  <c r="J35" i="103"/>
  <c r="K35" i="103" s="1"/>
  <c r="F35" i="103"/>
  <c r="G35" i="103" s="1"/>
  <c r="F29" i="103"/>
  <c r="G29" i="103" s="1"/>
  <c r="J29" i="103"/>
  <c r="K29" i="103" s="1"/>
  <c r="A23" i="103"/>
  <c r="F23" i="103"/>
  <c r="G23" i="103" s="1"/>
  <c r="J23" i="103"/>
  <c r="K23" i="103" s="1"/>
  <c r="J51" i="102"/>
  <c r="K51" i="102" s="1"/>
  <c r="F51" i="102"/>
  <c r="G51" i="102" s="1"/>
  <c r="F14" i="104"/>
  <c r="F23" i="112"/>
  <c r="G23" i="112" s="1"/>
  <c r="F27" i="110"/>
  <c r="G27" i="110" s="1"/>
  <c r="F38" i="125"/>
  <c r="G38" i="125" s="1"/>
  <c r="F51" i="121"/>
  <c r="G51" i="121" s="1"/>
  <c r="J41" i="125"/>
  <c r="K41" i="125" s="1"/>
  <c r="F41" i="125"/>
  <c r="G41" i="125" s="1"/>
  <c r="J64" i="117"/>
  <c r="F64" i="117"/>
  <c r="J43" i="117"/>
  <c r="K43" i="117" s="1"/>
  <c r="F43" i="117"/>
  <c r="G43" i="117" s="1"/>
  <c r="J41" i="116"/>
  <c r="K41" i="116" s="1"/>
  <c r="F41" i="116"/>
  <c r="G41" i="116" s="1"/>
  <c r="J64" i="124"/>
  <c r="K64" i="124" s="1"/>
  <c r="F64" i="124"/>
  <c r="J71" i="112"/>
  <c r="K71" i="112" s="1"/>
  <c r="F71" i="112"/>
  <c r="G71" i="112" s="1"/>
  <c r="K43" i="112"/>
  <c r="F43" i="112"/>
  <c r="G43" i="112" s="1"/>
  <c r="J74" i="108"/>
  <c r="K74" i="108" s="1"/>
  <c r="F74" i="108"/>
  <c r="G74" i="108" s="1"/>
  <c r="J37" i="475"/>
  <c r="K37" i="475" s="1"/>
  <c r="F37" i="475"/>
  <c r="G37" i="475" s="1"/>
  <c r="J46" i="125"/>
  <c r="F46" i="125"/>
  <c r="J57" i="123"/>
  <c r="K57" i="123" s="1"/>
  <c r="F57" i="123"/>
  <c r="G57" i="123" s="1"/>
  <c r="J28" i="122"/>
  <c r="K28" i="122" s="1"/>
  <c r="F28" i="122"/>
  <c r="G28" i="122" s="1"/>
  <c r="J74" i="475"/>
  <c r="K74" i="475" s="1"/>
  <c r="F74" i="475"/>
  <c r="G74" i="475" s="1"/>
  <c r="J54" i="475"/>
  <c r="K54" i="475" s="1"/>
  <c r="F54" i="475"/>
  <c r="G54" i="475" s="1"/>
  <c r="J41" i="475"/>
  <c r="K41" i="475" s="1"/>
  <c r="F41" i="475"/>
  <c r="G41" i="475" s="1"/>
  <c r="J16" i="475"/>
  <c r="K16" i="475" s="1"/>
  <c r="K15" i="475" s="1"/>
  <c r="F16" i="475"/>
  <c r="G16" i="475" s="1"/>
  <c r="G15" i="475" s="1"/>
  <c r="J71" i="125"/>
  <c r="K71" i="125" s="1"/>
  <c r="F71" i="125"/>
  <c r="G71" i="125" s="1"/>
  <c r="F64" i="125"/>
  <c r="J43" i="125"/>
  <c r="K43" i="125" s="1"/>
  <c r="F43" i="125"/>
  <c r="G43" i="125" s="1"/>
  <c r="J12" i="125"/>
  <c r="K12" i="125" s="1"/>
  <c r="F12" i="125"/>
  <c r="G12" i="125" s="1"/>
  <c r="J74" i="123"/>
  <c r="K74" i="123" s="1"/>
  <c r="F74" i="123"/>
  <c r="J54" i="123"/>
  <c r="K54" i="123" s="1"/>
  <c r="F54" i="123"/>
  <c r="J41" i="123"/>
  <c r="K41" i="123" s="1"/>
  <c r="F41" i="123"/>
  <c r="G41" i="123" s="1"/>
  <c r="J16" i="123"/>
  <c r="K16" i="123" s="1"/>
  <c r="K15" i="123" s="1"/>
  <c r="F16" i="123"/>
  <c r="G16" i="123" s="1"/>
  <c r="G15" i="123" s="1"/>
  <c r="J71" i="122"/>
  <c r="K71" i="122" s="1"/>
  <c r="F71" i="122"/>
  <c r="G71" i="122" s="1"/>
  <c r="J64" i="122"/>
  <c r="F64" i="122"/>
  <c r="G64" i="122" s="1"/>
  <c r="J43" i="122"/>
  <c r="K43" i="122" s="1"/>
  <c r="F43" i="122"/>
  <c r="G43" i="122" s="1"/>
  <c r="F12" i="122"/>
  <c r="G12" i="122" s="1"/>
  <c r="J74" i="121"/>
  <c r="K74" i="121" s="1"/>
  <c r="F74" i="121"/>
  <c r="G74" i="121" s="1"/>
  <c r="J54" i="121"/>
  <c r="K54" i="121" s="1"/>
  <c r="F54" i="121"/>
  <c r="G54" i="121" s="1"/>
  <c r="J41" i="121"/>
  <c r="K41" i="121" s="1"/>
  <c r="F41" i="121"/>
  <c r="G41" i="121" s="1"/>
  <c r="J16" i="121"/>
  <c r="K16" i="121" s="1"/>
  <c r="K15" i="121" s="1"/>
  <c r="F16" i="121"/>
  <c r="J71" i="120"/>
  <c r="K71" i="120" s="1"/>
  <c r="F71" i="120"/>
  <c r="J64" i="120"/>
  <c r="K64" i="120" s="1"/>
  <c r="F64" i="120"/>
  <c r="J43" i="120"/>
  <c r="K43" i="120" s="1"/>
  <c r="F43" i="120"/>
  <c r="J12" i="120"/>
  <c r="J9" i="120" s="1"/>
  <c r="J74" i="119"/>
  <c r="K74" i="119" s="1"/>
  <c r="F74" i="119"/>
  <c r="G74" i="119" s="1"/>
  <c r="J54" i="119"/>
  <c r="K54" i="119" s="1"/>
  <c r="F54" i="119"/>
  <c r="G54" i="119" s="1"/>
  <c r="J41" i="119"/>
  <c r="F41" i="119"/>
  <c r="G41" i="119" s="1"/>
  <c r="J16" i="119"/>
  <c r="K16" i="119" s="1"/>
  <c r="K15" i="119" s="1"/>
  <c r="F16" i="119"/>
  <c r="J25" i="118"/>
  <c r="K25" i="118" s="1"/>
  <c r="F25" i="118"/>
  <c r="J74" i="117"/>
  <c r="K74" i="117" s="1"/>
  <c r="F74" i="117"/>
  <c r="G74" i="117" s="1"/>
  <c r="J54" i="117"/>
  <c r="K54" i="117" s="1"/>
  <c r="F54" i="117"/>
  <c r="G54" i="117" s="1"/>
  <c r="J41" i="117"/>
  <c r="F41" i="117"/>
  <c r="G41" i="117" s="1"/>
  <c r="J16" i="117"/>
  <c r="K16" i="117" s="1"/>
  <c r="K15" i="117" s="1"/>
  <c r="F16" i="117"/>
  <c r="G16" i="117" s="1"/>
  <c r="G15" i="117" s="1"/>
  <c r="J71" i="116"/>
  <c r="K71" i="116" s="1"/>
  <c r="F71" i="116"/>
  <c r="G71" i="116" s="1"/>
  <c r="J64" i="116"/>
  <c r="K64" i="116" s="1"/>
  <c r="F64" i="116"/>
  <c r="J43" i="116"/>
  <c r="K43" i="116" s="1"/>
  <c r="F43" i="116"/>
  <c r="G43" i="116" s="1"/>
  <c r="J12" i="116"/>
  <c r="J9" i="116" s="1"/>
  <c r="J74" i="124"/>
  <c r="K74" i="124" s="1"/>
  <c r="F74" i="124"/>
  <c r="G74" i="124" s="1"/>
  <c r="J54" i="124"/>
  <c r="K54" i="124" s="1"/>
  <c r="F54" i="124"/>
  <c r="G54" i="124" s="1"/>
  <c r="J41" i="124"/>
  <c r="K41" i="124" s="1"/>
  <c r="F41" i="124"/>
  <c r="J16" i="124"/>
  <c r="K16" i="124" s="1"/>
  <c r="J71" i="115"/>
  <c r="K71" i="115" s="1"/>
  <c r="F71" i="115"/>
  <c r="G71" i="115" s="1"/>
  <c r="J64" i="115"/>
  <c r="K64" i="115" s="1"/>
  <c r="F64" i="115"/>
  <c r="J43" i="115"/>
  <c r="K43" i="115" s="1"/>
  <c r="J12" i="115"/>
  <c r="J9" i="115" s="1"/>
  <c r="F12" i="115"/>
  <c r="G12" i="115" s="1"/>
  <c r="J74" i="114"/>
  <c r="K74" i="114" s="1"/>
  <c r="F74" i="114"/>
  <c r="G74" i="114" s="1"/>
  <c r="J16" i="103"/>
  <c r="K16" i="103" s="1"/>
  <c r="K15" i="103" s="1"/>
  <c r="G10" i="108"/>
  <c r="C6" i="682" s="1"/>
  <c r="F14" i="103"/>
  <c r="G14" i="103" s="1"/>
  <c r="G13" i="103" s="1"/>
  <c r="F20" i="475"/>
  <c r="G20" i="475" s="1"/>
  <c r="F26" i="108"/>
  <c r="G26" i="108" s="1"/>
  <c r="C19" i="682" s="1"/>
  <c r="F32" i="123"/>
  <c r="G32" i="123" s="1"/>
  <c r="F39" i="112"/>
  <c r="G39" i="112" s="1"/>
  <c r="J74" i="122"/>
  <c r="K74" i="122" s="1"/>
  <c r="F74" i="122"/>
  <c r="G74" i="122" s="1"/>
  <c r="J54" i="122"/>
  <c r="K54" i="122" s="1"/>
  <c r="F54" i="122"/>
  <c r="G54" i="122" s="1"/>
  <c r="J71" i="121"/>
  <c r="K71" i="121" s="1"/>
  <c r="F71" i="121"/>
  <c r="G71" i="121" s="1"/>
  <c r="F43" i="121"/>
  <c r="G43" i="121" s="1"/>
  <c r="J43" i="121"/>
  <c r="K43" i="121" s="1"/>
  <c r="J16" i="120"/>
  <c r="K16" i="120" s="1"/>
  <c r="K15" i="120" s="1"/>
  <c r="F16" i="120"/>
  <c r="J64" i="110"/>
  <c r="F64" i="110"/>
  <c r="G64" i="110" s="1"/>
  <c r="J12" i="107"/>
  <c r="K12" i="107" s="1"/>
  <c r="F12" i="107"/>
  <c r="G12" i="107" s="1"/>
  <c r="J43" i="103"/>
  <c r="K43" i="103" s="1"/>
  <c r="F43" i="103"/>
  <c r="G43" i="103" s="1"/>
  <c r="J50" i="123"/>
  <c r="K50" i="123" s="1"/>
  <c r="F50" i="123"/>
  <c r="G50" i="123" s="1"/>
  <c r="J31" i="123"/>
  <c r="K31" i="123" s="1"/>
  <c r="F31" i="123"/>
  <c r="G31" i="123" s="1"/>
  <c r="A25" i="121"/>
  <c r="F25" i="121"/>
  <c r="G25" i="121" s="1"/>
  <c r="M25" i="121" s="1"/>
  <c r="J60" i="120"/>
  <c r="K60" i="120" s="1"/>
  <c r="F60" i="120"/>
  <c r="A25" i="119"/>
  <c r="F25" i="119"/>
  <c r="G25" i="119" s="1"/>
  <c r="M25" i="119" s="1"/>
  <c r="J67" i="116"/>
  <c r="K67" i="116" s="1"/>
  <c r="F67" i="116"/>
  <c r="G67" i="116" s="1"/>
  <c r="J67" i="115"/>
  <c r="K67" i="115" s="1"/>
  <c r="F67" i="115"/>
  <c r="G67" i="115" s="1"/>
  <c r="G65" i="115" s="1"/>
  <c r="K34" i="111"/>
  <c r="J57" i="125"/>
  <c r="K57" i="125" s="1"/>
  <c r="F57" i="125"/>
  <c r="G57" i="125" s="1"/>
  <c r="J50" i="125"/>
  <c r="K50" i="125" s="1"/>
  <c r="F50" i="125"/>
  <c r="G50" i="125" s="1"/>
  <c r="J37" i="125"/>
  <c r="K37" i="125" s="1"/>
  <c r="F37" i="125"/>
  <c r="G37" i="125" s="1"/>
  <c r="J31" i="125"/>
  <c r="K31" i="125" s="1"/>
  <c r="F31" i="125"/>
  <c r="G31" i="125" s="1"/>
  <c r="A25" i="125"/>
  <c r="J25" i="125"/>
  <c r="K25" i="125" s="1"/>
  <c r="F25" i="125"/>
  <c r="G25" i="125" s="1"/>
  <c r="J19" i="125"/>
  <c r="K19" i="125" s="1"/>
  <c r="F19" i="125"/>
  <c r="G19" i="125" s="1"/>
  <c r="J60" i="123"/>
  <c r="K60" i="123" s="1"/>
  <c r="F60" i="123"/>
  <c r="J34" i="123"/>
  <c r="K34" i="123" s="1"/>
  <c r="F34" i="123"/>
  <c r="G34" i="123" s="1"/>
  <c r="J28" i="123"/>
  <c r="K28" i="123" s="1"/>
  <c r="F28" i="123"/>
  <c r="G28" i="123" s="1"/>
  <c r="J22" i="123"/>
  <c r="K22" i="123" s="1"/>
  <c r="A22" i="123"/>
  <c r="J57" i="122"/>
  <c r="F57" i="122"/>
  <c r="G57" i="122" s="1"/>
  <c r="J50" i="122"/>
  <c r="K50" i="122" s="1"/>
  <c r="F50" i="122"/>
  <c r="G50" i="122" s="1"/>
  <c r="A25" i="122"/>
  <c r="F25" i="122"/>
  <c r="G25" i="122" s="1"/>
  <c r="M25" i="122" s="1"/>
  <c r="J67" i="121"/>
  <c r="K67" i="121" s="1"/>
  <c r="F67" i="121"/>
  <c r="J60" i="121"/>
  <c r="K60" i="121" s="1"/>
  <c r="F60" i="121"/>
  <c r="G60" i="121" s="1"/>
  <c r="J46" i="121"/>
  <c r="F46" i="121"/>
  <c r="J28" i="121"/>
  <c r="K28" i="121" s="1"/>
  <c r="F28" i="121"/>
  <c r="G28" i="121" s="1"/>
  <c r="J22" i="121"/>
  <c r="K22" i="121" s="1"/>
  <c r="A22" i="121"/>
  <c r="F22" i="121"/>
  <c r="G22" i="121" s="1"/>
  <c r="J57" i="120"/>
  <c r="K57" i="120" s="1"/>
  <c r="F57" i="120"/>
  <c r="J50" i="120"/>
  <c r="K50" i="120" s="1"/>
  <c r="F50" i="120"/>
  <c r="J37" i="120"/>
  <c r="K37" i="120" s="1"/>
  <c r="G37" i="120"/>
  <c r="J67" i="119"/>
  <c r="K67" i="119" s="1"/>
  <c r="F67" i="119"/>
  <c r="J60" i="119"/>
  <c r="K60" i="119" s="1"/>
  <c r="F60" i="119"/>
  <c r="G60" i="119" s="1"/>
  <c r="J46" i="119"/>
  <c r="F46" i="119"/>
  <c r="J34" i="119"/>
  <c r="K34" i="119" s="1"/>
  <c r="F34" i="119"/>
  <c r="G34" i="119" s="1"/>
  <c r="J28" i="119"/>
  <c r="K28" i="119" s="1"/>
  <c r="F28" i="119"/>
  <c r="G28" i="119" s="1"/>
  <c r="J22" i="119"/>
  <c r="K22" i="119" s="1"/>
  <c r="A22" i="119"/>
  <c r="F22" i="119"/>
  <c r="G22" i="119" s="1"/>
  <c r="J11" i="118"/>
  <c r="G9" i="736" s="1"/>
  <c r="F11" i="118"/>
  <c r="J67" i="117"/>
  <c r="K67" i="117" s="1"/>
  <c r="F67" i="117"/>
  <c r="G67" i="117" s="1"/>
  <c r="J60" i="117"/>
  <c r="K60" i="117" s="1"/>
  <c r="F60" i="117"/>
  <c r="G60" i="117" s="1"/>
  <c r="J46" i="117"/>
  <c r="F46" i="117"/>
  <c r="F45" i="117" s="1"/>
  <c r="J34" i="117"/>
  <c r="K34" i="117" s="1"/>
  <c r="F34" i="117"/>
  <c r="G34" i="117" s="1"/>
  <c r="J28" i="117"/>
  <c r="K28" i="117" s="1"/>
  <c r="F28" i="117"/>
  <c r="G28" i="117" s="1"/>
  <c r="J22" i="117"/>
  <c r="K22" i="117" s="1"/>
  <c r="A22" i="117"/>
  <c r="F22" i="117"/>
  <c r="G22" i="117" s="1"/>
  <c r="F57" i="116"/>
  <c r="G57" i="116" s="1"/>
  <c r="J57" i="116"/>
  <c r="K57" i="116" s="1"/>
  <c r="J50" i="116"/>
  <c r="K50" i="116" s="1"/>
  <c r="F50" i="116"/>
  <c r="G50" i="116" s="1"/>
  <c r="J37" i="116"/>
  <c r="K37" i="116" s="1"/>
  <c r="F37" i="116"/>
  <c r="G37" i="116" s="1"/>
  <c r="J31" i="116"/>
  <c r="K31" i="116" s="1"/>
  <c r="F31" i="116"/>
  <c r="G31" i="116" s="1"/>
  <c r="A25" i="116"/>
  <c r="F25" i="116"/>
  <c r="G25" i="116" s="1"/>
  <c r="M25" i="116" s="1"/>
  <c r="J67" i="124"/>
  <c r="K67" i="124" s="1"/>
  <c r="F67" i="124"/>
  <c r="G67" i="124" s="1"/>
  <c r="J60" i="124"/>
  <c r="K60" i="124" s="1"/>
  <c r="F60" i="124"/>
  <c r="J46" i="124"/>
  <c r="F46" i="124"/>
  <c r="J34" i="124"/>
  <c r="K34" i="124" s="1"/>
  <c r="F34" i="124"/>
  <c r="G34" i="124" s="1"/>
  <c r="J22" i="124"/>
  <c r="K22" i="124" s="1"/>
  <c r="A22" i="124"/>
  <c r="F22" i="124"/>
  <c r="G22" i="124" s="1"/>
  <c r="J57" i="115"/>
  <c r="K57" i="115" s="1"/>
  <c r="F57" i="115"/>
  <c r="G57" i="115" s="1"/>
  <c r="J50" i="115"/>
  <c r="K50" i="115" s="1"/>
  <c r="F50" i="115"/>
  <c r="G50" i="115" s="1"/>
  <c r="J37" i="115"/>
  <c r="K37" i="115" s="1"/>
  <c r="F37" i="115"/>
  <c r="G37" i="115" s="1"/>
  <c r="F31" i="115"/>
  <c r="G31" i="115" s="1"/>
  <c r="J31" i="115"/>
  <c r="K31" i="115" s="1"/>
  <c r="A25" i="115"/>
  <c r="J25" i="115"/>
  <c r="K25" i="115" s="1"/>
  <c r="F25" i="115"/>
  <c r="G25" i="115" s="1"/>
  <c r="J67" i="114"/>
  <c r="K67" i="114" s="1"/>
  <c r="F67" i="114"/>
  <c r="G67" i="114" s="1"/>
  <c r="J60" i="114"/>
  <c r="K60" i="114" s="1"/>
  <c r="F60" i="114"/>
  <c r="G60" i="114" s="1"/>
  <c r="J46" i="114"/>
  <c r="F46" i="114"/>
  <c r="F45" i="114" s="1"/>
  <c r="J34" i="114"/>
  <c r="K34" i="114" s="1"/>
  <c r="F34" i="114"/>
  <c r="G34" i="114" s="1"/>
  <c r="J28" i="114"/>
  <c r="K28" i="114" s="1"/>
  <c r="F28" i="114"/>
  <c r="G28" i="114" s="1"/>
  <c r="A22" i="114"/>
  <c r="J22" i="114"/>
  <c r="K22" i="114" s="1"/>
  <c r="F22" i="114"/>
  <c r="G22" i="114" s="1"/>
  <c r="J57" i="472"/>
  <c r="K57" i="472" s="1"/>
  <c r="F57" i="472"/>
  <c r="G57" i="472" s="1"/>
  <c r="F50" i="472"/>
  <c r="G50" i="472" s="1"/>
  <c r="J50" i="472"/>
  <c r="K50" i="472" s="1"/>
  <c r="J37" i="472"/>
  <c r="K37" i="472" s="1"/>
  <c r="F37" i="472"/>
  <c r="G37" i="472" s="1"/>
  <c r="A25" i="472"/>
  <c r="J25" i="472"/>
  <c r="K25" i="472" s="1"/>
  <c r="F25" i="472"/>
  <c r="G25" i="472" s="1"/>
  <c r="J19" i="472"/>
  <c r="K19" i="472" s="1"/>
  <c r="F19" i="472"/>
  <c r="G19" i="472" s="1"/>
  <c r="J67" i="112"/>
  <c r="K67" i="112" s="1"/>
  <c r="F67" i="112"/>
  <c r="G67" i="112" s="1"/>
  <c r="J60" i="112"/>
  <c r="K60" i="112" s="1"/>
  <c r="F60" i="112"/>
  <c r="G60" i="112" s="1"/>
  <c r="J46" i="112"/>
  <c r="F46" i="112"/>
  <c r="F45" i="112" s="1"/>
  <c r="J34" i="112"/>
  <c r="K34" i="112" s="1"/>
  <c r="F34" i="112"/>
  <c r="G34" i="112" s="1"/>
  <c r="J28" i="112"/>
  <c r="K28" i="112" s="1"/>
  <c r="F28" i="112"/>
  <c r="G28" i="112" s="1"/>
  <c r="A22" i="112"/>
  <c r="J22" i="112"/>
  <c r="K22" i="112" s="1"/>
  <c r="F22" i="112"/>
  <c r="G22" i="112" s="1"/>
  <c r="J50" i="111"/>
  <c r="K50" i="111" s="1"/>
  <c r="F50" i="111"/>
  <c r="G50" i="111" s="1"/>
  <c r="K25" i="111"/>
  <c r="A25" i="111"/>
  <c r="J67" i="110"/>
  <c r="K67" i="110" s="1"/>
  <c r="F67" i="110"/>
  <c r="G67" i="110" s="1"/>
  <c r="J60" i="110"/>
  <c r="K60" i="110" s="1"/>
  <c r="F60" i="110"/>
  <c r="G60" i="110" s="1"/>
  <c r="J46" i="110"/>
  <c r="J45" i="110" s="1"/>
  <c r="F46" i="110"/>
  <c r="F34" i="110"/>
  <c r="G34" i="110" s="1"/>
  <c r="J34" i="110"/>
  <c r="K34" i="110" s="1"/>
  <c r="J28" i="110"/>
  <c r="K28" i="110" s="1"/>
  <c r="F28" i="110"/>
  <c r="G28" i="110" s="1"/>
  <c r="A22" i="110"/>
  <c r="J22" i="110"/>
  <c r="K22" i="110" s="1"/>
  <c r="J50" i="108"/>
  <c r="K50" i="108" s="1"/>
  <c r="F50" i="108"/>
  <c r="G50" i="108" s="1"/>
  <c r="C40" i="682" s="1"/>
  <c r="J37" i="108"/>
  <c r="K37" i="108" s="1"/>
  <c r="F37" i="108"/>
  <c r="J31" i="108"/>
  <c r="K31" i="108" s="1"/>
  <c r="F31" i="108"/>
  <c r="A25" i="108"/>
  <c r="J25" i="108"/>
  <c r="K25" i="108" s="1"/>
  <c r="F25" i="108"/>
  <c r="G25" i="108" s="1"/>
  <c r="C18" i="682" s="1"/>
  <c r="J67" i="107"/>
  <c r="K67" i="107" s="1"/>
  <c r="F67" i="107"/>
  <c r="J60" i="107"/>
  <c r="K60" i="107" s="1"/>
  <c r="F60" i="107"/>
  <c r="G60" i="107" s="1"/>
  <c r="J46" i="107"/>
  <c r="F46" i="107"/>
  <c r="J28" i="107"/>
  <c r="K28" i="107" s="1"/>
  <c r="F28" i="107"/>
  <c r="G28" i="107" s="1"/>
  <c r="A22" i="107"/>
  <c r="J22" i="107"/>
  <c r="K22" i="107" s="1"/>
  <c r="F22" i="107"/>
  <c r="G22" i="107" s="1"/>
  <c r="J57" i="106"/>
  <c r="F57" i="106"/>
  <c r="G57" i="106" s="1"/>
  <c r="J50" i="106"/>
  <c r="K50" i="106" s="1"/>
  <c r="F50" i="106"/>
  <c r="G50" i="106" s="1"/>
  <c r="J37" i="106"/>
  <c r="K37" i="106" s="1"/>
  <c r="F37" i="106"/>
  <c r="G37" i="106" s="1"/>
  <c r="J31" i="106"/>
  <c r="K31" i="106" s="1"/>
  <c r="F31" i="106"/>
  <c r="G31" i="106" s="1"/>
  <c r="A25" i="106"/>
  <c r="J25" i="106"/>
  <c r="K25" i="106" s="1"/>
  <c r="F25" i="106"/>
  <c r="G25" i="106" s="1"/>
  <c r="J19" i="106"/>
  <c r="K19" i="106" s="1"/>
  <c r="F19" i="106"/>
  <c r="G19" i="106" s="1"/>
  <c r="J67" i="105"/>
  <c r="F67" i="105"/>
  <c r="G67" i="105" s="1"/>
  <c r="J60" i="105"/>
  <c r="K60" i="105" s="1"/>
  <c r="F60" i="105"/>
  <c r="G60" i="105" s="1"/>
  <c r="J46" i="105"/>
  <c r="F46" i="105"/>
  <c r="F45" i="105" s="1"/>
  <c r="J34" i="105"/>
  <c r="K34" i="105" s="1"/>
  <c r="F34" i="105"/>
  <c r="G34" i="105" s="1"/>
  <c r="J28" i="105"/>
  <c r="K28" i="105" s="1"/>
  <c r="F28" i="105"/>
  <c r="G28" i="105" s="1"/>
  <c r="A22" i="105"/>
  <c r="J22" i="105"/>
  <c r="K22" i="105" s="1"/>
  <c r="F22" i="105"/>
  <c r="G22" i="105" s="1"/>
  <c r="J57" i="104"/>
  <c r="K57" i="104" s="1"/>
  <c r="F57" i="104"/>
  <c r="G57" i="104" s="1"/>
  <c r="J50" i="104"/>
  <c r="K50" i="104" s="1"/>
  <c r="F50" i="104"/>
  <c r="G50" i="104" s="1"/>
  <c r="J31" i="104"/>
  <c r="K31" i="104" s="1"/>
  <c r="F31" i="104"/>
  <c r="G31" i="104" s="1"/>
  <c r="A25" i="104"/>
  <c r="J25" i="104"/>
  <c r="K25" i="104" s="1"/>
  <c r="F25" i="104"/>
  <c r="G25" i="104" s="1"/>
  <c r="J19" i="104"/>
  <c r="K19" i="104" s="1"/>
  <c r="F19" i="104"/>
  <c r="G19" i="104" s="1"/>
  <c r="J67" i="103"/>
  <c r="F67" i="103"/>
  <c r="J60" i="103"/>
  <c r="K60" i="103" s="1"/>
  <c r="F60" i="103"/>
  <c r="G60" i="103" s="1"/>
  <c r="J46" i="103"/>
  <c r="F46" i="103"/>
  <c r="J34" i="103"/>
  <c r="K34" i="103" s="1"/>
  <c r="F34" i="103"/>
  <c r="G34" i="103" s="1"/>
  <c r="J28" i="103"/>
  <c r="K28" i="103" s="1"/>
  <c r="F28" i="103"/>
  <c r="G28" i="103" s="1"/>
  <c r="A22" i="103"/>
  <c r="J22" i="103"/>
  <c r="K22" i="103" s="1"/>
  <c r="F50" i="102"/>
  <c r="G50" i="102" s="1"/>
  <c r="J50" i="102"/>
  <c r="K50" i="102" s="1"/>
  <c r="F16" i="116"/>
  <c r="F21" i="120"/>
  <c r="F23" i="104"/>
  <c r="G23" i="104" s="1"/>
  <c r="F28" i="475"/>
  <c r="G28" i="475" s="1"/>
  <c r="F33" i="123"/>
  <c r="G33" i="123" s="1"/>
  <c r="F38" i="110"/>
  <c r="G38" i="110" s="1"/>
  <c r="J12" i="475"/>
  <c r="K12" i="475" s="1"/>
  <c r="F12" i="475"/>
  <c r="G12" i="475" s="1"/>
  <c r="J54" i="125"/>
  <c r="K54" i="125" s="1"/>
  <c r="F54" i="125"/>
  <c r="G54" i="125" s="1"/>
  <c r="J16" i="125"/>
  <c r="K16" i="125" s="1"/>
  <c r="K15" i="125" s="1"/>
  <c r="F16" i="125"/>
  <c r="F15" i="125" s="1"/>
  <c r="J43" i="123"/>
  <c r="K43" i="123" s="1"/>
  <c r="F43" i="123"/>
  <c r="G43" i="123" s="1"/>
  <c r="J41" i="122"/>
  <c r="F41" i="122"/>
  <c r="G41" i="122" s="1"/>
  <c r="J41" i="120"/>
  <c r="K41" i="120" s="1"/>
  <c r="F41" i="120"/>
  <c r="J43" i="119"/>
  <c r="K43" i="119" s="1"/>
  <c r="F43" i="119"/>
  <c r="G43" i="119" s="1"/>
  <c r="J71" i="124"/>
  <c r="K71" i="124" s="1"/>
  <c r="F71" i="124"/>
  <c r="G71" i="124" s="1"/>
  <c r="J43" i="124"/>
  <c r="K43" i="124" s="1"/>
  <c r="F43" i="124"/>
  <c r="G43" i="124" s="1"/>
  <c r="J64" i="114"/>
  <c r="F64" i="114"/>
  <c r="J41" i="472"/>
  <c r="K41" i="472" s="1"/>
  <c r="F41" i="472"/>
  <c r="G41" i="472" s="1"/>
  <c r="J16" i="472"/>
  <c r="K16" i="472" s="1"/>
  <c r="F16" i="472"/>
  <c r="F15" i="472" s="1"/>
  <c r="J57" i="475"/>
  <c r="K57" i="475" s="1"/>
  <c r="F57" i="475"/>
  <c r="G57" i="475" s="1"/>
  <c r="A25" i="475"/>
  <c r="J25" i="475"/>
  <c r="K25" i="475" s="1"/>
  <c r="F25" i="475"/>
  <c r="G25" i="475" s="1"/>
  <c r="J60" i="125"/>
  <c r="K60" i="125" s="1"/>
  <c r="F60" i="125"/>
  <c r="G60" i="125" s="1"/>
  <c r="J28" i="125"/>
  <c r="K28" i="125" s="1"/>
  <c r="F28" i="125"/>
  <c r="G28" i="125" s="1"/>
  <c r="A25" i="123"/>
  <c r="F25" i="123"/>
  <c r="G25" i="123" s="1"/>
  <c r="M25" i="123" s="1"/>
  <c r="J50" i="121"/>
  <c r="F50" i="121"/>
  <c r="J34" i="116"/>
  <c r="K34" i="116" s="1"/>
  <c r="F34" i="116"/>
  <c r="G34" i="116" s="1"/>
  <c r="J28" i="116"/>
  <c r="K28" i="116" s="1"/>
  <c r="F28" i="116"/>
  <c r="G28" i="116" s="1"/>
  <c r="J50" i="124"/>
  <c r="K50" i="124" s="1"/>
  <c r="F50" i="124"/>
  <c r="G50" i="124" s="1"/>
  <c r="J31" i="124"/>
  <c r="K31" i="124" s="1"/>
  <c r="F31" i="124"/>
  <c r="G31" i="124" s="1"/>
  <c r="F19" i="124"/>
  <c r="G19" i="124" s="1"/>
  <c r="M19" i="124" s="1"/>
  <c r="J60" i="115"/>
  <c r="K60" i="115" s="1"/>
  <c r="F60" i="115"/>
  <c r="G60" i="115" s="1"/>
  <c r="J34" i="115"/>
  <c r="K34" i="115" s="1"/>
  <c r="F34" i="115"/>
  <c r="G34" i="115" s="1"/>
  <c r="J28" i="115"/>
  <c r="K28" i="115" s="1"/>
  <c r="F28" i="115"/>
  <c r="G28" i="115" s="1"/>
  <c r="J57" i="114"/>
  <c r="K57" i="114" s="1"/>
  <c r="F57" i="114"/>
  <c r="G57" i="114" s="1"/>
  <c r="J37" i="114"/>
  <c r="K37" i="114" s="1"/>
  <c r="F37" i="114"/>
  <c r="G37" i="114" s="1"/>
  <c r="J60" i="472"/>
  <c r="K60" i="472" s="1"/>
  <c r="F60" i="472"/>
  <c r="G60" i="472" s="1"/>
  <c r="A25" i="112"/>
  <c r="J25" i="112"/>
  <c r="K25" i="112" s="1"/>
  <c r="K28" i="111"/>
  <c r="J57" i="110"/>
  <c r="K57" i="110" s="1"/>
  <c r="F57" i="110"/>
  <c r="G57" i="110" s="1"/>
  <c r="J50" i="110"/>
  <c r="K50" i="110" s="1"/>
  <c r="F50" i="110"/>
  <c r="G50" i="110" s="1"/>
  <c r="J31" i="110"/>
  <c r="K31" i="110" s="1"/>
  <c r="F31" i="110"/>
  <c r="G31" i="110" s="1"/>
  <c r="J67" i="108"/>
  <c r="K67" i="108" s="1"/>
  <c r="F67" i="108"/>
  <c r="F65" i="108" s="1"/>
  <c r="A25" i="107"/>
  <c r="J25" i="107"/>
  <c r="K25" i="107" s="1"/>
  <c r="F25" i="107"/>
  <c r="G25" i="107" s="1"/>
  <c r="J67" i="475"/>
  <c r="K67" i="475" s="1"/>
  <c r="F67" i="475"/>
  <c r="G67" i="475" s="1"/>
  <c r="J60" i="475"/>
  <c r="F60" i="475"/>
  <c r="G60" i="475" s="1"/>
  <c r="F34" i="475"/>
  <c r="G34" i="475" s="1"/>
  <c r="J34" i="475"/>
  <c r="K34" i="475" s="1"/>
  <c r="A22" i="475"/>
  <c r="J22" i="475"/>
  <c r="K22" i="475" s="1"/>
  <c r="F22" i="475"/>
  <c r="G22" i="475" s="1"/>
  <c r="J67" i="123"/>
  <c r="K67" i="123" s="1"/>
  <c r="F67" i="123"/>
  <c r="G67" i="123" s="1"/>
  <c r="J46" i="123"/>
  <c r="F46" i="123"/>
  <c r="J37" i="122"/>
  <c r="K37" i="122" s="1"/>
  <c r="F37" i="122"/>
  <c r="G37" i="122" s="1"/>
  <c r="J73" i="475"/>
  <c r="K73" i="475" s="1"/>
  <c r="F73" i="475"/>
  <c r="G73" i="475" s="1"/>
  <c r="J53" i="475"/>
  <c r="K53" i="475" s="1"/>
  <c r="F53" i="475"/>
  <c r="F52" i="475" s="1"/>
  <c r="J76" i="125"/>
  <c r="K76" i="125" s="1"/>
  <c r="F76" i="125"/>
  <c r="G76" i="125" s="1"/>
  <c r="F70" i="125"/>
  <c r="G70" i="125" s="1"/>
  <c r="J70" i="125"/>
  <c r="K70" i="125" s="1"/>
  <c r="J78" i="125"/>
  <c r="F78" i="125"/>
  <c r="F11" i="125"/>
  <c r="G11" i="125" s="1"/>
  <c r="J73" i="123"/>
  <c r="K73" i="123" s="1"/>
  <c r="F73" i="123"/>
  <c r="G73" i="123" s="1"/>
  <c r="J53" i="123"/>
  <c r="K53" i="123" s="1"/>
  <c r="F53" i="123"/>
  <c r="G53" i="123" s="1"/>
  <c r="J76" i="122"/>
  <c r="K76" i="122" s="1"/>
  <c r="F76" i="122"/>
  <c r="G76" i="122" s="1"/>
  <c r="J70" i="122"/>
  <c r="K70" i="122" s="1"/>
  <c r="F70" i="122"/>
  <c r="G70" i="122" s="1"/>
  <c r="J63" i="122"/>
  <c r="K63" i="122" s="1"/>
  <c r="F63" i="122"/>
  <c r="J78" i="122"/>
  <c r="F78" i="122"/>
  <c r="J73" i="121"/>
  <c r="K73" i="121" s="1"/>
  <c r="F73" i="121"/>
  <c r="G73" i="121" s="1"/>
  <c r="J53" i="121"/>
  <c r="F53" i="121"/>
  <c r="J76" i="120"/>
  <c r="K76" i="120" s="1"/>
  <c r="F76" i="120"/>
  <c r="J70" i="120"/>
  <c r="K70" i="120" s="1"/>
  <c r="F70" i="120"/>
  <c r="J63" i="120"/>
  <c r="K63" i="120" s="1"/>
  <c r="F63" i="120"/>
  <c r="J78" i="120"/>
  <c r="F78" i="120"/>
  <c r="F11" i="120"/>
  <c r="J73" i="119"/>
  <c r="K73" i="119" s="1"/>
  <c r="F73" i="119"/>
  <c r="G73" i="119" s="1"/>
  <c r="J53" i="119"/>
  <c r="K53" i="119" s="1"/>
  <c r="F53" i="119"/>
  <c r="G53" i="119" s="1"/>
  <c r="J70" i="118"/>
  <c r="K70" i="118" s="1"/>
  <c r="J73" i="117"/>
  <c r="K73" i="117" s="1"/>
  <c r="F73" i="117"/>
  <c r="G73" i="117" s="1"/>
  <c r="J53" i="117"/>
  <c r="K53" i="117" s="1"/>
  <c r="F53" i="117"/>
  <c r="J76" i="116"/>
  <c r="K76" i="116" s="1"/>
  <c r="F76" i="116"/>
  <c r="G76" i="116" s="1"/>
  <c r="J70" i="116"/>
  <c r="K70" i="116" s="1"/>
  <c r="F70" i="116"/>
  <c r="G70" i="116" s="1"/>
  <c r="J63" i="116"/>
  <c r="K63" i="116" s="1"/>
  <c r="J78" i="116"/>
  <c r="F78" i="116"/>
  <c r="F11" i="116"/>
  <c r="G11" i="116" s="1"/>
  <c r="J73" i="124"/>
  <c r="K73" i="124" s="1"/>
  <c r="F73" i="124"/>
  <c r="G73" i="124" s="1"/>
  <c r="J53" i="124"/>
  <c r="K53" i="124" s="1"/>
  <c r="F53" i="124"/>
  <c r="J76" i="115"/>
  <c r="K76" i="115" s="1"/>
  <c r="F76" i="115"/>
  <c r="G76" i="115" s="1"/>
  <c r="J70" i="115"/>
  <c r="K70" i="115" s="1"/>
  <c r="F70" i="115"/>
  <c r="G70" i="115" s="1"/>
  <c r="J63" i="115"/>
  <c r="K63" i="115" s="1"/>
  <c r="F63" i="115"/>
  <c r="G63" i="115" s="1"/>
  <c r="J78" i="115"/>
  <c r="F78" i="115"/>
  <c r="F11" i="115"/>
  <c r="J73" i="114"/>
  <c r="K73" i="114" s="1"/>
  <c r="F73" i="114"/>
  <c r="G73" i="114" s="1"/>
  <c r="J53" i="114"/>
  <c r="F53" i="114"/>
  <c r="J76" i="472"/>
  <c r="K76" i="472" s="1"/>
  <c r="F76" i="472"/>
  <c r="G76" i="472" s="1"/>
  <c r="J70" i="472"/>
  <c r="K70" i="472" s="1"/>
  <c r="F70" i="472"/>
  <c r="G70" i="472" s="1"/>
  <c r="J63" i="472"/>
  <c r="K63" i="472" s="1"/>
  <c r="F63" i="472"/>
  <c r="G63" i="472" s="1"/>
  <c r="J78" i="472"/>
  <c r="F78" i="472"/>
  <c r="F11" i="472"/>
  <c r="G11" i="472" s="1"/>
  <c r="J73" i="112"/>
  <c r="K73" i="112" s="1"/>
  <c r="F73" i="112"/>
  <c r="G73" i="112" s="1"/>
  <c r="J53" i="112"/>
  <c r="K53" i="112" s="1"/>
  <c r="F53" i="112"/>
  <c r="J76" i="111"/>
  <c r="K76" i="111" s="1"/>
  <c r="J70" i="111"/>
  <c r="K70" i="111" s="1"/>
  <c r="J63" i="111"/>
  <c r="K63" i="111" s="1"/>
  <c r="F63" i="111"/>
  <c r="G63" i="111" s="1"/>
  <c r="J78" i="111"/>
  <c r="F78" i="111"/>
  <c r="J73" i="110"/>
  <c r="K73" i="110" s="1"/>
  <c r="F73" i="110"/>
  <c r="G73" i="110" s="1"/>
  <c r="J53" i="110"/>
  <c r="K53" i="110" s="1"/>
  <c r="J76" i="108"/>
  <c r="K76" i="108" s="1"/>
  <c r="F76" i="108"/>
  <c r="G76" i="108" s="1"/>
  <c r="J70" i="108"/>
  <c r="K70" i="108" s="1"/>
  <c r="F70" i="108"/>
  <c r="G70" i="108" s="1"/>
  <c r="J63" i="108"/>
  <c r="F63" i="108"/>
  <c r="G63" i="108" s="1"/>
  <c r="J78" i="108"/>
  <c r="F78" i="108"/>
  <c r="J73" i="107"/>
  <c r="K73" i="107" s="1"/>
  <c r="F73" i="107"/>
  <c r="G73" i="107" s="1"/>
  <c r="J53" i="107"/>
  <c r="F53" i="107"/>
  <c r="J76" i="106"/>
  <c r="K76" i="106" s="1"/>
  <c r="F76" i="106"/>
  <c r="G76" i="106" s="1"/>
  <c r="J70" i="106"/>
  <c r="K70" i="106" s="1"/>
  <c r="F70" i="106"/>
  <c r="G70" i="106" s="1"/>
  <c r="J63" i="106"/>
  <c r="K63" i="106" s="1"/>
  <c r="F63" i="106"/>
  <c r="G63" i="106" s="1"/>
  <c r="J78" i="106"/>
  <c r="F78" i="106"/>
  <c r="F11" i="106"/>
  <c r="G11" i="106" s="1"/>
  <c r="J73" i="105"/>
  <c r="K73" i="105" s="1"/>
  <c r="F73" i="105"/>
  <c r="G73" i="105" s="1"/>
  <c r="J53" i="105"/>
  <c r="K53" i="105" s="1"/>
  <c r="F53" i="105"/>
  <c r="J76" i="104"/>
  <c r="K76" i="104" s="1"/>
  <c r="F76" i="104"/>
  <c r="G76" i="104" s="1"/>
  <c r="J70" i="104"/>
  <c r="K70" i="104" s="1"/>
  <c r="F70" i="104"/>
  <c r="G70" i="104" s="1"/>
  <c r="J63" i="104"/>
  <c r="K63" i="104" s="1"/>
  <c r="F63" i="104"/>
  <c r="G63" i="104" s="1"/>
  <c r="J78" i="104"/>
  <c r="F78" i="104"/>
  <c r="F11" i="104"/>
  <c r="J73" i="103"/>
  <c r="K73" i="103" s="1"/>
  <c r="F73" i="103"/>
  <c r="G73" i="103" s="1"/>
  <c r="J53" i="103"/>
  <c r="F53" i="103"/>
  <c r="F76" i="102"/>
  <c r="G76" i="102" s="1"/>
  <c r="J70" i="102"/>
  <c r="K70" i="102" s="1"/>
  <c r="J63" i="102"/>
  <c r="J78" i="102"/>
  <c r="J73" i="101"/>
  <c r="K73" i="101" s="1"/>
  <c r="F73" i="101"/>
  <c r="G73" i="101" s="1"/>
  <c r="J53" i="101"/>
  <c r="K53" i="101" s="1"/>
  <c r="F53" i="101"/>
  <c r="J76" i="100"/>
  <c r="F76" i="100"/>
  <c r="G76" i="100" s="1"/>
  <c r="F36" i="100"/>
  <c r="G36" i="100" s="1"/>
  <c r="F10" i="102"/>
  <c r="G10" i="102" s="1"/>
  <c r="F16" i="124"/>
  <c r="F22" i="103"/>
  <c r="G22" i="103" s="1"/>
  <c r="F29" i="125"/>
  <c r="G29" i="125" s="1"/>
  <c r="F32" i="110"/>
  <c r="G32" i="110" s="1"/>
  <c r="F42" i="124"/>
  <c r="G42" i="124" s="1"/>
  <c r="F57" i="108"/>
  <c r="G57" i="108" s="1"/>
  <c r="J43" i="475"/>
  <c r="K43" i="475" s="1"/>
  <c r="F43" i="475"/>
  <c r="G43" i="475" s="1"/>
  <c r="J74" i="125"/>
  <c r="K74" i="125" s="1"/>
  <c r="F74" i="125"/>
  <c r="G74" i="125" s="1"/>
  <c r="J71" i="123"/>
  <c r="K71" i="123" s="1"/>
  <c r="F71" i="123"/>
  <c r="G71" i="123" s="1"/>
  <c r="J64" i="123"/>
  <c r="K64" i="123" s="1"/>
  <c r="F64" i="123"/>
  <c r="G64" i="123" s="1"/>
  <c r="J12" i="123"/>
  <c r="K12" i="123" s="1"/>
  <c r="F12" i="123"/>
  <c r="G12" i="123" s="1"/>
  <c r="J64" i="119"/>
  <c r="K64" i="119" s="1"/>
  <c r="F64" i="119"/>
  <c r="G64" i="119" s="1"/>
  <c r="J74" i="116"/>
  <c r="K74" i="116" s="1"/>
  <c r="F74" i="116"/>
  <c r="G74" i="116" s="1"/>
  <c r="J71" i="114"/>
  <c r="K71" i="114" s="1"/>
  <c r="F71" i="114"/>
  <c r="G71" i="114" s="1"/>
  <c r="J64" i="112"/>
  <c r="F64" i="112"/>
  <c r="G64" i="112" s="1"/>
  <c r="J16" i="111"/>
  <c r="F16" i="111"/>
  <c r="J12" i="110"/>
  <c r="K12" i="110" s="1"/>
  <c r="F12" i="110"/>
  <c r="G12" i="110" s="1"/>
  <c r="J16" i="108"/>
  <c r="F16" i="108"/>
  <c r="J43" i="107"/>
  <c r="K43" i="107" s="1"/>
  <c r="F43" i="107"/>
  <c r="G43" i="107" s="1"/>
  <c r="J16" i="106"/>
  <c r="F16" i="106"/>
  <c r="F15" i="106" s="1"/>
  <c r="F41" i="104"/>
  <c r="G41" i="104" s="1"/>
  <c r="J41" i="104"/>
  <c r="K41" i="104" s="1"/>
  <c r="F19" i="121"/>
  <c r="G19" i="121" s="1"/>
  <c r="M19" i="121" s="1"/>
  <c r="A22" i="125"/>
  <c r="J22" i="125"/>
  <c r="K22" i="125" s="1"/>
  <c r="F22" i="125"/>
  <c r="G22" i="125" s="1"/>
  <c r="F19" i="123"/>
  <c r="G19" i="123" s="1"/>
  <c r="M19" i="123" s="1"/>
  <c r="J22" i="122"/>
  <c r="K22" i="122" s="1"/>
  <c r="A22" i="122"/>
  <c r="F22" i="122"/>
  <c r="G22" i="122" s="1"/>
  <c r="J67" i="472"/>
  <c r="F67" i="472"/>
  <c r="G67" i="472" s="1"/>
  <c r="J46" i="472"/>
  <c r="J45" i="472" s="1"/>
  <c r="F46" i="472"/>
  <c r="J34" i="472"/>
  <c r="K34" i="472" s="1"/>
  <c r="F34" i="472"/>
  <c r="G34" i="472" s="1"/>
  <c r="J28" i="472"/>
  <c r="K28" i="472" s="1"/>
  <c r="F28" i="472"/>
  <c r="G28" i="472" s="1"/>
  <c r="J57" i="112"/>
  <c r="K57" i="112" s="1"/>
  <c r="F57" i="112"/>
  <c r="J31" i="112"/>
  <c r="K31" i="112" s="1"/>
  <c r="J19" i="112"/>
  <c r="K19" i="112" s="1"/>
  <c r="F19" i="112"/>
  <c r="G19" i="112" s="1"/>
  <c r="J67" i="111"/>
  <c r="K67" i="111" s="1"/>
  <c r="J60" i="111"/>
  <c r="K60" i="111" s="1"/>
  <c r="F60" i="111"/>
  <c r="G60" i="111" s="1"/>
  <c r="K22" i="111"/>
  <c r="J37" i="110"/>
  <c r="K37" i="110" s="1"/>
  <c r="F37" i="110"/>
  <c r="G37" i="110" s="1"/>
  <c r="A25" i="110"/>
  <c r="J25" i="110"/>
  <c r="K25" i="110" s="1"/>
  <c r="F25" i="110"/>
  <c r="G25" i="110" s="1"/>
  <c r="J19" i="110"/>
  <c r="K19" i="110" s="1"/>
  <c r="F19" i="110"/>
  <c r="J60" i="108"/>
  <c r="K60" i="108" s="1"/>
  <c r="F60" i="108"/>
  <c r="G60" i="108" s="1"/>
  <c r="F46" i="108"/>
  <c r="J57" i="107"/>
  <c r="K57" i="107" s="1"/>
  <c r="F57" i="107"/>
  <c r="G57" i="107" s="1"/>
  <c r="J50" i="107"/>
  <c r="K50" i="107" s="1"/>
  <c r="F50" i="107"/>
  <c r="G50" i="107" s="1"/>
  <c r="J37" i="107"/>
  <c r="K37" i="107" s="1"/>
  <c r="F37" i="107"/>
  <c r="G37" i="107" s="1"/>
  <c r="J19" i="107"/>
  <c r="K19" i="107" s="1"/>
  <c r="F19" i="107"/>
  <c r="A37" i="59"/>
  <c r="J37" i="59"/>
  <c r="A31" i="59"/>
  <c r="J31" i="59"/>
  <c r="A36" i="59"/>
  <c r="J36" i="59"/>
  <c r="A30" i="59"/>
  <c r="J30" i="59"/>
  <c r="A24" i="59"/>
  <c r="J24" i="59"/>
  <c r="J66" i="475"/>
  <c r="K66" i="475" s="1"/>
  <c r="F66" i="475"/>
  <c r="J59" i="475"/>
  <c r="K59" i="475" s="1"/>
  <c r="F59" i="475"/>
  <c r="G59" i="475" s="1"/>
  <c r="J39" i="475"/>
  <c r="K39" i="475" s="1"/>
  <c r="F39" i="475"/>
  <c r="G39" i="475" s="1"/>
  <c r="J33" i="475"/>
  <c r="K33" i="475" s="1"/>
  <c r="F33" i="475"/>
  <c r="G33" i="475" s="1"/>
  <c r="J27" i="475"/>
  <c r="K27" i="475" s="1"/>
  <c r="F27" i="475"/>
  <c r="G27" i="475" s="1"/>
  <c r="A21" i="475"/>
  <c r="J21" i="475"/>
  <c r="K21" i="475" s="1"/>
  <c r="F21" i="475"/>
  <c r="G21" i="475" s="1"/>
  <c r="J14" i="475"/>
  <c r="F14" i="475"/>
  <c r="F13" i="475" s="1"/>
  <c r="J56" i="125"/>
  <c r="K56" i="125" s="1"/>
  <c r="F56" i="125"/>
  <c r="G56" i="125" s="1"/>
  <c r="J49" i="125"/>
  <c r="K49" i="125" s="1"/>
  <c r="F49" i="125"/>
  <c r="G49" i="125" s="1"/>
  <c r="J36" i="125"/>
  <c r="K36" i="125" s="1"/>
  <c r="F36" i="125"/>
  <c r="G36" i="125" s="1"/>
  <c r="J30" i="125"/>
  <c r="K30" i="125" s="1"/>
  <c r="F30" i="125"/>
  <c r="G30" i="125" s="1"/>
  <c r="A24" i="125"/>
  <c r="J24" i="125"/>
  <c r="K24" i="125" s="1"/>
  <c r="F24" i="125"/>
  <c r="G24" i="125" s="1"/>
  <c r="J18" i="125"/>
  <c r="K18" i="125" s="1"/>
  <c r="F18" i="125"/>
  <c r="G18" i="125" s="1"/>
  <c r="J66" i="123"/>
  <c r="F66" i="123"/>
  <c r="G66" i="123" s="1"/>
  <c r="J59" i="123"/>
  <c r="K59" i="123" s="1"/>
  <c r="F59" i="123"/>
  <c r="G59" i="123" s="1"/>
  <c r="J39" i="123"/>
  <c r="K39" i="123" s="1"/>
  <c r="F39" i="123"/>
  <c r="G39" i="123" s="1"/>
  <c r="J27" i="123"/>
  <c r="K27" i="123" s="1"/>
  <c r="F27" i="123"/>
  <c r="G27" i="123" s="1"/>
  <c r="J21" i="123"/>
  <c r="K21" i="123" s="1"/>
  <c r="A21" i="123"/>
  <c r="F21" i="123"/>
  <c r="G21" i="123" s="1"/>
  <c r="J14" i="123"/>
  <c r="J13" i="123" s="1"/>
  <c r="F14" i="123"/>
  <c r="J56" i="122"/>
  <c r="K56" i="122" s="1"/>
  <c r="F56" i="122"/>
  <c r="J49" i="122"/>
  <c r="K49" i="122" s="1"/>
  <c r="F49" i="122"/>
  <c r="G49" i="122" s="1"/>
  <c r="J36" i="122"/>
  <c r="K36" i="122" s="1"/>
  <c r="F36" i="122"/>
  <c r="G36" i="122" s="1"/>
  <c r="J30" i="122"/>
  <c r="K30" i="122" s="1"/>
  <c r="F30" i="122"/>
  <c r="G30" i="122" s="1"/>
  <c r="J24" i="122"/>
  <c r="K24" i="122" s="1"/>
  <c r="A24" i="122"/>
  <c r="F24" i="122"/>
  <c r="G24" i="122" s="1"/>
  <c r="J66" i="121"/>
  <c r="F66" i="121"/>
  <c r="G66" i="121" s="1"/>
  <c r="J59" i="121"/>
  <c r="K59" i="121" s="1"/>
  <c r="F59" i="121"/>
  <c r="G59" i="121" s="1"/>
  <c r="J39" i="121"/>
  <c r="K39" i="121" s="1"/>
  <c r="F39" i="121"/>
  <c r="G39" i="121" s="1"/>
  <c r="J33" i="121"/>
  <c r="K33" i="121" s="1"/>
  <c r="F33" i="121"/>
  <c r="G33" i="121" s="1"/>
  <c r="J27" i="121"/>
  <c r="K27" i="121" s="1"/>
  <c r="F27" i="121"/>
  <c r="G27" i="121" s="1"/>
  <c r="J21" i="121"/>
  <c r="A21" i="121"/>
  <c r="F21" i="121"/>
  <c r="G21" i="121" s="1"/>
  <c r="J14" i="121"/>
  <c r="J13" i="121" s="1"/>
  <c r="F14" i="121"/>
  <c r="J56" i="120"/>
  <c r="K56" i="120" s="1"/>
  <c r="F56" i="120"/>
  <c r="J49" i="120"/>
  <c r="K49" i="120" s="1"/>
  <c r="F49" i="120"/>
  <c r="J36" i="120"/>
  <c r="K36" i="120" s="1"/>
  <c r="F36" i="120"/>
  <c r="J30" i="120"/>
  <c r="K30" i="120" s="1"/>
  <c r="F30" i="120"/>
  <c r="J24" i="120"/>
  <c r="K24" i="120" s="1"/>
  <c r="A24" i="120"/>
  <c r="F24" i="120"/>
  <c r="J66" i="119"/>
  <c r="K66" i="119" s="1"/>
  <c r="F66" i="119"/>
  <c r="G66" i="119" s="1"/>
  <c r="J59" i="119"/>
  <c r="K59" i="119" s="1"/>
  <c r="F59" i="119"/>
  <c r="G59" i="119" s="1"/>
  <c r="J39" i="119"/>
  <c r="K39" i="119" s="1"/>
  <c r="F39" i="119"/>
  <c r="G39" i="119" s="1"/>
  <c r="J33" i="119"/>
  <c r="K33" i="119" s="1"/>
  <c r="F33" i="119"/>
  <c r="G33" i="119" s="1"/>
  <c r="J27" i="119"/>
  <c r="K27" i="119" s="1"/>
  <c r="F27" i="119"/>
  <c r="G27" i="119" s="1"/>
  <c r="J21" i="119"/>
  <c r="K21" i="119" s="1"/>
  <c r="A21" i="119"/>
  <c r="F21" i="119"/>
  <c r="G21" i="119" s="1"/>
  <c r="J14" i="119"/>
  <c r="F14" i="119"/>
  <c r="J10" i="118"/>
  <c r="F10" i="118"/>
  <c r="J66" i="117"/>
  <c r="K66" i="117" s="1"/>
  <c r="F66" i="117"/>
  <c r="G66" i="117" s="1"/>
  <c r="J59" i="117"/>
  <c r="K59" i="117" s="1"/>
  <c r="F59" i="117"/>
  <c r="G59" i="117" s="1"/>
  <c r="J39" i="117"/>
  <c r="K39" i="117" s="1"/>
  <c r="F39" i="117"/>
  <c r="G39" i="117" s="1"/>
  <c r="J33" i="117"/>
  <c r="K33" i="117" s="1"/>
  <c r="F33" i="117"/>
  <c r="G33" i="117" s="1"/>
  <c r="J21" i="117"/>
  <c r="K21" i="117" s="1"/>
  <c r="A21" i="117"/>
  <c r="F21" i="117"/>
  <c r="G21" i="117" s="1"/>
  <c r="J14" i="117"/>
  <c r="J13" i="117" s="1"/>
  <c r="F14" i="117"/>
  <c r="J56" i="116"/>
  <c r="K56" i="116" s="1"/>
  <c r="F56" i="116"/>
  <c r="G56" i="116" s="1"/>
  <c r="J49" i="116"/>
  <c r="K49" i="116" s="1"/>
  <c r="F49" i="116"/>
  <c r="G49" i="116" s="1"/>
  <c r="J36" i="116"/>
  <c r="K36" i="116" s="1"/>
  <c r="F36" i="116"/>
  <c r="G36" i="116" s="1"/>
  <c r="J30" i="116"/>
  <c r="K30" i="116" s="1"/>
  <c r="F30" i="116"/>
  <c r="G30" i="116" s="1"/>
  <c r="J24" i="116"/>
  <c r="K24" i="116" s="1"/>
  <c r="A24" i="116"/>
  <c r="F24" i="116"/>
  <c r="G24" i="116" s="1"/>
  <c r="J66" i="124"/>
  <c r="K66" i="124" s="1"/>
  <c r="F66" i="124"/>
  <c r="G66" i="124" s="1"/>
  <c r="J59" i="124"/>
  <c r="K59" i="124" s="1"/>
  <c r="F59" i="124"/>
  <c r="G59" i="124" s="1"/>
  <c r="J39" i="124"/>
  <c r="K39" i="124" s="1"/>
  <c r="F39" i="124"/>
  <c r="G39" i="124" s="1"/>
  <c r="J33" i="124"/>
  <c r="K33" i="124" s="1"/>
  <c r="F33" i="124"/>
  <c r="G33" i="124" s="1"/>
  <c r="J27" i="124"/>
  <c r="K27" i="124" s="1"/>
  <c r="F27" i="124"/>
  <c r="G27" i="124" s="1"/>
  <c r="J21" i="124"/>
  <c r="K21" i="124" s="1"/>
  <c r="A21" i="124"/>
  <c r="F21" i="124"/>
  <c r="G21" i="124" s="1"/>
  <c r="J56" i="115"/>
  <c r="K56" i="115" s="1"/>
  <c r="F56" i="115"/>
  <c r="J49" i="115"/>
  <c r="K49" i="115" s="1"/>
  <c r="F49" i="115"/>
  <c r="J36" i="115"/>
  <c r="K36" i="115" s="1"/>
  <c r="F36" i="115"/>
  <c r="G36" i="115" s="1"/>
  <c r="J30" i="115"/>
  <c r="K30" i="115" s="1"/>
  <c r="F30" i="115"/>
  <c r="G30" i="115" s="1"/>
  <c r="A24" i="115"/>
  <c r="J24" i="115"/>
  <c r="K24" i="115" s="1"/>
  <c r="F24" i="115"/>
  <c r="G24" i="115" s="1"/>
  <c r="J66" i="114"/>
  <c r="K66" i="114" s="1"/>
  <c r="F66" i="114"/>
  <c r="J59" i="114"/>
  <c r="K59" i="114" s="1"/>
  <c r="F59" i="114"/>
  <c r="G59" i="114" s="1"/>
  <c r="J39" i="114"/>
  <c r="K39" i="114" s="1"/>
  <c r="F39" i="114"/>
  <c r="G39" i="114" s="1"/>
  <c r="J33" i="114"/>
  <c r="K33" i="114" s="1"/>
  <c r="F33" i="114"/>
  <c r="G33" i="114" s="1"/>
  <c r="J27" i="114"/>
  <c r="K27" i="114" s="1"/>
  <c r="F27" i="114"/>
  <c r="G27" i="114" s="1"/>
  <c r="A21" i="114"/>
  <c r="J21" i="114"/>
  <c r="K21" i="114" s="1"/>
  <c r="J14" i="114"/>
  <c r="J13" i="114" s="1"/>
  <c r="F14" i="114"/>
  <c r="F13" i="114" s="1"/>
  <c r="J56" i="472"/>
  <c r="K56" i="472" s="1"/>
  <c r="F56" i="472"/>
  <c r="G56" i="472" s="1"/>
  <c r="J49" i="472"/>
  <c r="K49" i="472" s="1"/>
  <c r="F49" i="472"/>
  <c r="J36" i="472"/>
  <c r="K36" i="472" s="1"/>
  <c r="F36" i="472"/>
  <c r="G36" i="472" s="1"/>
  <c r="J30" i="472"/>
  <c r="K30" i="472" s="1"/>
  <c r="F30" i="472"/>
  <c r="G30" i="472" s="1"/>
  <c r="A24" i="472"/>
  <c r="J24" i="472"/>
  <c r="K24" i="472" s="1"/>
  <c r="F24" i="472"/>
  <c r="G24" i="472" s="1"/>
  <c r="J18" i="472"/>
  <c r="K18" i="472" s="1"/>
  <c r="F18" i="472"/>
  <c r="J66" i="112"/>
  <c r="F66" i="112"/>
  <c r="J59" i="112"/>
  <c r="K59" i="112" s="1"/>
  <c r="F59" i="112"/>
  <c r="G59" i="112" s="1"/>
  <c r="J33" i="112"/>
  <c r="K33" i="112" s="1"/>
  <c r="F33" i="112"/>
  <c r="G33" i="112" s="1"/>
  <c r="J27" i="112"/>
  <c r="K27" i="112" s="1"/>
  <c r="F27" i="112"/>
  <c r="G27" i="112" s="1"/>
  <c r="A21" i="112"/>
  <c r="J21" i="112"/>
  <c r="K21" i="112" s="1"/>
  <c r="F21" i="112"/>
  <c r="G21" i="112" s="1"/>
  <c r="J14" i="112"/>
  <c r="F14" i="112"/>
  <c r="F13" i="112" s="1"/>
  <c r="J56" i="111"/>
  <c r="K56" i="111" s="1"/>
  <c r="F56" i="111"/>
  <c r="G56" i="111" s="1"/>
  <c r="K18" i="111"/>
  <c r="F18" i="111"/>
  <c r="G18" i="111" s="1"/>
  <c r="J66" i="110"/>
  <c r="K66" i="110" s="1"/>
  <c r="F66" i="110"/>
  <c r="G66" i="110" s="1"/>
  <c r="J59" i="110"/>
  <c r="K59" i="110" s="1"/>
  <c r="F59" i="110"/>
  <c r="G59" i="110" s="1"/>
  <c r="J39" i="110"/>
  <c r="K39" i="110" s="1"/>
  <c r="F39" i="110"/>
  <c r="G39" i="110" s="1"/>
  <c r="A21" i="110"/>
  <c r="J21" i="110"/>
  <c r="K21" i="110" s="1"/>
  <c r="F21" i="110"/>
  <c r="G21" i="110" s="1"/>
  <c r="J14" i="110"/>
  <c r="J13" i="110" s="1"/>
  <c r="F14" i="110"/>
  <c r="J56" i="108"/>
  <c r="K56" i="108" s="1"/>
  <c r="F56" i="108"/>
  <c r="J49" i="108"/>
  <c r="K49" i="108" s="1"/>
  <c r="F49" i="108"/>
  <c r="G49" i="108" s="1"/>
  <c r="C39" i="682" s="1"/>
  <c r="F36" i="108"/>
  <c r="G36" i="108" s="1"/>
  <c r="C29" i="682" s="1"/>
  <c r="J36" i="108"/>
  <c r="K36" i="108" s="1"/>
  <c r="M36" i="108" s="1"/>
  <c r="J30" i="108"/>
  <c r="K30" i="108" s="1"/>
  <c r="F30" i="108"/>
  <c r="G30" i="108" s="1"/>
  <c r="C23" i="682" s="1"/>
  <c r="A24" i="108"/>
  <c r="J24" i="108"/>
  <c r="K24" i="108" s="1"/>
  <c r="F24" i="108"/>
  <c r="G24" i="108" s="1"/>
  <c r="C17" i="682" s="1"/>
  <c r="J18" i="108"/>
  <c r="K18" i="108" s="1"/>
  <c r="F18" i="108"/>
  <c r="G18" i="108" s="1"/>
  <c r="C11" i="682" s="1"/>
  <c r="J66" i="107"/>
  <c r="K66" i="107" s="1"/>
  <c r="F66" i="107"/>
  <c r="G66" i="107" s="1"/>
  <c r="J59" i="107"/>
  <c r="K59" i="107" s="1"/>
  <c r="F59" i="107"/>
  <c r="G59" i="107" s="1"/>
  <c r="J39" i="107"/>
  <c r="K39" i="107" s="1"/>
  <c r="F39" i="107"/>
  <c r="G39" i="107" s="1"/>
  <c r="J33" i="107"/>
  <c r="K33" i="107" s="1"/>
  <c r="F33" i="107"/>
  <c r="G33" i="107" s="1"/>
  <c r="J27" i="107"/>
  <c r="K27" i="107" s="1"/>
  <c r="F27" i="107"/>
  <c r="G27" i="107" s="1"/>
  <c r="A21" i="107"/>
  <c r="J21" i="107"/>
  <c r="K21" i="107" s="1"/>
  <c r="F21" i="107"/>
  <c r="G21" i="107" s="1"/>
  <c r="J14" i="107"/>
  <c r="J13" i="107" s="1"/>
  <c r="F14" i="107"/>
  <c r="F13" i="107" s="1"/>
  <c r="J56" i="106"/>
  <c r="K56" i="106" s="1"/>
  <c r="F56" i="106"/>
  <c r="J49" i="106"/>
  <c r="K49" i="106" s="1"/>
  <c r="F49" i="106"/>
  <c r="G49" i="106" s="1"/>
  <c r="J36" i="106"/>
  <c r="K36" i="106" s="1"/>
  <c r="F36" i="106"/>
  <c r="G36" i="106" s="1"/>
  <c r="J30" i="106"/>
  <c r="K30" i="106" s="1"/>
  <c r="F30" i="106"/>
  <c r="G30" i="106" s="1"/>
  <c r="A24" i="106"/>
  <c r="F24" i="106"/>
  <c r="G24" i="106" s="1"/>
  <c r="J24" i="106"/>
  <c r="K24" i="106" s="1"/>
  <c r="J18" i="106"/>
  <c r="F18" i="106"/>
  <c r="G18" i="106" s="1"/>
  <c r="J66" i="105"/>
  <c r="K66" i="105" s="1"/>
  <c r="F66" i="105"/>
  <c r="G66" i="105" s="1"/>
  <c r="J59" i="105"/>
  <c r="K59" i="105" s="1"/>
  <c r="F59" i="105"/>
  <c r="G59" i="105" s="1"/>
  <c r="J39" i="105"/>
  <c r="K39" i="105" s="1"/>
  <c r="F39" i="105"/>
  <c r="G39" i="105" s="1"/>
  <c r="J33" i="105"/>
  <c r="K33" i="105" s="1"/>
  <c r="F33" i="105"/>
  <c r="G33" i="105" s="1"/>
  <c r="F27" i="105"/>
  <c r="G27" i="105" s="1"/>
  <c r="J27" i="105"/>
  <c r="K27" i="105" s="1"/>
  <c r="A21" i="105"/>
  <c r="J21" i="105"/>
  <c r="K21" i="105" s="1"/>
  <c r="F21" i="105"/>
  <c r="G21" i="105" s="1"/>
  <c r="J14" i="105"/>
  <c r="J13" i="105" s="1"/>
  <c r="F14" i="105"/>
  <c r="G14" i="105" s="1"/>
  <c r="G13" i="105" s="1"/>
  <c r="J56" i="104"/>
  <c r="K56" i="104" s="1"/>
  <c r="F56" i="104"/>
  <c r="J49" i="104"/>
  <c r="K49" i="104" s="1"/>
  <c r="F49" i="104"/>
  <c r="G49" i="104" s="1"/>
  <c r="J36" i="104"/>
  <c r="K36" i="104" s="1"/>
  <c r="F36" i="104"/>
  <c r="G36" i="104" s="1"/>
  <c r="J30" i="104"/>
  <c r="K30" i="104" s="1"/>
  <c r="F30" i="104"/>
  <c r="G30" i="104" s="1"/>
  <c r="A24" i="104"/>
  <c r="J24" i="104"/>
  <c r="K24" i="104" s="1"/>
  <c r="F24" i="104"/>
  <c r="G24" i="104" s="1"/>
  <c r="J18" i="104"/>
  <c r="K18" i="104" s="1"/>
  <c r="F18" i="104"/>
  <c r="G18" i="104" s="1"/>
  <c r="J66" i="103"/>
  <c r="K66" i="103" s="1"/>
  <c r="F66" i="103"/>
  <c r="J59" i="103"/>
  <c r="K59" i="103" s="1"/>
  <c r="F59" i="103"/>
  <c r="G59" i="103" s="1"/>
  <c r="J39" i="103"/>
  <c r="K39" i="103" s="1"/>
  <c r="F39" i="103"/>
  <c r="G39" i="103" s="1"/>
  <c r="J33" i="103"/>
  <c r="K33" i="103" s="1"/>
  <c r="F33" i="103"/>
  <c r="G33" i="103" s="1"/>
  <c r="J27" i="103"/>
  <c r="K27" i="103" s="1"/>
  <c r="F27" i="103"/>
  <c r="G27" i="103" s="1"/>
  <c r="A21" i="103"/>
  <c r="J21" i="103"/>
  <c r="K21" i="103" s="1"/>
  <c r="F21" i="103"/>
  <c r="G21" i="103" s="1"/>
  <c r="J66" i="101"/>
  <c r="K66" i="101" s="1"/>
  <c r="F66" i="101"/>
  <c r="G66" i="101" s="1"/>
  <c r="J59" i="101"/>
  <c r="K59" i="101" s="1"/>
  <c r="F59" i="101"/>
  <c r="G59" i="101" s="1"/>
  <c r="J39" i="101"/>
  <c r="K39" i="101" s="1"/>
  <c r="F39" i="101"/>
  <c r="G39" i="101" s="1"/>
  <c r="J33" i="101"/>
  <c r="K33" i="101" s="1"/>
  <c r="F33" i="101"/>
  <c r="G33" i="101" s="1"/>
  <c r="J27" i="101"/>
  <c r="K27" i="101" s="1"/>
  <c r="F27" i="101"/>
  <c r="G27" i="101" s="1"/>
  <c r="A21" i="101"/>
  <c r="J21" i="101"/>
  <c r="K21" i="101" s="1"/>
  <c r="F21" i="101"/>
  <c r="G21" i="101" s="1"/>
  <c r="J14" i="101"/>
  <c r="J13" i="101" s="1"/>
  <c r="F14" i="101"/>
  <c r="G14" i="101" s="1"/>
  <c r="G13" i="101" s="1"/>
  <c r="A24" i="100"/>
  <c r="J24" i="100"/>
  <c r="F16" i="104"/>
  <c r="F15" i="104" s="1"/>
  <c r="F21" i="114"/>
  <c r="G21" i="114" s="1"/>
  <c r="F25" i="120"/>
  <c r="F28" i="124"/>
  <c r="G28" i="124" s="1"/>
  <c r="F33" i="110"/>
  <c r="G33" i="110" s="1"/>
  <c r="F41" i="115"/>
  <c r="G41" i="115" s="1"/>
  <c r="F56" i="107"/>
  <c r="J54" i="114"/>
  <c r="K54" i="114" s="1"/>
  <c r="F54" i="114"/>
  <c r="G54" i="114" s="1"/>
  <c r="J41" i="114"/>
  <c r="J16" i="114"/>
  <c r="K16" i="114" s="1"/>
  <c r="K15" i="114" s="1"/>
  <c r="J71" i="472"/>
  <c r="K71" i="472" s="1"/>
  <c r="F71" i="472"/>
  <c r="G71" i="472" s="1"/>
  <c r="J64" i="472"/>
  <c r="K64" i="472" s="1"/>
  <c r="F64" i="472"/>
  <c r="F62" i="472" s="1"/>
  <c r="F43" i="472"/>
  <c r="G43" i="472" s="1"/>
  <c r="K43" i="472"/>
  <c r="J12" i="472"/>
  <c r="K12" i="472" s="1"/>
  <c r="J74" i="112"/>
  <c r="K74" i="112" s="1"/>
  <c r="F74" i="112"/>
  <c r="G74" i="112" s="1"/>
  <c r="J54" i="112"/>
  <c r="K54" i="112" s="1"/>
  <c r="F54" i="112"/>
  <c r="G54" i="112" s="1"/>
  <c r="J41" i="112"/>
  <c r="F41" i="112"/>
  <c r="G41" i="112" s="1"/>
  <c r="J16" i="112"/>
  <c r="K16" i="112" s="1"/>
  <c r="K15" i="112" s="1"/>
  <c r="J71" i="111"/>
  <c r="K71" i="111" s="1"/>
  <c r="J64" i="111"/>
  <c r="K64" i="111" s="1"/>
  <c r="J43" i="111"/>
  <c r="K43" i="111" s="1"/>
  <c r="J12" i="111"/>
  <c r="K12" i="111" s="1"/>
  <c r="J74" i="110"/>
  <c r="K74" i="110" s="1"/>
  <c r="F74" i="110"/>
  <c r="G74" i="110" s="1"/>
  <c r="J54" i="110"/>
  <c r="J41" i="110"/>
  <c r="K41" i="110" s="1"/>
  <c r="F41" i="110"/>
  <c r="G41" i="110" s="1"/>
  <c r="J16" i="110"/>
  <c r="K16" i="110" s="1"/>
  <c r="K15" i="110" s="1"/>
  <c r="J71" i="108"/>
  <c r="K71" i="108" s="1"/>
  <c r="F71" i="108"/>
  <c r="G71" i="108" s="1"/>
  <c r="J64" i="108"/>
  <c r="K64" i="108" s="1"/>
  <c r="J43" i="108"/>
  <c r="K43" i="108" s="1"/>
  <c r="M43" i="108" s="1"/>
  <c r="F43" i="108"/>
  <c r="G43" i="108" s="1"/>
  <c r="C35" i="682" s="1"/>
  <c r="J12" i="108"/>
  <c r="K12" i="108" s="1"/>
  <c r="J74" i="107"/>
  <c r="K74" i="107" s="1"/>
  <c r="F74" i="107"/>
  <c r="G74" i="107" s="1"/>
  <c r="J54" i="107"/>
  <c r="K54" i="107" s="1"/>
  <c r="F54" i="107"/>
  <c r="G54" i="107" s="1"/>
  <c r="J41" i="107"/>
  <c r="K41" i="107" s="1"/>
  <c r="J16" i="107"/>
  <c r="J71" i="106"/>
  <c r="K71" i="106" s="1"/>
  <c r="F71" i="106"/>
  <c r="G71" i="106" s="1"/>
  <c r="J64" i="106"/>
  <c r="K64" i="106" s="1"/>
  <c r="F64" i="106"/>
  <c r="K43" i="106"/>
  <c r="F43" i="106"/>
  <c r="G43" i="106" s="1"/>
  <c r="J12" i="106"/>
  <c r="J74" i="105"/>
  <c r="K74" i="105" s="1"/>
  <c r="F74" i="105"/>
  <c r="G74" i="105" s="1"/>
  <c r="J54" i="105"/>
  <c r="K54" i="105" s="1"/>
  <c r="F54" i="105"/>
  <c r="G54" i="105" s="1"/>
  <c r="J41" i="105"/>
  <c r="F41" i="105"/>
  <c r="G41" i="105" s="1"/>
  <c r="J16" i="105"/>
  <c r="K16" i="105" s="1"/>
  <c r="K15" i="105" s="1"/>
  <c r="J71" i="104"/>
  <c r="K71" i="104" s="1"/>
  <c r="F71" i="104"/>
  <c r="G71" i="104" s="1"/>
  <c r="J64" i="104"/>
  <c r="K64" i="104" s="1"/>
  <c r="F64" i="104"/>
  <c r="J43" i="104"/>
  <c r="K43" i="104" s="1"/>
  <c r="F43" i="104"/>
  <c r="G43" i="104" s="1"/>
  <c r="J12" i="104"/>
  <c r="J74" i="103"/>
  <c r="K74" i="103" s="1"/>
  <c r="F74" i="103"/>
  <c r="G74" i="103" s="1"/>
  <c r="J54" i="103"/>
  <c r="K54" i="103" s="1"/>
  <c r="F41" i="103"/>
  <c r="G41" i="103" s="1"/>
  <c r="J41" i="103"/>
  <c r="K41" i="103" s="1"/>
  <c r="F71" i="102"/>
  <c r="G71" i="102" s="1"/>
  <c r="J64" i="102"/>
  <c r="K64" i="102" s="1"/>
  <c r="J43" i="102"/>
  <c r="K43" i="102" s="1"/>
  <c r="F12" i="102"/>
  <c r="J12" i="102"/>
  <c r="K12" i="102" s="1"/>
  <c r="J74" i="101"/>
  <c r="K74" i="101" s="1"/>
  <c r="F74" i="101"/>
  <c r="G74" i="101" s="1"/>
  <c r="J54" i="101"/>
  <c r="K54" i="101" s="1"/>
  <c r="F54" i="101"/>
  <c r="G54" i="101" s="1"/>
  <c r="J41" i="101"/>
  <c r="K41" i="101" s="1"/>
  <c r="J16" i="101"/>
  <c r="F71" i="100"/>
  <c r="G71" i="100" s="1"/>
  <c r="J71" i="100"/>
  <c r="J64" i="100"/>
  <c r="F64" i="100"/>
  <c r="G64" i="100" s="1"/>
  <c r="J43" i="100"/>
  <c r="J12" i="100"/>
  <c r="F12" i="106"/>
  <c r="G12" i="106" s="1"/>
  <c r="J67" i="101"/>
  <c r="K67" i="101" s="1"/>
  <c r="F67" i="101"/>
  <c r="F65" i="101" s="1"/>
  <c r="J60" i="101"/>
  <c r="K60" i="101" s="1"/>
  <c r="F60" i="101"/>
  <c r="G60" i="101" s="1"/>
  <c r="J46" i="101"/>
  <c r="F46" i="101"/>
  <c r="J28" i="101"/>
  <c r="K28" i="101" s="1"/>
  <c r="F28" i="101"/>
  <c r="G28" i="101" s="1"/>
  <c r="A22" i="101"/>
  <c r="F22" i="101"/>
  <c r="G22" i="101" s="1"/>
  <c r="F16" i="105"/>
  <c r="G16" i="105" s="1"/>
  <c r="G15" i="105" s="1"/>
  <c r="F18" i="101"/>
  <c r="G18" i="101" s="1"/>
  <c r="J22" i="101"/>
  <c r="K22" i="101" s="1"/>
  <c r="J75" i="115"/>
  <c r="K75" i="115" s="1"/>
  <c r="F75" i="115"/>
  <c r="G75" i="115" s="1"/>
  <c r="J69" i="115"/>
  <c r="K69" i="115" s="1"/>
  <c r="F69" i="115"/>
  <c r="G69" i="115" s="1"/>
  <c r="J42" i="115"/>
  <c r="K42" i="115" s="1"/>
  <c r="F42" i="115"/>
  <c r="G42" i="115" s="1"/>
  <c r="J72" i="114"/>
  <c r="K72" i="114" s="1"/>
  <c r="F72" i="114"/>
  <c r="G72" i="114" s="1"/>
  <c r="J44" i="114"/>
  <c r="K44" i="114" s="1"/>
  <c r="J75" i="472"/>
  <c r="K75" i="472" s="1"/>
  <c r="F75" i="472"/>
  <c r="G75" i="472" s="1"/>
  <c r="J69" i="472"/>
  <c r="K69" i="472" s="1"/>
  <c r="F69" i="472"/>
  <c r="K42" i="472"/>
  <c r="F42" i="472"/>
  <c r="G42" i="472" s="1"/>
  <c r="J72" i="112"/>
  <c r="K72" i="112" s="1"/>
  <c r="F72" i="112"/>
  <c r="G72" i="112" s="1"/>
  <c r="J44" i="112"/>
  <c r="K44" i="112" s="1"/>
  <c r="J75" i="111"/>
  <c r="K75" i="111" s="1"/>
  <c r="J69" i="111"/>
  <c r="K69" i="111" s="1"/>
  <c r="F69" i="111"/>
  <c r="G69" i="111" s="1"/>
  <c r="J42" i="111"/>
  <c r="K42" i="111" s="1"/>
  <c r="J72" i="110"/>
  <c r="K72" i="110" s="1"/>
  <c r="F72" i="110"/>
  <c r="G72" i="110" s="1"/>
  <c r="J44" i="110"/>
  <c r="K44" i="110" s="1"/>
  <c r="F44" i="110"/>
  <c r="G44" i="110" s="1"/>
  <c r="J75" i="108"/>
  <c r="K75" i="108" s="1"/>
  <c r="F75" i="108"/>
  <c r="G75" i="108" s="1"/>
  <c r="J69" i="108"/>
  <c r="K69" i="108" s="1"/>
  <c r="F69" i="108"/>
  <c r="K42" i="108"/>
  <c r="M42" i="108" s="1"/>
  <c r="J72" i="107"/>
  <c r="K72" i="107" s="1"/>
  <c r="F72" i="107"/>
  <c r="G72" i="107" s="1"/>
  <c r="J44" i="107"/>
  <c r="K44" i="107" s="1"/>
  <c r="F44" i="107"/>
  <c r="G44" i="107" s="1"/>
  <c r="J75" i="106"/>
  <c r="K75" i="106" s="1"/>
  <c r="F75" i="106"/>
  <c r="G75" i="106" s="1"/>
  <c r="J69" i="106"/>
  <c r="K69" i="106" s="1"/>
  <c r="K42" i="106"/>
  <c r="F42" i="106"/>
  <c r="G42" i="106" s="1"/>
  <c r="J72" i="105"/>
  <c r="K72" i="105" s="1"/>
  <c r="F72" i="105"/>
  <c r="G72" i="105" s="1"/>
  <c r="J44" i="105"/>
  <c r="K44" i="105" s="1"/>
  <c r="F44" i="105"/>
  <c r="G44" i="105" s="1"/>
  <c r="J75" i="104"/>
  <c r="K75" i="104" s="1"/>
  <c r="J69" i="104"/>
  <c r="K69" i="104" s="1"/>
  <c r="F69" i="104"/>
  <c r="G69" i="104" s="1"/>
  <c r="J42" i="104"/>
  <c r="K42" i="104" s="1"/>
  <c r="F42" i="104"/>
  <c r="G42" i="104" s="1"/>
  <c r="J72" i="103"/>
  <c r="K72" i="103" s="1"/>
  <c r="F72" i="103"/>
  <c r="G72" i="103" s="1"/>
  <c r="J44" i="103"/>
  <c r="K44" i="103" s="1"/>
  <c r="F44" i="103"/>
  <c r="G44" i="103" s="1"/>
  <c r="F75" i="102"/>
  <c r="G75" i="102" s="1"/>
  <c r="J69" i="102"/>
  <c r="K69" i="102" s="1"/>
  <c r="F42" i="102"/>
  <c r="G42" i="102" s="1"/>
  <c r="J72" i="101"/>
  <c r="K72" i="101" s="1"/>
  <c r="F72" i="101"/>
  <c r="G72" i="101" s="1"/>
  <c r="J44" i="101"/>
  <c r="K44" i="101" s="1"/>
  <c r="F44" i="101"/>
  <c r="G44" i="101" s="1"/>
  <c r="F75" i="100"/>
  <c r="G75" i="100" s="1"/>
  <c r="F69" i="100"/>
  <c r="G69" i="100" s="1"/>
  <c r="J42" i="100"/>
  <c r="F10" i="100"/>
  <c r="G10" i="100" s="1"/>
  <c r="F12" i="101"/>
  <c r="G12" i="101" s="1"/>
  <c r="F16" i="101"/>
  <c r="F15" i="101" s="1"/>
  <c r="F41" i="114"/>
  <c r="G41" i="114" s="1"/>
  <c r="J79" i="101"/>
  <c r="K79" i="101" s="1"/>
  <c r="F79" i="101"/>
  <c r="J58" i="101"/>
  <c r="K58" i="101" s="1"/>
  <c r="F58" i="101"/>
  <c r="G58" i="101" s="1"/>
  <c r="J51" i="101"/>
  <c r="K51" i="101" s="1"/>
  <c r="F51" i="101"/>
  <c r="G51" i="101" s="1"/>
  <c r="J32" i="101"/>
  <c r="K32" i="101" s="1"/>
  <c r="F32" i="101"/>
  <c r="G32" i="101" s="1"/>
  <c r="A26" i="101"/>
  <c r="J26" i="101"/>
  <c r="K26" i="101" s="1"/>
  <c r="J48" i="100"/>
  <c r="F48" i="100"/>
  <c r="F12" i="100"/>
  <c r="G12" i="100" s="1"/>
  <c r="F16" i="114"/>
  <c r="F15" i="114" s="1"/>
  <c r="F16" i="100"/>
  <c r="F15" i="100" s="1"/>
  <c r="J71" i="101"/>
  <c r="K71" i="101" s="1"/>
  <c r="F71" i="101"/>
  <c r="G71" i="101" s="1"/>
  <c r="J64" i="101"/>
  <c r="K64" i="101" s="1"/>
  <c r="F64" i="101"/>
  <c r="J43" i="101"/>
  <c r="K43" i="101" s="1"/>
  <c r="F43" i="101"/>
  <c r="G43" i="101" s="1"/>
  <c r="F12" i="472"/>
  <c r="G12" i="472" s="1"/>
  <c r="G42" i="108"/>
  <c r="F54" i="103"/>
  <c r="F64" i="108"/>
  <c r="G64" i="108" s="1"/>
  <c r="J32" i="100"/>
  <c r="J67" i="104"/>
  <c r="F67" i="104"/>
  <c r="J60" i="104"/>
  <c r="K60" i="104" s="1"/>
  <c r="F60" i="104"/>
  <c r="G60" i="104" s="1"/>
  <c r="J46" i="104"/>
  <c r="F46" i="104"/>
  <c r="J34" i="104"/>
  <c r="K34" i="104" s="1"/>
  <c r="F34" i="104"/>
  <c r="G34" i="104" s="1"/>
  <c r="J28" i="104"/>
  <c r="K28" i="104" s="1"/>
  <c r="F28" i="104"/>
  <c r="G28" i="104" s="1"/>
  <c r="A22" i="104"/>
  <c r="J22" i="104"/>
  <c r="K22" i="104" s="1"/>
  <c r="J57" i="103"/>
  <c r="K57" i="103" s="1"/>
  <c r="F57" i="103"/>
  <c r="G57" i="103" s="1"/>
  <c r="J50" i="103"/>
  <c r="K50" i="103" s="1"/>
  <c r="F50" i="103"/>
  <c r="G50" i="103" s="1"/>
  <c r="J37" i="103"/>
  <c r="K37" i="103" s="1"/>
  <c r="F37" i="103"/>
  <c r="G37" i="103" s="1"/>
  <c r="J31" i="103"/>
  <c r="K31" i="103" s="1"/>
  <c r="F31" i="103"/>
  <c r="G31" i="103" s="1"/>
  <c r="A25" i="103"/>
  <c r="J25" i="103"/>
  <c r="K25" i="103" s="1"/>
  <c r="J19" i="103"/>
  <c r="K19" i="103" s="1"/>
  <c r="F67" i="102"/>
  <c r="G67" i="102" s="1"/>
  <c r="F60" i="102"/>
  <c r="G60" i="102" s="1"/>
  <c r="J46" i="102"/>
  <c r="F46" i="102"/>
  <c r="F45" i="102" s="1"/>
  <c r="J34" i="102"/>
  <c r="K34" i="102" s="1"/>
  <c r="F28" i="102"/>
  <c r="G28" i="102" s="1"/>
  <c r="J57" i="101"/>
  <c r="K57" i="101" s="1"/>
  <c r="J50" i="101"/>
  <c r="K50" i="101" s="1"/>
  <c r="F50" i="101"/>
  <c r="G50" i="101" s="1"/>
  <c r="J37" i="101"/>
  <c r="K37" i="101" s="1"/>
  <c r="F37" i="101"/>
  <c r="G37" i="101" s="1"/>
  <c r="J31" i="101"/>
  <c r="K31" i="101" s="1"/>
  <c r="F31" i="101"/>
  <c r="G31" i="101" s="1"/>
  <c r="A25" i="101"/>
  <c r="J25" i="101"/>
  <c r="K25" i="101" s="1"/>
  <c r="F25" i="101"/>
  <c r="G25" i="101" s="1"/>
  <c r="J19" i="101"/>
  <c r="K19" i="101" s="1"/>
  <c r="F67" i="100"/>
  <c r="G67" i="100" s="1"/>
  <c r="J60" i="100"/>
  <c r="F46" i="100"/>
  <c r="J34" i="100"/>
  <c r="J28" i="100"/>
  <c r="F16" i="112"/>
  <c r="F15" i="112" s="1"/>
  <c r="F34" i="101"/>
  <c r="G34" i="101" s="1"/>
  <c r="F41" i="107"/>
  <c r="J78" i="114"/>
  <c r="J73" i="472"/>
  <c r="K73" i="472" s="1"/>
  <c r="F73" i="472"/>
  <c r="G73" i="472" s="1"/>
  <c r="J53" i="472"/>
  <c r="K53" i="472" s="1"/>
  <c r="F53" i="472"/>
  <c r="G53" i="472" s="1"/>
  <c r="J76" i="112"/>
  <c r="K76" i="112" s="1"/>
  <c r="F76" i="112"/>
  <c r="G76" i="112" s="1"/>
  <c r="J70" i="112"/>
  <c r="K70" i="112" s="1"/>
  <c r="F70" i="112"/>
  <c r="J63" i="112"/>
  <c r="K63" i="112" s="1"/>
  <c r="F63" i="112"/>
  <c r="F78" i="112"/>
  <c r="J78" i="112"/>
  <c r="J73" i="111"/>
  <c r="K73" i="111" s="1"/>
  <c r="F73" i="111"/>
  <c r="G73" i="111" s="1"/>
  <c r="J66" i="111"/>
  <c r="K66" i="111" s="1"/>
  <c r="F53" i="111"/>
  <c r="J76" i="110"/>
  <c r="K76" i="110" s="1"/>
  <c r="F76" i="110"/>
  <c r="G76" i="110" s="1"/>
  <c r="J70" i="110"/>
  <c r="K70" i="110" s="1"/>
  <c r="F70" i="110"/>
  <c r="G70" i="110" s="1"/>
  <c r="J63" i="110"/>
  <c r="K63" i="110" s="1"/>
  <c r="F63" i="110"/>
  <c r="J78" i="110"/>
  <c r="F78" i="110"/>
  <c r="J73" i="108"/>
  <c r="K73" i="108" s="1"/>
  <c r="F73" i="108"/>
  <c r="G73" i="108" s="1"/>
  <c r="J53" i="108"/>
  <c r="K53" i="108" s="1"/>
  <c r="J76" i="107"/>
  <c r="K76" i="107" s="1"/>
  <c r="F76" i="107"/>
  <c r="G76" i="107" s="1"/>
  <c r="J70" i="107"/>
  <c r="K70" i="107" s="1"/>
  <c r="J63" i="107"/>
  <c r="K63" i="107" s="1"/>
  <c r="F63" i="107"/>
  <c r="J78" i="107"/>
  <c r="J73" i="106"/>
  <c r="K73" i="106" s="1"/>
  <c r="F73" i="106"/>
  <c r="G73" i="106" s="1"/>
  <c r="J53" i="106"/>
  <c r="F53" i="106"/>
  <c r="J76" i="105"/>
  <c r="K76" i="105" s="1"/>
  <c r="F76" i="105"/>
  <c r="G76" i="105" s="1"/>
  <c r="J70" i="105"/>
  <c r="K70" i="105" s="1"/>
  <c r="F70" i="105"/>
  <c r="J63" i="105"/>
  <c r="K63" i="105" s="1"/>
  <c r="F63" i="105"/>
  <c r="G63" i="105" s="1"/>
  <c r="J78" i="105"/>
  <c r="F78" i="105"/>
  <c r="J73" i="104"/>
  <c r="K73" i="104" s="1"/>
  <c r="F73" i="104"/>
  <c r="G73" i="104" s="1"/>
  <c r="J53" i="104"/>
  <c r="K53" i="104" s="1"/>
  <c r="F53" i="104"/>
  <c r="J76" i="103"/>
  <c r="K76" i="103" s="1"/>
  <c r="F76" i="103"/>
  <c r="G76" i="103" s="1"/>
  <c r="J70" i="103"/>
  <c r="K70" i="103" s="1"/>
  <c r="F70" i="103"/>
  <c r="G70" i="103" s="1"/>
  <c r="J63" i="103"/>
  <c r="K63" i="103" s="1"/>
  <c r="F63" i="103"/>
  <c r="G63" i="103" s="1"/>
  <c r="J78" i="103"/>
  <c r="F78" i="103"/>
  <c r="J73" i="102"/>
  <c r="K73" i="102" s="1"/>
  <c r="J53" i="102"/>
  <c r="K53" i="102" s="1"/>
  <c r="J76" i="101"/>
  <c r="K76" i="101" s="1"/>
  <c r="F76" i="101"/>
  <c r="G76" i="101" s="1"/>
  <c r="J70" i="101"/>
  <c r="K70" i="101" s="1"/>
  <c r="F70" i="101"/>
  <c r="J63" i="101"/>
  <c r="K63" i="101" s="1"/>
  <c r="F63" i="101"/>
  <c r="G63" i="101" s="1"/>
  <c r="J78" i="101"/>
  <c r="F78" i="101"/>
  <c r="J73" i="100"/>
  <c r="F53" i="100"/>
  <c r="G53" i="100" s="1"/>
  <c r="G52" i="100" s="1"/>
  <c r="F12" i="111"/>
  <c r="G12" i="111" s="1"/>
  <c r="F29" i="101"/>
  <c r="G29" i="101" s="1"/>
  <c r="F35" i="101"/>
  <c r="G35" i="101" s="1"/>
  <c r="F38" i="101"/>
  <c r="G38" i="101" s="1"/>
  <c r="F41" i="101"/>
  <c r="G41" i="101" s="1"/>
  <c r="F43" i="100"/>
  <c r="G43" i="100" s="1"/>
  <c r="J56" i="101"/>
  <c r="K56" i="101" s="1"/>
  <c r="F56" i="101"/>
  <c r="G56" i="101" s="1"/>
  <c r="J49" i="101"/>
  <c r="K49" i="101" s="1"/>
  <c r="F49" i="101"/>
  <c r="G49" i="101" s="1"/>
  <c r="J36" i="101"/>
  <c r="K36" i="101" s="1"/>
  <c r="F36" i="101"/>
  <c r="G36" i="101" s="1"/>
  <c r="J30" i="101"/>
  <c r="K30" i="101" s="1"/>
  <c r="F30" i="101"/>
  <c r="G30" i="101" s="1"/>
  <c r="A24" i="101"/>
  <c r="J24" i="101"/>
  <c r="K24" i="101" s="1"/>
  <c r="F24" i="101"/>
  <c r="G24" i="101" s="1"/>
  <c r="F66" i="100"/>
  <c r="F59" i="100"/>
  <c r="G59" i="100" s="1"/>
  <c r="J59" i="100"/>
  <c r="J39" i="100"/>
  <c r="J33" i="100"/>
  <c r="J27" i="100"/>
  <c r="J14" i="100"/>
  <c r="F16" i="110"/>
  <c r="F20" i="101"/>
  <c r="G20" i="101" s="1"/>
  <c r="J72" i="115"/>
  <c r="K72" i="115" s="1"/>
  <c r="F72" i="115"/>
  <c r="G72" i="115" s="1"/>
  <c r="J44" i="115"/>
  <c r="K44" i="115" s="1"/>
  <c r="F44" i="115"/>
  <c r="G44" i="115" s="1"/>
  <c r="J75" i="114"/>
  <c r="K75" i="114" s="1"/>
  <c r="F75" i="114"/>
  <c r="G75" i="114" s="1"/>
  <c r="J69" i="114"/>
  <c r="F69" i="114"/>
  <c r="G69" i="114" s="1"/>
  <c r="J42" i="114"/>
  <c r="K42" i="114" s="1"/>
  <c r="F42" i="114"/>
  <c r="G42" i="114" s="1"/>
  <c r="J72" i="472"/>
  <c r="K72" i="472" s="1"/>
  <c r="J44" i="472"/>
  <c r="K44" i="472" s="1"/>
  <c r="J75" i="112"/>
  <c r="K75" i="112" s="1"/>
  <c r="F75" i="112"/>
  <c r="G75" i="112" s="1"/>
  <c r="J69" i="112"/>
  <c r="F69" i="112"/>
  <c r="G69" i="112" s="1"/>
  <c r="K42" i="112"/>
  <c r="F42" i="112"/>
  <c r="G42" i="112" s="1"/>
  <c r="J72" i="111"/>
  <c r="K72" i="111" s="1"/>
  <c r="J44" i="111"/>
  <c r="K44" i="111" s="1"/>
  <c r="F44" i="111"/>
  <c r="G44" i="111" s="1"/>
  <c r="J75" i="110"/>
  <c r="K75" i="110" s="1"/>
  <c r="F75" i="110"/>
  <c r="G75" i="110" s="1"/>
  <c r="J69" i="110"/>
  <c r="K69" i="110" s="1"/>
  <c r="F69" i="110"/>
  <c r="G69" i="110" s="1"/>
  <c r="K42" i="110"/>
  <c r="F42" i="110"/>
  <c r="G42" i="110" s="1"/>
  <c r="J72" i="108"/>
  <c r="K72" i="108" s="1"/>
  <c r="F72" i="108"/>
  <c r="G72" i="108" s="1"/>
  <c r="J44" i="108"/>
  <c r="K44" i="108" s="1"/>
  <c r="G44" i="108"/>
  <c r="C36" i="682" s="1"/>
  <c r="J75" i="107"/>
  <c r="K75" i="107" s="1"/>
  <c r="F75" i="107"/>
  <c r="G75" i="107" s="1"/>
  <c r="J69" i="107"/>
  <c r="K69" i="107" s="1"/>
  <c r="F69" i="107"/>
  <c r="G69" i="107" s="1"/>
  <c r="J42" i="107"/>
  <c r="K42" i="107" s="1"/>
  <c r="F42" i="107"/>
  <c r="G42" i="107" s="1"/>
  <c r="J72" i="106"/>
  <c r="K72" i="106" s="1"/>
  <c r="F72" i="106"/>
  <c r="G72" i="106" s="1"/>
  <c r="J44" i="106"/>
  <c r="K44" i="106" s="1"/>
  <c r="F44" i="106"/>
  <c r="G44" i="106" s="1"/>
  <c r="J75" i="105"/>
  <c r="K75" i="105" s="1"/>
  <c r="F75" i="105"/>
  <c r="G75" i="105" s="1"/>
  <c r="J69" i="105"/>
  <c r="F69" i="105"/>
  <c r="G69" i="105" s="1"/>
  <c r="J42" i="105"/>
  <c r="K42" i="105" s="1"/>
  <c r="F42" i="105"/>
  <c r="G42" i="105" s="1"/>
  <c r="J72" i="104"/>
  <c r="K72" i="104" s="1"/>
  <c r="F72" i="104"/>
  <c r="G72" i="104" s="1"/>
  <c r="J44" i="104"/>
  <c r="K44" i="104" s="1"/>
  <c r="F44" i="104"/>
  <c r="G44" i="104" s="1"/>
  <c r="J75" i="103"/>
  <c r="K75" i="103" s="1"/>
  <c r="F75" i="103"/>
  <c r="G75" i="103" s="1"/>
  <c r="J69" i="103"/>
  <c r="F69" i="103"/>
  <c r="G69" i="103" s="1"/>
  <c r="J42" i="103"/>
  <c r="K42" i="103" s="1"/>
  <c r="F42" i="103"/>
  <c r="G42" i="103" s="1"/>
  <c r="F72" i="102"/>
  <c r="G72" i="102" s="1"/>
  <c r="F44" i="102"/>
  <c r="G44" i="102" s="1"/>
  <c r="J75" i="101"/>
  <c r="K75" i="101" s="1"/>
  <c r="F75" i="101"/>
  <c r="G75" i="101" s="1"/>
  <c r="J69" i="101"/>
  <c r="K69" i="101" s="1"/>
  <c r="F69" i="101"/>
  <c r="G69" i="101" s="1"/>
  <c r="J42" i="101"/>
  <c r="K42" i="101" s="1"/>
  <c r="F72" i="100"/>
  <c r="G72" i="100" s="1"/>
  <c r="J44" i="100"/>
  <c r="F20" i="100"/>
  <c r="G20" i="100" s="1"/>
  <c r="F12" i="108"/>
  <c r="F41" i="100"/>
  <c r="F75" i="104"/>
  <c r="G75" i="104" s="1"/>
  <c r="J61" i="101"/>
  <c r="K61" i="101" s="1"/>
  <c r="F61" i="101"/>
  <c r="G61" i="101" s="1"/>
  <c r="J48" i="101"/>
  <c r="F48" i="101"/>
  <c r="A23" i="101"/>
  <c r="J23" i="101"/>
  <c r="K23" i="101" s="1"/>
  <c r="F16" i="107"/>
  <c r="G16" i="107" s="1"/>
  <c r="G15" i="107" s="1"/>
  <c r="F44" i="114"/>
  <c r="G44" i="114" s="1"/>
  <c r="F5" i="120"/>
  <c r="Q84" i="108"/>
  <c r="J66" i="108" s="1"/>
  <c r="K66" i="108" s="1"/>
  <c r="F15" i="736"/>
  <c r="J71" i="118"/>
  <c r="K71" i="118" s="1"/>
  <c r="F64" i="118"/>
  <c r="F43" i="118"/>
  <c r="J12" i="118"/>
  <c r="K12" i="118" s="1"/>
  <c r="J63" i="118"/>
  <c r="K63" i="118" s="1"/>
  <c r="J58" i="118"/>
  <c r="K58" i="118" s="1"/>
  <c r="F38" i="118"/>
  <c r="J56" i="118"/>
  <c r="K56" i="118" s="1"/>
  <c r="K18" i="118"/>
  <c r="D8" i="683" s="1"/>
  <c r="J75" i="118"/>
  <c r="K75" i="118" s="1"/>
  <c r="J69" i="118"/>
  <c r="K69" i="118" s="1"/>
  <c r="J42" i="118"/>
  <c r="K42" i="118" s="1"/>
  <c r="J67" i="118"/>
  <c r="K67" i="118" s="1"/>
  <c r="J60" i="118"/>
  <c r="K60" i="118" s="1"/>
  <c r="F46" i="118"/>
  <c r="F45" i="118" s="1"/>
  <c r="J34" i="118"/>
  <c r="K34" i="118" s="1"/>
  <c r="F36" i="118"/>
  <c r="F51" i="118"/>
  <c r="J32" i="118"/>
  <c r="K32" i="118" s="1"/>
  <c r="J49" i="118"/>
  <c r="K49" i="118" s="1"/>
  <c r="J24" i="118"/>
  <c r="K24" i="118" s="1"/>
  <c r="G74" i="118"/>
  <c r="J51" i="118"/>
  <c r="K51" i="118" s="1"/>
  <c r="K6" i="59"/>
  <c r="K7" i="59"/>
  <c r="M7" i="108"/>
  <c r="D28" i="418"/>
  <c r="D25" i="418"/>
  <c r="J74" i="100"/>
  <c r="F25" i="100"/>
  <c r="G25" i="100" s="1"/>
  <c r="F33" i="100"/>
  <c r="G33" i="100" s="1"/>
  <c r="F42" i="100"/>
  <c r="G42" i="100" s="1"/>
  <c r="F58" i="100"/>
  <c r="G58" i="100" s="1"/>
  <c r="F61" i="100"/>
  <c r="G61" i="100" s="1"/>
  <c r="F73" i="100"/>
  <c r="G73" i="100" s="1"/>
  <c r="J25" i="100"/>
  <c r="J56" i="100"/>
  <c r="J72" i="100"/>
  <c r="F22" i="100"/>
  <c r="G22" i="100" s="1"/>
  <c r="F30" i="100"/>
  <c r="G30" i="100" s="1"/>
  <c r="F38" i="100"/>
  <c r="G38" i="100" s="1"/>
  <c r="J22" i="100"/>
  <c r="J53" i="100"/>
  <c r="J57" i="100"/>
  <c r="J69" i="100"/>
  <c r="A26" i="100"/>
  <c r="F23" i="100"/>
  <c r="G23" i="100" s="1"/>
  <c r="F31" i="100"/>
  <c r="G31" i="100" s="1"/>
  <c r="F39" i="100"/>
  <c r="G39" i="100" s="1"/>
  <c r="J23" i="100"/>
  <c r="J49" i="100"/>
  <c r="J54" i="100"/>
  <c r="J66" i="100"/>
  <c r="J70" i="100"/>
  <c r="J46" i="100"/>
  <c r="J50" i="100"/>
  <c r="J51" i="100"/>
  <c r="J67" i="100"/>
  <c r="F21" i="100"/>
  <c r="G21" i="100" s="1"/>
  <c r="F29" i="100"/>
  <c r="G29" i="100" s="1"/>
  <c r="F37" i="100"/>
  <c r="G37" i="100" s="1"/>
  <c r="J21" i="100"/>
  <c r="J63" i="100"/>
  <c r="J75" i="100"/>
  <c r="J79" i="100"/>
  <c r="F18" i="100"/>
  <c r="G18" i="100" s="1"/>
  <c r="F26" i="100"/>
  <c r="G26" i="100" s="1"/>
  <c r="F34" i="100"/>
  <c r="G34" i="100" s="1"/>
  <c r="J78" i="100"/>
  <c r="F19" i="100"/>
  <c r="G19" i="100" s="1"/>
  <c r="F27" i="100"/>
  <c r="G27" i="100" s="1"/>
  <c r="F35" i="100"/>
  <c r="G35" i="100" s="1"/>
  <c r="V6" i="108"/>
  <c r="J15" i="674" s="1"/>
  <c r="F49" i="111"/>
  <c r="G49" i="111" s="1"/>
  <c r="F66" i="111"/>
  <c r="G66" i="111" s="1"/>
  <c r="F71" i="111"/>
  <c r="G71" i="111" s="1"/>
  <c r="F75" i="111"/>
  <c r="G75" i="111" s="1"/>
  <c r="J58" i="111"/>
  <c r="K58" i="111" s="1"/>
  <c r="F51" i="111"/>
  <c r="G51" i="111" s="1"/>
  <c r="F54" i="111"/>
  <c r="G54" i="111" s="1"/>
  <c r="F57" i="111"/>
  <c r="F59" i="111"/>
  <c r="G59" i="111" s="1"/>
  <c r="F61" i="111"/>
  <c r="G61" i="111" s="1"/>
  <c r="F64" i="111"/>
  <c r="F67" i="111"/>
  <c r="F70" i="111"/>
  <c r="G70" i="111" s="1"/>
  <c r="F72" i="111"/>
  <c r="G72" i="111" s="1"/>
  <c r="F74" i="111"/>
  <c r="G74" i="111" s="1"/>
  <c r="F76" i="111"/>
  <c r="G76" i="111" s="1"/>
  <c r="A24" i="111"/>
  <c r="F79" i="111"/>
  <c r="A23" i="111"/>
  <c r="J53" i="111"/>
  <c r="K53" i="111" s="1"/>
  <c r="A22" i="111"/>
  <c r="F10" i="111"/>
  <c r="G10" i="111" s="1"/>
  <c r="A21" i="111"/>
  <c r="F11" i="111"/>
  <c r="G11" i="111" s="1"/>
  <c r="F20" i="111"/>
  <c r="G20" i="111" s="1"/>
  <c r="F22" i="111"/>
  <c r="G22" i="111" s="1"/>
  <c r="F24" i="111"/>
  <c r="G24" i="111" s="1"/>
  <c r="F26" i="111"/>
  <c r="G26" i="111" s="1"/>
  <c r="F28" i="111"/>
  <c r="G28" i="111" s="1"/>
  <c r="F30" i="111"/>
  <c r="G30" i="111" s="1"/>
  <c r="F32" i="111"/>
  <c r="G32" i="111" s="1"/>
  <c r="F34" i="111"/>
  <c r="G34" i="111" s="1"/>
  <c r="F36" i="111"/>
  <c r="G36" i="111" s="1"/>
  <c r="F38" i="111"/>
  <c r="G38" i="111" s="1"/>
  <c r="F46" i="111"/>
  <c r="F19" i="111"/>
  <c r="G19" i="111" s="1"/>
  <c r="F21" i="111"/>
  <c r="G21" i="111" s="1"/>
  <c r="F23" i="111"/>
  <c r="G23" i="111" s="1"/>
  <c r="F25" i="111"/>
  <c r="G25" i="111" s="1"/>
  <c r="F27" i="111"/>
  <c r="G27" i="111" s="1"/>
  <c r="F29" i="111"/>
  <c r="G29" i="111" s="1"/>
  <c r="F31" i="111"/>
  <c r="G31" i="111" s="1"/>
  <c r="F33" i="111"/>
  <c r="G33" i="111" s="1"/>
  <c r="F35" i="111"/>
  <c r="G35" i="111" s="1"/>
  <c r="F37" i="111"/>
  <c r="G37" i="111" s="1"/>
  <c r="F39" i="111"/>
  <c r="G39" i="111" s="1"/>
  <c r="F42" i="111"/>
  <c r="G42" i="111" s="1"/>
  <c r="F43" i="111"/>
  <c r="G43" i="111" s="1"/>
  <c r="F48" i="111"/>
  <c r="J50" i="118"/>
  <c r="K50" i="118" s="1"/>
  <c r="J76" i="118"/>
  <c r="K76" i="118" s="1"/>
  <c r="J72" i="118"/>
  <c r="K72" i="118" s="1"/>
  <c r="F63" i="118"/>
  <c r="F52" i="118"/>
  <c r="F44" i="118"/>
  <c r="J41" i="118"/>
  <c r="K41" i="118" s="1"/>
  <c r="J16" i="118"/>
  <c r="K16" i="118" s="1"/>
  <c r="K15" i="118" s="1"/>
  <c r="J73" i="118"/>
  <c r="K73" i="118" s="1"/>
  <c r="J59" i="118"/>
  <c r="K59" i="118" s="1"/>
  <c r="J66" i="118"/>
  <c r="K66" i="118" s="1"/>
  <c r="J61" i="118"/>
  <c r="K61" i="118" s="1"/>
  <c r="J57" i="118"/>
  <c r="K57" i="118" s="1"/>
  <c r="F39" i="118"/>
  <c r="J35" i="118"/>
  <c r="K35" i="118" s="1"/>
  <c r="J31" i="118"/>
  <c r="K31" i="118" s="1"/>
  <c r="F27" i="118"/>
  <c r="K23" i="118"/>
  <c r="K19" i="118"/>
  <c r="J14" i="118"/>
  <c r="J13" i="118" s="1"/>
  <c r="J43" i="118"/>
  <c r="K43" i="118" s="1"/>
  <c r="J33" i="118"/>
  <c r="K33" i="118" s="1"/>
  <c r="J78" i="118"/>
  <c r="F56" i="118"/>
  <c r="G56" i="118" s="1"/>
  <c r="A26" i="118"/>
  <c r="F37" i="118"/>
  <c r="J79" i="118"/>
  <c r="K79" i="118" s="1"/>
  <c r="F75" i="118"/>
  <c r="AI61" i="59"/>
  <c r="AC3" i="59"/>
  <c r="J27" i="118"/>
  <c r="K27" i="118" s="1"/>
  <c r="F12" i="118"/>
  <c r="F24" i="118"/>
  <c r="F41" i="118"/>
  <c r="F57" i="118"/>
  <c r="F67" i="118"/>
  <c r="F76" i="118"/>
  <c r="K20" i="118"/>
  <c r="J28" i="118"/>
  <c r="K28" i="118" s="1"/>
  <c r="J36" i="118"/>
  <c r="K36" i="118" s="1"/>
  <c r="J54" i="118"/>
  <c r="K54" i="118" s="1"/>
  <c r="J64" i="118"/>
  <c r="K64" i="118" s="1"/>
  <c r="J74" i="118"/>
  <c r="K74" i="118" s="1"/>
  <c r="K90" i="683" s="1"/>
  <c r="D120" i="683" s="1"/>
  <c r="A25" i="118"/>
  <c r="F14" i="118"/>
  <c r="F33" i="118"/>
  <c r="F42" i="118"/>
  <c r="F58" i="118"/>
  <c r="F69" i="118"/>
  <c r="J21" i="118"/>
  <c r="K21" i="118" s="1"/>
  <c r="J29" i="118"/>
  <c r="K29" i="118" s="1"/>
  <c r="J37" i="118"/>
  <c r="K37" i="118" s="1"/>
  <c r="J44" i="118"/>
  <c r="K44" i="118" s="1"/>
  <c r="J46" i="118"/>
  <c r="A24" i="118"/>
  <c r="F16" i="118"/>
  <c r="G16" i="118" s="1"/>
  <c r="F18" i="118"/>
  <c r="F34" i="118"/>
  <c r="F78" i="118"/>
  <c r="F50" i="118"/>
  <c r="F47" i="118" s="1"/>
  <c r="F59" i="118"/>
  <c r="F70" i="118"/>
  <c r="F79" i="118"/>
  <c r="J22" i="118"/>
  <c r="K22" i="118" s="1"/>
  <c r="J30" i="118"/>
  <c r="K30" i="118" s="1"/>
  <c r="K38" i="118"/>
  <c r="J48" i="118"/>
  <c r="A23" i="118"/>
  <c r="F23" i="118"/>
  <c r="F35" i="118"/>
  <c r="F60" i="118"/>
  <c r="F71" i="118"/>
  <c r="J39" i="118"/>
  <c r="K39" i="118" s="1"/>
  <c r="A22" i="118"/>
  <c r="F61" i="118"/>
  <c r="F72" i="118"/>
  <c r="A21" i="118"/>
  <c r="F11" i="102"/>
  <c r="G11" i="102" s="1"/>
  <c r="F16" i="102"/>
  <c r="G16" i="102" s="1"/>
  <c r="G15" i="102" s="1"/>
  <c r="J20" i="102"/>
  <c r="K20" i="102" s="1"/>
  <c r="J24" i="102"/>
  <c r="K24" i="102" s="1"/>
  <c r="J28" i="102"/>
  <c r="K28" i="102" s="1"/>
  <c r="J32" i="102"/>
  <c r="K32" i="102" s="1"/>
  <c r="J36" i="102"/>
  <c r="K36" i="102" s="1"/>
  <c r="M36" i="102" s="1"/>
  <c r="J41" i="102"/>
  <c r="K41" i="102" s="1"/>
  <c r="J56" i="102"/>
  <c r="K56" i="102" s="1"/>
  <c r="J60" i="102"/>
  <c r="K60" i="102" s="1"/>
  <c r="J66" i="102"/>
  <c r="K66" i="102" s="1"/>
  <c r="J71" i="102"/>
  <c r="K71" i="102" s="1"/>
  <c r="J75" i="102"/>
  <c r="K75" i="102" s="1"/>
  <c r="F18" i="102"/>
  <c r="G18" i="102" s="1"/>
  <c r="F22" i="102"/>
  <c r="G22" i="102" s="1"/>
  <c r="F26" i="102"/>
  <c r="G26" i="102" s="1"/>
  <c r="F30" i="102"/>
  <c r="G30" i="102" s="1"/>
  <c r="F34" i="102"/>
  <c r="G34" i="102" s="1"/>
  <c r="F38" i="102"/>
  <c r="G38" i="102" s="1"/>
  <c r="F78" i="102"/>
  <c r="F53" i="102"/>
  <c r="G53" i="102" s="1"/>
  <c r="F58" i="102"/>
  <c r="G58" i="102" s="1"/>
  <c r="F63" i="102"/>
  <c r="F69" i="102"/>
  <c r="F73" i="102"/>
  <c r="G73" i="102" s="1"/>
  <c r="J14" i="102"/>
  <c r="J13" i="102" s="1"/>
  <c r="J21" i="102"/>
  <c r="K21" i="102" s="1"/>
  <c r="J25" i="102"/>
  <c r="K25" i="102" s="1"/>
  <c r="J29" i="102"/>
  <c r="K29" i="102" s="1"/>
  <c r="J33" i="102"/>
  <c r="K33" i="102" s="1"/>
  <c r="J37" i="102"/>
  <c r="K37" i="102" s="1"/>
  <c r="J42" i="102"/>
  <c r="K42" i="102" s="1"/>
  <c r="J44" i="102"/>
  <c r="K44" i="102" s="1"/>
  <c r="J57" i="102"/>
  <c r="K57" i="102" s="1"/>
  <c r="J61" i="102"/>
  <c r="K61" i="102" s="1"/>
  <c r="J67" i="102"/>
  <c r="K67" i="102" s="1"/>
  <c r="J72" i="102"/>
  <c r="K72" i="102" s="1"/>
  <c r="J76" i="102"/>
  <c r="K76" i="102" s="1"/>
  <c r="A26" i="102"/>
  <c r="F19" i="102"/>
  <c r="G19" i="102" s="1"/>
  <c r="F23" i="102"/>
  <c r="G23" i="102" s="1"/>
  <c r="F27" i="102"/>
  <c r="G27" i="102" s="1"/>
  <c r="F31" i="102"/>
  <c r="G31" i="102" s="1"/>
  <c r="F35" i="102"/>
  <c r="G35" i="102" s="1"/>
  <c r="F39" i="102"/>
  <c r="G39" i="102" s="1"/>
  <c r="F43" i="102"/>
  <c r="G43" i="102" s="1"/>
  <c r="F54" i="102"/>
  <c r="G54" i="102" s="1"/>
  <c r="F59" i="102"/>
  <c r="G59" i="102" s="1"/>
  <c r="F64" i="102"/>
  <c r="G64" i="102" s="1"/>
  <c r="F70" i="102"/>
  <c r="G70" i="102" s="1"/>
  <c r="F74" i="102"/>
  <c r="G74" i="102" s="1"/>
  <c r="F79" i="102"/>
  <c r="A25" i="102"/>
  <c r="F49" i="102"/>
  <c r="G49" i="102" s="1"/>
  <c r="A24" i="102"/>
  <c r="J22" i="102"/>
  <c r="K22" i="102" s="1"/>
  <c r="A23" i="102"/>
  <c r="F21" i="102"/>
  <c r="G21" i="102" s="1"/>
  <c r="F13" i="122"/>
  <c r="G14" i="122"/>
  <c r="G13" i="122" s="1"/>
  <c r="G5" i="103"/>
  <c r="F5" i="110"/>
  <c r="G6" i="101"/>
  <c r="L6" i="101" s="1"/>
  <c r="F5" i="101"/>
  <c r="M7" i="103"/>
  <c r="F5" i="105"/>
  <c r="M7" i="110"/>
  <c r="M7" i="122"/>
  <c r="F15" i="102"/>
  <c r="G6" i="107"/>
  <c r="L6" i="107" s="1"/>
  <c r="M7" i="106"/>
  <c r="G10" i="101"/>
  <c r="G41" i="108"/>
  <c r="C33" i="682" s="1"/>
  <c r="G53" i="118"/>
  <c r="G6" i="123"/>
  <c r="G5" i="123" s="1"/>
  <c r="F5" i="123"/>
  <c r="G41" i="124"/>
  <c r="G53" i="114"/>
  <c r="G52" i="114" s="1"/>
  <c r="G53" i="110"/>
  <c r="G56" i="103"/>
  <c r="G6" i="114"/>
  <c r="G5" i="114" s="1"/>
  <c r="F5" i="114"/>
  <c r="M7" i="119"/>
  <c r="M7" i="475"/>
  <c r="G10" i="125"/>
  <c r="L6" i="103"/>
  <c r="M7" i="121"/>
  <c r="F5" i="122"/>
  <c r="F15" i="115"/>
  <c r="G10" i="103"/>
  <c r="G18" i="116"/>
  <c r="F5" i="102"/>
  <c r="F5" i="103"/>
  <c r="G6" i="100"/>
  <c r="F5" i="100"/>
  <c r="G7" i="59"/>
  <c r="G6" i="118"/>
  <c r="G6" i="119"/>
  <c r="G5" i="119" s="1"/>
  <c r="F5" i="119"/>
  <c r="F13" i="110"/>
  <c r="G14" i="110"/>
  <c r="G13" i="110" s="1"/>
  <c r="F15" i="103"/>
  <c r="G16" i="103"/>
  <c r="G15" i="103" s="1"/>
  <c r="G64" i="105"/>
  <c r="G67" i="103"/>
  <c r="F52" i="108"/>
  <c r="G53" i="108"/>
  <c r="C42" i="682" s="1"/>
  <c r="G56" i="122"/>
  <c r="G53" i="103"/>
  <c r="G56" i="121"/>
  <c r="G64" i="472"/>
  <c r="M26" i="119"/>
  <c r="M38" i="122"/>
  <c r="M20" i="123"/>
  <c r="M26" i="117"/>
  <c r="M66" i="108"/>
  <c r="A66" i="59"/>
  <c r="A64" i="59"/>
  <c r="A73" i="59"/>
  <c r="A71" i="59"/>
  <c r="AY72" i="59"/>
  <c r="AD3" i="59"/>
  <c r="AL69" i="59"/>
  <c r="AY61" i="59"/>
  <c r="AY66" i="59"/>
  <c r="AY60" i="59"/>
  <c r="S33" i="59"/>
  <c r="J74" i="59"/>
  <c r="J70" i="59"/>
  <c r="AG66" i="59"/>
  <c r="AH3" i="59"/>
  <c r="AE61" i="59"/>
  <c r="AB3" i="59"/>
  <c r="AM21" i="59"/>
  <c r="AY21" i="59"/>
  <c r="Z21" i="59"/>
  <c r="AX13" i="59"/>
  <c r="AL13" i="59"/>
  <c r="Y13" i="59"/>
  <c r="Y42" i="59"/>
  <c r="AL42" i="59"/>
  <c r="AX42" i="59"/>
  <c r="AY65" i="59"/>
  <c r="Z65" i="59"/>
  <c r="AM65" i="59"/>
  <c r="AM55" i="59"/>
  <c r="AY55" i="59"/>
  <c r="Z55" i="59"/>
  <c r="AL51" i="59"/>
  <c r="AX51" i="59"/>
  <c r="Y51" i="59"/>
  <c r="AM45" i="59"/>
  <c r="Z45" i="59"/>
  <c r="AY45" i="59"/>
  <c r="AX38" i="59"/>
  <c r="Y38" i="59"/>
  <c r="AL38" i="59"/>
  <c r="AM33" i="59"/>
  <c r="AY33" i="59"/>
  <c r="Z33" i="59"/>
  <c r="AY29" i="59"/>
  <c r="Z29" i="59"/>
  <c r="AM29" i="59"/>
  <c r="AL8" i="59"/>
  <c r="AX8" i="59"/>
  <c r="Y8" i="59"/>
  <c r="AF72" i="59"/>
  <c r="AG72" i="59"/>
  <c r="AH72" i="59"/>
  <c r="AA72" i="59"/>
  <c r="AI72" i="59"/>
  <c r="AB72" i="59"/>
  <c r="AC72" i="59"/>
  <c r="AD72" i="59"/>
  <c r="Z25" i="59"/>
  <c r="AM25" i="59"/>
  <c r="AY25" i="59"/>
  <c r="AH66" i="59"/>
  <c r="AA66" i="59"/>
  <c r="AI66" i="59"/>
  <c r="AB66" i="59"/>
  <c r="AC66" i="59"/>
  <c r="AD66" i="59"/>
  <c r="AE66" i="59"/>
  <c r="AF66" i="59"/>
  <c r="AY17" i="59"/>
  <c r="Z17" i="59"/>
  <c r="AM17" i="59"/>
  <c r="AL55" i="59"/>
  <c r="AX55" i="59"/>
  <c r="Y55" i="59"/>
  <c r="Z50" i="59"/>
  <c r="AM50" i="59"/>
  <c r="Y45" i="59"/>
  <c r="AL45" i="59"/>
  <c r="AX45" i="59"/>
  <c r="AY41" i="59"/>
  <c r="Z41" i="59"/>
  <c r="AM41" i="59"/>
  <c r="AM37" i="59"/>
  <c r="AY37" i="59"/>
  <c r="Z37" i="59"/>
  <c r="Y29" i="59"/>
  <c r="AL29" i="59"/>
  <c r="AX29" i="59"/>
  <c r="Y25" i="59"/>
  <c r="AL25" i="59"/>
  <c r="AX25" i="59"/>
  <c r="AL21" i="59"/>
  <c r="AX21" i="59"/>
  <c r="Y21" i="59"/>
  <c r="Y17" i="59"/>
  <c r="AL17" i="59"/>
  <c r="AX17" i="59"/>
  <c r="AY12" i="59"/>
  <c r="AM12" i="59"/>
  <c r="Z12" i="59"/>
  <c r="Z7" i="59"/>
  <c r="AY7" i="59"/>
  <c r="AM7" i="59"/>
  <c r="Z73" i="59"/>
  <c r="Z71" i="59"/>
  <c r="AY70" i="59"/>
  <c r="AY68" i="59"/>
  <c r="Z63" i="59"/>
  <c r="AX61" i="59"/>
  <c r="AD61" i="59"/>
  <c r="Y57" i="59"/>
  <c r="AY6" i="59"/>
  <c r="AM6" i="59"/>
  <c r="Z6" i="59"/>
  <c r="AM58" i="59"/>
  <c r="Z58" i="59"/>
  <c r="J57" i="59"/>
  <c r="Z54" i="59"/>
  <c r="AM54" i="59"/>
  <c r="Z44" i="59"/>
  <c r="AM44" i="59"/>
  <c r="AY44" i="59"/>
  <c r="Y41" i="59"/>
  <c r="AL41" i="59"/>
  <c r="AX41" i="59"/>
  <c r="AM36" i="59"/>
  <c r="AY36" i="59"/>
  <c r="Z36" i="59"/>
  <c r="F35" i="59"/>
  <c r="AY32" i="59"/>
  <c r="Z32" i="59"/>
  <c r="AM32" i="59"/>
  <c r="Z28" i="59"/>
  <c r="AM28" i="59"/>
  <c r="AY28" i="59"/>
  <c r="F27" i="59"/>
  <c r="AM24" i="59"/>
  <c r="AY24" i="59"/>
  <c r="Z24" i="59"/>
  <c r="AM20" i="59"/>
  <c r="Z20" i="59"/>
  <c r="AY20" i="59"/>
  <c r="F19" i="59"/>
  <c r="AY16" i="59"/>
  <c r="Z16" i="59"/>
  <c r="AM16" i="59"/>
  <c r="Z11" i="59"/>
  <c r="AY11" i="59"/>
  <c r="AM11" i="59"/>
  <c r="AX7" i="59"/>
  <c r="AL7" i="59"/>
  <c r="Y7" i="59"/>
  <c r="AY73" i="59"/>
  <c r="AM72" i="59"/>
  <c r="AY71" i="59"/>
  <c r="Y71" i="59"/>
  <c r="Z67" i="59"/>
  <c r="Z64" i="59"/>
  <c r="AY63" i="59"/>
  <c r="AM61" i="59"/>
  <c r="AC61" i="59"/>
  <c r="AL58" i="59"/>
  <c r="AX58" i="59"/>
  <c r="Y58" i="59"/>
  <c r="AL54" i="59"/>
  <c r="AX54" i="59"/>
  <c r="AM49" i="59"/>
  <c r="AY49" i="59"/>
  <c r="Z49" i="59"/>
  <c r="AE49" i="59" s="1"/>
  <c r="AL44" i="59"/>
  <c r="AX44" i="59"/>
  <c r="AY40" i="59"/>
  <c r="Z40" i="59"/>
  <c r="AM40" i="59"/>
  <c r="AL36" i="59"/>
  <c r="AX36" i="59"/>
  <c r="Y36" i="59"/>
  <c r="Y32" i="59"/>
  <c r="AL32" i="59"/>
  <c r="AX32" i="59"/>
  <c r="AL28" i="59"/>
  <c r="AX28" i="59"/>
  <c r="Y28" i="59"/>
  <c r="AL24" i="59"/>
  <c r="AX24" i="59"/>
  <c r="Y24" i="59"/>
  <c r="Y20" i="59"/>
  <c r="AL20" i="59"/>
  <c r="AX20" i="59"/>
  <c r="Y16" i="59"/>
  <c r="AL16" i="59"/>
  <c r="AX16" i="59"/>
  <c r="AX11" i="59"/>
  <c r="AL11" i="59"/>
  <c r="Y11" i="59"/>
  <c r="AX73" i="59"/>
  <c r="AX71" i="59"/>
  <c r="AM70" i="59"/>
  <c r="Z69" i="59"/>
  <c r="AM68" i="59"/>
  <c r="AY67" i="59"/>
  <c r="Y67" i="59"/>
  <c r="AM66" i="59"/>
  <c r="AY64" i="59"/>
  <c r="Y64" i="59"/>
  <c r="AL61" i="59"/>
  <c r="AB61" i="59"/>
  <c r="AY50" i="59"/>
  <c r="Z57" i="59"/>
  <c r="AM57" i="59"/>
  <c r="AY53" i="59"/>
  <c r="Z53" i="59"/>
  <c r="AM53" i="59"/>
  <c r="AM48" i="59"/>
  <c r="AY48" i="59"/>
  <c r="Z48" i="59"/>
  <c r="AY43" i="59"/>
  <c r="Z43" i="59"/>
  <c r="AM43" i="59"/>
  <c r="AX40" i="59"/>
  <c r="Y40" i="59"/>
  <c r="AL40" i="59"/>
  <c r="AY35" i="59"/>
  <c r="Z35" i="59"/>
  <c r="AM35" i="59"/>
  <c r="Z31" i="59"/>
  <c r="AY31" i="59"/>
  <c r="AM31" i="59"/>
  <c r="AM27" i="59"/>
  <c r="AY27" i="59"/>
  <c r="Z27" i="59"/>
  <c r="Z23" i="59"/>
  <c r="AM23" i="59"/>
  <c r="AY23" i="59"/>
  <c r="Z19" i="59"/>
  <c r="AM19" i="59"/>
  <c r="AY19" i="59"/>
  <c r="AY15" i="59"/>
  <c r="AM15" i="59"/>
  <c r="Z15" i="59"/>
  <c r="Z10" i="59"/>
  <c r="AA10" i="59" s="1"/>
  <c r="AY10" i="59"/>
  <c r="AM10" i="59"/>
  <c r="AY69" i="59"/>
  <c r="Y69" i="59"/>
  <c r="AX67" i="59"/>
  <c r="AX64" i="59"/>
  <c r="AA61" i="59"/>
  <c r="AX57" i="59"/>
  <c r="Y53" i="59"/>
  <c r="AL53" i="59"/>
  <c r="AL48" i="59"/>
  <c r="AX48" i="59"/>
  <c r="Y48" i="59"/>
  <c r="Y43" i="59"/>
  <c r="AL43" i="59"/>
  <c r="AX43" i="59"/>
  <c r="AY39" i="59"/>
  <c r="Z39" i="59"/>
  <c r="AM39" i="59"/>
  <c r="Y35" i="59"/>
  <c r="AL35" i="59"/>
  <c r="AX35" i="59"/>
  <c r="AX31" i="59"/>
  <c r="Y31" i="59"/>
  <c r="AL31" i="59"/>
  <c r="AX27" i="59"/>
  <c r="Y27" i="59"/>
  <c r="AL27" i="59"/>
  <c r="AL23" i="59"/>
  <c r="AX23" i="59"/>
  <c r="Y23" i="59"/>
  <c r="AL19" i="59"/>
  <c r="AX19" i="59"/>
  <c r="Y19" i="59"/>
  <c r="AX15" i="59"/>
  <c r="Y15" i="59"/>
  <c r="AL15" i="59"/>
  <c r="AM9" i="59"/>
  <c r="Z9" i="59"/>
  <c r="AY9" i="59"/>
  <c r="Z59" i="59"/>
  <c r="AF59" i="59" s="1"/>
  <c r="AY58" i="59"/>
  <c r="AG61" i="59"/>
  <c r="AM56" i="59"/>
  <c r="AY56" i="59"/>
  <c r="Z56" i="59"/>
  <c r="AM52" i="59"/>
  <c r="AY52" i="59"/>
  <c r="Z52" i="59"/>
  <c r="AE52" i="59" s="1"/>
  <c r="AM46" i="59"/>
  <c r="AY46" i="59"/>
  <c r="Z46" i="59"/>
  <c r="Z78" i="59"/>
  <c r="AF78" i="59" s="1"/>
  <c r="AM78" i="59"/>
  <c r="AY78" i="59"/>
  <c r="AX39" i="59"/>
  <c r="Y39" i="59"/>
  <c r="AL39" i="59"/>
  <c r="AY34" i="59"/>
  <c r="Z34" i="59"/>
  <c r="AM34" i="59"/>
  <c r="AY30" i="59"/>
  <c r="AM30" i="59"/>
  <c r="Z30" i="59"/>
  <c r="Z26" i="59"/>
  <c r="AM26" i="59"/>
  <c r="AY26" i="59"/>
  <c r="AY22" i="59"/>
  <c r="Z22" i="59"/>
  <c r="AM22" i="59"/>
  <c r="Z18" i="59"/>
  <c r="AY18" i="59"/>
  <c r="AM18" i="59"/>
  <c r="AY14" i="59"/>
  <c r="AM14" i="59"/>
  <c r="Z14" i="59"/>
  <c r="AL9" i="59"/>
  <c r="Y9" i="59"/>
  <c r="AX9" i="59"/>
  <c r="AH61" i="59"/>
  <c r="AM59" i="59"/>
  <c r="AY54" i="59"/>
  <c r="AX56" i="59"/>
  <c r="Y56" i="59"/>
  <c r="AM51" i="59"/>
  <c r="AY51" i="59"/>
  <c r="AL46" i="59"/>
  <c r="AX46" i="59"/>
  <c r="Y46" i="59"/>
  <c r="AY42" i="59"/>
  <c r="Z42" i="59"/>
  <c r="AM42" i="59"/>
  <c r="AM38" i="59"/>
  <c r="AY38" i="59"/>
  <c r="Z38" i="59"/>
  <c r="AX34" i="59"/>
  <c r="Y34" i="59"/>
  <c r="AL34" i="59"/>
  <c r="AX30" i="59"/>
  <c r="Y30" i="59"/>
  <c r="AL30" i="59"/>
  <c r="Y26" i="59"/>
  <c r="AL26" i="59"/>
  <c r="AX26" i="59"/>
  <c r="AL18" i="59"/>
  <c r="Y18" i="59"/>
  <c r="AX18" i="59"/>
  <c r="Z13" i="59"/>
  <c r="AY13" i="59"/>
  <c r="AM13" i="59"/>
  <c r="Z8" i="59"/>
  <c r="AY8" i="59"/>
  <c r="AM8" i="59"/>
  <c r="AF61" i="59"/>
  <c r="Z60" i="59"/>
  <c r="Y44" i="59"/>
  <c r="AB4" i="59"/>
  <c r="AC4" i="59"/>
  <c r="AD4" i="59"/>
  <c r="AE4" i="59"/>
  <c r="AF4" i="59"/>
  <c r="AH4" i="59"/>
  <c r="AI4" i="59"/>
  <c r="AG4" i="59"/>
  <c r="S12" i="59"/>
  <c r="AI3" i="59"/>
  <c r="AA3" i="59"/>
  <c r="AG3" i="59"/>
  <c r="AF3" i="59"/>
  <c r="AE3" i="59"/>
  <c r="J60" i="59"/>
  <c r="J56" i="59"/>
  <c r="J51" i="59"/>
  <c r="F34" i="59"/>
  <c r="F26" i="59"/>
  <c r="J12" i="59"/>
  <c r="F5" i="59"/>
  <c r="J59" i="59"/>
  <c r="F50" i="59"/>
  <c r="F37" i="59"/>
  <c r="F29" i="59"/>
  <c r="F21" i="59"/>
  <c r="J46" i="59"/>
  <c r="J67" i="59"/>
  <c r="J75" i="59"/>
  <c r="J71" i="59"/>
  <c r="F53" i="59"/>
  <c r="F43" i="59"/>
  <c r="F74" i="59"/>
  <c r="F18" i="59"/>
  <c r="J76" i="59"/>
  <c r="F73" i="59"/>
  <c r="J69" i="59"/>
  <c r="J64" i="59"/>
  <c r="J42" i="59"/>
  <c r="F12" i="59"/>
  <c r="J16" i="59"/>
  <c r="J72" i="59"/>
  <c r="F67" i="59"/>
  <c r="J58" i="59"/>
  <c r="F49" i="59"/>
  <c r="F10" i="59"/>
  <c r="F46" i="59"/>
  <c r="F45" i="59" s="1"/>
  <c r="J66" i="59"/>
  <c r="J61" i="59"/>
  <c r="F57" i="59"/>
  <c r="J48" i="59"/>
  <c r="J14" i="59"/>
  <c r="F76" i="59"/>
  <c r="F63" i="59"/>
  <c r="J54" i="59"/>
  <c r="J44" i="59"/>
  <c r="J41" i="59"/>
  <c r="F78" i="59"/>
  <c r="J49" i="59"/>
  <c r="J79" i="59"/>
  <c r="F54" i="59"/>
  <c r="F64" i="59"/>
  <c r="F11" i="59"/>
  <c r="F14" i="59"/>
  <c r="F24" i="59"/>
  <c r="F32" i="59"/>
  <c r="F41" i="59"/>
  <c r="F48" i="59"/>
  <c r="F60" i="59"/>
  <c r="F71" i="59"/>
  <c r="J78" i="59"/>
  <c r="J50" i="59"/>
  <c r="J53" i="59"/>
  <c r="J63" i="59"/>
  <c r="J73" i="59"/>
  <c r="F25" i="59"/>
  <c r="F33" i="59"/>
  <c r="F42" i="59"/>
  <c r="F61" i="59"/>
  <c r="F72" i="59"/>
  <c r="J43" i="59"/>
  <c r="F22" i="59"/>
  <c r="F30" i="59"/>
  <c r="F38" i="59"/>
  <c r="F58" i="59"/>
  <c r="F69" i="59"/>
  <c r="F79" i="59"/>
  <c r="F16" i="59"/>
  <c r="F23" i="59"/>
  <c r="F31" i="59"/>
  <c r="F39" i="59"/>
  <c r="F51" i="59"/>
  <c r="F59" i="59"/>
  <c r="F70" i="59"/>
  <c r="F20" i="59"/>
  <c r="F28" i="59"/>
  <c r="F36" i="59"/>
  <c r="F44" i="59"/>
  <c r="F56" i="59"/>
  <c r="F66" i="59"/>
  <c r="F75" i="59"/>
  <c r="D29" i="418"/>
  <c r="J62" i="475"/>
  <c r="K62" i="475"/>
  <c r="J62" i="125"/>
  <c r="K62" i="125"/>
  <c r="D26" i="418"/>
  <c r="J17" i="111"/>
  <c r="J9" i="122"/>
  <c r="D27" i="418"/>
  <c r="J15" i="122"/>
  <c r="J5" i="59"/>
  <c r="J5" i="102"/>
  <c r="J5" i="123"/>
  <c r="K5" i="102"/>
  <c r="K5" i="123"/>
  <c r="J5" i="117"/>
  <c r="J5" i="110"/>
  <c r="J5" i="122"/>
  <c r="K5" i="117"/>
  <c r="K5" i="110"/>
  <c r="K5" i="122"/>
  <c r="J5" i="103"/>
  <c r="K5" i="103"/>
  <c r="J5" i="100"/>
  <c r="M6" i="123"/>
  <c r="M6" i="114"/>
  <c r="M6" i="112"/>
  <c r="M6" i="103"/>
  <c r="K10" i="102"/>
  <c r="K11" i="106"/>
  <c r="K10" i="117"/>
  <c r="K10" i="114"/>
  <c r="K10" i="110"/>
  <c r="K10" i="105"/>
  <c r="K10" i="101"/>
  <c r="K10" i="111"/>
  <c r="K11" i="122"/>
  <c r="M11" i="122" s="1"/>
  <c r="K11" i="475"/>
  <c r="K11" i="121"/>
  <c r="K11" i="117"/>
  <c r="K11" i="114"/>
  <c r="K11" i="110"/>
  <c r="K11" i="105"/>
  <c r="K11" i="101"/>
  <c r="K10" i="115"/>
  <c r="K11" i="102"/>
  <c r="K10" i="125"/>
  <c r="K10" i="120"/>
  <c r="K10" i="116"/>
  <c r="K10" i="472"/>
  <c r="K10" i="108"/>
  <c r="K10" i="104"/>
  <c r="K10" i="100"/>
  <c r="K10" i="121"/>
  <c r="K11" i="111"/>
  <c r="K11" i="125"/>
  <c r="K11" i="120"/>
  <c r="K11" i="116"/>
  <c r="K11" i="472"/>
  <c r="K11" i="108"/>
  <c r="K11" i="104"/>
  <c r="K11" i="100"/>
  <c r="K14" i="122"/>
  <c r="K12" i="122"/>
  <c r="K11" i="115"/>
  <c r="K10" i="123"/>
  <c r="K10" i="119"/>
  <c r="K10" i="124"/>
  <c r="K10" i="112"/>
  <c r="K10" i="107"/>
  <c r="K10" i="103"/>
  <c r="K11" i="123"/>
  <c r="K11" i="119"/>
  <c r="K11" i="124"/>
  <c r="K11" i="112"/>
  <c r="K11" i="107"/>
  <c r="K11" i="103"/>
  <c r="K10" i="122"/>
  <c r="K10" i="106"/>
  <c r="G7" i="101"/>
  <c r="F7" i="104"/>
  <c r="G7" i="104" s="1"/>
  <c r="J7" i="104"/>
  <c r="K7" i="104" s="1"/>
  <c r="G6" i="110"/>
  <c r="F6" i="106"/>
  <c r="F5" i="106" s="1"/>
  <c r="J6" i="106"/>
  <c r="G6" i="102"/>
  <c r="G5" i="102" s="1"/>
  <c r="G6" i="104"/>
  <c r="J7" i="112"/>
  <c r="K7" i="112" s="1"/>
  <c r="F7" i="112"/>
  <c r="G7" i="112" s="1"/>
  <c r="J7" i="101"/>
  <c r="K7" i="101" s="1"/>
  <c r="G6" i="105"/>
  <c r="G5" i="105" s="1"/>
  <c r="J6" i="104"/>
  <c r="F7" i="107"/>
  <c r="G7" i="107" s="1"/>
  <c r="J7" i="107"/>
  <c r="K7" i="107" s="1"/>
  <c r="M7" i="107" s="1"/>
  <c r="J6" i="105"/>
  <c r="F6" i="108"/>
  <c r="F5" i="108" s="1"/>
  <c r="J6" i="108"/>
  <c r="G6" i="117"/>
  <c r="G5" i="117" s="1"/>
  <c r="F6" i="111"/>
  <c r="F5" i="111" s="1"/>
  <c r="J6" i="111"/>
  <c r="G6" i="112"/>
  <c r="J7" i="118"/>
  <c r="K7" i="118" s="1"/>
  <c r="F7" i="118"/>
  <c r="F6" i="472"/>
  <c r="F5" i="472" s="1"/>
  <c r="J6" i="472"/>
  <c r="J6" i="121"/>
  <c r="F6" i="121"/>
  <c r="F5" i="121" s="1"/>
  <c r="F7" i="115"/>
  <c r="G7" i="115" s="1"/>
  <c r="J7" i="115"/>
  <c r="K7" i="115" s="1"/>
  <c r="G6" i="115"/>
  <c r="J7" i="114"/>
  <c r="K7" i="114" s="1"/>
  <c r="M7" i="114" s="1"/>
  <c r="G6" i="120"/>
  <c r="J7" i="120"/>
  <c r="K7" i="120" s="1"/>
  <c r="G6" i="124"/>
  <c r="F7" i="124"/>
  <c r="G7" i="124" s="1"/>
  <c r="J7" i="124"/>
  <c r="K7" i="124" s="1"/>
  <c r="F6" i="116"/>
  <c r="F5" i="116" s="1"/>
  <c r="J6" i="116"/>
  <c r="J6" i="124"/>
  <c r="G6" i="122"/>
  <c r="G5" i="122" s="1"/>
  <c r="G6" i="59"/>
  <c r="J6" i="119"/>
  <c r="J6" i="120"/>
  <c r="G6" i="125"/>
  <c r="F6" i="475"/>
  <c r="F5" i="475" s="1"/>
  <c r="J6" i="475"/>
  <c r="F7" i="125"/>
  <c r="G7" i="125" s="1"/>
  <c r="J7" i="125"/>
  <c r="K7" i="125" s="1"/>
  <c r="J6" i="125"/>
  <c r="M51" i="122" l="1"/>
  <c r="M50" i="472"/>
  <c r="C34" i="682"/>
  <c r="J86" i="682"/>
  <c r="C86" i="682"/>
  <c r="C91" i="682" s="1"/>
  <c r="K75" i="682"/>
  <c r="L75" i="682" s="1"/>
  <c r="D75" i="682"/>
  <c r="E75" i="682" s="1"/>
  <c r="K74" i="682"/>
  <c r="D74" i="682"/>
  <c r="E74" i="682" s="1"/>
  <c r="M32" i="123"/>
  <c r="J87" i="683"/>
  <c r="C117" i="683" s="1"/>
  <c r="C87" i="683"/>
  <c r="K81" i="683"/>
  <c r="D111" i="683" s="1"/>
  <c r="K82" i="683"/>
  <c r="D112" i="683" s="1"/>
  <c r="K87" i="683"/>
  <c r="D117" i="683" s="1"/>
  <c r="K75" i="683"/>
  <c r="D105" i="683" s="1"/>
  <c r="K85" i="683"/>
  <c r="D115" i="683" s="1"/>
  <c r="K86" i="683"/>
  <c r="D116" i="683" s="1"/>
  <c r="K83" i="683"/>
  <c r="D113" i="683" s="1"/>
  <c r="K84" i="683"/>
  <c r="D80" i="683"/>
  <c r="K80" i="683"/>
  <c r="D110" i="683" s="1"/>
  <c r="D79" i="683"/>
  <c r="K79" i="683"/>
  <c r="K78" i="683"/>
  <c r="D77" i="683"/>
  <c r="K77" i="683"/>
  <c r="D74" i="683"/>
  <c r="K74" i="683"/>
  <c r="D73" i="683"/>
  <c r="K73" i="683"/>
  <c r="D103" i="683" s="1"/>
  <c r="L90" i="683"/>
  <c r="E120" i="683" s="1"/>
  <c r="D84" i="683"/>
  <c r="D81" i="683"/>
  <c r="D90" i="683"/>
  <c r="E90" i="683" s="1"/>
  <c r="D78" i="683"/>
  <c r="D85" i="683"/>
  <c r="E85" i="683" s="1"/>
  <c r="D86" i="683"/>
  <c r="D83" i="683"/>
  <c r="D82" i="683"/>
  <c r="D87" i="683"/>
  <c r="E87" i="683" s="1"/>
  <c r="K82" i="682"/>
  <c r="K81" i="682"/>
  <c r="E20" i="753"/>
  <c r="D21" i="753"/>
  <c r="G13" i="753"/>
  <c r="F21" i="753"/>
  <c r="D11" i="753"/>
  <c r="F13" i="753"/>
  <c r="E14" i="753"/>
  <c r="E13" i="753"/>
  <c r="G14" i="753"/>
  <c r="E17" i="753"/>
  <c r="G11" i="753"/>
  <c r="F14" i="753"/>
  <c r="G18" i="753"/>
  <c r="F11" i="753"/>
  <c r="D17" i="753"/>
  <c r="D20" i="753"/>
  <c r="D18" i="753"/>
  <c r="E18" i="753"/>
  <c r="E21" i="753"/>
  <c r="D14" i="753"/>
  <c r="E19" i="753"/>
  <c r="G19" i="753"/>
  <c r="G21" i="753"/>
  <c r="G17" i="753"/>
  <c r="G20" i="753"/>
  <c r="F17" i="753"/>
  <c r="F20" i="753"/>
  <c r="F18" i="753"/>
  <c r="D19" i="753"/>
  <c r="F19" i="753"/>
  <c r="E12" i="753"/>
  <c r="D3" i="420"/>
  <c r="G12" i="108"/>
  <c r="D10" i="420"/>
  <c r="D51" i="420"/>
  <c r="G31" i="108"/>
  <c r="D29" i="420"/>
  <c r="D46" i="420"/>
  <c r="G37" i="108"/>
  <c r="C30" i="682" s="1"/>
  <c r="D35" i="420"/>
  <c r="D4" i="420"/>
  <c r="D6" i="682"/>
  <c r="E6" i="682" s="1"/>
  <c r="H8" i="420"/>
  <c r="G40" i="420"/>
  <c r="G41" i="420"/>
  <c r="M7" i="120"/>
  <c r="F12" i="753"/>
  <c r="E11" i="753"/>
  <c r="D12" i="753"/>
  <c r="C18" i="685"/>
  <c r="F10" i="676"/>
  <c r="H9" i="420"/>
  <c r="D7" i="682"/>
  <c r="K65" i="101"/>
  <c r="M23" i="125"/>
  <c r="P56" i="123"/>
  <c r="M31" i="122"/>
  <c r="M43" i="121"/>
  <c r="M74" i="120"/>
  <c r="M31" i="120"/>
  <c r="D16" i="683"/>
  <c r="D15" i="683"/>
  <c r="M43" i="115"/>
  <c r="M44" i="112"/>
  <c r="M25" i="112"/>
  <c r="M31" i="112"/>
  <c r="M24" i="111"/>
  <c r="M32" i="108"/>
  <c r="M31" i="107"/>
  <c r="M21" i="106"/>
  <c r="M28" i="106"/>
  <c r="M23" i="103"/>
  <c r="M25" i="103"/>
  <c r="K15" i="124"/>
  <c r="F65" i="121"/>
  <c r="F77" i="59"/>
  <c r="D76" i="420"/>
  <c r="D75" i="420"/>
  <c r="M75" i="475"/>
  <c r="D71" i="420"/>
  <c r="D67" i="420"/>
  <c r="D54" i="420"/>
  <c r="M57" i="116"/>
  <c r="M27" i="110"/>
  <c r="G72" i="120"/>
  <c r="M72" i="120" s="1"/>
  <c r="D69" i="420"/>
  <c r="G25" i="120"/>
  <c r="D23" i="420"/>
  <c r="G44" i="120"/>
  <c r="E42" i="420" s="1"/>
  <c r="D42" i="420"/>
  <c r="G23" i="120"/>
  <c r="D21" i="420"/>
  <c r="G42" i="120"/>
  <c r="E40" i="420" s="1"/>
  <c r="D40" i="420"/>
  <c r="G20" i="120"/>
  <c r="D18" i="420"/>
  <c r="G49" i="120"/>
  <c r="E47" i="420" s="1"/>
  <c r="D47" i="420"/>
  <c r="G71" i="120"/>
  <c r="M71" i="120" s="1"/>
  <c r="D68" i="420"/>
  <c r="G27" i="120"/>
  <c r="D25" i="420"/>
  <c r="F45" i="120"/>
  <c r="D44" i="420"/>
  <c r="G26" i="120"/>
  <c r="D24" i="420"/>
  <c r="G29" i="120"/>
  <c r="D27" i="420"/>
  <c r="G18" i="120"/>
  <c r="D16" i="420"/>
  <c r="G11" i="120"/>
  <c r="D9" i="420"/>
  <c r="G35" i="120"/>
  <c r="E33" i="420" s="1"/>
  <c r="D33" i="420"/>
  <c r="G75" i="120"/>
  <c r="D72" i="420"/>
  <c r="G5" i="120"/>
  <c r="G28" i="120"/>
  <c r="D26" i="420"/>
  <c r="G39" i="120"/>
  <c r="E37" i="420" s="1"/>
  <c r="D37" i="420"/>
  <c r="G22" i="120"/>
  <c r="D20" i="420"/>
  <c r="G19" i="120"/>
  <c r="D17" i="420"/>
  <c r="G32" i="120"/>
  <c r="D30" i="420"/>
  <c r="G24" i="120"/>
  <c r="D22" i="420"/>
  <c r="G51" i="120"/>
  <c r="E49" i="420" s="1"/>
  <c r="D49" i="420"/>
  <c r="G73" i="120"/>
  <c r="M73" i="120" s="1"/>
  <c r="D70" i="420"/>
  <c r="G56" i="120"/>
  <c r="C42" i="683" s="1"/>
  <c r="G69" i="120"/>
  <c r="M69" i="120" s="1"/>
  <c r="D66" i="420"/>
  <c r="G63" i="120"/>
  <c r="D60" i="420"/>
  <c r="G41" i="120"/>
  <c r="E39" i="420" s="1"/>
  <c r="D39" i="420"/>
  <c r="G50" i="120"/>
  <c r="E48" i="420" s="1"/>
  <c r="D48" i="420"/>
  <c r="G59" i="120"/>
  <c r="M59" i="120" s="1"/>
  <c r="D56" i="420"/>
  <c r="G54" i="120"/>
  <c r="D52" i="420"/>
  <c r="G33" i="120"/>
  <c r="E31" i="420" s="1"/>
  <c r="D31" i="420"/>
  <c r="G60" i="120"/>
  <c r="D57" i="420"/>
  <c r="G58" i="120"/>
  <c r="D55" i="420"/>
  <c r="G61" i="120"/>
  <c r="D58" i="420"/>
  <c r="G30" i="120"/>
  <c r="M30" i="120" s="1"/>
  <c r="D28" i="420"/>
  <c r="G43" i="120"/>
  <c r="E41" i="420" s="1"/>
  <c r="D41" i="420"/>
  <c r="F13" i="120"/>
  <c r="D12" i="420"/>
  <c r="G66" i="120"/>
  <c r="M66" i="120" s="1"/>
  <c r="D63" i="420"/>
  <c r="F15" i="120"/>
  <c r="D14" i="420"/>
  <c r="G67" i="120"/>
  <c r="D64" i="420"/>
  <c r="G36" i="120"/>
  <c r="E34" i="420" s="1"/>
  <c r="D34" i="420"/>
  <c r="G76" i="120"/>
  <c r="M76" i="120" s="1"/>
  <c r="D73" i="420"/>
  <c r="G21" i="120"/>
  <c r="D19" i="420"/>
  <c r="G64" i="120"/>
  <c r="M64" i="120" s="1"/>
  <c r="D61" i="420"/>
  <c r="G34" i="120"/>
  <c r="E32" i="420" s="1"/>
  <c r="D32" i="420"/>
  <c r="G10" i="120"/>
  <c r="D8" i="420"/>
  <c r="G38" i="120"/>
  <c r="D36" i="420"/>
  <c r="K62" i="472"/>
  <c r="K5" i="100"/>
  <c r="G21" i="420"/>
  <c r="G4" i="420"/>
  <c r="G23" i="420"/>
  <c r="G17" i="420"/>
  <c r="G12" i="420"/>
  <c r="G64" i="420"/>
  <c r="G36" i="420"/>
  <c r="G16" i="420"/>
  <c r="G70" i="420"/>
  <c r="J45" i="59"/>
  <c r="G60" i="420"/>
  <c r="G58" i="420"/>
  <c r="G76" i="420"/>
  <c r="G75" i="420"/>
  <c r="G20" i="420"/>
  <c r="G31" i="420"/>
  <c r="G42" i="420"/>
  <c r="G37" i="420"/>
  <c r="G69" i="420"/>
  <c r="G5" i="420"/>
  <c r="G32" i="420"/>
  <c r="G46" i="420"/>
  <c r="G57" i="420"/>
  <c r="G67" i="420"/>
  <c r="G35" i="420"/>
  <c r="G61" i="420"/>
  <c r="G71" i="420"/>
  <c r="G27" i="420"/>
  <c r="G51" i="420"/>
  <c r="G66" i="420"/>
  <c r="G19" i="420"/>
  <c r="G48" i="420"/>
  <c r="G63" i="420"/>
  <c r="G54" i="420"/>
  <c r="G18" i="420"/>
  <c r="G47" i="420"/>
  <c r="G73" i="420"/>
  <c r="H5" i="420"/>
  <c r="G22" i="420"/>
  <c r="G25" i="420"/>
  <c r="G56" i="420"/>
  <c r="G26" i="420"/>
  <c r="G39" i="420"/>
  <c r="G28" i="420"/>
  <c r="G24" i="420"/>
  <c r="G55" i="420"/>
  <c r="G10" i="420"/>
  <c r="G52" i="420"/>
  <c r="G34" i="420"/>
  <c r="G33" i="420"/>
  <c r="G68" i="420"/>
  <c r="G14" i="420"/>
  <c r="G72" i="420"/>
  <c r="G49" i="420"/>
  <c r="G29" i="420"/>
  <c r="G30" i="420"/>
  <c r="K56" i="100"/>
  <c r="K69" i="100"/>
  <c r="M69" i="100" s="1"/>
  <c r="K42" i="100"/>
  <c r="M42" i="100" s="1"/>
  <c r="K41" i="100"/>
  <c r="K26" i="100"/>
  <c r="K19" i="100"/>
  <c r="K75" i="100"/>
  <c r="M75" i="100" s="1"/>
  <c r="K74" i="100"/>
  <c r="K38" i="100"/>
  <c r="M38" i="100" s="1"/>
  <c r="K31" i="100"/>
  <c r="K30" i="100"/>
  <c r="K63" i="100"/>
  <c r="M63" i="100" s="1"/>
  <c r="K54" i="100"/>
  <c r="J9" i="100"/>
  <c r="K76" i="100"/>
  <c r="K29" i="100"/>
  <c r="K37" i="100"/>
  <c r="K36" i="100"/>
  <c r="M36" i="100" s="1"/>
  <c r="K64" i="100"/>
  <c r="M64" i="100" s="1"/>
  <c r="K73" i="100"/>
  <c r="K28" i="100"/>
  <c r="K16" i="100"/>
  <c r="K67" i="100"/>
  <c r="M67" i="100" s="1"/>
  <c r="K33" i="100"/>
  <c r="K34" i="100"/>
  <c r="K51" i="100"/>
  <c r="K39" i="100"/>
  <c r="K24" i="100"/>
  <c r="K50" i="100"/>
  <c r="K44" i="100"/>
  <c r="K59" i="100"/>
  <c r="K60" i="100"/>
  <c r="M60" i="100" s="1"/>
  <c r="K57" i="100"/>
  <c r="K20" i="100"/>
  <c r="K53" i="100"/>
  <c r="K79" i="100"/>
  <c r="K66" i="100"/>
  <c r="K49" i="100"/>
  <c r="K32" i="100"/>
  <c r="K43" i="100"/>
  <c r="K61" i="100"/>
  <c r="M61" i="100" s="1"/>
  <c r="K58" i="100"/>
  <c r="M58" i="100" s="1"/>
  <c r="K35" i="100"/>
  <c r="M35" i="100" s="1"/>
  <c r="J13" i="100"/>
  <c r="K27" i="100"/>
  <c r="K71" i="100"/>
  <c r="M71" i="100" s="1"/>
  <c r="K18" i="100"/>
  <c r="M18" i="100" s="1"/>
  <c r="K70" i="100"/>
  <c r="M70" i="100" s="1"/>
  <c r="K72" i="100"/>
  <c r="M30" i="102"/>
  <c r="M34" i="101"/>
  <c r="M31" i="472"/>
  <c r="M33" i="123"/>
  <c r="M49" i="102"/>
  <c r="M72" i="475"/>
  <c r="K14" i="124"/>
  <c r="G53" i="115"/>
  <c r="G52" i="115" s="1"/>
  <c r="M11" i="111"/>
  <c r="M24" i="102"/>
  <c r="M39" i="112"/>
  <c r="M24" i="106"/>
  <c r="F65" i="119"/>
  <c r="M35" i="108"/>
  <c r="M16" i="102"/>
  <c r="M15" i="102" s="1"/>
  <c r="F13" i="103"/>
  <c r="M22" i="111"/>
  <c r="M23" i="111"/>
  <c r="M11" i="112"/>
  <c r="AE10" i="59"/>
  <c r="G14" i="112"/>
  <c r="G13" i="112" s="1"/>
  <c r="AF10" i="59"/>
  <c r="M61" i="102"/>
  <c r="F52" i="117"/>
  <c r="M27" i="111"/>
  <c r="G48" i="103"/>
  <c r="G47" i="103" s="1"/>
  <c r="F47" i="103"/>
  <c r="G48" i="110"/>
  <c r="F47" i="110"/>
  <c r="M11" i="119"/>
  <c r="G46" i="103"/>
  <c r="G45" i="103" s="1"/>
  <c r="F45" i="103"/>
  <c r="G46" i="107"/>
  <c r="G45" i="107" s="1"/>
  <c r="F45" i="107"/>
  <c r="G46" i="124"/>
  <c r="G45" i="124" s="1"/>
  <c r="F45" i="124"/>
  <c r="G48" i="105"/>
  <c r="G47" i="105" s="1"/>
  <c r="F47" i="105"/>
  <c r="G48" i="107"/>
  <c r="G47" i="107" s="1"/>
  <c r="F47" i="107"/>
  <c r="M33" i="110"/>
  <c r="M33" i="107"/>
  <c r="G16" i="106"/>
  <c r="G15" i="106" s="1"/>
  <c r="M58" i="111"/>
  <c r="M24" i="110"/>
  <c r="M39" i="115"/>
  <c r="M24" i="123"/>
  <c r="M21" i="125"/>
  <c r="M12" i="119"/>
  <c r="M32" i="112"/>
  <c r="M23" i="115"/>
  <c r="M20" i="101"/>
  <c r="F13" i="111"/>
  <c r="G48" i="100"/>
  <c r="G47" i="100" s="1"/>
  <c r="F47" i="100"/>
  <c r="M22" i="110"/>
  <c r="G48" i="117"/>
  <c r="G47" i="117" s="1"/>
  <c r="F47" i="117"/>
  <c r="M27" i="117"/>
  <c r="M11" i="102"/>
  <c r="G67" i="121"/>
  <c r="G65" i="121" s="1"/>
  <c r="G14" i="475"/>
  <c r="G13" i="475" s="1"/>
  <c r="F15" i="122"/>
  <c r="G48" i="123"/>
  <c r="G47" i="123" s="1"/>
  <c r="F47" i="123"/>
  <c r="G48" i="106"/>
  <c r="G47" i="106" s="1"/>
  <c r="F47" i="106"/>
  <c r="G48" i="108"/>
  <c r="F47" i="108"/>
  <c r="G48" i="116"/>
  <c r="G47" i="116" s="1"/>
  <c r="F47" i="116"/>
  <c r="K14" i="103"/>
  <c r="M14" i="103" s="1"/>
  <c r="M13" i="103" s="1"/>
  <c r="F65" i="123"/>
  <c r="M26" i="101"/>
  <c r="G46" i="101"/>
  <c r="G45" i="101" s="1"/>
  <c r="F45" i="101"/>
  <c r="G48" i="475"/>
  <c r="F47" i="475"/>
  <c r="M24" i="114"/>
  <c r="G48" i="122"/>
  <c r="G47" i="122" s="1"/>
  <c r="F47" i="122"/>
  <c r="G9" i="472"/>
  <c r="M12" i="103"/>
  <c r="M35" i="101"/>
  <c r="M59" i="106"/>
  <c r="G48" i="114"/>
  <c r="G47" i="114" s="1"/>
  <c r="F47" i="114"/>
  <c r="G46" i="475"/>
  <c r="G45" i="475" s="1"/>
  <c r="F45" i="475"/>
  <c r="G48" i="101"/>
  <c r="G47" i="101" s="1"/>
  <c r="F47" i="101"/>
  <c r="G48" i="112"/>
  <c r="G47" i="112" s="1"/>
  <c r="F47" i="112"/>
  <c r="G46" i="125"/>
  <c r="G45" i="125" s="1"/>
  <c r="F45" i="125"/>
  <c r="M11" i="123"/>
  <c r="G16" i="472"/>
  <c r="G15" i="472" s="1"/>
  <c r="M33" i="102"/>
  <c r="G48" i="119"/>
  <c r="G47" i="119" s="1"/>
  <c r="F47" i="119"/>
  <c r="G48" i="125"/>
  <c r="G47" i="125" s="1"/>
  <c r="F47" i="125"/>
  <c r="M11" i="472"/>
  <c r="F47" i="59"/>
  <c r="G16" i="120"/>
  <c r="M21" i="123"/>
  <c r="M37" i="115"/>
  <c r="G46" i="119"/>
  <c r="G45" i="119" s="1"/>
  <c r="F45" i="119"/>
  <c r="G16" i="100"/>
  <c r="G15" i="100" s="1"/>
  <c r="G53" i="117"/>
  <c r="G52" i="117" s="1"/>
  <c r="G48" i="111"/>
  <c r="G47" i="111" s="1"/>
  <c r="F47" i="111"/>
  <c r="M49" i="111"/>
  <c r="G46" i="100"/>
  <c r="G45" i="100" s="1"/>
  <c r="F45" i="100"/>
  <c r="G46" i="106"/>
  <c r="G45" i="106" s="1"/>
  <c r="F45" i="106"/>
  <c r="G48" i="472"/>
  <c r="F47" i="472"/>
  <c r="G46" i="104"/>
  <c r="G45" i="104" s="1"/>
  <c r="F45" i="104"/>
  <c r="G46" i="121"/>
  <c r="G45" i="121" s="1"/>
  <c r="F45" i="121"/>
  <c r="G48" i="121"/>
  <c r="F47" i="121"/>
  <c r="G46" i="115"/>
  <c r="G45" i="115" s="1"/>
  <c r="F45" i="115"/>
  <c r="G48" i="102"/>
  <c r="G47" i="102" s="1"/>
  <c r="F47" i="102"/>
  <c r="G48" i="104"/>
  <c r="G47" i="104" s="1"/>
  <c r="F47" i="104"/>
  <c r="M26" i="102"/>
  <c r="M38" i="110"/>
  <c r="M11" i="103"/>
  <c r="G46" i="111"/>
  <c r="G45" i="111" s="1"/>
  <c r="F45" i="111"/>
  <c r="M22" i="123"/>
  <c r="G48" i="115"/>
  <c r="F47" i="115"/>
  <c r="F52" i="110"/>
  <c r="M12" i="122"/>
  <c r="M11" i="114"/>
  <c r="F15" i="105"/>
  <c r="F13" i="125"/>
  <c r="M57" i="102"/>
  <c r="M23" i="101"/>
  <c r="M19" i="101"/>
  <c r="G46" i="108"/>
  <c r="F45" i="108"/>
  <c r="G46" i="472"/>
  <c r="G45" i="472" s="1"/>
  <c r="F45" i="472"/>
  <c r="G46" i="123"/>
  <c r="G45" i="123" s="1"/>
  <c r="F45" i="123"/>
  <c r="G46" i="110"/>
  <c r="G45" i="110" s="1"/>
  <c r="F45" i="110"/>
  <c r="M51" i="472"/>
  <c r="G48" i="124"/>
  <c r="F47" i="124"/>
  <c r="G48" i="120"/>
  <c r="F47" i="120"/>
  <c r="M29" i="111"/>
  <c r="M34" i="107"/>
  <c r="M34" i="115"/>
  <c r="J47" i="102"/>
  <c r="K46" i="120"/>
  <c r="J45" i="120"/>
  <c r="K46" i="121"/>
  <c r="J45" i="121"/>
  <c r="K46" i="115"/>
  <c r="J45" i="115"/>
  <c r="K46" i="116"/>
  <c r="J45" i="116"/>
  <c r="K46" i="117"/>
  <c r="J45" i="117"/>
  <c r="K46" i="111"/>
  <c r="J45" i="111"/>
  <c r="K46" i="104"/>
  <c r="J45" i="104"/>
  <c r="K46" i="105"/>
  <c r="J45" i="105"/>
  <c r="K46" i="100"/>
  <c r="J45" i="100"/>
  <c r="K46" i="122"/>
  <c r="J45" i="122"/>
  <c r="K46" i="118"/>
  <c r="J45" i="118"/>
  <c r="K46" i="123"/>
  <c r="J45" i="123"/>
  <c r="K46" i="102"/>
  <c r="J45" i="102"/>
  <c r="K46" i="107"/>
  <c r="J45" i="107"/>
  <c r="K46" i="124"/>
  <c r="J45" i="124"/>
  <c r="K46" i="112"/>
  <c r="J45" i="112"/>
  <c r="K46" i="114"/>
  <c r="J45" i="114"/>
  <c r="K46" i="119"/>
  <c r="J45" i="119"/>
  <c r="K46" i="475"/>
  <c r="J45" i="475"/>
  <c r="K46" i="101"/>
  <c r="J45" i="101"/>
  <c r="K46" i="103"/>
  <c r="J45" i="103"/>
  <c r="K46" i="125"/>
  <c r="J45" i="125"/>
  <c r="M34" i="121"/>
  <c r="J47" i="59"/>
  <c r="M19" i="108"/>
  <c r="K48" i="123"/>
  <c r="J47" i="123"/>
  <c r="K48" i="108"/>
  <c r="J47" i="108"/>
  <c r="K48" i="116"/>
  <c r="J47" i="116"/>
  <c r="K48" i="104"/>
  <c r="J47" i="104"/>
  <c r="K48" i="121"/>
  <c r="J47" i="121"/>
  <c r="K48" i="124"/>
  <c r="J47" i="124"/>
  <c r="K48" i="120"/>
  <c r="J47" i="120"/>
  <c r="K48" i="114"/>
  <c r="J47" i="114"/>
  <c r="K48" i="101"/>
  <c r="J47" i="101"/>
  <c r="K48" i="110"/>
  <c r="J47" i="110"/>
  <c r="K48" i="112"/>
  <c r="J47" i="112"/>
  <c r="K48" i="106"/>
  <c r="J47" i="106"/>
  <c r="K48" i="472"/>
  <c r="J47" i="472"/>
  <c r="K48" i="107"/>
  <c r="J47" i="107"/>
  <c r="K48" i="125"/>
  <c r="J47" i="125"/>
  <c r="K48" i="475"/>
  <c r="J47" i="475"/>
  <c r="K48" i="122"/>
  <c r="J47" i="122"/>
  <c r="K48" i="115"/>
  <c r="J47" i="115"/>
  <c r="K48" i="103"/>
  <c r="J47" i="103"/>
  <c r="K48" i="105"/>
  <c r="J47" i="105"/>
  <c r="K48" i="119"/>
  <c r="J47" i="119"/>
  <c r="K48" i="111"/>
  <c r="J47" i="111"/>
  <c r="K48" i="118"/>
  <c r="J47" i="118"/>
  <c r="K48" i="100"/>
  <c r="J47" i="100"/>
  <c r="K48" i="117"/>
  <c r="J47" i="117"/>
  <c r="M19" i="115"/>
  <c r="M29" i="101"/>
  <c r="M19" i="102"/>
  <c r="M41" i="111"/>
  <c r="M5" i="123"/>
  <c r="M31" i="102"/>
  <c r="G11" i="101"/>
  <c r="M11" i="101" s="1"/>
  <c r="F9" i="101"/>
  <c r="M31" i="103"/>
  <c r="M44" i="103"/>
  <c r="M30" i="104"/>
  <c r="M27" i="112"/>
  <c r="F13" i="119"/>
  <c r="G14" i="119"/>
  <c r="G13" i="119" s="1"/>
  <c r="M27" i="475"/>
  <c r="M12" i="110"/>
  <c r="M50" i="110"/>
  <c r="F15" i="121"/>
  <c r="G16" i="121"/>
  <c r="G15" i="121" s="1"/>
  <c r="M38" i="114"/>
  <c r="F13" i="100"/>
  <c r="G14" i="100"/>
  <c r="G13" i="100" s="1"/>
  <c r="F9" i="472"/>
  <c r="F15" i="111"/>
  <c r="G16" i="111"/>
  <c r="G15" i="111" s="1"/>
  <c r="M19" i="106"/>
  <c r="G14" i="116"/>
  <c r="G13" i="116" s="1"/>
  <c r="F13" i="116"/>
  <c r="M36" i="110"/>
  <c r="M33" i="125"/>
  <c r="F52" i="120"/>
  <c r="D50" i="420" s="1"/>
  <c r="G53" i="120"/>
  <c r="F9" i="103"/>
  <c r="M75" i="114"/>
  <c r="M70" i="103"/>
  <c r="M32" i="101"/>
  <c r="M57" i="107"/>
  <c r="G16" i="124"/>
  <c r="G15" i="124" s="1"/>
  <c r="F15" i="124"/>
  <c r="G53" i="112"/>
  <c r="G52" i="112" s="1"/>
  <c r="F52" i="112"/>
  <c r="M37" i="122"/>
  <c r="M22" i="107"/>
  <c r="M22" i="114"/>
  <c r="M23" i="107"/>
  <c r="M29" i="110"/>
  <c r="M38" i="472"/>
  <c r="M35" i="124"/>
  <c r="M33" i="106"/>
  <c r="M33" i="472"/>
  <c r="M30" i="475"/>
  <c r="G78" i="107"/>
  <c r="F77" i="107"/>
  <c r="F52" i="122"/>
  <c r="G53" i="122"/>
  <c r="G52" i="122" s="1"/>
  <c r="M76" i="475"/>
  <c r="F9" i="107"/>
  <c r="G9" i="125"/>
  <c r="F62" i="125"/>
  <c r="F52" i="125"/>
  <c r="M37" i="102"/>
  <c r="F15" i="117"/>
  <c r="K11" i="118"/>
  <c r="D4" i="683" s="1"/>
  <c r="G14" i="107"/>
  <c r="G13" i="107" s="1"/>
  <c r="G78" i="101"/>
  <c r="F77" i="101"/>
  <c r="G14" i="124"/>
  <c r="G13" i="124" s="1"/>
  <c r="F13" i="124"/>
  <c r="M34" i="104"/>
  <c r="M39" i="101"/>
  <c r="M39" i="123"/>
  <c r="M28" i="472"/>
  <c r="M12" i="123"/>
  <c r="F9" i="123"/>
  <c r="M26" i="106"/>
  <c r="M39" i="104"/>
  <c r="M30" i="112"/>
  <c r="M30" i="119"/>
  <c r="M26" i="475"/>
  <c r="M76" i="107"/>
  <c r="F62" i="101"/>
  <c r="M21" i="107"/>
  <c r="M33" i="112"/>
  <c r="M30" i="116"/>
  <c r="M76" i="472"/>
  <c r="G78" i="122"/>
  <c r="F77" i="122"/>
  <c r="M32" i="104"/>
  <c r="M29" i="112"/>
  <c r="M32" i="115"/>
  <c r="M58" i="116"/>
  <c r="M36" i="105"/>
  <c r="M76" i="123"/>
  <c r="G78" i="102"/>
  <c r="F77" i="102"/>
  <c r="F52" i="119"/>
  <c r="M32" i="102"/>
  <c r="F77" i="118"/>
  <c r="G67" i="119"/>
  <c r="G65" i="119" s="1"/>
  <c r="F15" i="107"/>
  <c r="M12" i="101"/>
  <c r="M39" i="121"/>
  <c r="G9" i="103"/>
  <c r="M37" i="117"/>
  <c r="M39" i="122"/>
  <c r="F52" i="116"/>
  <c r="G53" i="116"/>
  <c r="G52" i="116" s="1"/>
  <c r="M43" i="110"/>
  <c r="M72" i="103"/>
  <c r="M30" i="115"/>
  <c r="F13" i="121"/>
  <c r="G14" i="121"/>
  <c r="G13" i="121" s="1"/>
  <c r="M34" i="472"/>
  <c r="M70" i="106"/>
  <c r="G78" i="120"/>
  <c r="F77" i="120"/>
  <c r="G9" i="107"/>
  <c r="G20" i="119"/>
  <c r="M20" i="119" s="1"/>
  <c r="F17" i="119"/>
  <c r="M22" i="125"/>
  <c r="M19" i="104"/>
  <c r="M29" i="114"/>
  <c r="M21" i="115"/>
  <c r="M35" i="115"/>
  <c r="G11" i="108"/>
  <c r="F9" i="108"/>
  <c r="F9" i="120"/>
  <c r="M36" i="104"/>
  <c r="M33" i="475"/>
  <c r="M34" i="116"/>
  <c r="M22" i="112"/>
  <c r="M28" i="117"/>
  <c r="M71" i="122"/>
  <c r="D71" i="736"/>
  <c r="F9" i="121"/>
  <c r="M28" i="124"/>
  <c r="G17" i="112"/>
  <c r="M6" i="107"/>
  <c r="M5" i="107" s="1"/>
  <c r="G64" i="101"/>
  <c r="F13" i="101"/>
  <c r="G16" i="104"/>
  <c r="G15" i="104" s="1"/>
  <c r="M42" i="101"/>
  <c r="M56" i="122"/>
  <c r="M76" i="104"/>
  <c r="M76" i="116"/>
  <c r="G78" i="125"/>
  <c r="F77" i="125"/>
  <c r="M28" i="103"/>
  <c r="M22" i="124"/>
  <c r="M74" i="124"/>
  <c r="M20" i="125"/>
  <c r="M42" i="121"/>
  <c r="M49" i="110"/>
  <c r="M20" i="110"/>
  <c r="M61" i="472"/>
  <c r="M72" i="117"/>
  <c r="M38" i="111"/>
  <c r="F9" i="125"/>
  <c r="M29" i="102"/>
  <c r="M28" i="102"/>
  <c r="M44" i="115"/>
  <c r="M54" i="114"/>
  <c r="M66" i="101"/>
  <c r="M36" i="115"/>
  <c r="M36" i="116"/>
  <c r="M39" i="475"/>
  <c r="M34" i="117"/>
  <c r="M28" i="123"/>
  <c r="M12" i="107"/>
  <c r="M35" i="112"/>
  <c r="M29" i="119"/>
  <c r="M42" i="119"/>
  <c r="M39" i="106"/>
  <c r="M39" i="472"/>
  <c r="M27" i="115"/>
  <c r="M27" i="116"/>
  <c r="M36" i="475"/>
  <c r="M23" i="106"/>
  <c r="M29" i="125"/>
  <c r="M31" i="475"/>
  <c r="G78" i="124"/>
  <c r="F77" i="124"/>
  <c r="G64" i="125"/>
  <c r="G62" i="125" s="1"/>
  <c r="F15" i="123"/>
  <c r="M20" i="102"/>
  <c r="G78" i="110"/>
  <c r="F77" i="110"/>
  <c r="M12" i="472"/>
  <c r="M28" i="475"/>
  <c r="G78" i="117"/>
  <c r="F77" i="117"/>
  <c r="G78" i="121"/>
  <c r="F77" i="121"/>
  <c r="M26" i="472"/>
  <c r="M29" i="107"/>
  <c r="M39" i="102"/>
  <c r="M54" i="105"/>
  <c r="M33" i="117"/>
  <c r="M49" i="125"/>
  <c r="M43" i="119"/>
  <c r="M28" i="122"/>
  <c r="M29" i="105"/>
  <c r="M35" i="114"/>
  <c r="M49" i="119"/>
  <c r="M39" i="125"/>
  <c r="M50" i="105"/>
  <c r="M61" i="104"/>
  <c r="M51" i="101"/>
  <c r="M42" i="104"/>
  <c r="M54" i="107"/>
  <c r="M30" i="106"/>
  <c r="M54" i="117"/>
  <c r="M38" i="104"/>
  <c r="M32" i="106"/>
  <c r="M35" i="110"/>
  <c r="M38" i="115"/>
  <c r="M50" i="112"/>
  <c r="M20" i="103"/>
  <c r="M58" i="114"/>
  <c r="M32" i="475"/>
  <c r="M64" i="121"/>
  <c r="M44" i="121"/>
  <c r="M37" i="112"/>
  <c r="M27" i="102"/>
  <c r="M25" i="102"/>
  <c r="K52" i="102"/>
  <c r="G78" i="112"/>
  <c r="F77" i="112"/>
  <c r="M44" i="114"/>
  <c r="M12" i="108"/>
  <c r="G78" i="472"/>
  <c r="F77" i="472"/>
  <c r="G65" i="110"/>
  <c r="M37" i="104"/>
  <c r="F9" i="114"/>
  <c r="F77" i="123"/>
  <c r="M32" i="110"/>
  <c r="M54" i="112"/>
  <c r="M31" i="116"/>
  <c r="M24" i="124"/>
  <c r="M32" i="117"/>
  <c r="M11" i="125"/>
  <c r="G53" i="125"/>
  <c r="G52" i="125" s="1"/>
  <c r="K65" i="108"/>
  <c r="G78" i="475"/>
  <c r="F77" i="475"/>
  <c r="M20" i="111"/>
  <c r="F62" i="106"/>
  <c r="G78" i="106"/>
  <c r="F77" i="106"/>
  <c r="G78" i="108"/>
  <c r="F77" i="108"/>
  <c r="G78" i="116"/>
  <c r="F77" i="116"/>
  <c r="G52" i="119"/>
  <c r="M37" i="475"/>
  <c r="M20" i="104"/>
  <c r="M35" i="123"/>
  <c r="M38" i="125"/>
  <c r="M31" i="114"/>
  <c r="M24" i="105"/>
  <c r="M27" i="122"/>
  <c r="M34" i="122"/>
  <c r="F62" i="105"/>
  <c r="M27" i="472"/>
  <c r="M32" i="103"/>
  <c r="M29" i="104"/>
  <c r="M30" i="121"/>
  <c r="G78" i="114"/>
  <c r="F77" i="114"/>
  <c r="M54" i="101"/>
  <c r="M12" i="475"/>
  <c r="M28" i="105"/>
  <c r="M19" i="472"/>
  <c r="M22" i="119"/>
  <c r="M35" i="103"/>
  <c r="M49" i="107"/>
  <c r="M24" i="117"/>
  <c r="M59" i="122"/>
  <c r="M60" i="106"/>
  <c r="M11" i="107"/>
  <c r="M19" i="103"/>
  <c r="F62" i="108"/>
  <c r="G78" i="104"/>
  <c r="F77" i="104"/>
  <c r="G78" i="111"/>
  <c r="F77" i="111"/>
  <c r="G78" i="115"/>
  <c r="F77" i="115"/>
  <c r="M6" i="101"/>
  <c r="AC2" i="59"/>
  <c r="G78" i="103"/>
  <c r="F77" i="103"/>
  <c r="G78" i="105"/>
  <c r="F77" i="105"/>
  <c r="M11" i="100"/>
  <c r="F40" i="100"/>
  <c r="M34" i="475"/>
  <c r="M50" i="102"/>
  <c r="G65" i="105"/>
  <c r="F65" i="107"/>
  <c r="M25" i="111"/>
  <c r="M26" i="111"/>
  <c r="M24" i="112"/>
  <c r="M30" i="123"/>
  <c r="M35" i="122"/>
  <c r="M75" i="116"/>
  <c r="M37" i="111"/>
  <c r="G78" i="100"/>
  <c r="F77" i="100"/>
  <c r="K78" i="121"/>
  <c r="J77" i="121"/>
  <c r="K78" i="123"/>
  <c r="J77" i="123"/>
  <c r="K78" i="107"/>
  <c r="J77" i="107"/>
  <c r="K78" i="111"/>
  <c r="J77" i="111"/>
  <c r="K78" i="475"/>
  <c r="J77" i="475"/>
  <c r="K78" i="105"/>
  <c r="J77" i="105"/>
  <c r="K78" i="106"/>
  <c r="J77" i="106"/>
  <c r="K78" i="102"/>
  <c r="J77" i="102"/>
  <c r="K78" i="122"/>
  <c r="J77" i="122"/>
  <c r="K78" i="118"/>
  <c r="J77" i="118"/>
  <c r="K78" i="110"/>
  <c r="J77" i="110"/>
  <c r="K78" i="117"/>
  <c r="J77" i="117"/>
  <c r="K78" i="472"/>
  <c r="J77" i="472"/>
  <c r="K78" i="104"/>
  <c r="J77" i="104"/>
  <c r="K78" i="115"/>
  <c r="J77" i="115"/>
  <c r="K78" i="103"/>
  <c r="J77" i="103"/>
  <c r="K78" i="108"/>
  <c r="J77" i="108"/>
  <c r="K78" i="116"/>
  <c r="J77" i="116"/>
  <c r="J77" i="59"/>
  <c r="K78" i="101"/>
  <c r="J77" i="101"/>
  <c r="K78" i="100"/>
  <c r="J77" i="100"/>
  <c r="K78" i="120"/>
  <c r="J77" i="120"/>
  <c r="K78" i="125"/>
  <c r="J77" i="125"/>
  <c r="K78" i="112"/>
  <c r="J77" i="112"/>
  <c r="K78" i="114"/>
  <c r="J77" i="114"/>
  <c r="K78" i="124"/>
  <c r="J77" i="124"/>
  <c r="K78" i="119"/>
  <c r="J77" i="119"/>
  <c r="K65" i="475"/>
  <c r="M36" i="117"/>
  <c r="K14" i="121"/>
  <c r="M41" i="106"/>
  <c r="K52" i="112"/>
  <c r="K14" i="101"/>
  <c r="K13" i="101" s="1"/>
  <c r="K12" i="115"/>
  <c r="J52" i="112"/>
  <c r="J9" i="475"/>
  <c r="M34" i="114"/>
  <c r="M50" i="125"/>
  <c r="M29" i="123"/>
  <c r="M75" i="121"/>
  <c r="M29" i="124"/>
  <c r="M73" i="105"/>
  <c r="M73" i="102"/>
  <c r="M76" i="125"/>
  <c r="M75" i="119"/>
  <c r="F68" i="108"/>
  <c r="M71" i="111"/>
  <c r="J15" i="104"/>
  <c r="M67" i="475"/>
  <c r="M72" i="111"/>
  <c r="M72" i="112"/>
  <c r="M71" i="106"/>
  <c r="M71" i="472"/>
  <c r="M70" i="472"/>
  <c r="M76" i="114"/>
  <c r="M76" i="124"/>
  <c r="M76" i="119"/>
  <c r="M70" i="123"/>
  <c r="M70" i="475"/>
  <c r="M71" i="110"/>
  <c r="M71" i="119"/>
  <c r="M75" i="122"/>
  <c r="M38" i="102"/>
  <c r="M76" i="112"/>
  <c r="M70" i="115"/>
  <c r="M71" i="124"/>
  <c r="M74" i="114"/>
  <c r="M74" i="475"/>
  <c r="M74" i="111"/>
  <c r="F68" i="124"/>
  <c r="M73" i="110"/>
  <c r="M73" i="117"/>
  <c r="M72" i="472"/>
  <c r="G68" i="124"/>
  <c r="F68" i="100"/>
  <c r="M71" i="112"/>
  <c r="M71" i="117"/>
  <c r="M76" i="103"/>
  <c r="M76" i="105"/>
  <c r="M75" i="106"/>
  <c r="M71" i="123"/>
  <c r="M76" i="106"/>
  <c r="M74" i="122"/>
  <c r="M74" i="119"/>
  <c r="M72" i="116"/>
  <c r="M73" i="115"/>
  <c r="M73" i="116"/>
  <c r="M72" i="124"/>
  <c r="M72" i="123"/>
  <c r="G68" i="103"/>
  <c r="M70" i="125"/>
  <c r="F65" i="115"/>
  <c r="M20" i="105"/>
  <c r="M54" i="102"/>
  <c r="F65" i="116"/>
  <c r="M66" i="111"/>
  <c r="M66" i="116"/>
  <c r="F65" i="110"/>
  <c r="G65" i="116"/>
  <c r="M66" i="119"/>
  <c r="F65" i="120"/>
  <c r="G65" i="123"/>
  <c r="G65" i="125"/>
  <c r="G64" i="106"/>
  <c r="G62" i="106" s="1"/>
  <c r="M63" i="114"/>
  <c r="M63" i="119"/>
  <c r="F62" i="103"/>
  <c r="M63" i="101"/>
  <c r="M63" i="117"/>
  <c r="F62" i="117"/>
  <c r="F62" i="114"/>
  <c r="G62" i="103"/>
  <c r="G62" i="123"/>
  <c r="F62" i="123"/>
  <c r="K65" i="117"/>
  <c r="M32" i="116"/>
  <c r="M72" i="125"/>
  <c r="M58" i="110"/>
  <c r="M58" i="105"/>
  <c r="M58" i="125"/>
  <c r="M58" i="107"/>
  <c r="M58" i="123"/>
  <c r="M58" i="122"/>
  <c r="J15" i="102"/>
  <c r="M61" i="107"/>
  <c r="M59" i="121"/>
  <c r="M61" i="475"/>
  <c r="M59" i="105"/>
  <c r="M60" i="102"/>
  <c r="M59" i="119"/>
  <c r="M59" i="101"/>
  <c r="M59" i="123"/>
  <c r="M61" i="122"/>
  <c r="M61" i="111"/>
  <c r="M28" i="111"/>
  <c r="M60" i="104"/>
  <c r="M59" i="112"/>
  <c r="M60" i="111"/>
  <c r="M60" i="121"/>
  <c r="M61" i="121"/>
  <c r="M59" i="108"/>
  <c r="M61" i="105"/>
  <c r="M61" i="123"/>
  <c r="M59" i="111"/>
  <c r="M60" i="101"/>
  <c r="M53" i="108"/>
  <c r="M38" i="101"/>
  <c r="F55" i="107"/>
  <c r="F55" i="104"/>
  <c r="F55" i="114"/>
  <c r="M57" i="117"/>
  <c r="G55" i="117"/>
  <c r="G55" i="114"/>
  <c r="G55" i="122"/>
  <c r="G55" i="103"/>
  <c r="F55" i="122"/>
  <c r="G56" i="104"/>
  <c r="M56" i="104" s="1"/>
  <c r="G56" i="107"/>
  <c r="M56" i="107" s="1"/>
  <c r="F55" i="475"/>
  <c r="M56" i="117"/>
  <c r="M56" i="123"/>
  <c r="M54" i="122"/>
  <c r="M54" i="119"/>
  <c r="M54" i="104"/>
  <c r="F52" i="100"/>
  <c r="G53" i="475"/>
  <c r="G52" i="475" s="1"/>
  <c r="M51" i="475"/>
  <c r="M37" i="120"/>
  <c r="M31" i="125"/>
  <c r="M31" i="121"/>
  <c r="M51" i="114"/>
  <c r="M58" i="121"/>
  <c r="M51" i="107"/>
  <c r="M51" i="112"/>
  <c r="M51" i="119"/>
  <c r="M50" i="101"/>
  <c r="M50" i="107"/>
  <c r="M50" i="119"/>
  <c r="M49" i="103"/>
  <c r="M49" i="121"/>
  <c r="M49" i="123"/>
  <c r="M69" i="107"/>
  <c r="M49" i="101"/>
  <c r="M49" i="104"/>
  <c r="M49" i="105"/>
  <c r="M49" i="112"/>
  <c r="M20" i="472"/>
  <c r="M44" i="105"/>
  <c r="M72" i="114"/>
  <c r="M27" i="103"/>
  <c r="M24" i="104"/>
  <c r="M21" i="112"/>
  <c r="M30" i="122"/>
  <c r="K52" i="101"/>
  <c r="M37" i="114"/>
  <c r="M43" i="123"/>
  <c r="M60" i="105"/>
  <c r="M22" i="121"/>
  <c r="K52" i="472"/>
  <c r="J9" i="103"/>
  <c r="J15" i="100"/>
  <c r="J9" i="101"/>
  <c r="J15" i="115"/>
  <c r="M44" i="117"/>
  <c r="F40" i="124"/>
  <c r="M43" i="112"/>
  <c r="J15" i="123"/>
  <c r="M54" i="111"/>
  <c r="M75" i="103"/>
  <c r="M59" i="103"/>
  <c r="M33" i="124"/>
  <c r="M76" i="115"/>
  <c r="M25" i="104"/>
  <c r="M25" i="115"/>
  <c r="M43" i="125"/>
  <c r="M59" i="104"/>
  <c r="M36" i="112"/>
  <c r="M30" i="114"/>
  <c r="M58" i="102"/>
  <c r="K14" i="104"/>
  <c r="K13" i="104" s="1"/>
  <c r="M49" i="108"/>
  <c r="K15" i="102"/>
  <c r="M25" i="108"/>
  <c r="J52" i="105"/>
  <c r="K12" i="124"/>
  <c r="J15" i="121"/>
  <c r="M72" i="106"/>
  <c r="M72" i="110"/>
  <c r="M74" i="101"/>
  <c r="M41" i="104"/>
  <c r="M76" i="108"/>
  <c r="M60" i="115"/>
  <c r="M31" i="108"/>
  <c r="M37" i="116"/>
  <c r="M57" i="123"/>
  <c r="K12" i="120"/>
  <c r="M50" i="108"/>
  <c r="M58" i="108"/>
  <c r="M28" i="108"/>
  <c r="M71" i="108"/>
  <c r="M70" i="108"/>
  <c r="M39" i="108"/>
  <c r="F40" i="116"/>
  <c r="J33" i="674"/>
  <c r="M43" i="117"/>
  <c r="M41" i="475"/>
  <c r="M43" i="103"/>
  <c r="M44" i="116"/>
  <c r="M42" i="123"/>
  <c r="M44" i="124"/>
  <c r="M44" i="123"/>
  <c r="M43" i="114"/>
  <c r="M36" i="119"/>
  <c r="M42" i="112"/>
  <c r="G41" i="100"/>
  <c r="G40" i="100" s="1"/>
  <c r="G40" i="101"/>
  <c r="J15" i="116"/>
  <c r="M23" i="102"/>
  <c r="K65" i="111"/>
  <c r="K52" i="124"/>
  <c r="G64" i="111"/>
  <c r="G62" i="111" s="1"/>
  <c r="F62" i="111"/>
  <c r="M7" i="125"/>
  <c r="M74" i="102"/>
  <c r="J13" i="116"/>
  <c r="K14" i="116"/>
  <c r="G64" i="475"/>
  <c r="F62" i="475"/>
  <c r="G66" i="103"/>
  <c r="G65" i="103" s="1"/>
  <c r="F65" i="103"/>
  <c r="G14" i="123"/>
  <c r="G13" i="123" s="1"/>
  <c r="F13" i="123"/>
  <c r="G63" i="122"/>
  <c r="G62" i="122" s="1"/>
  <c r="F62" i="122"/>
  <c r="F62" i="124"/>
  <c r="G64" i="124"/>
  <c r="G62" i="124" s="1"/>
  <c r="F13" i="108"/>
  <c r="G14" i="108"/>
  <c r="M16" i="104"/>
  <c r="M15" i="104" s="1"/>
  <c r="G5" i="124"/>
  <c r="K12" i="104"/>
  <c r="J9" i="104"/>
  <c r="G49" i="472"/>
  <c r="M49" i="472" s="1"/>
  <c r="F52" i="105"/>
  <c r="G53" i="105"/>
  <c r="G52" i="105" s="1"/>
  <c r="F52" i="124"/>
  <c r="G53" i="124"/>
  <c r="M53" i="124" s="1"/>
  <c r="K50" i="121"/>
  <c r="K79" i="116"/>
  <c r="G10" i="112"/>
  <c r="G9" i="112" s="1"/>
  <c r="F9" i="112"/>
  <c r="G11" i="110"/>
  <c r="M11" i="110" s="1"/>
  <c r="F9" i="110"/>
  <c r="K54" i="115"/>
  <c r="J52" i="115"/>
  <c r="D8" i="736"/>
  <c r="AI10" i="59"/>
  <c r="G46" i="102"/>
  <c r="G45" i="102" s="1"/>
  <c r="G62" i="101"/>
  <c r="M64" i="101"/>
  <c r="G5" i="100"/>
  <c r="M6" i="100"/>
  <c r="M44" i="104"/>
  <c r="M42" i="110"/>
  <c r="M24" i="101"/>
  <c r="G53" i="104"/>
  <c r="G52" i="104" s="1"/>
  <c r="F52" i="104"/>
  <c r="F52" i="106"/>
  <c r="G53" i="106"/>
  <c r="G52" i="106" s="1"/>
  <c r="M73" i="108"/>
  <c r="M73" i="111"/>
  <c r="M73" i="472"/>
  <c r="M25" i="101"/>
  <c r="G67" i="104"/>
  <c r="G65" i="104" s="1"/>
  <c r="F65" i="104"/>
  <c r="M71" i="101"/>
  <c r="M44" i="101"/>
  <c r="M74" i="105"/>
  <c r="M74" i="112"/>
  <c r="M21" i="101"/>
  <c r="M39" i="105"/>
  <c r="M27" i="107"/>
  <c r="M24" i="108"/>
  <c r="G66" i="112"/>
  <c r="G65" i="112" s="1"/>
  <c r="F65" i="112"/>
  <c r="M39" i="114"/>
  <c r="G49" i="115"/>
  <c r="M49" i="115" s="1"/>
  <c r="M39" i="124"/>
  <c r="M39" i="117"/>
  <c r="M56" i="125"/>
  <c r="F52" i="107"/>
  <c r="G53" i="107"/>
  <c r="G52" i="107" s="1"/>
  <c r="M73" i="112"/>
  <c r="M25" i="107"/>
  <c r="M34" i="103"/>
  <c r="M34" i="105"/>
  <c r="M28" i="107"/>
  <c r="M28" i="112"/>
  <c r="M25" i="472"/>
  <c r="M28" i="114"/>
  <c r="M34" i="124"/>
  <c r="G46" i="117"/>
  <c r="G45" i="117" s="1"/>
  <c r="M28" i="119"/>
  <c r="M37" i="125"/>
  <c r="F62" i="115"/>
  <c r="G64" i="115"/>
  <c r="G62" i="115" s="1"/>
  <c r="M54" i="121"/>
  <c r="M71" i="125"/>
  <c r="M35" i="105"/>
  <c r="M35" i="107"/>
  <c r="M38" i="108"/>
  <c r="G58" i="472"/>
  <c r="M58" i="472" s="1"/>
  <c r="F55" i="472"/>
  <c r="M26" i="125"/>
  <c r="M23" i="475"/>
  <c r="M37" i="123"/>
  <c r="G69" i="119"/>
  <c r="G68" i="119" s="1"/>
  <c r="F68" i="119"/>
  <c r="M69" i="121"/>
  <c r="M34" i="108"/>
  <c r="M18" i="103"/>
  <c r="M66" i="104"/>
  <c r="M36" i="114"/>
  <c r="M30" i="124"/>
  <c r="M30" i="117"/>
  <c r="M56" i="119"/>
  <c r="M66" i="122"/>
  <c r="M59" i="125"/>
  <c r="G55" i="475"/>
  <c r="M31" i="119"/>
  <c r="M37" i="121"/>
  <c r="M54" i="106"/>
  <c r="M73" i="122"/>
  <c r="M57" i="105"/>
  <c r="F65" i="106"/>
  <c r="G67" i="106"/>
  <c r="G65" i="106" s="1"/>
  <c r="M26" i="105"/>
  <c r="M26" i="107"/>
  <c r="M26" i="110"/>
  <c r="M26" i="112"/>
  <c r="M20" i="114"/>
  <c r="M61" i="115"/>
  <c r="M51" i="117"/>
  <c r="M44" i="119"/>
  <c r="G11" i="105"/>
  <c r="M11" i="105" s="1"/>
  <c r="F9" i="105"/>
  <c r="G14" i="102"/>
  <c r="G13" i="102" s="1"/>
  <c r="F13" i="102"/>
  <c r="G5" i="110"/>
  <c r="M6" i="110"/>
  <c r="M5" i="110" s="1"/>
  <c r="M42" i="105"/>
  <c r="F15" i="110"/>
  <c r="G16" i="110"/>
  <c r="G15" i="110" s="1"/>
  <c r="G63" i="112"/>
  <c r="M63" i="112" s="1"/>
  <c r="F62" i="112"/>
  <c r="G62" i="100"/>
  <c r="M43" i="102"/>
  <c r="G66" i="114"/>
  <c r="G65" i="114" s="1"/>
  <c r="F65" i="114"/>
  <c r="G46" i="114"/>
  <c r="G45" i="114" s="1"/>
  <c r="M57" i="125"/>
  <c r="F62" i="120"/>
  <c r="G20" i="115"/>
  <c r="M20" i="115" s="1"/>
  <c r="F17" i="115"/>
  <c r="M32" i="122"/>
  <c r="F68" i="117"/>
  <c r="G69" i="117"/>
  <c r="G68" i="117" s="1"/>
  <c r="M44" i="122"/>
  <c r="M27" i="104"/>
  <c r="F13" i="472"/>
  <c r="G14" i="472"/>
  <c r="G13" i="472" s="1"/>
  <c r="G49" i="124"/>
  <c r="M49" i="124" s="1"/>
  <c r="G49" i="475"/>
  <c r="M49" i="475" s="1"/>
  <c r="G63" i="121"/>
  <c r="G62" i="121" s="1"/>
  <c r="F62" i="121"/>
  <c r="G68" i="116"/>
  <c r="M35" i="111"/>
  <c r="M75" i="110"/>
  <c r="G54" i="103"/>
  <c r="G52" i="103" s="1"/>
  <c r="F52" i="103"/>
  <c r="M66" i="105"/>
  <c r="G56" i="106"/>
  <c r="G55" i="106" s="1"/>
  <c r="F55" i="106"/>
  <c r="M39" i="107"/>
  <c r="M39" i="110"/>
  <c r="M66" i="124"/>
  <c r="F13" i="117"/>
  <c r="G14" i="117"/>
  <c r="G13" i="117" s="1"/>
  <c r="M66" i="117"/>
  <c r="M21" i="475"/>
  <c r="G57" i="112"/>
  <c r="M57" i="112" s="1"/>
  <c r="F55" i="112"/>
  <c r="M76" i="122"/>
  <c r="G16" i="116"/>
  <c r="F15" i="116"/>
  <c r="M60" i="103"/>
  <c r="M60" i="107"/>
  <c r="G16" i="119"/>
  <c r="G15" i="119" s="1"/>
  <c r="F15" i="119"/>
  <c r="G74" i="123"/>
  <c r="C57" i="683" s="1"/>
  <c r="F68" i="123"/>
  <c r="M35" i="106"/>
  <c r="M29" i="108"/>
  <c r="M29" i="472"/>
  <c r="M32" i="124"/>
  <c r="M35" i="116"/>
  <c r="K79" i="117"/>
  <c r="M29" i="122"/>
  <c r="M51" i="123"/>
  <c r="G68" i="122"/>
  <c r="M71" i="105"/>
  <c r="G67" i="107"/>
  <c r="G65" i="107" s="1"/>
  <c r="G64" i="117"/>
  <c r="G62" i="117" s="1"/>
  <c r="F13" i="115"/>
  <c r="G16" i="101"/>
  <c r="G15" i="101" s="1"/>
  <c r="G70" i="112"/>
  <c r="G68" i="112" s="1"/>
  <c r="F68" i="112"/>
  <c r="M33" i="101"/>
  <c r="M24" i="472"/>
  <c r="M39" i="119"/>
  <c r="M37" i="107"/>
  <c r="M73" i="101"/>
  <c r="F52" i="121"/>
  <c r="G53" i="121"/>
  <c r="G52" i="121" s="1"/>
  <c r="M60" i="125"/>
  <c r="M50" i="106"/>
  <c r="M19" i="125"/>
  <c r="M61" i="119"/>
  <c r="M30" i="103"/>
  <c r="M27" i="108"/>
  <c r="M59" i="115"/>
  <c r="M32" i="114"/>
  <c r="M11" i="116"/>
  <c r="D51" i="736"/>
  <c r="G69" i="108"/>
  <c r="M69" i="108" s="1"/>
  <c r="G9" i="121"/>
  <c r="M31" i="111"/>
  <c r="M51" i="111"/>
  <c r="G63" i="107"/>
  <c r="G62" i="107" s="1"/>
  <c r="F62" i="107"/>
  <c r="M28" i="104"/>
  <c r="M21" i="114"/>
  <c r="M25" i="110"/>
  <c r="M63" i="472"/>
  <c r="M50" i="122"/>
  <c r="M69" i="124"/>
  <c r="M59" i="116"/>
  <c r="G46" i="122"/>
  <c r="G45" i="122" s="1"/>
  <c r="M70" i="114"/>
  <c r="M70" i="119"/>
  <c r="M7" i="112"/>
  <c r="M5" i="112" s="1"/>
  <c r="G5" i="115"/>
  <c r="F40" i="121"/>
  <c r="M64" i="123"/>
  <c r="F65" i="122"/>
  <c r="G67" i="122"/>
  <c r="G65" i="122" s="1"/>
  <c r="G46" i="116"/>
  <c r="M32" i="111"/>
  <c r="M21" i="105"/>
  <c r="M33" i="121"/>
  <c r="M31" i="110"/>
  <c r="M57" i="104"/>
  <c r="M50" i="115"/>
  <c r="M31" i="123"/>
  <c r="M71" i="116"/>
  <c r="M43" i="122"/>
  <c r="M58" i="106"/>
  <c r="M23" i="114"/>
  <c r="M29" i="121"/>
  <c r="M35" i="475"/>
  <c r="M18" i="114"/>
  <c r="M24" i="121"/>
  <c r="G46" i="120"/>
  <c r="M70" i="124"/>
  <c r="M63" i="123"/>
  <c r="M38" i="107"/>
  <c r="M38" i="112"/>
  <c r="M61" i="125"/>
  <c r="M58" i="475"/>
  <c r="M12" i="117"/>
  <c r="M75" i="125"/>
  <c r="M11" i="121"/>
  <c r="G16" i="125"/>
  <c r="G15" i="125" s="1"/>
  <c r="M56" i="101"/>
  <c r="F52" i="111"/>
  <c r="M7" i="115"/>
  <c r="G65" i="102"/>
  <c r="G53" i="111"/>
  <c r="G52" i="111" s="1"/>
  <c r="M44" i="106"/>
  <c r="M72" i="108"/>
  <c r="M53" i="472"/>
  <c r="M44" i="110"/>
  <c r="M75" i="115"/>
  <c r="M74" i="103"/>
  <c r="M33" i="105"/>
  <c r="M36" i="472"/>
  <c r="M33" i="114"/>
  <c r="G50" i="121"/>
  <c r="M57" i="475"/>
  <c r="M25" i="106"/>
  <c r="M41" i="121"/>
  <c r="M58" i="103"/>
  <c r="M20" i="107"/>
  <c r="M20" i="112"/>
  <c r="G17" i="123"/>
  <c r="G40" i="122"/>
  <c r="M72" i="104"/>
  <c r="F68" i="110"/>
  <c r="M72" i="115"/>
  <c r="K52" i="104"/>
  <c r="M57" i="103"/>
  <c r="M58" i="101"/>
  <c r="M44" i="107"/>
  <c r="M42" i="111"/>
  <c r="M75" i="472"/>
  <c r="M43" i="104"/>
  <c r="M74" i="107"/>
  <c r="M74" i="110"/>
  <c r="G40" i="115"/>
  <c r="M21" i="103"/>
  <c r="M36" i="106"/>
  <c r="M21" i="110"/>
  <c r="M49" i="116"/>
  <c r="M27" i="119"/>
  <c r="M59" i="475"/>
  <c r="M60" i="108"/>
  <c r="M71" i="114"/>
  <c r="M74" i="125"/>
  <c r="M73" i="103"/>
  <c r="M73" i="114"/>
  <c r="G70" i="120"/>
  <c r="F68" i="120"/>
  <c r="F40" i="122"/>
  <c r="M31" i="104"/>
  <c r="M60" i="110"/>
  <c r="M34" i="123"/>
  <c r="M74" i="117"/>
  <c r="G14" i="104"/>
  <c r="G13" i="104" s="1"/>
  <c r="F13" i="104"/>
  <c r="M51" i="104"/>
  <c r="M51" i="115"/>
  <c r="M61" i="124"/>
  <c r="M29" i="117"/>
  <c r="M35" i="119"/>
  <c r="M22" i="108"/>
  <c r="M50" i="475"/>
  <c r="G42" i="117"/>
  <c r="M42" i="117" s="1"/>
  <c r="F40" i="117"/>
  <c r="M75" i="123"/>
  <c r="M31" i="117"/>
  <c r="M21" i="104"/>
  <c r="F17" i="105"/>
  <c r="G18" i="105"/>
  <c r="G17" i="105" s="1"/>
  <c r="M56" i="105"/>
  <c r="M66" i="106"/>
  <c r="M18" i="110"/>
  <c r="M59" i="472"/>
  <c r="M33" i="115"/>
  <c r="M73" i="125"/>
  <c r="M19" i="105"/>
  <c r="M50" i="117"/>
  <c r="M19" i="475"/>
  <c r="M74" i="115"/>
  <c r="M35" i="125"/>
  <c r="M72" i="121"/>
  <c r="M42" i="125"/>
  <c r="G68" i="110"/>
  <c r="M35" i="102"/>
  <c r="M41" i="102"/>
  <c r="M44" i="472"/>
  <c r="F40" i="107"/>
  <c r="F65" i="102"/>
  <c r="M22" i="104"/>
  <c r="M72" i="101"/>
  <c r="F62" i="104"/>
  <c r="M12" i="111"/>
  <c r="M43" i="472"/>
  <c r="F17" i="472"/>
  <c r="M59" i="114"/>
  <c r="F55" i="115"/>
  <c r="G55" i="116"/>
  <c r="M59" i="117"/>
  <c r="M24" i="122"/>
  <c r="M19" i="112"/>
  <c r="F52" i="101"/>
  <c r="M70" i="122"/>
  <c r="M60" i="472"/>
  <c r="M41" i="472"/>
  <c r="M50" i="116"/>
  <c r="M34" i="119"/>
  <c r="M61" i="103"/>
  <c r="M51" i="108"/>
  <c r="M24" i="103"/>
  <c r="M49" i="114"/>
  <c r="M36" i="124"/>
  <c r="M49" i="117"/>
  <c r="M66" i="125"/>
  <c r="M57" i="119"/>
  <c r="K40" i="121"/>
  <c r="G11" i="475"/>
  <c r="M11" i="475" s="1"/>
  <c r="F9" i="475"/>
  <c r="M22" i="106"/>
  <c r="M29" i="106"/>
  <c r="M29" i="116"/>
  <c r="M58" i="117"/>
  <c r="M42" i="116"/>
  <c r="M72" i="119"/>
  <c r="M36" i="111"/>
  <c r="M76" i="102"/>
  <c r="M42" i="103"/>
  <c r="M75" i="107"/>
  <c r="M44" i="111"/>
  <c r="M72" i="105"/>
  <c r="M33" i="103"/>
  <c r="M59" i="107"/>
  <c r="M59" i="110"/>
  <c r="M24" i="115"/>
  <c r="M21" i="124"/>
  <c r="G8" i="736"/>
  <c r="M36" i="122"/>
  <c r="M30" i="125"/>
  <c r="M63" i="104"/>
  <c r="M63" i="115"/>
  <c r="M57" i="114"/>
  <c r="M43" i="124"/>
  <c r="K65" i="107"/>
  <c r="M60" i="112"/>
  <c r="M60" i="114"/>
  <c r="M60" i="119"/>
  <c r="M74" i="108"/>
  <c r="M26" i="104"/>
  <c r="M20" i="106"/>
  <c r="M20" i="108"/>
  <c r="M23" i="110"/>
  <c r="M23" i="112"/>
  <c r="M26" i="115"/>
  <c r="M22" i="116"/>
  <c r="M75" i="117"/>
  <c r="M72" i="122"/>
  <c r="M25" i="114"/>
  <c r="M33" i="104"/>
  <c r="M30" i="107"/>
  <c r="M30" i="110"/>
  <c r="M24" i="119"/>
  <c r="M33" i="122"/>
  <c r="M27" i="125"/>
  <c r="M37" i="124"/>
  <c r="M74" i="104"/>
  <c r="M31" i="105"/>
  <c r="M34" i="106"/>
  <c r="M50" i="114"/>
  <c r="M37" i="119"/>
  <c r="M35" i="104"/>
  <c r="M35" i="472"/>
  <c r="M29" i="115"/>
  <c r="M51" i="124"/>
  <c r="M32" i="121"/>
  <c r="M20" i="475"/>
  <c r="M75" i="102"/>
  <c r="M24" i="116"/>
  <c r="M73" i="119"/>
  <c r="M73" i="475"/>
  <c r="M28" i="116"/>
  <c r="M25" i="475"/>
  <c r="M22" i="103"/>
  <c r="M28" i="110"/>
  <c r="M50" i="111"/>
  <c r="M57" i="472"/>
  <c r="M57" i="115"/>
  <c r="M22" i="117"/>
  <c r="M25" i="125"/>
  <c r="M67" i="115"/>
  <c r="M50" i="123"/>
  <c r="M71" i="121"/>
  <c r="M12" i="125"/>
  <c r="M29" i="103"/>
  <c r="M23" i="105"/>
  <c r="M32" i="472"/>
  <c r="M61" i="117"/>
  <c r="M35" i="121"/>
  <c r="M75" i="124"/>
  <c r="M36" i="103"/>
  <c r="M30" i="105"/>
  <c r="M27" i="106"/>
  <c r="M36" i="107"/>
  <c r="M33" i="108"/>
  <c r="M66" i="115"/>
  <c r="M36" i="121"/>
  <c r="M36" i="123"/>
  <c r="M44" i="475"/>
  <c r="M59" i="102"/>
  <c r="M71" i="102"/>
  <c r="M76" i="110"/>
  <c r="M57" i="101"/>
  <c r="M43" i="101"/>
  <c r="M42" i="106"/>
  <c r="M75" i="108"/>
  <c r="M39" i="103"/>
  <c r="M66" i="107"/>
  <c r="M30" i="472"/>
  <c r="M27" i="114"/>
  <c r="M27" i="124"/>
  <c r="M49" i="122"/>
  <c r="M36" i="125"/>
  <c r="M37" i="110"/>
  <c r="M70" i="102"/>
  <c r="M70" i="104"/>
  <c r="M73" i="121"/>
  <c r="M73" i="123"/>
  <c r="M28" i="115"/>
  <c r="M54" i="125"/>
  <c r="M34" i="110"/>
  <c r="M67" i="112"/>
  <c r="M60" i="116"/>
  <c r="M60" i="122"/>
  <c r="M43" i="105"/>
  <c r="M54" i="116"/>
  <c r="M76" i="117"/>
  <c r="M76" i="121"/>
  <c r="M37" i="105"/>
  <c r="M57" i="124"/>
  <c r="M51" i="103"/>
  <c r="M61" i="106"/>
  <c r="M61" i="108"/>
  <c r="M58" i="124"/>
  <c r="M61" i="116"/>
  <c r="M32" i="119"/>
  <c r="M51" i="121"/>
  <c r="K17" i="104"/>
  <c r="K52" i="117"/>
  <c r="J65" i="111"/>
  <c r="M64" i="108"/>
  <c r="J62" i="119"/>
  <c r="J68" i="115"/>
  <c r="M31" i="115"/>
  <c r="J65" i="122"/>
  <c r="J15" i="472"/>
  <c r="J9" i="117"/>
  <c r="K68" i="108"/>
  <c r="K15" i="472"/>
  <c r="K14" i="123"/>
  <c r="K13" i="123" s="1"/>
  <c r="K14" i="108"/>
  <c r="K13" i="108" s="1"/>
  <c r="J9" i="119"/>
  <c r="K62" i="101"/>
  <c r="K52" i="105"/>
  <c r="K65" i="122"/>
  <c r="K62" i="124"/>
  <c r="K62" i="120"/>
  <c r="K62" i="119"/>
  <c r="J15" i="119"/>
  <c r="J15" i="124"/>
  <c r="J55" i="125"/>
  <c r="J9" i="123"/>
  <c r="M39" i="111"/>
  <c r="K67" i="472"/>
  <c r="K65" i="472" s="1"/>
  <c r="J65" i="472"/>
  <c r="K67" i="125"/>
  <c r="K65" i="125" s="1"/>
  <c r="J65" i="125"/>
  <c r="K79" i="119"/>
  <c r="K64" i="114"/>
  <c r="K62" i="114" s="1"/>
  <c r="J62" i="114"/>
  <c r="K14" i="106"/>
  <c r="K13" i="106" s="1"/>
  <c r="J9" i="102"/>
  <c r="K40" i="103"/>
  <c r="K14" i="120"/>
  <c r="K13" i="120" s="1"/>
  <c r="J62" i="124"/>
  <c r="K66" i="112"/>
  <c r="J65" i="112"/>
  <c r="K21" i="121"/>
  <c r="J17" i="121"/>
  <c r="K53" i="107"/>
  <c r="J52" i="107"/>
  <c r="K64" i="110"/>
  <c r="J62" i="110"/>
  <c r="M30" i="111"/>
  <c r="J13" i="112"/>
  <c r="K14" i="112"/>
  <c r="J13" i="475"/>
  <c r="K14" i="475"/>
  <c r="K41" i="122"/>
  <c r="K40" i="122" s="1"/>
  <c r="J40" i="122"/>
  <c r="K79" i="472"/>
  <c r="K69" i="125"/>
  <c r="J68" i="125"/>
  <c r="J40" i="121"/>
  <c r="K63" i="121"/>
  <c r="D48" i="683" s="1"/>
  <c r="J62" i="121"/>
  <c r="J52" i="101"/>
  <c r="K79" i="104"/>
  <c r="K42" i="120"/>
  <c r="J40" i="120"/>
  <c r="M16" i="475"/>
  <c r="M15" i="475" s="1"/>
  <c r="K68" i="110"/>
  <c r="K52" i="123"/>
  <c r="K65" i="124"/>
  <c r="K64" i="117"/>
  <c r="K62" i="117" s="1"/>
  <c r="J62" i="117"/>
  <c r="K14" i="472"/>
  <c r="M14" i="472" s="1"/>
  <c r="M13" i="472" s="1"/>
  <c r="J62" i="472"/>
  <c r="M21" i="111"/>
  <c r="K14" i="100"/>
  <c r="J62" i="120"/>
  <c r="J62" i="123"/>
  <c r="K53" i="106"/>
  <c r="J52" i="106"/>
  <c r="K12" i="106"/>
  <c r="J9" i="106"/>
  <c r="K16" i="108"/>
  <c r="K15" i="108" s="1"/>
  <c r="J15" i="108"/>
  <c r="K14" i="114"/>
  <c r="K13" i="114" s="1"/>
  <c r="K17" i="124"/>
  <c r="K14" i="111"/>
  <c r="K13" i="111" s="1"/>
  <c r="J52" i="123"/>
  <c r="J65" i="117"/>
  <c r="J9" i="472"/>
  <c r="J52" i="472"/>
  <c r="J65" i="475"/>
  <c r="K12" i="112"/>
  <c r="M64" i="119"/>
  <c r="K14" i="125"/>
  <c r="M14" i="125" s="1"/>
  <c r="M13" i="125" s="1"/>
  <c r="K14" i="117"/>
  <c r="J62" i="116"/>
  <c r="J15" i="120"/>
  <c r="J55" i="104"/>
  <c r="M43" i="111"/>
  <c r="M19" i="111"/>
  <c r="K68" i="107"/>
  <c r="K17" i="105"/>
  <c r="K40" i="475"/>
  <c r="J52" i="108"/>
  <c r="M37" i="103"/>
  <c r="M42" i="472"/>
  <c r="K68" i="115"/>
  <c r="K65" i="110"/>
  <c r="K17" i="117"/>
  <c r="K55" i="120"/>
  <c r="K40" i="125"/>
  <c r="M34" i="111"/>
  <c r="K40" i="472"/>
  <c r="K17" i="111"/>
  <c r="J40" i="110"/>
  <c r="M34" i="102"/>
  <c r="M33" i="111"/>
  <c r="K67" i="103"/>
  <c r="K65" i="103" s="1"/>
  <c r="J65" i="103"/>
  <c r="K52" i="475"/>
  <c r="M54" i="475"/>
  <c r="K70" i="117"/>
  <c r="J68" i="117"/>
  <c r="M63" i="105"/>
  <c r="K62" i="105"/>
  <c r="M63" i="106"/>
  <c r="K62" i="106"/>
  <c r="K51" i="116"/>
  <c r="K55" i="107"/>
  <c r="J68" i="122"/>
  <c r="K69" i="103"/>
  <c r="J68" i="103"/>
  <c r="J13" i="119"/>
  <c r="K14" i="119"/>
  <c r="J17" i="117"/>
  <c r="J65" i="119"/>
  <c r="K68" i="106"/>
  <c r="M69" i="106"/>
  <c r="K65" i="116"/>
  <c r="K69" i="475"/>
  <c r="J68" i="475"/>
  <c r="K21" i="116"/>
  <c r="J17" i="116"/>
  <c r="J40" i="108"/>
  <c r="J62" i="104"/>
  <c r="M22" i="105"/>
  <c r="K69" i="112"/>
  <c r="J68" i="112"/>
  <c r="K46" i="472"/>
  <c r="K53" i="103"/>
  <c r="J52" i="103"/>
  <c r="K53" i="114"/>
  <c r="J52" i="114"/>
  <c r="K56" i="103"/>
  <c r="J55" i="103"/>
  <c r="K67" i="106"/>
  <c r="K65" i="106" s="1"/>
  <c r="J65" i="106"/>
  <c r="K12" i="105"/>
  <c r="K40" i="104"/>
  <c r="K52" i="119"/>
  <c r="J65" i="114"/>
  <c r="K12" i="116"/>
  <c r="K12" i="114"/>
  <c r="M16" i="117"/>
  <c r="M15" i="117" s="1"/>
  <c r="J15" i="112"/>
  <c r="J17" i="115"/>
  <c r="J52" i="125"/>
  <c r="J62" i="103"/>
  <c r="J55" i="119"/>
  <c r="M51" i="105"/>
  <c r="M21" i="117"/>
  <c r="K67" i="104"/>
  <c r="J65" i="104"/>
  <c r="K17" i="110"/>
  <c r="K40" i="123"/>
  <c r="K62" i="116"/>
  <c r="M63" i="116"/>
  <c r="K40" i="124"/>
  <c r="K70" i="121"/>
  <c r="J68" i="121"/>
  <c r="K57" i="122"/>
  <c r="D43" i="683" s="1"/>
  <c r="J55" i="122"/>
  <c r="J62" i="106"/>
  <c r="D59" i="683"/>
  <c r="K41" i="114"/>
  <c r="M41" i="114" s="1"/>
  <c r="J40" i="114"/>
  <c r="K55" i="110"/>
  <c r="K53" i="120"/>
  <c r="K88" i="683" s="1"/>
  <c r="D118" i="683" s="1"/>
  <c r="J52" i="120"/>
  <c r="J15" i="125"/>
  <c r="J62" i="115"/>
  <c r="J68" i="116"/>
  <c r="K68" i="472"/>
  <c r="K56" i="121"/>
  <c r="J55" i="121"/>
  <c r="K55" i="115"/>
  <c r="M57" i="110"/>
  <c r="M28" i="121"/>
  <c r="K53" i="121"/>
  <c r="J52" i="121"/>
  <c r="K17" i="125"/>
  <c r="J40" i="115"/>
  <c r="K69" i="114"/>
  <c r="K68" i="114" s="1"/>
  <c r="J68" i="114"/>
  <c r="M63" i="103"/>
  <c r="K62" i="103"/>
  <c r="K63" i="102"/>
  <c r="K62" i="102" s="1"/>
  <c r="J62" i="102"/>
  <c r="K64" i="122"/>
  <c r="K62" i="122" s="1"/>
  <c r="J62" i="122"/>
  <c r="K41" i="105"/>
  <c r="J40" i="105"/>
  <c r="K65" i="114"/>
  <c r="M67" i="114"/>
  <c r="J17" i="125"/>
  <c r="J55" i="120"/>
  <c r="K16" i="111"/>
  <c r="J15" i="111"/>
  <c r="K52" i="116"/>
  <c r="K55" i="125"/>
  <c r="M70" i="107"/>
  <c r="J15" i="103"/>
  <c r="J17" i="119"/>
  <c r="J40" i="101"/>
  <c r="J62" i="105"/>
  <c r="M41" i="124"/>
  <c r="M76" i="111"/>
  <c r="K54" i="110"/>
  <c r="J52" i="110"/>
  <c r="K66" i="121"/>
  <c r="J65" i="121"/>
  <c r="K64" i="112"/>
  <c r="K62" i="112" s="1"/>
  <c r="J62" i="112"/>
  <c r="M54" i="108"/>
  <c r="K52" i="108"/>
  <c r="K52" i="125"/>
  <c r="K17" i="122"/>
  <c r="J62" i="111"/>
  <c r="M66" i="110"/>
  <c r="K14" i="110"/>
  <c r="M14" i="110" s="1"/>
  <c r="M13" i="110" s="1"/>
  <c r="J9" i="107"/>
  <c r="J17" i="107"/>
  <c r="J40" i="104"/>
  <c r="J62" i="101"/>
  <c r="K14" i="115"/>
  <c r="M14" i="115" s="1"/>
  <c r="M13" i="115" s="1"/>
  <c r="J15" i="105"/>
  <c r="J17" i="105"/>
  <c r="J17" i="124"/>
  <c r="K40" i="106"/>
  <c r="J40" i="124"/>
  <c r="J52" i="119"/>
  <c r="J52" i="475"/>
  <c r="J55" i="108"/>
  <c r="K62" i="123"/>
  <c r="K65" i="119"/>
  <c r="J65" i="101"/>
  <c r="J65" i="124"/>
  <c r="J68" i="106"/>
  <c r="M67" i="116"/>
  <c r="M16" i="103"/>
  <c r="M15" i="103" s="1"/>
  <c r="K69" i="105"/>
  <c r="K68" i="105" s="1"/>
  <c r="J68" i="105"/>
  <c r="M42" i="115"/>
  <c r="K40" i="115"/>
  <c r="K18" i="106"/>
  <c r="M18" i="106" s="1"/>
  <c r="J17" i="106"/>
  <c r="M63" i="111"/>
  <c r="K62" i="111"/>
  <c r="K67" i="105"/>
  <c r="K65" i="105" s="1"/>
  <c r="J65" i="105"/>
  <c r="K68" i="120"/>
  <c r="K51" i="125"/>
  <c r="K21" i="472"/>
  <c r="J17" i="472"/>
  <c r="K24" i="475"/>
  <c r="J17" i="475"/>
  <c r="K38" i="103"/>
  <c r="M38" i="103" s="1"/>
  <c r="G36" i="736"/>
  <c r="J17" i="110"/>
  <c r="K16" i="101"/>
  <c r="J15" i="101"/>
  <c r="K63" i="108"/>
  <c r="J62" i="108"/>
  <c r="K57" i="106"/>
  <c r="J55" i="106"/>
  <c r="K41" i="119"/>
  <c r="K40" i="119" s="1"/>
  <c r="J40" i="119"/>
  <c r="K79" i="106"/>
  <c r="K14" i="107"/>
  <c r="J17" i="108"/>
  <c r="K65" i="115"/>
  <c r="J68" i="108"/>
  <c r="M42" i="475"/>
  <c r="M44" i="108"/>
  <c r="K40" i="108"/>
  <c r="M41" i="101"/>
  <c r="K40" i="101"/>
  <c r="K16" i="107"/>
  <c r="K15" i="107" s="1"/>
  <c r="J15" i="107"/>
  <c r="K41" i="112"/>
  <c r="J40" i="112"/>
  <c r="M27" i="105"/>
  <c r="K68" i="116"/>
  <c r="M70" i="116"/>
  <c r="K60" i="475"/>
  <c r="M60" i="475" s="1"/>
  <c r="J55" i="475"/>
  <c r="C22" i="686"/>
  <c r="K22" i="686" s="1"/>
  <c r="M54" i="124"/>
  <c r="K67" i="120"/>
  <c r="D51" i="683" s="1"/>
  <c r="J65" i="120"/>
  <c r="K46" i="106"/>
  <c r="J15" i="110"/>
  <c r="K55" i="108"/>
  <c r="M70" i="110"/>
  <c r="K41" i="117"/>
  <c r="K40" i="117" s="1"/>
  <c r="J40" i="117"/>
  <c r="K55" i="116"/>
  <c r="K64" i="107"/>
  <c r="J62" i="107"/>
  <c r="K48" i="102"/>
  <c r="K58" i="112"/>
  <c r="J55" i="112"/>
  <c r="K17" i="115"/>
  <c r="J55" i="107"/>
  <c r="K55" i="123"/>
  <c r="J68" i="104"/>
  <c r="J9" i="110"/>
  <c r="J15" i="117"/>
  <c r="J52" i="116"/>
  <c r="J52" i="122"/>
  <c r="J65" i="115"/>
  <c r="K68" i="119"/>
  <c r="K17" i="101"/>
  <c r="K17" i="119"/>
  <c r="M21" i="119"/>
  <c r="K66" i="123"/>
  <c r="J65" i="123"/>
  <c r="K46" i="110"/>
  <c r="K69" i="123"/>
  <c r="J68" i="123"/>
  <c r="K22" i="120"/>
  <c r="J17" i="120"/>
  <c r="M16" i="125"/>
  <c r="M15" i="125" s="1"/>
  <c r="J55" i="123"/>
  <c r="K12" i="121"/>
  <c r="J9" i="125"/>
  <c r="J40" i="125"/>
  <c r="J52" i="117"/>
  <c r="J65" i="107"/>
  <c r="J68" i="111"/>
  <c r="J40" i="103"/>
  <c r="J65" i="116"/>
  <c r="J68" i="107"/>
  <c r="J15" i="114"/>
  <c r="J17" i="101"/>
  <c r="J40" i="123"/>
  <c r="K52" i="122"/>
  <c r="J52" i="124"/>
  <c r="K55" i="119"/>
  <c r="K55" i="104"/>
  <c r="K16" i="106"/>
  <c r="J15" i="106"/>
  <c r="K62" i="115"/>
  <c r="M43" i="116"/>
  <c r="K40" i="116"/>
  <c r="K12" i="100"/>
  <c r="J68" i="119"/>
  <c r="K40" i="111"/>
  <c r="D46" i="683"/>
  <c r="K68" i="111"/>
  <c r="K62" i="104"/>
  <c r="K17" i="108"/>
  <c r="M53" i="118"/>
  <c r="D54" i="683"/>
  <c r="M42" i="114"/>
  <c r="M36" i="101"/>
  <c r="M37" i="101"/>
  <c r="M28" i="101"/>
  <c r="M71" i="104"/>
  <c r="M27" i="123"/>
  <c r="M50" i="124"/>
  <c r="K55" i="101"/>
  <c r="K17" i="123"/>
  <c r="J55" i="116"/>
  <c r="J55" i="115"/>
  <c r="M70" i="111"/>
  <c r="D22" i="683"/>
  <c r="M50" i="103"/>
  <c r="D29" i="683"/>
  <c r="M33" i="116"/>
  <c r="M19" i="114"/>
  <c r="M38" i="475"/>
  <c r="M71" i="107"/>
  <c r="M61" i="101"/>
  <c r="K68" i="104"/>
  <c r="K40" i="107"/>
  <c r="M30" i="101"/>
  <c r="M73" i="104"/>
  <c r="M73" i="106"/>
  <c r="K40" i="110"/>
  <c r="M31" i="101"/>
  <c r="M72" i="107"/>
  <c r="M22" i="101"/>
  <c r="M43" i="106"/>
  <c r="M27" i="101"/>
  <c r="M49" i="106"/>
  <c r="K55" i="472"/>
  <c r="K55" i="124"/>
  <c r="M33" i="119"/>
  <c r="M27" i="121"/>
  <c r="M24" i="125"/>
  <c r="M22" i="122"/>
  <c r="M43" i="107"/>
  <c r="M74" i="116"/>
  <c r="M43" i="475"/>
  <c r="M73" i="107"/>
  <c r="K68" i="124"/>
  <c r="M22" i="475"/>
  <c r="M31" i="124"/>
  <c r="M28" i="125"/>
  <c r="M23" i="104"/>
  <c r="M50" i="104"/>
  <c r="M37" i="106"/>
  <c r="M37" i="472"/>
  <c r="K17" i="114"/>
  <c r="M60" i="117"/>
  <c r="M71" i="115"/>
  <c r="M51" i="102"/>
  <c r="M58" i="104"/>
  <c r="M51" i="106"/>
  <c r="M61" i="110"/>
  <c r="M61" i="112"/>
  <c r="M58" i="115"/>
  <c r="M32" i="125"/>
  <c r="M29" i="475"/>
  <c r="M44" i="125"/>
  <c r="M22" i="472"/>
  <c r="M34" i="125"/>
  <c r="M74" i="472"/>
  <c r="M24" i="107"/>
  <c r="M39" i="116"/>
  <c r="M22" i="115"/>
  <c r="M63" i="124"/>
  <c r="M25" i="105"/>
  <c r="M71" i="103"/>
  <c r="M32" i="105"/>
  <c r="M32" i="107"/>
  <c r="M42" i="122"/>
  <c r="J9" i="111"/>
  <c r="J40" i="472"/>
  <c r="J68" i="110"/>
  <c r="K55" i="105"/>
  <c r="J55" i="114"/>
  <c r="K68" i="101"/>
  <c r="M18" i="112"/>
  <c r="G62" i="472"/>
  <c r="M64" i="472"/>
  <c r="G64" i="104"/>
  <c r="G56" i="115"/>
  <c r="F68" i="106"/>
  <c r="F17" i="103"/>
  <c r="G9" i="122"/>
  <c r="G17" i="475"/>
  <c r="M18" i="475"/>
  <c r="F68" i="121"/>
  <c r="G40" i="112"/>
  <c r="M18" i="117"/>
  <c r="G9" i="100"/>
  <c r="G52" i="102"/>
  <c r="M53" i="102"/>
  <c r="G46" i="105"/>
  <c r="G45" i="105" s="1"/>
  <c r="M21" i="102"/>
  <c r="J9" i="108"/>
  <c r="K55" i="114"/>
  <c r="J55" i="124"/>
  <c r="M73" i="124"/>
  <c r="M56" i="114"/>
  <c r="F55" i="105"/>
  <c r="G68" i="115"/>
  <c r="M69" i="115"/>
  <c r="M18" i="107"/>
  <c r="F9" i="122"/>
  <c r="F40" i="115"/>
  <c r="F17" i="125"/>
  <c r="F17" i="475"/>
  <c r="F9" i="100"/>
  <c r="F52" i="102"/>
  <c r="D65" i="736"/>
  <c r="M75" i="111"/>
  <c r="G66" i="100"/>
  <c r="G65" i="100" s="1"/>
  <c r="F65" i="100"/>
  <c r="G70" i="101"/>
  <c r="M70" i="101" s="1"/>
  <c r="F68" i="101"/>
  <c r="F68" i="472"/>
  <c r="M59" i="124"/>
  <c r="G68" i="107"/>
  <c r="G52" i="110"/>
  <c r="M53" i="110"/>
  <c r="K17" i="112"/>
  <c r="J40" i="107"/>
  <c r="M18" i="123"/>
  <c r="F65" i="105"/>
  <c r="F55" i="110"/>
  <c r="F68" i="116"/>
  <c r="F68" i="122"/>
  <c r="F40" i="105"/>
  <c r="F17" i="124"/>
  <c r="G16" i="114"/>
  <c r="G15" i="114" s="1"/>
  <c r="G40" i="119"/>
  <c r="F40" i="108"/>
  <c r="G16" i="736"/>
  <c r="M75" i="112"/>
  <c r="M76" i="101"/>
  <c r="G21" i="122"/>
  <c r="M21" i="122" s="1"/>
  <c r="F17" i="122"/>
  <c r="G11" i="117"/>
  <c r="M11" i="117" s="1"/>
  <c r="F9" i="117"/>
  <c r="G78" i="119"/>
  <c r="F40" i="119"/>
  <c r="M23" i="108"/>
  <c r="M23" i="472"/>
  <c r="M58" i="119"/>
  <c r="F9" i="116"/>
  <c r="F65" i="125"/>
  <c r="G40" i="110"/>
  <c r="M41" i="110"/>
  <c r="F17" i="104"/>
  <c r="M69" i="101"/>
  <c r="M41" i="123"/>
  <c r="F40" i="472"/>
  <c r="G63" i="102"/>
  <c r="F62" i="102"/>
  <c r="D45" i="736"/>
  <c r="M75" i="101"/>
  <c r="M42" i="107"/>
  <c r="G17" i="104"/>
  <c r="G17" i="124"/>
  <c r="G40" i="472"/>
  <c r="M34" i="112"/>
  <c r="G57" i="120"/>
  <c r="F55" i="120"/>
  <c r="M74" i="121"/>
  <c r="G40" i="116"/>
  <c r="M41" i="116"/>
  <c r="M61" i="114"/>
  <c r="M21" i="108"/>
  <c r="G57" i="121"/>
  <c r="M57" i="121" s="1"/>
  <c r="F55" i="121"/>
  <c r="F8" i="121" s="1"/>
  <c r="M74" i="106"/>
  <c r="G71" i="475"/>
  <c r="M71" i="475" s="1"/>
  <c r="F68" i="475"/>
  <c r="G22" i="676"/>
  <c r="K26" i="103"/>
  <c r="G24" i="736"/>
  <c r="M26" i="114"/>
  <c r="M30" i="108"/>
  <c r="G66" i="475"/>
  <c r="M66" i="475" s="1"/>
  <c r="F65" i="475"/>
  <c r="G19" i="107"/>
  <c r="M19" i="107" s="1"/>
  <c r="F17" i="107"/>
  <c r="G19" i="110"/>
  <c r="M19" i="110" s="1"/>
  <c r="F17" i="110"/>
  <c r="G11" i="104"/>
  <c r="M11" i="104" s="1"/>
  <c r="F9" i="104"/>
  <c r="G11" i="115"/>
  <c r="M11" i="115" s="1"/>
  <c r="F9" i="115"/>
  <c r="G60" i="123"/>
  <c r="M60" i="123" s="1"/>
  <c r="F55" i="123"/>
  <c r="M26" i="108"/>
  <c r="F62" i="116"/>
  <c r="G64" i="116"/>
  <c r="G62" i="116" s="1"/>
  <c r="G54" i="123"/>
  <c r="M54" i="123" s="1"/>
  <c r="F52" i="123"/>
  <c r="G26" i="116"/>
  <c r="M26" i="116" s="1"/>
  <c r="F17" i="116"/>
  <c r="G35" i="117"/>
  <c r="M35" i="117" s="1"/>
  <c r="F17" i="117"/>
  <c r="F13" i="106"/>
  <c r="G14" i="106"/>
  <c r="G13" i="106" s="1"/>
  <c r="G66" i="472"/>
  <c r="M66" i="472" s="1"/>
  <c r="F65" i="472"/>
  <c r="G78" i="123"/>
  <c r="F40" i="123"/>
  <c r="G51" i="110"/>
  <c r="M51" i="110" s="1"/>
  <c r="G20" i="121"/>
  <c r="M20" i="121" s="1"/>
  <c r="F17" i="121"/>
  <c r="G54" i="472"/>
  <c r="M54" i="472" s="1"/>
  <c r="F52" i="472"/>
  <c r="G68" i="125"/>
  <c r="G12" i="124"/>
  <c r="G9" i="124" s="1"/>
  <c r="F9" i="124"/>
  <c r="G62" i="105"/>
  <c r="M64" i="105"/>
  <c r="G46" i="112"/>
  <c r="G45" i="112" s="1"/>
  <c r="G60" i="124"/>
  <c r="M60" i="124" s="1"/>
  <c r="F55" i="124"/>
  <c r="F40" i="475"/>
  <c r="F17" i="112"/>
  <c r="F68" i="125"/>
  <c r="F68" i="107"/>
  <c r="M16" i="115"/>
  <c r="M15" i="115" s="1"/>
  <c r="K55" i="117"/>
  <c r="AC10" i="59"/>
  <c r="G65" i="117"/>
  <c r="M67" i="117"/>
  <c r="F55" i="117"/>
  <c r="M18" i="104"/>
  <c r="F17" i="123"/>
  <c r="G18" i="472"/>
  <c r="M56" i="124"/>
  <c r="M18" i="105"/>
  <c r="F40" i="120"/>
  <c r="M42" i="102"/>
  <c r="G17" i="736"/>
  <c r="M75" i="104"/>
  <c r="F40" i="114"/>
  <c r="F15" i="108"/>
  <c r="G16" i="108"/>
  <c r="C10" i="682" s="1"/>
  <c r="M57" i="108"/>
  <c r="G40" i="114"/>
  <c r="D62" i="736"/>
  <c r="D72" i="736"/>
  <c r="J17" i="122"/>
  <c r="J68" i="124"/>
  <c r="M53" i="119"/>
  <c r="M16" i="122"/>
  <c r="M15" i="122" s="1"/>
  <c r="J15" i="475"/>
  <c r="J17" i="103"/>
  <c r="J17" i="123"/>
  <c r="J40" i="106"/>
  <c r="J40" i="475"/>
  <c r="J40" i="111"/>
  <c r="J52" i="104"/>
  <c r="J65" i="110"/>
  <c r="K68" i="122"/>
  <c r="AD78" i="59"/>
  <c r="M31" i="106"/>
  <c r="F65" i="117"/>
  <c r="G62" i="119"/>
  <c r="F55" i="102"/>
  <c r="G67" i="108"/>
  <c r="M67" i="108" s="1"/>
  <c r="M65" i="108" s="1"/>
  <c r="G40" i="121"/>
  <c r="G40" i="102"/>
  <c r="G9" i="119"/>
  <c r="G14" i="120"/>
  <c r="G68" i="114"/>
  <c r="G40" i="103"/>
  <c r="M41" i="103"/>
  <c r="F13" i="105"/>
  <c r="G40" i="125"/>
  <c r="M56" i="112"/>
  <c r="G12" i="102"/>
  <c r="M12" i="102" s="1"/>
  <c r="F9" i="102"/>
  <c r="F17" i="108"/>
  <c r="F17" i="101"/>
  <c r="G63" i="110"/>
  <c r="M63" i="110" s="1"/>
  <c r="F62" i="110"/>
  <c r="J55" i="101"/>
  <c r="J68" i="472"/>
  <c r="K14" i="105"/>
  <c r="M14" i="105" s="1"/>
  <c r="M11" i="106"/>
  <c r="J17" i="114"/>
  <c r="J17" i="104"/>
  <c r="J40" i="116"/>
  <c r="J55" i="110"/>
  <c r="J55" i="472"/>
  <c r="J65" i="108"/>
  <c r="J68" i="101"/>
  <c r="J68" i="120"/>
  <c r="AA78" i="59"/>
  <c r="M69" i="116"/>
  <c r="M18" i="121"/>
  <c r="F62" i="119"/>
  <c r="G64" i="114"/>
  <c r="G62" i="114" s="1"/>
  <c r="M16" i="105"/>
  <c r="M15" i="105" s="1"/>
  <c r="F55" i="116"/>
  <c r="F8" i="116" s="1"/>
  <c r="G9" i="106"/>
  <c r="F40" i="102"/>
  <c r="F9" i="119"/>
  <c r="F68" i="114"/>
  <c r="F55" i="119"/>
  <c r="F40" i="103"/>
  <c r="G14" i="114"/>
  <c r="G13" i="114" s="1"/>
  <c r="F40" i="125"/>
  <c r="F15" i="475"/>
  <c r="G57" i="111"/>
  <c r="M57" i="111" s="1"/>
  <c r="F55" i="111"/>
  <c r="F65" i="111"/>
  <c r="G67" i="111"/>
  <c r="M16" i="123"/>
  <c r="M15" i="123" s="1"/>
  <c r="J17" i="112"/>
  <c r="K17" i="107"/>
  <c r="J55" i="105"/>
  <c r="J52" i="102"/>
  <c r="M69" i="110"/>
  <c r="M56" i="472"/>
  <c r="G55" i="101"/>
  <c r="G68" i="104"/>
  <c r="G65" i="124"/>
  <c r="M67" i="124"/>
  <c r="G40" i="475"/>
  <c r="G16" i="112"/>
  <c r="G15" i="112" s="1"/>
  <c r="F9" i="106"/>
  <c r="G40" i="106"/>
  <c r="G41" i="107"/>
  <c r="G55" i="125"/>
  <c r="G10" i="114"/>
  <c r="G9" i="114" s="1"/>
  <c r="F68" i="103"/>
  <c r="M75" i="105"/>
  <c r="F68" i="115"/>
  <c r="G40" i="105"/>
  <c r="F40" i="112"/>
  <c r="G17" i="101"/>
  <c r="M18" i="101"/>
  <c r="J55" i="117"/>
  <c r="M69" i="122"/>
  <c r="M67" i="110"/>
  <c r="M41" i="115"/>
  <c r="F55" i="101"/>
  <c r="F62" i="100"/>
  <c r="F68" i="104"/>
  <c r="F65" i="124"/>
  <c r="G68" i="106"/>
  <c r="F9" i="111"/>
  <c r="F40" i="106"/>
  <c r="F17" i="120"/>
  <c r="D15" i="420" s="1"/>
  <c r="G53" i="101"/>
  <c r="F17" i="114"/>
  <c r="F55" i="125"/>
  <c r="F17" i="106"/>
  <c r="D16" i="736"/>
  <c r="G70" i="105"/>
  <c r="M70" i="105" s="1"/>
  <c r="F68" i="105"/>
  <c r="F55" i="108"/>
  <c r="G67" i="101"/>
  <c r="G69" i="472"/>
  <c r="G56" i="108"/>
  <c r="G55" i="108" s="1"/>
  <c r="F40" i="101"/>
  <c r="F52" i="114"/>
  <c r="G40" i="104"/>
  <c r="M72" i="102"/>
  <c r="D14" i="683"/>
  <c r="D58" i="683"/>
  <c r="G17" i="103"/>
  <c r="G68" i="121"/>
  <c r="G55" i="119"/>
  <c r="G40" i="124"/>
  <c r="G17" i="114"/>
  <c r="F40" i="104"/>
  <c r="G17" i="106"/>
  <c r="F68" i="102"/>
  <c r="D12" i="736"/>
  <c r="D39" i="736"/>
  <c r="D37" i="683"/>
  <c r="G55" i="105"/>
  <c r="F40" i="110"/>
  <c r="G17" i="125"/>
  <c r="G9" i="123"/>
  <c r="M22" i="102"/>
  <c r="M44" i="102"/>
  <c r="M56" i="102"/>
  <c r="G21" i="736"/>
  <c r="D44" i="683"/>
  <c r="G55" i="110"/>
  <c r="G68" i="100"/>
  <c r="F55" i="103"/>
  <c r="D21" i="683"/>
  <c r="D24" i="683"/>
  <c r="G62" i="108"/>
  <c r="G52" i="108"/>
  <c r="G17" i="108"/>
  <c r="G40" i="108"/>
  <c r="D4" i="736"/>
  <c r="G64" i="118"/>
  <c r="F62" i="118"/>
  <c r="F6" i="736"/>
  <c r="G10" i="736"/>
  <c r="G10" i="118"/>
  <c r="F9" i="118"/>
  <c r="K65" i="118"/>
  <c r="G41" i="118"/>
  <c r="M73" i="118"/>
  <c r="G32" i="736"/>
  <c r="G66" i="118"/>
  <c r="M66" i="118" s="1"/>
  <c r="D64" i="736"/>
  <c r="G51" i="118"/>
  <c r="D49" i="736"/>
  <c r="G69" i="118"/>
  <c r="D67" i="736"/>
  <c r="G61" i="118"/>
  <c r="M61" i="118" s="1"/>
  <c r="D59" i="736"/>
  <c r="G38" i="118"/>
  <c r="D36" i="736"/>
  <c r="G7" i="118"/>
  <c r="E5" i="736" s="1"/>
  <c r="D5" i="736"/>
  <c r="G46" i="118"/>
  <c r="G45" i="118" s="1"/>
  <c r="F15" i="118"/>
  <c r="D14" i="736"/>
  <c r="G58" i="118"/>
  <c r="D56" i="736"/>
  <c r="G20" i="118"/>
  <c r="D18" i="736"/>
  <c r="G49" i="118"/>
  <c r="D47" i="736"/>
  <c r="G29" i="118"/>
  <c r="D27" i="736"/>
  <c r="G15" i="118"/>
  <c r="G42" i="118"/>
  <c r="D40" i="736"/>
  <c r="G76" i="118"/>
  <c r="M76" i="118" s="1"/>
  <c r="D74" i="736"/>
  <c r="G33" i="118"/>
  <c r="D31" i="736"/>
  <c r="G75" i="118"/>
  <c r="D73" i="736"/>
  <c r="G27" i="118"/>
  <c r="D25" i="736"/>
  <c r="G11" i="118"/>
  <c r="D9" i="736"/>
  <c r="G36" i="118"/>
  <c r="M36" i="118" s="1"/>
  <c r="D34" i="736"/>
  <c r="G72" i="118"/>
  <c r="D70" i="736"/>
  <c r="G18" i="118"/>
  <c r="G71" i="118"/>
  <c r="D69" i="736"/>
  <c r="D76" i="736"/>
  <c r="G25" i="118"/>
  <c r="M25" i="118" s="1"/>
  <c r="D23" i="736"/>
  <c r="G57" i="118"/>
  <c r="M57" i="118" s="1"/>
  <c r="D55" i="736"/>
  <c r="G26" i="118"/>
  <c r="D24" i="736"/>
  <c r="G60" i="118"/>
  <c r="D58" i="736"/>
  <c r="G70" i="118"/>
  <c r="D68" i="736"/>
  <c r="G37" i="118"/>
  <c r="D35" i="736"/>
  <c r="G35" i="118"/>
  <c r="M35" i="118" s="1"/>
  <c r="D33" i="736"/>
  <c r="G59" i="118"/>
  <c r="M59" i="118" s="1"/>
  <c r="D57" i="736"/>
  <c r="G32" i="118"/>
  <c r="D30" i="736"/>
  <c r="G39" i="118"/>
  <c r="D37" i="736"/>
  <c r="G44" i="118"/>
  <c r="M44" i="118" s="1"/>
  <c r="D43" i="736"/>
  <c r="G19" i="118"/>
  <c r="D17" i="736"/>
  <c r="G50" i="118"/>
  <c r="M50" i="118" s="1"/>
  <c r="D48" i="736"/>
  <c r="G24" i="118"/>
  <c r="M24" i="118" s="1"/>
  <c r="D22" i="736"/>
  <c r="F55" i="118"/>
  <c r="D54" i="736"/>
  <c r="G48" i="118"/>
  <c r="D46" i="736"/>
  <c r="G54" i="118"/>
  <c r="M54" i="118" s="1"/>
  <c r="D52" i="736"/>
  <c r="G22" i="118"/>
  <c r="M22" i="118" s="1"/>
  <c r="D20" i="736"/>
  <c r="G43" i="118"/>
  <c r="M43" i="118" s="1"/>
  <c r="D42" i="736"/>
  <c r="G14" i="118"/>
  <c r="G31" i="118"/>
  <c r="D29" i="736"/>
  <c r="G78" i="118"/>
  <c r="D41" i="736"/>
  <c r="M74" i="118"/>
  <c r="G12" i="118"/>
  <c r="D10" i="736"/>
  <c r="G63" i="118"/>
  <c r="D61" i="736"/>
  <c r="G28" i="118"/>
  <c r="M28" i="118" s="1"/>
  <c r="D26" i="736"/>
  <c r="G30" i="118"/>
  <c r="M30" i="118" s="1"/>
  <c r="D28" i="736"/>
  <c r="M56" i="118"/>
  <c r="F13" i="118"/>
  <c r="G23" i="118"/>
  <c r="D21" i="736"/>
  <c r="G34" i="118"/>
  <c r="D32" i="736"/>
  <c r="G21" i="118"/>
  <c r="D19" i="736"/>
  <c r="G40" i="736"/>
  <c r="G54" i="736"/>
  <c r="G43" i="736"/>
  <c r="G76" i="736"/>
  <c r="K5" i="59"/>
  <c r="G71" i="736"/>
  <c r="G68" i="736"/>
  <c r="M7" i="59"/>
  <c r="G72" i="736"/>
  <c r="G62" i="736"/>
  <c r="G73" i="736"/>
  <c r="G49" i="736"/>
  <c r="G74" i="736"/>
  <c r="G65" i="736"/>
  <c r="G41" i="736"/>
  <c r="G69" i="736"/>
  <c r="G67" i="736"/>
  <c r="G46" i="736"/>
  <c r="G48" i="736"/>
  <c r="G64" i="736"/>
  <c r="G57" i="736"/>
  <c r="G42" i="736"/>
  <c r="G27" i="736"/>
  <c r="G47" i="736"/>
  <c r="G4" i="736"/>
  <c r="G39" i="736"/>
  <c r="G70" i="736"/>
  <c r="G34" i="736"/>
  <c r="G18" i="736"/>
  <c r="G25" i="736"/>
  <c r="G31" i="736"/>
  <c r="G30" i="736"/>
  <c r="G52" i="736"/>
  <c r="G61" i="736"/>
  <c r="G35" i="736"/>
  <c r="G51" i="736"/>
  <c r="G59" i="736"/>
  <c r="G55" i="736"/>
  <c r="K22" i="100"/>
  <c r="G20" i="736"/>
  <c r="G37" i="736"/>
  <c r="G29" i="736"/>
  <c r="K21" i="100"/>
  <c r="G19" i="736"/>
  <c r="G33" i="736"/>
  <c r="G22" i="736"/>
  <c r="G14" i="736"/>
  <c r="G12" i="736"/>
  <c r="K25" i="100"/>
  <c r="G23" i="736"/>
  <c r="G5" i="736"/>
  <c r="G28" i="736"/>
  <c r="G56" i="736"/>
  <c r="G58" i="736"/>
  <c r="H5" i="736"/>
  <c r="K23" i="100"/>
  <c r="D18" i="683"/>
  <c r="D26" i="683"/>
  <c r="D23" i="683"/>
  <c r="D17" i="683"/>
  <c r="D34" i="683"/>
  <c r="D25" i="683"/>
  <c r="D33" i="683"/>
  <c r="D45" i="683"/>
  <c r="D47" i="683"/>
  <c r="D56" i="683"/>
  <c r="D7" i="683"/>
  <c r="D20" i="683"/>
  <c r="D9" i="683"/>
  <c r="D19" i="683"/>
  <c r="D13" i="683"/>
  <c r="M11" i="124"/>
  <c r="D10" i="683"/>
  <c r="D55" i="683"/>
  <c r="D27" i="683"/>
  <c r="D28" i="683"/>
  <c r="D57" i="683"/>
  <c r="J62" i="100"/>
  <c r="J65" i="100"/>
  <c r="J68" i="100"/>
  <c r="J40" i="100"/>
  <c r="J55" i="100"/>
  <c r="J52" i="100"/>
  <c r="G17" i="100"/>
  <c r="F17" i="100"/>
  <c r="G55" i="100"/>
  <c r="F55" i="100"/>
  <c r="L6" i="100"/>
  <c r="J17" i="100"/>
  <c r="G17" i="111"/>
  <c r="J65" i="118"/>
  <c r="J52" i="111"/>
  <c r="J55" i="111"/>
  <c r="K55" i="111"/>
  <c r="K52" i="111"/>
  <c r="G40" i="111"/>
  <c r="F17" i="111"/>
  <c r="F40" i="111"/>
  <c r="G68" i="111"/>
  <c r="F68" i="111"/>
  <c r="M18" i="111"/>
  <c r="G9" i="111"/>
  <c r="K14" i="118"/>
  <c r="J55" i="118"/>
  <c r="M16" i="118"/>
  <c r="M15" i="118" s="1"/>
  <c r="J15" i="118"/>
  <c r="K55" i="118"/>
  <c r="F65" i="118"/>
  <c r="F17" i="118"/>
  <c r="AF52" i="59"/>
  <c r="AB52" i="59"/>
  <c r="AH52" i="59"/>
  <c r="AG10" i="59"/>
  <c r="AI49" i="59"/>
  <c r="AI52" i="59"/>
  <c r="J9" i="118"/>
  <c r="K10" i="118"/>
  <c r="K14" i="102"/>
  <c r="K40" i="118"/>
  <c r="J40" i="118"/>
  <c r="K62" i="118"/>
  <c r="J62" i="118"/>
  <c r="K65" i="102"/>
  <c r="J17" i="118"/>
  <c r="M66" i="102"/>
  <c r="K17" i="118"/>
  <c r="J52" i="118"/>
  <c r="K55" i="102"/>
  <c r="J65" i="102"/>
  <c r="K52" i="118"/>
  <c r="J55" i="102"/>
  <c r="G67" i="118"/>
  <c r="F68" i="118"/>
  <c r="F40" i="118"/>
  <c r="K68" i="118"/>
  <c r="J68" i="118"/>
  <c r="K68" i="102"/>
  <c r="K17" i="102"/>
  <c r="K40" i="102"/>
  <c r="J68" i="102"/>
  <c r="J40" i="102"/>
  <c r="J17" i="102"/>
  <c r="G69" i="102"/>
  <c r="M64" i="102"/>
  <c r="G17" i="102"/>
  <c r="F17" i="102"/>
  <c r="G55" i="102"/>
  <c r="M5" i="103"/>
  <c r="G44" i="59"/>
  <c r="G64" i="59"/>
  <c r="C51" i="682" s="1"/>
  <c r="G27" i="59"/>
  <c r="M56" i="110"/>
  <c r="M18" i="115"/>
  <c r="F5" i="112"/>
  <c r="G23" i="59"/>
  <c r="G60" i="59"/>
  <c r="C48" i="682" s="1"/>
  <c r="G19" i="59"/>
  <c r="M56" i="111"/>
  <c r="M41" i="108"/>
  <c r="M18" i="108"/>
  <c r="L6" i="114"/>
  <c r="L6" i="123"/>
  <c r="F5" i="125"/>
  <c r="G5" i="101"/>
  <c r="G5" i="104"/>
  <c r="G36" i="59"/>
  <c r="G54" i="59"/>
  <c r="G46" i="59"/>
  <c r="G45" i="59" s="1"/>
  <c r="G73" i="59"/>
  <c r="C58" i="682" s="1"/>
  <c r="G37" i="59"/>
  <c r="G5" i="112"/>
  <c r="M6" i="117"/>
  <c r="M5" i="117" s="1"/>
  <c r="M6" i="115"/>
  <c r="G20" i="59"/>
  <c r="G72" i="59"/>
  <c r="C57" i="682" s="1"/>
  <c r="G10" i="59"/>
  <c r="G67" i="59"/>
  <c r="G50" i="59"/>
  <c r="G5" i="125"/>
  <c r="M7" i="124"/>
  <c r="M6" i="102"/>
  <c r="M5" i="102" s="1"/>
  <c r="M6" i="122"/>
  <c r="M5" i="122" s="1"/>
  <c r="G70" i="59"/>
  <c r="G61" i="59"/>
  <c r="C49" i="682" s="1"/>
  <c r="G32" i="59"/>
  <c r="G63" i="59"/>
  <c r="C50" i="682" s="1"/>
  <c r="M53" i="123"/>
  <c r="M69" i="111"/>
  <c r="M53" i="115"/>
  <c r="L6" i="117"/>
  <c r="F5" i="107"/>
  <c r="G71" i="59"/>
  <c r="C56" i="682" s="1"/>
  <c r="L6" i="118"/>
  <c r="G49" i="59"/>
  <c r="G28" i="59"/>
  <c r="G48" i="59"/>
  <c r="M6" i="118"/>
  <c r="G75" i="59"/>
  <c r="C60" i="682" s="1"/>
  <c r="G59" i="59"/>
  <c r="C47" i="682" s="1"/>
  <c r="G58" i="59"/>
  <c r="C46" i="682" s="1"/>
  <c r="G42" i="59"/>
  <c r="G24" i="59"/>
  <c r="G76" i="59"/>
  <c r="C61" i="682" s="1"/>
  <c r="M41" i="125"/>
  <c r="M18" i="116"/>
  <c r="F5" i="124"/>
  <c r="F5" i="104"/>
  <c r="G5" i="107"/>
  <c r="F5" i="115"/>
  <c r="G31" i="59"/>
  <c r="G53" i="59"/>
  <c r="G29" i="59"/>
  <c r="G34" i="59"/>
  <c r="M7" i="104"/>
  <c r="G66" i="59"/>
  <c r="G51" i="59"/>
  <c r="G38" i="59"/>
  <c r="G33" i="59"/>
  <c r="G12" i="59"/>
  <c r="G74" i="59"/>
  <c r="G21" i="59"/>
  <c r="M56" i="475"/>
  <c r="M56" i="116"/>
  <c r="L6" i="122"/>
  <c r="L6" i="112"/>
  <c r="L6" i="102"/>
  <c r="G22" i="59"/>
  <c r="G5" i="59"/>
  <c r="G39" i="59"/>
  <c r="G30" i="59"/>
  <c r="G25" i="59"/>
  <c r="G11" i="59"/>
  <c r="G78" i="59"/>
  <c r="G57" i="59"/>
  <c r="C45" i="682" s="1"/>
  <c r="G43" i="59"/>
  <c r="G26" i="59"/>
  <c r="M67" i="102"/>
  <c r="M67" i="123"/>
  <c r="M18" i="125"/>
  <c r="F5" i="118"/>
  <c r="G35" i="59"/>
  <c r="M69" i="104"/>
  <c r="M64" i="103"/>
  <c r="L6" i="115"/>
  <c r="L6" i="110"/>
  <c r="AJ4" i="59"/>
  <c r="K78" i="59"/>
  <c r="K35" i="59"/>
  <c r="K20" i="59"/>
  <c r="K72" i="59"/>
  <c r="K67" i="59"/>
  <c r="K59" i="59"/>
  <c r="K38" i="59"/>
  <c r="K70" i="59"/>
  <c r="K34" i="59"/>
  <c r="K49" i="59"/>
  <c r="K39" i="59"/>
  <c r="K24" i="59"/>
  <c r="K16" i="59"/>
  <c r="K22" i="59"/>
  <c r="K46" i="59"/>
  <c r="K57" i="59"/>
  <c r="K74" i="59"/>
  <c r="M7" i="101"/>
  <c r="K26" i="59"/>
  <c r="K29" i="59"/>
  <c r="K21" i="59"/>
  <c r="K48" i="59"/>
  <c r="K12" i="59"/>
  <c r="K18" i="59"/>
  <c r="J13" i="59"/>
  <c r="K32" i="59"/>
  <c r="K42" i="59"/>
  <c r="K86" i="682" s="1"/>
  <c r="K25" i="59"/>
  <c r="K73" i="59"/>
  <c r="K11" i="59"/>
  <c r="K19" i="59"/>
  <c r="K76" i="682" s="1"/>
  <c r="D100" i="682" s="1"/>
  <c r="K61" i="59"/>
  <c r="K36" i="59"/>
  <c r="K64" i="59"/>
  <c r="K43" i="59"/>
  <c r="K63" i="59"/>
  <c r="K37" i="59"/>
  <c r="K41" i="59"/>
  <c r="K23" i="59"/>
  <c r="K66" i="59"/>
  <c r="K69" i="59"/>
  <c r="K71" i="59"/>
  <c r="K33" i="59"/>
  <c r="K51" i="59"/>
  <c r="K53" i="59"/>
  <c r="K44" i="59"/>
  <c r="K27" i="59"/>
  <c r="K58" i="59"/>
  <c r="K75" i="59"/>
  <c r="K56" i="59"/>
  <c r="K50" i="59"/>
  <c r="K79" i="59"/>
  <c r="K54" i="59"/>
  <c r="K31" i="59"/>
  <c r="K30" i="59"/>
  <c r="K60" i="59"/>
  <c r="J15" i="59"/>
  <c r="AI2" i="59"/>
  <c r="AH78" i="59"/>
  <c r="AH49" i="59"/>
  <c r="AB49" i="59"/>
  <c r="F17" i="59"/>
  <c r="AF49" i="59"/>
  <c r="AA49" i="59"/>
  <c r="AJ72" i="59"/>
  <c r="AH2" i="59"/>
  <c r="AE2" i="59"/>
  <c r="F9" i="59"/>
  <c r="AF2" i="59"/>
  <c r="AG2" i="59"/>
  <c r="AA52" i="59"/>
  <c r="AJ3" i="59"/>
  <c r="AA2" i="59"/>
  <c r="AB2" i="59"/>
  <c r="AD2" i="59"/>
  <c r="AC18" i="59"/>
  <c r="AH18" i="59"/>
  <c r="AD18" i="59"/>
  <c r="AE18" i="59"/>
  <c r="AF18" i="59"/>
  <c r="AI18" i="59"/>
  <c r="AA18" i="59"/>
  <c r="AB18" i="59"/>
  <c r="AG18" i="59"/>
  <c r="AH23" i="59"/>
  <c r="AA23" i="59"/>
  <c r="AI23" i="59"/>
  <c r="AB23" i="59"/>
  <c r="AC23" i="59"/>
  <c r="AD23" i="59"/>
  <c r="AE23" i="59"/>
  <c r="AF23" i="59"/>
  <c r="AG23" i="59"/>
  <c r="AB10" i="59"/>
  <c r="AD10" i="59"/>
  <c r="AH10" i="59"/>
  <c r="AH28" i="59"/>
  <c r="AA28" i="59"/>
  <c r="AI28" i="59"/>
  <c r="AC28" i="59"/>
  <c r="AE28" i="59"/>
  <c r="AF28" i="59"/>
  <c r="AB28" i="59"/>
  <c r="AD28" i="59"/>
  <c r="AG28" i="59"/>
  <c r="AB16" i="59"/>
  <c r="AG16" i="59"/>
  <c r="AH16" i="59"/>
  <c r="AI16" i="59"/>
  <c r="AC16" i="59"/>
  <c r="AD16" i="59"/>
  <c r="AF16" i="59"/>
  <c r="AA16" i="59"/>
  <c r="AE16" i="59"/>
  <c r="K76" i="59"/>
  <c r="T42" i="59"/>
  <c r="AH25" i="59"/>
  <c r="AA25" i="59"/>
  <c r="AI25" i="59"/>
  <c r="AB25" i="59"/>
  <c r="AF25" i="59"/>
  <c r="AG25" i="59"/>
  <c r="AC25" i="59"/>
  <c r="AD25" i="59"/>
  <c r="AE25" i="59"/>
  <c r="AH26" i="59"/>
  <c r="AI26" i="59"/>
  <c r="AA26" i="59"/>
  <c r="AC26" i="59"/>
  <c r="AD26" i="59"/>
  <c r="AE26" i="59"/>
  <c r="AF26" i="59"/>
  <c r="AB26" i="59"/>
  <c r="AG26" i="59"/>
  <c r="AE39" i="59"/>
  <c r="AF39" i="59"/>
  <c r="AG39" i="59"/>
  <c r="AH39" i="59"/>
  <c r="AA39" i="59"/>
  <c r="AI39" i="59"/>
  <c r="AB39" i="59"/>
  <c r="AC39" i="59"/>
  <c r="AD39" i="59"/>
  <c r="AD52" i="59"/>
  <c r="AG52" i="59"/>
  <c r="AC52" i="59"/>
  <c r="AC19" i="59"/>
  <c r="AH19" i="59"/>
  <c r="AF19" i="59"/>
  <c r="AG19" i="59"/>
  <c r="AI19" i="59"/>
  <c r="AB19" i="59"/>
  <c r="AD19" i="59"/>
  <c r="AA19" i="59"/>
  <c r="AE19" i="59"/>
  <c r="AD69" i="59"/>
  <c r="AD68" i="59" s="1"/>
  <c r="AE69" i="59"/>
  <c r="AE68" i="59" s="1"/>
  <c r="AF69" i="59"/>
  <c r="AF68" i="59" s="1"/>
  <c r="AG69" i="59"/>
  <c r="AG68" i="59" s="1"/>
  <c r="AH69" i="59"/>
  <c r="AH68" i="59" s="1"/>
  <c r="AA69" i="59"/>
  <c r="AI69" i="59"/>
  <c r="AI68" i="59" s="1"/>
  <c r="AB69" i="59"/>
  <c r="AB68" i="59" s="1"/>
  <c r="AC69" i="59"/>
  <c r="AC68" i="59" s="1"/>
  <c r="AC67" i="59"/>
  <c r="AC65" i="59" s="1"/>
  <c r="AD67" i="59"/>
  <c r="AD65" i="59" s="1"/>
  <c r="AE67" i="59"/>
  <c r="AE65" i="59" s="1"/>
  <c r="AF67" i="59"/>
  <c r="AF65" i="59" s="1"/>
  <c r="AG67" i="59"/>
  <c r="AG65" i="59" s="1"/>
  <c r="AH67" i="59"/>
  <c r="AH65" i="59" s="1"/>
  <c r="AA67" i="59"/>
  <c r="AA65" i="59" s="1"/>
  <c r="AI67" i="59"/>
  <c r="AI65" i="59" s="1"/>
  <c r="AB67" i="59"/>
  <c r="AB65" i="59" s="1"/>
  <c r="AE54" i="59"/>
  <c r="AF54" i="59"/>
  <c r="AH54" i="59"/>
  <c r="AG54" i="59"/>
  <c r="AA54" i="59"/>
  <c r="AI54" i="59"/>
  <c r="AB54" i="59"/>
  <c r="AC54" i="59"/>
  <c r="AD54" i="59"/>
  <c r="AB63" i="59"/>
  <c r="AC63" i="59"/>
  <c r="AD63" i="59"/>
  <c r="AI63" i="59"/>
  <c r="AE63" i="59"/>
  <c r="AA63" i="59"/>
  <c r="AF63" i="59"/>
  <c r="AG63" i="59"/>
  <c r="AH63" i="59"/>
  <c r="AF30" i="59"/>
  <c r="AG30" i="59"/>
  <c r="AA30" i="59"/>
  <c r="AI30" i="59"/>
  <c r="AD30" i="59"/>
  <c r="AC30" i="59"/>
  <c r="AE30" i="59"/>
  <c r="AH30" i="59"/>
  <c r="AB30" i="59"/>
  <c r="AD56" i="59"/>
  <c r="AE56" i="59"/>
  <c r="AF56" i="59"/>
  <c r="AG56" i="59"/>
  <c r="AH56" i="59"/>
  <c r="AA56" i="59"/>
  <c r="AI56" i="59"/>
  <c r="AB56" i="59"/>
  <c r="AC56" i="59"/>
  <c r="AG53" i="59"/>
  <c r="AH53" i="59"/>
  <c r="AA53" i="59"/>
  <c r="AI53" i="59"/>
  <c r="AB53" i="59"/>
  <c r="AC53" i="59"/>
  <c r="AD53" i="59"/>
  <c r="AE53" i="59"/>
  <c r="AF53" i="59"/>
  <c r="AJ61" i="59"/>
  <c r="J55" i="59"/>
  <c r="AE31" i="59"/>
  <c r="AF31" i="59"/>
  <c r="AH31" i="59"/>
  <c r="AC31" i="59"/>
  <c r="AD31" i="59"/>
  <c r="AG31" i="59"/>
  <c r="AI31" i="59"/>
  <c r="AA31" i="59"/>
  <c r="AB31" i="59"/>
  <c r="AB71" i="59"/>
  <c r="AB70" i="59" s="1"/>
  <c r="AC71" i="59"/>
  <c r="AC70" i="59" s="1"/>
  <c r="AD71" i="59"/>
  <c r="AD70" i="59" s="1"/>
  <c r="AE71" i="59"/>
  <c r="AE70" i="59" s="1"/>
  <c r="AF71" i="59"/>
  <c r="AF70" i="59" s="1"/>
  <c r="AG71" i="59"/>
  <c r="AG70" i="59" s="1"/>
  <c r="AH71" i="59"/>
  <c r="AH70" i="59" s="1"/>
  <c r="AA71" i="59"/>
  <c r="AI71" i="59"/>
  <c r="AI70" i="59" s="1"/>
  <c r="AB73" i="59"/>
  <c r="AC73" i="59"/>
  <c r="AD73" i="59"/>
  <c r="AE73" i="59"/>
  <c r="AF73" i="59"/>
  <c r="AG73" i="59"/>
  <c r="AH73" i="59"/>
  <c r="AA73" i="59"/>
  <c r="AI73" i="59"/>
  <c r="AD38" i="59"/>
  <c r="AE38" i="59"/>
  <c r="AF38" i="59"/>
  <c r="AG38" i="59"/>
  <c r="AH38" i="59"/>
  <c r="AA38" i="59"/>
  <c r="AI38" i="59"/>
  <c r="AB38" i="59"/>
  <c r="AC38" i="59"/>
  <c r="AG42" i="59"/>
  <c r="AH42" i="59"/>
  <c r="AA42" i="59"/>
  <c r="AI42" i="59"/>
  <c r="AB42" i="59"/>
  <c r="AC42" i="59"/>
  <c r="AD42" i="59"/>
  <c r="AE42" i="59"/>
  <c r="AF42" i="59"/>
  <c r="AH57" i="59"/>
  <c r="AA57" i="59"/>
  <c r="AI57" i="59"/>
  <c r="AB57" i="59"/>
  <c r="AC57" i="59"/>
  <c r="AD57" i="59"/>
  <c r="AE57" i="59"/>
  <c r="AG57" i="59"/>
  <c r="AF57" i="59"/>
  <c r="AB17" i="59"/>
  <c r="AG17" i="59"/>
  <c r="AA17" i="59"/>
  <c r="AC17" i="59"/>
  <c r="AD17" i="59"/>
  <c r="AE17" i="59"/>
  <c r="AF17" i="59"/>
  <c r="AH17" i="59"/>
  <c r="AI17" i="59"/>
  <c r="AJ66" i="59"/>
  <c r="AF13" i="59"/>
  <c r="AC13" i="59"/>
  <c r="AH13" i="59"/>
  <c r="AI13" i="59"/>
  <c r="AD13" i="59"/>
  <c r="AE13" i="59"/>
  <c r="AG13" i="59"/>
  <c r="AA13" i="59"/>
  <c r="AB13" i="59"/>
  <c r="AB43" i="59"/>
  <c r="AE43" i="59"/>
  <c r="AG43" i="59"/>
  <c r="AF43" i="59"/>
  <c r="AH43" i="59"/>
  <c r="AI43" i="59"/>
  <c r="AA43" i="59"/>
  <c r="AC43" i="59"/>
  <c r="AD43" i="59"/>
  <c r="AC64" i="59"/>
  <c r="AD64" i="59"/>
  <c r="AE64" i="59"/>
  <c r="AF64" i="59"/>
  <c r="AB64" i="59"/>
  <c r="AG64" i="59"/>
  <c r="AH64" i="59"/>
  <c r="AA64" i="59"/>
  <c r="AI64" i="59"/>
  <c r="AC58" i="59"/>
  <c r="AD58" i="59"/>
  <c r="AF58" i="59"/>
  <c r="AG58" i="59"/>
  <c r="AH58" i="59"/>
  <c r="AA58" i="59"/>
  <c r="AB58" i="59"/>
  <c r="AE58" i="59"/>
  <c r="AI58" i="59"/>
  <c r="AG41" i="59"/>
  <c r="AH41" i="59"/>
  <c r="AA41" i="59"/>
  <c r="AI41" i="59"/>
  <c r="AB41" i="59"/>
  <c r="AC41" i="59"/>
  <c r="AD41" i="59"/>
  <c r="AE41" i="59"/>
  <c r="AF41" i="59"/>
  <c r="AE21" i="59"/>
  <c r="AB21" i="59"/>
  <c r="AC21" i="59"/>
  <c r="AD21" i="59"/>
  <c r="AH21" i="59"/>
  <c r="AI21" i="59"/>
  <c r="AA21" i="59"/>
  <c r="AF21" i="59"/>
  <c r="AG21" i="59"/>
  <c r="AG29" i="59"/>
  <c r="AH29" i="59"/>
  <c r="AB29" i="59"/>
  <c r="AD29" i="59"/>
  <c r="AE29" i="59"/>
  <c r="AI29" i="59"/>
  <c r="AA29" i="59"/>
  <c r="AC29" i="59"/>
  <c r="AF29" i="59"/>
  <c r="AC44" i="59"/>
  <c r="AI44" i="59"/>
  <c r="AA44" i="59"/>
  <c r="AB44" i="59"/>
  <c r="AD44" i="59"/>
  <c r="AE44" i="59"/>
  <c r="AF44" i="59"/>
  <c r="AG44" i="59"/>
  <c r="AH44" i="59"/>
  <c r="AF34" i="59"/>
  <c r="AG34" i="59"/>
  <c r="AH34" i="59"/>
  <c r="AA34" i="59"/>
  <c r="AI34" i="59"/>
  <c r="AB34" i="59"/>
  <c r="AC34" i="59"/>
  <c r="AD34" i="59"/>
  <c r="AE34" i="59"/>
  <c r="AB46" i="59"/>
  <c r="AC46" i="59"/>
  <c r="AD46" i="59"/>
  <c r="AE46" i="59"/>
  <c r="AF46" i="59"/>
  <c r="AG46" i="59"/>
  <c r="AH46" i="59"/>
  <c r="AA46" i="59"/>
  <c r="AI46" i="59"/>
  <c r="AD9" i="59"/>
  <c r="AA9" i="59"/>
  <c r="AI9" i="59"/>
  <c r="AF9" i="59"/>
  <c r="AG9" i="59"/>
  <c r="AH9" i="59"/>
  <c r="AB9" i="59"/>
  <c r="AC9" i="59"/>
  <c r="AE9" i="59"/>
  <c r="AC48" i="59"/>
  <c r="AD48" i="59"/>
  <c r="AE48" i="59"/>
  <c r="AF48" i="59"/>
  <c r="AG48" i="59"/>
  <c r="AH48" i="59"/>
  <c r="AA48" i="59"/>
  <c r="AI48" i="59"/>
  <c r="AB48" i="59"/>
  <c r="AF40" i="59"/>
  <c r="AG40" i="59"/>
  <c r="AH40" i="59"/>
  <c r="AA40" i="59"/>
  <c r="AI40" i="59"/>
  <c r="AB40" i="59"/>
  <c r="AC40" i="59"/>
  <c r="AD40" i="59"/>
  <c r="AE40" i="59"/>
  <c r="AF11" i="59"/>
  <c r="AC11" i="59"/>
  <c r="AB11" i="59"/>
  <c r="AD11" i="59"/>
  <c r="AE11" i="59"/>
  <c r="AA11" i="59"/>
  <c r="AG11" i="59"/>
  <c r="AH11" i="59"/>
  <c r="AI11" i="59"/>
  <c r="AD20" i="59"/>
  <c r="AA20" i="59"/>
  <c r="AI20" i="59"/>
  <c r="AB20" i="59"/>
  <c r="AE20" i="59"/>
  <c r="AF20" i="59"/>
  <c r="AG20" i="59"/>
  <c r="AH20" i="59"/>
  <c r="AC20" i="59"/>
  <c r="AC37" i="59"/>
  <c r="AE37" i="59"/>
  <c r="AF37" i="59"/>
  <c r="AG37" i="59"/>
  <c r="AH37" i="59"/>
  <c r="AA37" i="59"/>
  <c r="AI37" i="59"/>
  <c r="AB37" i="59"/>
  <c r="AD45" i="59"/>
  <c r="AG45" i="59"/>
  <c r="AH45" i="59"/>
  <c r="AI45" i="59"/>
  <c r="AA45" i="59"/>
  <c r="AB45" i="59"/>
  <c r="AC45" i="59"/>
  <c r="AE45" i="59"/>
  <c r="AF45" i="59"/>
  <c r="AC78" i="59"/>
  <c r="AE78" i="59"/>
  <c r="AG78" i="59"/>
  <c r="AB78" i="59"/>
  <c r="AG59" i="59"/>
  <c r="AA59" i="59"/>
  <c r="AI59" i="59"/>
  <c r="AC59" i="59"/>
  <c r="AB59" i="59"/>
  <c r="AD59" i="59"/>
  <c r="AE59" i="59"/>
  <c r="AH59" i="59"/>
  <c r="AA15" i="59"/>
  <c r="AI15" i="59"/>
  <c r="AF15" i="59"/>
  <c r="AD15" i="59"/>
  <c r="AE15" i="59"/>
  <c r="AG15" i="59"/>
  <c r="AH15" i="59"/>
  <c r="AB15" i="59"/>
  <c r="AC15" i="59"/>
  <c r="AG35" i="59"/>
  <c r="AH35" i="59"/>
  <c r="AA35" i="59"/>
  <c r="AI35" i="59"/>
  <c r="AB35" i="59"/>
  <c r="AC35" i="59"/>
  <c r="AD35" i="59"/>
  <c r="AE35" i="59"/>
  <c r="AF35" i="59"/>
  <c r="AA24" i="59"/>
  <c r="AI24" i="59"/>
  <c r="AB24" i="59"/>
  <c r="AC24" i="59"/>
  <c r="AH24" i="59"/>
  <c r="AD24" i="59"/>
  <c r="AE24" i="59"/>
  <c r="AF24" i="59"/>
  <c r="AG24" i="59"/>
  <c r="AE32" i="59"/>
  <c r="AG32" i="59"/>
  <c r="AF32" i="59"/>
  <c r="AH32" i="59"/>
  <c r="AI32" i="59"/>
  <c r="AA32" i="59"/>
  <c r="AB32" i="59"/>
  <c r="AC32" i="59"/>
  <c r="AD32" i="59"/>
  <c r="AA51" i="59"/>
  <c r="AI51" i="59"/>
  <c r="AB51" i="59"/>
  <c r="AC51" i="59"/>
  <c r="AD51" i="59"/>
  <c r="AE51" i="59"/>
  <c r="AF51" i="59"/>
  <c r="AG51" i="59"/>
  <c r="AH51" i="59"/>
  <c r="J9" i="59"/>
  <c r="AD37" i="59"/>
  <c r="AI78" i="59"/>
  <c r="AG14" i="59"/>
  <c r="AD14" i="59"/>
  <c r="AA14" i="59"/>
  <c r="AB14" i="59"/>
  <c r="AC14" i="59"/>
  <c r="AE14" i="59"/>
  <c r="AF14" i="59"/>
  <c r="AH14" i="59"/>
  <c r="AI14" i="59"/>
  <c r="AA27" i="59"/>
  <c r="AI27" i="59"/>
  <c r="AB27" i="59"/>
  <c r="AD27" i="59"/>
  <c r="AF27" i="59"/>
  <c r="AG27" i="59"/>
  <c r="AC27" i="59"/>
  <c r="AE27" i="59"/>
  <c r="AH27" i="59"/>
  <c r="AB36" i="59"/>
  <c r="AC36" i="59"/>
  <c r="AD36" i="59"/>
  <c r="AE36" i="59"/>
  <c r="AF36" i="59"/>
  <c r="AG36" i="59"/>
  <c r="AH36" i="59"/>
  <c r="AA36" i="59"/>
  <c r="AI36" i="59"/>
  <c r="AD49" i="59"/>
  <c r="AG49" i="59"/>
  <c r="AC49" i="59"/>
  <c r="AF7" i="59"/>
  <c r="AC7" i="59"/>
  <c r="AD7" i="59"/>
  <c r="AE7" i="59"/>
  <c r="AG7" i="59"/>
  <c r="AI7" i="59"/>
  <c r="AA7" i="59"/>
  <c r="AB7" i="59"/>
  <c r="AH7" i="59"/>
  <c r="AE8" i="59"/>
  <c r="AB8" i="59"/>
  <c r="AD8" i="59"/>
  <c r="AF8" i="59"/>
  <c r="AG8" i="59"/>
  <c r="AA8" i="59"/>
  <c r="AC8" i="59"/>
  <c r="AH8" i="59"/>
  <c r="AI8" i="59"/>
  <c r="AA55" i="59"/>
  <c r="AI55" i="59"/>
  <c r="AB55" i="59"/>
  <c r="AC55" i="59"/>
  <c r="AD55" i="59"/>
  <c r="AE55" i="59"/>
  <c r="AF55" i="59"/>
  <c r="AG55" i="59"/>
  <c r="AH55" i="59"/>
  <c r="G18" i="59"/>
  <c r="J62" i="59"/>
  <c r="J65" i="59"/>
  <c r="K14" i="59"/>
  <c r="F62" i="59"/>
  <c r="F52" i="59"/>
  <c r="J52" i="59"/>
  <c r="K10" i="59"/>
  <c r="J68" i="59"/>
  <c r="J40" i="59"/>
  <c r="G41" i="59"/>
  <c r="F40" i="59"/>
  <c r="G14" i="59"/>
  <c r="F13" i="59"/>
  <c r="F65" i="59"/>
  <c r="G16" i="59"/>
  <c r="F15" i="59"/>
  <c r="L6" i="59"/>
  <c r="M6" i="59"/>
  <c r="F55" i="59"/>
  <c r="G56" i="59"/>
  <c r="F68" i="59"/>
  <c r="G69" i="59"/>
  <c r="C54" i="682" s="1"/>
  <c r="M14" i="122"/>
  <c r="M13" i="122" s="1"/>
  <c r="K13" i="122"/>
  <c r="M10" i="124"/>
  <c r="M10" i="121"/>
  <c r="M10" i="120"/>
  <c r="M10" i="105"/>
  <c r="M10" i="111"/>
  <c r="K9" i="111"/>
  <c r="M10" i="115"/>
  <c r="M10" i="123"/>
  <c r="K9" i="123"/>
  <c r="M10" i="114"/>
  <c r="M10" i="116"/>
  <c r="M10" i="102"/>
  <c r="K9" i="102"/>
  <c r="M10" i="106"/>
  <c r="M10" i="100"/>
  <c r="M10" i="117"/>
  <c r="K9" i="117"/>
  <c r="K5" i="101"/>
  <c r="M10" i="104"/>
  <c r="K9" i="475"/>
  <c r="M10" i="101"/>
  <c r="K9" i="101"/>
  <c r="M10" i="125"/>
  <c r="K9" i="125"/>
  <c r="M10" i="110"/>
  <c r="K9" i="110"/>
  <c r="M10" i="122"/>
  <c r="K9" i="122"/>
  <c r="M10" i="103"/>
  <c r="K9" i="103"/>
  <c r="M10" i="108"/>
  <c r="K9" i="108"/>
  <c r="M10" i="119"/>
  <c r="K9" i="119"/>
  <c r="M10" i="107"/>
  <c r="K9" i="107"/>
  <c r="M10" i="472"/>
  <c r="K9" i="472"/>
  <c r="K6" i="111"/>
  <c r="K5" i="111" s="1"/>
  <c r="J5" i="111"/>
  <c r="K6" i="104"/>
  <c r="J5" i="104"/>
  <c r="K5" i="107"/>
  <c r="J5" i="114"/>
  <c r="K6" i="120"/>
  <c r="K5" i="120" s="1"/>
  <c r="J5" i="120"/>
  <c r="J5" i="115"/>
  <c r="K6" i="475"/>
  <c r="K5" i="475" s="1"/>
  <c r="J5" i="475"/>
  <c r="K6" i="119"/>
  <c r="K5" i="119" s="1"/>
  <c r="J5" i="119"/>
  <c r="K6" i="121"/>
  <c r="K5" i="121" s="1"/>
  <c r="J5" i="121"/>
  <c r="K5" i="112"/>
  <c r="K5" i="114"/>
  <c r="K6" i="108"/>
  <c r="K5" i="108" s="1"/>
  <c r="J5" i="108"/>
  <c r="J5" i="118"/>
  <c r="K6" i="106"/>
  <c r="K5" i="106" s="1"/>
  <c r="J5" i="106"/>
  <c r="K6" i="125"/>
  <c r="J5" i="125"/>
  <c r="K6" i="472"/>
  <c r="K5" i="472" s="1"/>
  <c r="J5" i="472"/>
  <c r="J5" i="112"/>
  <c r="J5" i="101"/>
  <c r="J5" i="107"/>
  <c r="K6" i="116"/>
  <c r="K5" i="116" s="1"/>
  <c r="J5" i="116"/>
  <c r="K6" i="124"/>
  <c r="K5" i="124" s="1"/>
  <c r="J5" i="124"/>
  <c r="K6" i="105"/>
  <c r="K5" i="105" s="1"/>
  <c r="J5" i="105"/>
  <c r="K5" i="115"/>
  <c r="K5" i="118"/>
  <c r="M5" i="114"/>
  <c r="G6" i="111"/>
  <c r="G5" i="111" s="1"/>
  <c r="G6" i="121"/>
  <c r="G5" i="121" s="1"/>
  <c r="G6" i="108"/>
  <c r="G5" i="108" s="1"/>
  <c r="G6" i="475"/>
  <c r="G5" i="475" s="1"/>
  <c r="G6" i="116"/>
  <c r="G5" i="116" s="1"/>
  <c r="G6" i="472"/>
  <c r="G5" i="472" s="1"/>
  <c r="G6" i="106"/>
  <c r="G5" i="106" s="1"/>
  <c r="M33" i="100" l="1"/>
  <c r="K78" i="682"/>
  <c r="D102" i="682" s="1"/>
  <c r="M12" i="105"/>
  <c r="M9" i="105" s="1"/>
  <c r="D38" i="683"/>
  <c r="M12" i="115"/>
  <c r="M9" i="115" s="1"/>
  <c r="K83" i="682"/>
  <c r="L83" i="682" s="1"/>
  <c r="M12" i="120"/>
  <c r="K79" i="682"/>
  <c r="L79" i="682" s="1"/>
  <c r="M51" i="116"/>
  <c r="M12" i="112"/>
  <c r="M12" i="106"/>
  <c r="M9" i="106" s="1"/>
  <c r="M50" i="100"/>
  <c r="M12" i="114"/>
  <c r="M9" i="114" s="1"/>
  <c r="M12" i="104"/>
  <c r="M9" i="104" s="1"/>
  <c r="M12" i="121"/>
  <c r="M9" i="121" s="1"/>
  <c r="K85" i="682"/>
  <c r="L85" i="682" s="1"/>
  <c r="M12" i="116"/>
  <c r="M9" i="116" s="1"/>
  <c r="D76" i="683"/>
  <c r="M34" i="100"/>
  <c r="C110" i="682"/>
  <c r="C115" i="682" s="1"/>
  <c r="J91" i="682"/>
  <c r="D98" i="682"/>
  <c r="L74" i="682"/>
  <c r="E98" i="682" s="1"/>
  <c r="M36" i="120"/>
  <c r="E28" i="420"/>
  <c r="C84" i="683"/>
  <c r="E84" i="683" s="1"/>
  <c r="J84" i="683"/>
  <c r="C114" i="683" s="1"/>
  <c r="E27" i="420"/>
  <c r="C83" i="683"/>
  <c r="E83" i="683" s="1"/>
  <c r="J83" i="683"/>
  <c r="C113" i="683" s="1"/>
  <c r="J74" i="683"/>
  <c r="C104" i="683" s="1"/>
  <c r="C74" i="683"/>
  <c r="E26" i="420"/>
  <c r="C82" i="683"/>
  <c r="E82" i="683" s="1"/>
  <c r="J82" i="683"/>
  <c r="C112" i="683" s="1"/>
  <c r="E8" i="420"/>
  <c r="C71" i="683"/>
  <c r="J71" i="683"/>
  <c r="J80" i="683"/>
  <c r="C110" i="683" s="1"/>
  <c r="C80" i="683"/>
  <c r="E80" i="683" s="1"/>
  <c r="E22" i="420"/>
  <c r="C78" i="683"/>
  <c r="E78" i="683" s="1"/>
  <c r="J78" i="683"/>
  <c r="C108" i="683" s="1"/>
  <c r="C77" i="683"/>
  <c r="E77" i="683" s="1"/>
  <c r="J77" i="683"/>
  <c r="C107" i="683" s="1"/>
  <c r="E30" i="420"/>
  <c r="J86" i="683"/>
  <c r="C116" i="683" s="1"/>
  <c r="C86" i="683"/>
  <c r="J88" i="683"/>
  <c r="C118" i="683" s="1"/>
  <c r="C40" i="683"/>
  <c r="C88" i="683"/>
  <c r="E25" i="420"/>
  <c r="J81" i="683"/>
  <c r="C111" i="683" s="1"/>
  <c r="C81" i="683"/>
  <c r="E81" i="683" s="1"/>
  <c r="E74" i="683"/>
  <c r="J73" i="683"/>
  <c r="C103" i="683" s="1"/>
  <c r="C73" i="683"/>
  <c r="E73" i="683" s="1"/>
  <c r="E19" i="420"/>
  <c r="J75" i="683"/>
  <c r="C105" i="683" s="1"/>
  <c r="C75" i="683"/>
  <c r="C72" i="683"/>
  <c r="E72" i="683" s="1"/>
  <c r="J72" i="683"/>
  <c r="C79" i="683"/>
  <c r="E79" i="683" s="1"/>
  <c r="J79" i="683"/>
  <c r="C109" i="683" s="1"/>
  <c r="E86" i="683"/>
  <c r="E20" i="420"/>
  <c r="C76" i="683"/>
  <c r="J76" i="683"/>
  <c r="C106" i="683" s="1"/>
  <c r="E52" i="420"/>
  <c r="J89" i="683"/>
  <c r="C119" i="683" s="1"/>
  <c r="C41" i="683"/>
  <c r="C89" i="683"/>
  <c r="L87" i="683"/>
  <c r="E117" i="683" s="1"/>
  <c r="L85" i="683"/>
  <c r="E115" i="683" s="1"/>
  <c r="D104" i="683"/>
  <c r="D107" i="683"/>
  <c r="D108" i="683"/>
  <c r="D109" i="683"/>
  <c r="L84" i="683"/>
  <c r="E114" i="683" s="1"/>
  <c r="D114" i="683"/>
  <c r="K89" i="683"/>
  <c r="D119" i="683" s="1"/>
  <c r="K76" i="683"/>
  <c r="D106" i="683" s="1"/>
  <c r="D41" i="683"/>
  <c r="D89" i="683"/>
  <c r="D40" i="683"/>
  <c r="L88" i="683"/>
  <c r="E118" i="683" s="1"/>
  <c r="D88" i="683"/>
  <c r="E88" i="683" s="1"/>
  <c r="K89" i="682"/>
  <c r="L89" i="682" s="1"/>
  <c r="D75" i="683"/>
  <c r="D110" i="682"/>
  <c r="D105" i="682"/>
  <c r="K90" i="682"/>
  <c r="L90" i="682" s="1"/>
  <c r="K88" i="682"/>
  <c r="D106" i="682" s="1"/>
  <c r="K87" i="682"/>
  <c r="K84" i="682"/>
  <c r="K80" i="682"/>
  <c r="K77" i="682"/>
  <c r="D85" i="682"/>
  <c r="E85" i="682" s="1"/>
  <c r="D86" i="682"/>
  <c r="E86" i="682" s="1"/>
  <c r="L86" i="682"/>
  <c r="D81" i="682"/>
  <c r="E81" i="682" s="1"/>
  <c r="L81" i="682"/>
  <c r="D82" i="682"/>
  <c r="E82" i="682" s="1"/>
  <c r="L82" i="682"/>
  <c r="L76" i="682"/>
  <c r="D83" i="682"/>
  <c r="E83" i="682" s="1"/>
  <c r="D88" i="682"/>
  <c r="E88" i="682" s="1"/>
  <c r="D80" i="682"/>
  <c r="E80" i="682" s="1"/>
  <c r="D87" i="682"/>
  <c r="E87" i="682" s="1"/>
  <c r="D84" i="682"/>
  <c r="E84" i="682" s="1"/>
  <c r="D77" i="682"/>
  <c r="E77" i="682" s="1"/>
  <c r="D78" i="682"/>
  <c r="E78" i="682" s="1"/>
  <c r="D90" i="682"/>
  <c r="E90" i="682" s="1"/>
  <c r="D76" i="682"/>
  <c r="E76" i="682" s="1"/>
  <c r="D79" i="682"/>
  <c r="E79" i="682" s="1"/>
  <c r="D89" i="682"/>
  <c r="E89" i="682" s="1"/>
  <c r="C15" i="685"/>
  <c r="F16" i="753"/>
  <c r="M21" i="753"/>
  <c r="M17" i="753"/>
  <c r="M14" i="753"/>
  <c r="M20" i="753"/>
  <c r="M13" i="753"/>
  <c r="M19" i="753"/>
  <c r="M15" i="753"/>
  <c r="M11" i="753"/>
  <c r="D7" i="420"/>
  <c r="D11" i="420"/>
  <c r="G13" i="108"/>
  <c r="C9" i="682"/>
  <c r="E9" i="420"/>
  <c r="C63" i="682"/>
  <c r="M37" i="108"/>
  <c r="M17" i="108" s="1"/>
  <c r="E35" i="420"/>
  <c r="E4" i="420"/>
  <c r="G47" i="108"/>
  <c r="C38" i="682"/>
  <c r="E3" i="420"/>
  <c r="F8" i="108"/>
  <c r="D13" i="420"/>
  <c r="E29" i="420"/>
  <c r="C24" i="682"/>
  <c r="D43" i="420"/>
  <c r="D38" i="420"/>
  <c r="M11" i="108"/>
  <c r="M9" i="108" s="1"/>
  <c r="C7" i="682"/>
  <c r="E7" i="682" s="1"/>
  <c r="D45" i="420"/>
  <c r="G45" i="108"/>
  <c r="C37" i="682"/>
  <c r="E46" i="420"/>
  <c r="C8" i="682"/>
  <c r="E10" i="420"/>
  <c r="I8" i="420"/>
  <c r="H41" i="420"/>
  <c r="M39" i="120"/>
  <c r="C56" i="683"/>
  <c r="E56" i="683" s="1"/>
  <c r="H40" i="420"/>
  <c r="G38" i="420"/>
  <c r="M49" i="120"/>
  <c r="M54" i="120"/>
  <c r="M35" i="120"/>
  <c r="M56" i="120"/>
  <c r="M44" i="120"/>
  <c r="M21" i="120"/>
  <c r="M33" i="120"/>
  <c r="M32" i="120"/>
  <c r="M43" i="120"/>
  <c r="M27" i="120"/>
  <c r="G15" i="753"/>
  <c r="N12" i="753"/>
  <c r="G14" i="676"/>
  <c r="E9" i="676"/>
  <c r="F15" i="753"/>
  <c r="C21" i="685"/>
  <c r="C19" i="685"/>
  <c r="C28" i="685"/>
  <c r="C16" i="685"/>
  <c r="E17" i="676"/>
  <c r="C30" i="685"/>
  <c r="M18" i="753"/>
  <c r="D15" i="753"/>
  <c r="D16" i="753"/>
  <c r="E15" i="753"/>
  <c r="E16" i="676"/>
  <c r="H22" i="420"/>
  <c r="M11" i="120"/>
  <c r="G9" i="120"/>
  <c r="E14" i="676"/>
  <c r="C20" i="685"/>
  <c r="E13" i="676"/>
  <c r="K47" i="111"/>
  <c r="K47" i="475"/>
  <c r="K47" i="110"/>
  <c r="K47" i="119"/>
  <c r="M48" i="125"/>
  <c r="K47" i="101"/>
  <c r="K47" i="102"/>
  <c r="K47" i="105"/>
  <c r="K47" i="107"/>
  <c r="K47" i="114"/>
  <c r="K47" i="108"/>
  <c r="K47" i="117"/>
  <c r="K47" i="103"/>
  <c r="K47" i="472"/>
  <c r="K47" i="120"/>
  <c r="K47" i="123"/>
  <c r="K47" i="115"/>
  <c r="K47" i="106"/>
  <c r="K47" i="124"/>
  <c r="K47" i="118"/>
  <c r="K47" i="122"/>
  <c r="K47" i="112"/>
  <c r="M48" i="121"/>
  <c r="M49" i="100"/>
  <c r="M56" i="100"/>
  <c r="M24" i="475"/>
  <c r="M17" i="475" s="1"/>
  <c r="K77" i="475"/>
  <c r="K45" i="125"/>
  <c r="K77" i="123"/>
  <c r="K45" i="123"/>
  <c r="K77" i="122"/>
  <c r="K45" i="122"/>
  <c r="K45" i="121"/>
  <c r="K52" i="121"/>
  <c r="M21" i="121"/>
  <c r="M17" i="121" s="1"/>
  <c r="K77" i="121"/>
  <c r="M22" i="120"/>
  <c r="E18" i="676"/>
  <c r="K52" i="120"/>
  <c r="K45" i="120"/>
  <c r="K77" i="120"/>
  <c r="K45" i="119"/>
  <c r="K77" i="118"/>
  <c r="K45" i="118"/>
  <c r="K45" i="117"/>
  <c r="K45" i="116"/>
  <c r="K45" i="124"/>
  <c r="K45" i="115"/>
  <c r="M54" i="115"/>
  <c r="K77" i="115"/>
  <c r="K52" i="114"/>
  <c r="K45" i="114"/>
  <c r="K45" i="472"/>
  <c r="K45" i="112"/>
  <c r="K77" i="112"/>
  <c r="K45" i="111"/>
  <c r="K77" i="111"/>
  <c r="K77" i="110"/>
  <c r="K45" i="110"/>
  <c r="K77" i="108"/>
  <c r="K45" i="107"/>
  <c r="K45" i="106"/>
  <c r="K52" i="106"/>
  <c r="K45" i="105"/>
  <c r="K77" i="105"/>
  <c r="K45" i="104"/>
  <c r="K77" i="103"/>
  <c r="M26" i="103"/>
  <c r="M17" i="103" s="1"/>
  <c r="K45" i="103"/>
  <c r="K45" i="102"/>
  <c r="K77" i="102"/>
  <c r="K77" i="101"/>
  <c r="K45" i="101"/>
  <c r="M74" i="100"/>
  <c r="M19" i="100"/>
  <c r="M26" i="100"/>
  <c r="M43" i="100"/>
  <c r="M29" i="100"/>
  <c r="M32" i="100"/>
  <c r="M54" i="100"/>
  <c r="M53" i="100"/>
  <c r="M27" i="100"/>
  <c r="K9" i="124"/>
  <c r="K13" i="124"/>
  <c r="E66" i="420"/>
  <c r="F8" i="101"/>
  <c r="C53" i="682"/>
  <c r="E64" i="420"/>
  <c r="F8" i="124"/>
  <c r="F8" i="117"/>
  <c r="E63" i="420"/>
  <c r="C52" i="682"/>
  <c r="D62" i="420"/>
  <c r="F8" i="475"/>
  <c r="E75" i="420"/>
  <c r="D74" i="420"/>
  <c r="F8" i="123"/>
  <c r="F8" i="103"/>
  <c r="D65" i="420"/>
  <c r="E73" i="420"/>
  <c r="E68" i="420"/>
  <c r="F8" i="125"/>
  <c r="E70" i="420"/>
  <c r="E69" i="420"/>
  <c r="F8" i="105"/>
  <c r="E71" i="420"/>
  <c r="C59" i="682"/>
  <c r="C55" i="682"/>
  <c r="F8" i="111"/>
  <c r="F8" i="472"/>
  <c r="E72" i="420"/>
  <c r="F8" i="100"/>
  <c r="F8" i="106"/>
  <c r="E61" i="420"/>
  <c r="F8" i="114"/>
  <c r="F8" i="115"/>
  <c r="F8" i="107"/>
  <c r="F8" i="110"/>
  <c r="F8" i="102"/>
  <c r="F8" i="59"/>
  <c r="F3" i="418" s="1"/>
  <c r="E60" i="420"/>
  <c r="F8" i="112"/>
  <c r="F8" i="104"/>
  <c r="F8" i="119"/>
  <c r="F8" i="122"/>
  <c r="F8" i="118"/>
  <c r="D59" i="420"/>
  <c r="C44" i="682"/>
  <c r="E55" i="420"/>
  <c r="E57" i="420"/>
  <c r="D53" i="420"/>
  <c r="E56" i="420"/>
  <c r="E58" i="420"/>
  <c r="F18" i="741"/>
  <c r="G17" i="120"/>
  <c r="E15" i="420" s="1"/>
  <c r="M61" i="120"/>
  <c r="G40" i="120"/>
  <c r="E38" i="420" s="1"/>
  <c r="M75" i="120"/>
  <c r="M63" i="120"/>
  <c r="M62" i="120" s="1"/>
  <c r="G62" i="120"/>
  <c r="M60" i="120"/>
  <c r="M50" i="120"/>
  <c r="M28" i="120"/>
  <c r="G65" i="120"/>
  <c r="C24" i="683"/>
  <c r="C3" i="683"/>
  <c r="M24" i="120"/>
  <c r="M42" i="120"/>
  <c r="M58" i="120"/>
  <c r="M34" i="120"/>
  <c r="M41" i="120"/>
  <c r="M70" i="120"/>
  <c r="E67" i="420"/>
  <c r="M20" i="120"/>
  <c r="E18" i="420"/>
  <c r="M26" i="120"/>
  <c r="E24" i="420"/>
  <c r="M51" i="120"/>
  <c r="G52" i="120"/>
  <c r="E50" i="420" s="1"/>
  <c r="E51" i="420"/>
  <c r="M23" i="120"/>
  <c r="E21" i="420"/>
  <c r="M29" i="120"/>
  <c r="G15" i="120"/>
  <c r="E14" i="420"/>
  <c r="M19" i="120"/>
  <c r="E17" i="420"/>
  <c r="G13" i="120"/>
  <c r="E11" i="420" s="1"/>
  <c r="E12" i="420"/>
  <c r="M57" i="120"/>
  <c r="E54" i="420"/>
  <c r="M25" i="120"/>
  <c r="O25" i="120" s="1"/>
  <c r="E23" i="420"/>
  <c r="G45" i="120"/>
  <c r="E43" i="420" s="1"/>
  <c r="E44" i="420"/>
  <c r="M38" i="120"/>
  <c r="E36" i="420"/>
  <c r="M18" i="120"/>
  <c r="E16" i="420"/>
  <c r="F16" i="741"/>
  <c r="H4" i="420"/>
  <c r="K55" i="100"/>
  <c r="K40" i="100"/>
  <c r="G3" i="420"/>
  <c r="K52" i="100"/>
  <c r="H61" i="420"/>
  <c r="D51" i="682"/>
  <c r="E51" i="682" s="1"/>
  <c r="G13" i="420"/>
  <c r="H32" i="736"/>
  <c r="H32" i="420"/>
  <c r="D27" i="682"/>
  <c r="E27" i="682" s="1"/>
  <c r="G50" i="420"/>
  <c r="D55" i="682"/>
  <c r="H67" i="420"/>
  <c r="H74" i="736"/>
  <c r="H73" i="420"/>
  <c r="D61" i="682"/>
  <c r="E61" i="682" s="1"/>
  <c r="H31" i="736"/>
  <c r="D26" i="682"/>
  <c r="E26" i="682" s="1"/>
  <c r="H31" i="420"/>
  <c r="H24" i="420"/>
  <c r="D19" i="682"/>
  <c r="E19" i="682" s="1"/>
  <c r="H69" i="736"/>
  <c r="H68" i="420"/>
  <c r="D56" i="682"/>
  <c r="E56" i="682" s="1"/>
  <c r="D13" i="682"/>
  <c r="E13" i="682" s="1"/>
  <c r="H18" i="420"/>
  <c r="G7" i="420"/>
  <c r="D44" i="682"/>
  <c r="D33" i="682"/>
  <c r="E33" i="682" s="1"/>
  <c r="H39" i="420"/>
  <c r="H30" i="420"/>
  <c r="D25" i="682"/>
  <c r="E25" i="682" s="1"/>
  <c r="D15" i="682"/>
  <c r="E15" i="682" s="1"/>
  <c r="H20" i="420"/>
  <c r="H33" i="420"/>
  <c r="D28" i="682"/>
  <c r="E28" i="682" s="1"/>
  <c r="H25" i="736"/>
  <c r="D20" i="682"/>
  <c r="E20" i="682" s="1"/>
  <c r="H25" i="420"/>
  <c r="D48" i="682"/>
  <c r="E48" i="682" s="1"/>
  <c r="H57" i="420"/>
  <c r="H59" i="736"/>
  <c r="H58" i="420"/>
  <c r="D49" i="682"/>
  <c r="E49" i="682" s="1"/>
  <c r="G45" i="420"/>
  <c r="D22" i="682"/>
  <c r="E22" i="682" s="1"/>
  <c r="H27" i="420"/>
  <c r="D12" i="682"/>
  <c r="E12" i="682" s="1"/>
  <c r="H17" i="420"/>
  <c r="D24" i="682"/>
  <c r="E24" i="682" s="1"/>
  <c r="H29" i="420"/>
  <c r="H57" i="736"/>
  <c r="D47" i="682"/>
  <c r="E47" i="682" s="1"/>
  <c r="H56" i="420"/>
  <c r="D9" i="682"/>
  <c r="E9" i="682" s="1"/>
  <c r="H12" i="420"/>
  <c r="H52" i="420"/>
  <c r="D43" i="682"/>
  <c r="E43" i="682" s="1"/>
  <c r="H66" i="420"/>
  <c r="D54" i="682"/>
  <c r="E54" i="682" s="1"/>
  <c r="H70" i="420"/>
  <c r="D58" i="682"/>
  <c r="E58" i="682" s="1"/>
  <c r="D53" i="682"/>
  <c r="H64" i="420"/>
  <c r="G62" i="420"/>
  <c r="H76" i="420"/>
  <c r="D62" i="682"/>
  <c r="H63" i="420"/>
  <c r="D52" i="682"/>
  <c r="H23" i="420"/>
  <c r="D18" i="682"/>
  <c r="E18" i="682" s="1"/>
  <c r="D57" i="682"/>
  <c r="E57" i="682" s="1"/>
  <c r="H69" i="420"/>
  <c r="G59" i="420"/>
  <c r="H21" i="420"/>
  <c r="D16" i="682"/>
  <c r="E16" i="682" s="1"/>
  <c r="D34" i="682"/>
  <c r="E34" i="682" s="1"/>
  <c r="K45" i="59"/>
  <c r="K62" i="100"/>
  <c r="D60" i="682"/>
  <c r="E60" i="682" s="1"/>
  <c r="H72" i="420"/>
  <c r="H35" i="420"/>
  <c r="D30" i="682"/>
  <c r="E30" i="682" s="1"/>
  <c r="G11" i="420"/>
  <c r="H14" i="420"/>
  <c r="D10" i="682"/>
  <c r="E10" i="682" s="1"/>
  <c r="H75" i="420"/>
  <c r="D63" i="682"/>
  <c r="E63" i="682" s="1"/>
  <c r="G74" i="420"/>
  <c r="D21" i="682"/>
  <c r="E21" i="682" s="1"/>
  <c r="H26" i="420"/>
  <c r="D35" i="682"/>
  <c r="E35" i="682" s="1"/>
  <c r="D8" i="682"/>
  <c r="E8" i="682" s="1"/>
  <c r="H10" i="420"/>
  <c r="H37" i="736"/>
  <c r="H37" i="420"/>
  <c r="D32" i="682"/>
  <c r="E32" i="682" s="1"/>
  <c r="G65" i="420"/>
  <c r="D36" i="682"/>
  <c r="E36" i="682" s="1"/>
  <c r="H42" i="420"/>
  <c r="H46" i="420"/>
  <c r="D38" i="682"/>
  <c r="E38" i="682" s="1"/>
  <c r="H47" i="736"/>
  <c r="H47" i="420"/>
  <c r="D39" i="682"/>
  <c r="E39" i="682" s="1"/>
  <c r="D42" i="682"/>
  <c r="E42" i="682" s="1"/>
  <c r="H51" i="420"/>
  <c r="H34" i="736"/>
  <c r="D29" i="682"/>
  <c r="E29" i="682" s="1"/>
  <c r="H34" i="420"/>
  <c r="D14" i="682"/>
  <c r="E14" i="682" s="1"/>
  <c r="H19" i="420"/>
  <c r="D41" i="682"/>
  <c r="E41" i="682" s="1"/>
  <c r="H49" i="420"/>
  <c r="H28" i="420"/>
  <c r="D23" i="682"/>
  <c r="E23" i="682" s="1"/>
  <c r="H36" i="420"/>
  <c r="D31" i="682"/>
  <c r="E31" i="682" s="1"/>
  <c r="H72" i="736"/>
  <c r="D59" i="682"/>
  <c r="H71" i="420"/>
  <c r="G53" i="420"/>
  <c r="H54" i="420"/>
  <c r="D45" i="682"/>
  <c r="E45" i="682" s="1"/>
  <c r="D40" i="682"/>
  <c r="E40" i="682" s="1"/>
  <c r="H48" i="420"/>
  <c r="D46" i="682"/>
  <c r="E46" i="682" s="1"/>
  <c r="H55" i="420"/>
  <c r="D50" i="682"/>
  <c r="E50" i="682" s="1"/>
  <c r="H60" i="420"/>
  <c r="H16" i="420"/>
  <c r="D11" i="682"/>
  <c r="E11" i="682" s="1"/>
  <c r="D17" i="682"/>
  <c r="E17" i="682" s="1"/>
  <c r="K15" i="100"/>
  <c r="M28" i="100"/>
  <c r="H28" i="736"/>
  <c r="M51" i="100"/>
  <c r="K77" i="100"/>
  <c r="M30" i="100"/>
  <c r="H71" i="736"/>
  <c r="H70" i="736"/>
  <c r="K65" i="100"/>
  <c r="M25" i="100"/>
  <c r="M21" i="100"/>
  <c r="M12" i="100"/>
  <c r="H27" i="736"/>
  <c r="K47" i="100"/>
  <c r="H29" i="736"/>
  <c r="M22" i="100"/>
  <c r="M20" i="100"/>
  <c r="H18" i="736"/>
  <c r="K13" i="100"/>
  <c r="M76" i="100"/>
  <c r="M24" i="100"/>
  <c r="M57" i="100"/>
  <c r="M44" i="100"/>
  <c r="H33" i="736"/>
  <c r="M39" i="100"/>
  <c r="M37" i="100"/>
  <c r="M72" i="100"/>
  <c r="K45" i="100"/>
  <c r="H73" i="736"/>
  <c r="H35" i="736"/>
  <c r="K68" i="100"/>
  <c r="M31" i="100"/>
  <c r="M5" i="100"/>
  <c r="M59" i="100"/>
  <c r="M73" i="100"/>
  <c r="G55" i="120"/>
  <c r="G47" i="120"/>
  <c r="E45" i="420" s="1"/>
  <c r="F8" i="120"/>
  <c r="M16" i="120"/>
  <c r="M15" i="120" s="1"/>
  <c r="F7" i="741"/>
  <c r="J8" i="114"/>
  <c r="J8" i="120"/>
  <c r="J8" i="124"/>
  <c r="J8" i="116"/>
  <c r="J8" i="105"/>
  <c r="J8" i="121"/>
  <c r="J8" i="115"/>
  <c r="J8" i="122"/>
  <c r="J8" i="100"/>
  <c r="J8" i="119"/>
  <c r="J8" i="112"/>
  <c r="J8" i="472"/>
  <c r="J8" i="104"/>
  <c r="J8" i="103"/>
  <c r="J8" i="475"/>
  <c r="J8" i="107"/>
  <c r="J8" i="123"/>
  <c r="J8" i="125"/>
  <c r="J8" i="102"/>
  <c r="J8" i="117"/>
  <c r="J8" i="106"/>
  <c r="J8" i="118"/>
  <c r="J8" i="111"/>
  <c r="J8" i="110"/>
  <c r="J8" i="101"/>
  <c r="H17" i="736"/>
  <c r="K77" i="124"/>
  <c r="K77" i="125"/>
  <c r="M46" i="101"/>
  <c r="M45" i="101" s="1"/>
  <c r="M46" i="104"/>
  <c r="M45" i="104" s="1"/>
  <c r="M46" i="119"/>
  <c r="M45" i="119" s="1"/>
  <c r="M46" i="107"/>
  <c r="M45" i="107" s="1"/>
  <c r="M9" i="103"/>
  <c r="G47" i="118"/>
  <c r="M53" i="122"/>
  <c r="M52" i="122" s="1"/>
  <c r="G47" i="115"/>
  <c r="M9" i="122"/>
  <c r="M64" i="106"/>
  <c r="M62" i="106" s="1"/>
  <c r="M16" i="112"/>
  <c r="M15" i="112" s="1"/>
  <c r="M46" i="123"/>
  <c r="M45" i="123" s="1"/>
  <c r="G9" i="108"/>
  <c r="M48" i="103"/>
  <c r="M47" i="103" s="1"/>
  <c r="M16" i="472"/>
  <c r="M15" i="472" s="1"/>
  <c r="G47" i="121"/>
  <c r="M14" i="475"/>
  <c r="M13" i="475" s="1"/>
  <c r="M16" i="100"/>
  <c r="M14" i="112"/>
  <c r="M13" i="112" s="1"/>
  <c r="M14" i="121"/>
  <c r="M13" i="121" s="1"/>
  <c r="M48" i="120"/>
  <c r="M53" i="475"/>
  <c r="M52" i="475" s="1"/>
  <c r="G55" i="112"/>
  <c r="M53" i="125"/>
  <c r="M52" i="125" s="1"/>
  <c r="M46" i="116"/>
  <c r="M45" i="116" s="1"/>
  <c r="G45" i="116"/>
  <c r="M16" i="121"/>
  <c r="M15" i="121" s="1"/>
  <c r="M14" i="117"/>
  <c r="M13" i="117" s="1"/>
  <c r="G17" i="115"/>
  <c r="M53" i="107"/>
  <c r="M52" i="107" s="1"/>
  <c r="M48" i="116"/>
  <c r="M67" i="107"/>
  <c r="M65" i="107" s="1"/>
  <c r="C7" i="683"/>
  <c r="M41" i="100"/>
  <c r="M67" i="121"/>
  <c r="M53" i="116"/>
  <c r="M52" i="116" s="1"/>
  <c r="G52" i="123"/>
  <c r="M64" i="125"/>
  <c r="M62" i="125" s="1"/>
  <c r="G47" i="124"/>
  <c r="M11" i="118"/>
  <c r="G47" i="475"/>
  <c r="E37" i="736"/>
  <c r="K13" i="103"/>
  <c r="G47" i="59"/>
  <c r="M16" i="124"/>
  <c r="M15" i="124" s="1"/>
  <c r="G9" i="101"/>
  <c r="M46" i="121"/>
  <c r="M45" i="121" s="1"/>
  <c r="G52" i="472"/>
  <c r="G55" i="104"/>
  <c r="G47" i="110"/>
  <c r="M53" i="117"/>
  <c r="M52" i="117" s="1"/>
  <c r="H9" i="736"/>
  <c r="G62" i="110"/>
  <c r="M63" i="122"/>
  <c r="M9" i="119"/>
  <c r="M14" i="124"/>
  <c r="M13" i="124" s="1"/>
  <c r="M16" i="110"/>
  <c r="M15" i="110" s="1"/>
  <c r="M14" i="119"/>
  <c r="M13" i="119" s="1"/>
  <c r="G47" i="472"/>
  <c r="M46" i="115"/>
  <c r="M46" i="111"/>
  <c r="M45" i="111" s="1"/>
  <c r="M46" i="125"/>
  <c r="M45" i="125" s="1"/>
  <c r="M46" i="120"/>
  <c r="M45" i="120" s="1"/>
  <c r="M78" i="121"/>
  <c r="M48" i="124"/>
  <c r="M47" i="124" s="1"/>
  <c r="M46" i="124"/>
  <c r="M45" i="124" s="1"/>
  <c r="D35" i="683"/>
  <c r="M48" i="105"/>
  <c r="M47" i="105" s="1"/>
  <c r="M46" i="114"/>
  <c r="M45" i="114" s="1"/>
  <c r="M46" i="103"/>
  <c r="M45" i="103" s="1"/>
  <c r="M46" i="122"/>
  <c r="M45" i="122" s="1"/>
  <c r="M46" i="100"/>
  <c r="K45" i="475"/>
  <c r="M46" i="475"/>
  <c r="M45" i="475" s="1"/>
  <c r="M48" i="114"/>
  <c r="M47" i="114" s="1"/>
  <c r="M48" i="472"/>
  <c r="M47" i="472" s="1"/>
  <c r="M48" i="123"/>
  <c r="M47" i="123" s="1"/>
  <c r="K47" i="59"/>
  <c r="M48" i="108"/>
  <c r="M47" i="108" s="1"/>
  <c r="M48" i="117"/>
  <c r="M47" i="117" s="1"/>
  <c r="M48" i="101"/>
  <c r="M47" i="101" s="1"/>
  <c r="M48" i="119"/>
  <c r="M47" i="119" s="1"/>
  <c r="M9" i="123"/>
  <c r="M5" i="101"/>
  <c r="M48" i="100"/>
  <c r="M48" i="106"/>
  <c r="M47" i="106" s="1"/>
  <c r="M48" i="104"/>
  <c r="M47" i="104" s="1"/>
  <c r="K47" i="104"/>
  <c r="M48" i="122"/>
  <c r="M47" i="122" s="1"/>
  <c r="M48" i="111"/>
  <c r="M47" i="111" s="1"/>
  <c r="K47" i="125"/>
  <c r="K47" i="116"/>
  <c r="D36" i="683"/>
  <c r="M48" i="115"/>
  <c r="M48" i="112"/>
  <c r="M47" i="112" s="1"/>
  <c r="M48" i="110"/>
  <c r="M47" i="110" s="1"/>
  <c r="K47" i="121"/>
  <c r="M48" i="475"/>
  <c r="M47" i="475" s="1"/>
  <c r="M48" i="107"/>
  <c r="M47" i="107" s="1"/>
  <c r="M78" i="475"/>
  <c r="K77" i="117"/>
  <c r="M9" i="475"/>
  <c r="M78" i="111"/>
  <c r="M65" i="475"/>
  <c r="M62" i="100"/>
  <c r="M78" i="101"/>
  <c r="K77" i="116"/>
  <c r="M78" i="472"/>
  <c r="M78" i="124"/>
  <c r="M78" i="102"/>
  <c r="M9" i="107"/>
  <c r="G55" i="107"/>
  <c r="M78" i="104"/>
  <c r="G55" i="111"/>
  <c r="G65" i="108"/>
  <c r="G17" i="119"/>
  <c r="G52" i="124"/>
  <c r="M66" i="112"/>
  <c r="M65" i="112" s="1"/>
  <c r="M46" i="117"/>
  <c r="M45" i="117" s="1"/>
  <c r="G40" i="117"/>
  <c r="M16" i="114"/>
  <c r="M15" i="114" s="1"/>
  <c r="M78" i="122"/>
  <c r="M14" i="107"/>
  <c r="M13" i="107" s="1"/>
  <c r="M67" i="119"/>
  <c r="M65" i="119" s="1"/>
  <c r="G9" i="105"/>
  <c r="M14" i="116"/>
  <c r="M13" i="116" s="1"/>
  <c r="M9" i="472"/>
  <c r="M56" i="106"/>
  <c r="M64" i="111"/>
  <c r="M62" i="111" s="1"/>
  <c r="M53" i="112"/>
  <c r="M52" i="112" s="1"/>
  <c r="M78" i="103"/>
  <c r="AJ2" i="59"/>
  <c r="C52" i="683"/>
  <c r="G9" i="115"/>
  <c r="G17" i="116"/>
  <c r="G17" i="117"/>
  <c r="M54" i="103"/>
  <c r="M78" i="106"/>
  <c r="G55" i="472"/>
  <c r="D3" i="736"/>
  <c r="M16" i="119"/>
  <c r="M15" i="119" s="1"/>
  <c r="M78" i="100"/>
  <c r="G68" i="108"/>
  <c r="M63" i="107"/>
  <c r="M78" i="115"/>
  <c r="M78" i="123"/>
  <c r="M78" i="120"/>
  <c r="M78" i="117"/>
  <c r="M14" i="101"/>
  <c r="M13" i="101" s="1"/>
  <c r="G20" i="676"/>
  <c r="M78" i="112"/>
  <c r="K77" i="59"/>
  <c r="M78" i="118"/>
  <c r="K9" i="115"/>
  <c r="M78" i="110"/>
  <c r="M78" i="105"/>
  <c r="M78" i="119"/>
  <c r="M78" i="107"/>
  <c r="K77" i="107"/>
  <c r="M78" i="114"/>
  <c r="K77" i="114"/>
  <c r="K77" i="119"/>
  <c r="M62" i="119"/>
  <c r="M78" i="125"/>
  <c r="D32" i="683"/>
  <c r="M78" i="116"/>
  <c r="K77" i="104"/>
  <c r="M78" i="108"/>
  <c r="K77" i="472"/>
  <c r="K77" i="106"/>
  <c r="K13" i="121"/>
  <c r="M69" i="119"/>
  <c r="M68" i="119" s="1"/>
  <c r="M52" i="102"/>
  <c r="G68" i="120"/>
  <c r="M70" i="112"/>
  <c r="G68" i="123"/>
  <c r="M66" i="103"/>
  <c r="M65" i="116"/>
  <c r="G65" i="59"/>
  <c r="M62" i="101"/>
  <c r="G55" i="123"/>
  <c r="M52" i="108"/>
  <c r="M52" i="119"/>
  <c r="M65" i="117"/>
  <c r="G52" i="59"/>
  <c r="H58" i="736"/>
  <c r="M67" i="472"/>
  <c r="M65" i="472" s="1"/>
  <c r="M52" i="472"/>
  <c r="M46" i="102"/>
  <c r="M45" i="102" s="1"/>
  <c r="M62" i="123"/>
  <c r="K13" i="472"/>
  <c r="D53" i="683"/>
  <c r="M40" i="472"/>
  <c r="K55" i="475"/>
  <c r="M65" i="115"/>
  <c r="M9" i="111"/>
  <c r="F25" i="418"/>
  <c r="K9" i="106"/>
  <c r="M9" i="125"/>
  <c r="D50" i="683"/>
  <c r="M40" i="121"/>
  <c r="K9" i="120"/>
  <c r="M40" i="124"/>
  <c r="M40" i="475"/>
  <c r="M14" i="120"/>
  <c r="M13" i="120" s="1"/>
  <c r="K9" i="112"/>
  <c r="K9" i="116"/>
  <c r="M55" i="102"/>
  <c r="M40" i="104"/>
  <c r="M14" i="108"/>
  <c r="M13" i="108" s="1"/>
  <c r="M55" i="123"/>
  <c r="M62" i="472"/>
  <c r="M55" i="104"/>
  <c r="M55" i="105"/>
  <c r="M55" i="107"/>
  <c r="M55" i="472"/>
  <c r="M55" i="101"/>
  <c r="M55" i="125"/>
  <c r="M55" i="117"/>
  <c r="M50" i="121"/>
  <c r="M67" i="125"/>
  <c r="M65" i="125" s="1"/>
  <c r="M68" i="108"/>
  <c r="F26" i="418"/>
  <c r="M53" i="111"/>
  <c r="M52" i="111" s="1"/>
  <c r="M68" i="115"/>
  <c r="G15" i="116"/>
  <c r="M16" i="116"/>
  <c r="M15" i="116" s="1"/>
  <c r="K13" i="116"/>
  <c r="G9" i="117"/>
  <c r="H64" i="736"/>
  <c r="H48" i="736"/>
  <c r="G17" i="122"/>
  <c r="M55" i="119"/>
  <c r="M40" i="101"/>
  <c r="M64" i="117"/>
  <c r="M62" i="117" s="1"/>
  <c r="G9" i="475"/>
  <c r="M74" i="123"/>
  <c r="M66" i="114"/>
  <c r="M65" i="114" s="1"/>
  <c r="G62" i="475"/>
  <c r="M64" i="475"/>
  <c r="M62" i="475" s="1"/>
  <c r="M14" i="100"/>
  <c r="M40" i="106"/>
  <c r="M17" i="123"/>
  <c r="K52" i="115"/>
  <c r="M40" i="103"/>
  <c r="M64" i="124"/>
  <c r="M62" i="124" s="1"/>
  <c r="M17" i="117"/>
  <c r="G9" i="110"/>
  <c r="K9" i="104"/>
  <c r="M10" i="112"/>
  <c r="M14" i="123"/>
  <c r="M13" i="123" s="1"/>
  <c r="M64" i="116"/>
  <c r="M62" i="116" s="1"/>
  <c r="M55" i="116"/>
  <c r="M67" i="122"/>
  <c r="M65" i="122" s="1"/>
  <c r="G55" i="121"/>
  <c r="F28" i="418"/>
  <c r="G65" i="472"/>
  <c r="M53" i="104"/>
  <c r="M52" i="104" s="1"/>
  <c r="M68" i="124"/>
  <c r="M17" i="122"/>
  <c r="M69" i="117"/>
  <c r="M9" i="110"/>
  <c r="D53" i="736"/>
  <c r="M46" i="105"/>
  <c r="M45" i="105" s="1"/>
  <c r="G65" i="475"/>
  <c r="M65" i="124"/>
  <c r="M14" i="102"/>
  <c r="M13" i="102" s="1"/>
  <c r="M12" i="124"/>
  <c r="M9" i="124" s="1"/>
  <c r="G62" i="112"/>
  <c r="G9" i="104"/>
  <c r="M68" i="122"/>
  <c r="M17" i="110"/>
  <c r="G68" i="101"/>
  <c r="M40" i="111"/>
  <c r="M17" i="105"/>
  <c r="M53" i="105"/>
  <c r="M52" i="105" s="1"/>
  <c r="D15" i="736"/>
  <c r="M9" i="117"/>
  <c r="M14" i="104"/>
  <c r="M13" i="104" s="1"/>
  <c r="K13" i="112"/>
  <c r="E54" i="736"/>
  <c r="G62" i="59"/>
  <c r="M5" i="115"/>
  <c r="D75" i="736"/>
  <c r="M17" i="124"/>
  <c r="M64" i="115"/>
  <c r="M62" i="115" s="1"/>
  <c r="K13" i="125"/>
  <c r="M55" i="475"/>
  <c r="K9" i="121"/>
  <c r="M40" i="123"/>
  <c r="K13" i="107"/>
  <c r="D31" i="683"/>
  <c r="M68" i="101"/>
  <c r="K13" i="475"/>
  <c r="M68" i="116"/>
  <c r="M41" i="122"/>
  <c r="M40" i="122" s="1"/>
  <c r="M17" i="104"/>
  <c r="H40" i="736"/>
  <c r="M40" i="125"/>
  <c r="D60" i="683"/>
  <c r="D12" i="683"/>
  <c r="M40" i="110"/>
  <c r="M68" i="110"/>
  <c r="K13" i="117"/>
  <c r="H62" i="736"/>
  <c r="H55" i="736"/>
  <c r="M55" i="114"/>
  <c r="K62" i="110"/>
  <c r="M64" i="110"/>
  <c r="M62" i="110" s="1"/>
  <c r="M68" i="107"/>
  <c r="K9" i="105"/>
  <c r="M52" i="123"/>
  <c r="M17" i="119"/>
  <c r="M14" i="111"/>
  <c r="M13" i="111" s="1"/>
  <c r="M17" i="107"/>
  <c r="D11" i="683"/>
  <c r="M52" i="124"/>
  <c r="M14" i="106"/>
  <c r="M13" i="106" s="1"/>
  <c r="H61" i="736"/>
  <c r="M17" i="102"/>
  <c r="M16" i="108"/>
  <c r="M15" i="108" s="1"/>
  <c r="K40" i="120"/>
  <c r="M40" i="116"/>
  <c r="M40" i="114"/>
  <c r="M67" i="105"/>
  <c r="M65" i="105" s="1"/>
  <c r="M53" i="120"/>
  <c r="M53" i="106"/>
  <c r="M52" i="106" s="1"/>
  <c r="M17" i="106"/>
  <c r="M64" i="114"/>
  <c r="M62" i="114" s="1"/>
  <c r="K40" i="114"/>
  <c r="K17" i="475"/>
  <c r="M40" i="102"/>
  <c r="M55" i="124"/>
  <c r="M17" i="114"/>
  <c r="K13" i="110"/>
  <c r="H56" i="736"/>
  <c r="H10" i="736"/>
  <c r="H65" i="736"/>
  <c r="M17" i="125"/>
  <c r="M55" i="111"/>
  <c r="M40" i="115"/>
  <c r="M67" i="103"/>
  <c r="K65" i="112"/>
  <c r="K17" i="121"/>
  <c r="M63" i="121"/>
  <c r="M62" i="121" s="1"/>
  <c r="K62" i="121"/>
  <c r="K68" i="125"/>
  <c r="M69" i="125"/>
  <c r="M68" i="125" s="1"/>
  <c r="M17" i="101"/>
  <c r="M64" i="112"/>
  <c r="M62" i="112" s="1"/>
  <c r="M17" i="111"/>
  <c r="M64" i="122"/>
  <c r="D30" i="683"/>
  <c r="M17" i="115"/>
  <c r="M55" i="110"/>
  <c r="M65" i="110"/>
  <c r="D49" i="683"/>
  <c r="K52" i="107"/>
  <c r="M69" i="123"/>
  <c r="K68" i="123"/>
  <c r="M48" i="102"/>
  <c r="M47" i="102" s="1"/>
  <c r="M16" i="111"/>
  <c r="M15" i="111" s="1"/>
  <c r="K15" i="111"/>
  <c r="K55" i="121"/>
  <c r="M56" i="121"/>
  <c r="M55" i="121" s="1"/>
  <c r="K13" i="105"/>
  <c r="K17" i="472"/>
  <c r="M21" i="472"/>
  <c r="M62" i="103"/>
  <c r="D5" i="683"/>
  <c r="M68" i="104"/>
  <c r="M68" i="111"/>
  <c r="M68" i="106"/>
  <c r="K17" i="106"/>
  <c r="K62" i="108"/>
  <c r="M63" i="108"/>
  <c r="M62" i="108" s="1"/>
  <c r="M51" i="125"/>
  <c r="K68" i="121"/>
  <c r="M70" i="121"/>
  <c r="M68" i="121" s="1"/>
  <c r="M70" i="117"/>
  <c r="K68" i="117"/>
  <c r="K9" i="100"/>
  <c r="K13" i="115"/>
  <c r="H51" i="736"/>
  <c r="H68" i="736"/>
  <c r="K17" i="120"/>
  <c r="M66" i="123"/>
  <c r="M65" i="123" s="1"/>
  <c r="K65" i="123"/>
  <c r="M53" i="103"/>
  <c r="K52" i="103"/>
  <c r="K17" i="116"/>
  <c r="M21" i="116"/>
  <c r="M17" i="116" s="1"/>
  <c r="M46" i="106"/>
  <c r="M45" i="106" s="1"/>
  <c r="K68" i="112"/>
  <c r="M69" i="112"/>
  <c r="K65" i="120"/>
  <c r="M67" i="120"/>
  <c r="M65" i="120" s="1"/>
  <c r="H67" i="736"/>
  <c r="M64" i="107"/>
  <c r="K62" i="107"/>
  <c r="K55" i="106"/>
  <c r="M57" i="106"/>
  <c r="M57" i="122"/>
  <c r="M55" i="122" s="1"/>
  <c r="K55" i="122"/>
  <c r="K9" i="114"/>
  <c r="M46" i="110"/>
  <c r="M45" i="110" s="1"/>
  <c r="M40" i="108"/>
  <c r="K15" i="101"/>
  <c r="M16" i="101"/>
  <c r="M15" i="101" s="1"/>
  <c r="M41" i="105"/>
  <c r="M40" i="105" s="1"/>
  <c r="K40" i="105"/>
  <c r="K68" i="103"/>
  <c r="M69" i="103"/>
  <c r="M68" i="103" s="1"/>
  <c r="H54" i="736"/>
  <c r="H49" i="736"/>
  <c r="H39" i="736"/>
  <c r="H24" i="736"/>
  <c r="H14" i="736"/>
  <c r="H36" i="736"/>
  <c r="M53" i="121"/>
  <c r="M52" i="121" s="1"/>
  <c r="M67" i="106"/>
  <c r="M65" i="106" s="1"/>
  <c r="M62" i="105"/>
  <c r="M17" i="112"/>
  <c r="M16" i="106"/>
  <c r="M15" i="106" s="1"/>
  <c r="K15" i="106"/>
  <c r="M46" i="472"/>
  <c r="M45" i="472" s="1"/>
  <c r="M69" i="475"/>
  <c r="M68" i="475" s="1"/>
  <c r="K68" i="475"/>
  <c r="M54" i="110"/>
  <c r="M52" i="110" s="1"/>
  <c r="K52" i="110"/>
  <c r="H52" i="736"/>
  <c r="K17" i="103"/>
  <c r="M63" i="102"/>
  <c r="M62" i="102" s="1"/>
  <c r="K65" i="104"/>
  <c r="M67" i="104"/>
  <c r="M65" i="104" s="1"/>
  <c r="H76" i="736"/>
  <c r="D52" i="683"/>
  <c r="M52" i="118"/>
  <c r="D39" i="683"/>
  <c r="M16" i="107"/>
  <c r="M15" i="107" s="1"/>
  <c r="K13" i="119"/>
  <c r="D42" i="683"/>
  <c r="M69" i="105"/>
  <c r="M68" i="105" s="1"/>
  <c r="M69" i="114"/>
  <c r="M68" i="114" s="1"/>
  <c r="M41" i="119"/>
  <c r="M40" i="119" s="1"/>
  <c r="M41" i="117"/>
  <c r="M40" i="117" s="1"/>
  <c r="K65" i="121"/>
  <c r="M66" i="121"/>
  <c r="M56" i="103"/>
  <c r="M55" i="103" s="1"/>
  <c r="K55" i="103"/>
  <c r="H46" i="736"/>
  <c r="H16" i="736"/>
  <c r="H22" i="736"/>
  <c r="M53" i="114"/>
  <c r="M52" i="114" s="1"/>
  <c r="K55" i="112"/>
  <c r="M58" i="112"/>
  <c r="M55" i="112" s="1"/>
  <c r="M41" i="112"/>
  <c r="M40" i="112" s="1"/>
  <c r="K40" i="112"/>
  <c r="E21" i="736"/>
  <c r="E39" i="736"/>
  <c r="G9" i="102"/>
  <c r="D11" i="736"/>
  <c r="E16" i="736"/>
  <c r="E31" i="736"/>
  <c r="D50" i="736"/>
  <c r="E29" i="736"/>
  <c r="G52" i="101"/>
  <c r="M53" i="101"/>
  <c r="M52" i="101" s="1"/>
  <c r="D44" i="736"/>
  <c r="E30" i="736"/>
  <c r="D7" i="736"/>
  <c r="G40" i="107"/>
  <c r="M41" i="107"/>
  <c r="M40" i="107" s="1"/>
  <c r="G65" i="111"/>
  <c r="M67" i="111"/>
  <c r="M65" i="111" s="1"/>
  <c r="G17" i="110"/>
  <c r="G55" i="124"/>
  <c r="E71" i="736"/>
  <c r="G40" i="123"/>
  <c r="D63" i="736"/>
  <c r="M14" i="114"/>
  <c r="M13" i="114" s="1"/>
  <c r="G17" i="472"/>
  <c r="M18" i="472"/>
  <c r="G17" i="107"/>
  <c r="M56" i="108"/>
  <c r="M55" i="108" s="1"/>
  <c r="E51" i="736"/>
  <c r="D13" i="736"/>
  <c r="G15" i="108"/>
  <c r="M66" i="100"/>
  <c r="G68" i="472"/>
  <c r="M69" i="472"/>
  <c r="M68" i="472" s="1"/>
  <c r="F27" i="418"/>
  <c r="E14" i="736"/>
  <c r="E45" i="736"/>
  <c r="D38" i="736"/>
  <c r="E19" i="736"/>
  <c r="E17" i="736"/>
  <c r="D60" i="736"/>
  <c r="G68" i="105"/>
  <c r="E72" i="736"/>
  <c r="M9" i="102"/>
  <c r="D66" i="736"/>
  <c r="E25" i="736"/>
  <c r="E62" i="736"/>
  <c r="G65" i="101"/>
  <c r="M67" i="101"/>
  <c r="M65" i="101" s="1"/>
  <c r="G17" i="121"/>
  <c r="G62" i="102"/>
  <c r="E65" i="736"/>
  <c r="E35" i="736"/>
  <c r="E27" i="736"/>
  <c r="G68" i="475"/>
  <c r="G55" i="115"/>
  <c r="M56" i="115"/>
  <c r="M55" i="115" s="1"/>
  <c r="M46" i="112"/>
  <c r="M45" i="112" s="1"/>
  <c r="F29" i="418"/>
  <c r="G62" i="104"/>
  <c r="M64" i="104"/>
  <c r="M62" i="104" s="1"/>
  <c r="E4" i="736"/>
  <c r="M64" i="118"/>
  <c r="C49" i="683"/>
  <c r="M41" i="118"/>
  <c r="E8" i="736"/>
  <c r="M14" i="118"/>
  <c r="M13" i="118" s="1"/>
  <c r="M39" i="118"/>
  <c r="C30" i="683"/>
  <c r="M46" i="118"/>
  <c r="M45" i="118" s="1"/>
  <c r="C35" i="683"/>
  <c r="G5" i="118"/>
  <c r="E3" i="736" s="1"/>
  <c r="M7" i="118"/>
  <c r="I5" i="420" s="1"/>
  <c r="C13" i="683"/>
  <c r="M18" i="118"/>
  <c r="C23" i="683"/>
  <c r="M29" i="118"/>
  <c r="M23" i="118"/>
  <c r="G68" i="118"/>
  <c r="M33" i="118"/>
  <c r="C29" i="683"/>
  <c r="G9" i="118"/>
  <c r="M32" i="118"/>
  <c r="C22" i="683"/>
  <c r="M19" i="118"/>
  <c r="G55" i="118"/>
  <c r="C9" i="683"/>
  <c r="C17" i="683"/>
  <c r="E26" i="736"/>
  <c r="C18" i="683"/>
  <c r="E43" i="736"/>
  <c r="C34" i="683"/>
  <c r="G52" i="118"/>
  <c r="G13" i="118"/>
  <c r="E12" i="736"/>
  <c r="M27" i="118"/>
  <c r="E61" i="736"/>
  <c r="C48" i="683"/>
  <c r="M63" i="118"/>
  <c r="E42" i="736"/>
  <c r="C33" i="683"/>
  <c r="E68" i="736"/>
  <c r="M70" i="118"/>
  <c r="C53" i="683"/>
  <c r="M71" i="118"/>
  <c r="E69" i="736"/>
  <c r="C54" i="683"/>
  <c r="E73" i="736"/>
  <c r="C58" i="683"/>
  <c r="M75" i="118"/>
  <c r="M58" i="118"/>
  <c r="E56" i="736"/>
  <c r="C44" i="683"/>
  <c r="E36" i="736"/>
  <c r="C28" i="683"/>
  <c r="C27" i="683"/>
  <c r="G40" i="118"/>
  <c r="C14" i="683"/>
  <c r="M21" i="118"/>
  <c r="E32" i="736"/>
  <c r="M34" i="118"/>
  <c r="E20" i="736"/>
  <c r="C12" i="683"/>
  <c r="E48" i="736"/>
  <c r="C38" i="683"/>
  <c r="E58" i="736"/>
  <c r="M60" i="118"/>
  <c r="C46" i="683"/>
  <c r="E59" i="736"/>
  <c r="C47" i="683"/>
  <c r="E64" i="736"/>
  <c r="C50" i="683"/>
  <c r="E18" i="736"/>
  <c r="C10" i="683"/>
  <c r="E22" i="736"/>
  <c r="M37" i="118"/>
  <c r="E70" i="736"/>
  <c r="C55" i="683"/>
  <c r="M38" i="118"/>
  <c r="C8" i="683"/>
  <c r="E10" i="736"/>
  <c r="C5" i="683"/>
  <c r="E24" i="736"/>
  <c r="M26" i="118"/>
  <c r="C16" i="683"/>
  <c r="M31" i="118"/>
  <c r="G17" i="118"/>
  <c r="M20" i="118"/>
  <c r="C11" i="683"/>
  <c r="E52" i="736"/>
  <c r="E57" i="736"/>
  <c r="C45" i="683"/>
  <c r="E34" i="736"/>
  <c r="C26" i="683"/>
  <c r="M49" i="118"/>
  <c r="E47" i="736"/>
  <c r="C37" i="683"/>
  <c r="C6" i="683"/>
  <c r="C51" i="683"/>
  <c r="G62" i="118"/>
  <c r="E55" i="736"/>
  <c r="C43" i="683"/>
  <c r="E74" i="736"/>
  <c r="C59" i="683"/>
  <c r="M69" i="118"/>
  <c r="E67" i="736"/>
  <c r="C19" i="683"/>
  <c r="E41" i="736"/>
  <c r="C32" i="683"/>
  <c r="E46" i="736"/>
  <c r="C36" i="683"/>
  <c r="E33" i="736"/>
  <c r="C25" i="683"/>
  <c r="M12" i="118"/>
  <c r="M48" i="118"/>
  <c r="E49" i="736"/>
  <c r="C39" i="683"/>
  <c r="M51" i="118"/>
  <c r="C21" i="683"/>
  <c r="M72" i="118"/>
  <c r="E28" i="736"/>
  <c r="C20" i="683"/>
  <c r="E23" i="736"/>
  <c r="C15" i="683"/>
  <c r="E9" i="736"/>
  <c r="C4" i="683"/>
  <c r="E40" i="736"/>
  <c r="C31" i="683"/>
  <c r="M42" i="118"/>
  <c r="H21" i="736"/>
  <c r="K9" i="118"/>
  <c r="H8" i="736"/>
  <c r="G50" i="736"/>
  <c r="H23" i="736"/>
  <c r="G13" i="736"/>
  <c r="G60" i="736"/>
  <c r="G63" i="736"/>
  <c r="G66" i="736"/>
  <c r="H20" i="736"/>
  <c r="H4" i="736"/>
  <c r="G3" i="736"/>
  <c r="G53" i="736"/>
  <c r="G11" i="736"/>
  <c r="H12" i="736"/>
  <c r="G38" i="736"/>
  <c r="H42" i="736"/>
  <c r="H41" i="736"/>
  <c r="G7" i="736"/>
  <c r="G75" i="736"/>
  <c r="H43" i="736"/>
  <c r="H30" i="736"/>
  <c r="H19" i="736"/>
  <c r="K17" i="100"/>
  <c r="M23" i="100"/>
  <c r="E57" i="683"/>
  <c r="D3" i="683"/>
  <c r="D6" i="683"/>
  <c r="K13" i="118"/>
  <c r="M10" i="118"/>
  <c r="G9" i="59"/>
  <c r="AJ10" i="59"/>
  <c r="K13" i="102"/>
  <c r="M65" i="102"/>
  <c r="G65" i="118"/>
  <c r="M67" i="118"/>
  <c r="M65" i="118" s="1"/>
  <c r="G68" i="102"/>
  <c r="M69" i="102"/>
  <c r="M68" i="102" s="1"/>
  <c r="M46" i="59"/>
  <c r="M13" i="105"/>
  <c r="M9" i="101"/>
  <c r="M51" i="59"/>
  <c r="M25" i="59"/>
  <c r="K62" i="59"/>
  <c r="M34" i="59"/>
  <c r="M78" i="59"/>
  <c r="M67" i="59"/>
  <c r="M49" i="59"/>
  <c r="M61" i="59"/>
  <c r="M63" i="59"/>
  <c r="M74" i="59"/>
  <c r="M66" i="59"/>
  <c r="M36" i="59"/>
  <c r="M22" i="59"/>
  <c r="M73" i="59"/>
  <c r="M35" i="59"/>
  <c r="M48" i="59"/>
  <c r="K65" i="59"/>
  <c r="M30" i="59"/>
  <c r="M58" i="59"/>
  <c r="G13" i="59"/>
  <c r="G17" i="59"/>
  <c r="M59" i="59"/>
  <c r="M50" i="59"/>
  <c r="AD60" i="59"/>
  <c r="AF50" i="59"/>
  <c r="AJ9" i="59"/>
  <c r="AJ41" i="59"/>
  <c r="AJ43" i="59"/>
  <c r="AJ57" i="59"/>
  <c r="AC60" i="59"/>
  <c r="AH60" i="59"/>
  <c r="AB60" i="59"/>
  <c r="AG60" i="59"/>
  <c r="AC6" i="59"/>
  <c r="AJ78" i="59"/>
  <c r="AF60" i="59"/>
  <c r="AE60" i="59"/>
  <c r="AD6" i="59"/>
  <c r="AI60" i="59"/>
  <c r="AJ54" i="59"/>
  <c r="AJ19" i="59"/>
  <c r="M32" i="59"/>
  <c r="M75" i="59"/>
  <c r="K52" i="59"/>
  <c r="K40" i="59"/>
  <c r="M19" i="59"/>
  <c r="M57" i="59"/>
  <c r="M29" i="59"/>
  <c r="M42" i="59"/>
  <c r="M24" i="59"/>
  <c r="M72" i="59"/>
  <c r="M27" i="59"/>
  <c r="M23" i="59"/>
  <c r="M33" i="59"/>
  <c r="M12" i="59"/>
  <c r="M43" i="59"/>
  <c r="M71" i="59"/>
  <c r="M38" i="59"/>
  <c r="K9" i="59"/>
  <c r="M37" i="59"/>
  <c r="M20" i="59"/>
  <c r="M64" i="59"/>
  <c r="M31" i="59"/>
  <c r="M39" i="59"/>
  <c r="M76" i="59"/>
  <c r="K55" i="59"/>
  <c r="M21" i="59"/>
  <c r="K15" i="59"/>
  <c r="K13" i="59"/>
  <c r="M54" i="59"/>
  <c r="K5" i="104"/>
  <c r="M5" i="59"/>
  <c r="M44" i="59"/>
  <c r="M53" i="59"/>
  <c r="M60" i="59"/>
  <c r="M26" i="59"/>
  <c r="M11" i="59"/>
  <c r="M70" i="59"/>
  <c r="K68" i="59"/>
  <c r="AB12" i="59"/>
  <c r="AF12" i="59"/>
  <c r="AI22" i="59"/>
  <c r="AI6" i="59"/>
  <c r="AE50" i="59"/>
  <c r="AJ59" i="59"/>
  <c r="AJ20" i="59"/>
  <c r="AJ40" i="59"/>
  <c r="AH33" i="59"/>
  <c r="AJ42" i="59"/>
  <c r="AJ26" i="59"/>
  <c r="AG6" i="59"/>
  <c r="AD50" i="59"/>
  <c r="AJ32" i="59"/>
  <c r="AJ15" i="59"/>
  <c r="AG33" i="59"/>
  <c r="AJ44" i="59"/>
  <c r="AJ29" i="59"/>
  <c r="AG12" i="59"/>
  <c r="AJ31" i="59"/>
  <c r="AJ16" i="59"/>
  <c r="AG22" i="59"/>
  <c r="AH22" i="59"/>
  <c r="AJ24" i="59"/>
  <c r="AJ8" i="59"/>
  <c r="AE6" i="59"/>
  <c r="AC50" i="59"/>
  <c r="AJ37" i="59"/>
  <c r="AJ46" i="59"/>
  <c r="AE33" i="59"/>
  <c r="AF33" i="59"/>
  <c r="AJ21" i="59"/>
  <c r="AE12" i="59"/>
  <c r="AJ56" i="59"/>
  <c r="AF22" i="59"/>
  <c r="AJ36" i="59"/>
  <c r="AB50" i="59"/>
  <c r="AJ45" i="59"/>
  <c r="AD33" i="59"/>
  <c r="AD12" i="59"/>
  <c r="AJ25" i="59"/>
  <c r="AE22" i="59"/>
  <c r="AJ55" i="59"/>
  <c r="AJ14" i="59"/>
  <c r="AI50" i="59"/>
  <c r="AC33" i="59"/>
  <c r="AI12" i="59"/>
  <c r="AJ17" i="59"/>
  <c r="AJ53" i="59"/>
  <c r="AD22" i="59"/>
  <c r="AJ18" i="59"/>
  <c r="AJ52" i="59"/>
  <c r="AJ49" i="59"/>
  <c r="AH6" i="59"/>
  <c r="AF6" i="59"/>
  <c r="AJ27" i="59"/>
  <c r="AH50" i="59"/>
  <c r="AJ11" i="59"/>
  <c r="AB33" i="59"/>
  <c r="AJ64" i="59"/>
  <c r="AH12" i="59"/>
  <c r="AJ73" i="59"/>
  <c r="AA60" i="59"/>
  <c r="AJ63" i="59"/>
  <c r="AC22" i="59"/>
  <c r="AB6" i="59"/>
  <c r="AG50" i="59"/>
  <c r="AJ35" i="59"/>
  <c r="AJ48" i="59"/>
  <c r="AI33" i="59"/>
  <c r="AJ58" i="59"/>
  <c r="AC12" i="59"/>
  <c r="AJ38" i="59"/>
  <c r="AJ30" i="59"/>
  <c r="AJ67" i="59"/>
  <c r="AJ65" i="59" s="1"/>
  <c r="AJ39" i="59"/>
  <c r="AJ28" i="59"/>
  <c r="AB22" i="59"/>
  <c r="AA6" i="59"/>
  <c r="AJ7" i="59"/>
  <c r="AJ34" i="59"/>
  <c r="AA33" i="59"/>
  <c r="AJ51" i="59"/>
  <c r="AA50" i="59"/>
  <c r="AJ13" i="59"/>
  <c r="AA12" i="59"/>
  <c r="AJ71" i="59"/>
  <c r="AJ70" i="59" s="1"/>
  <c r="AA70" i="59"/>
  <c r="AA68" i="59"/>
  <c r="AJ69" i="59"/>
  <c r="AJ68" i="59" s="1"/>
  <c r="AJ23" i="59"/>
  <c r="AA22" i="59"/>
  <c r="M18" i="59"/>
  <c r="M10" i="59"/>
  <c r="G68" i="59"/>
  <c r="M69" i="59"/>
  <c r="M14" i="59"/>
  <c r="G15" i="59"/>
  <c r="M16" i="59"/>
  <c r="G55" i="59"/>
  <c r="M56" i="59"/>
  <c r="G40" i="59"/>
  <c r="M41" i="59"/>
  <c r="M6" i="119"/>
  <c r="M5" i="119" s="1"/>
  <c r="L6" i="104"/>
  <c r="M6" i="475"/>
  <c r="M5" i="475" s="1"/>
  <c r="L6" i="475"/>
  <c r="M6" i="108"/>
  <c r="M5" i="108" s="1"/>
  <c r="L6" i="108"/>
  <c r="L6" i="121"/>
  <c r="M6" i="105"/>
  <c r="M5" i="105" s="1"/>
  <c r="L6" i="105"/>
  <c r="M6" i="120"/>
  <c r="M5" i="120" s="1"/>
  <c r="M6" i="121"/>
  <c r="M5" i="121" s="1"/>
  <c r="M6" i="472"/>
  <c r="M5" i="472" s="1"/>
  <c r="L6" i="472"/>
  <c r="M6" i="111"/>
  <c r="M5" i="111" s="1"/>
  <c r="L6" i="111"/>
  <c r="M6" i="106"/>
  <c r="M5" i="106" s="1"/>
  <c r="L6" i="106"/>
  <c r="L6" i="120"/>
  <c r="M6" i="125"/>
  <c r="M5" i="125" s="1"/>
  <c r="K5" i="125"/>
  <c r="L6" i="119"/>
  <c r="M6" i="116"/>
  <c r="M5" i="116" s="1"/>
  <c r="L6" i="125"/>
  <c r="M6" i="124"/>
  <c r="M5" i="124" s="1"/>
  <c r="L6" i="116"/>
  <c r="L6" i="124"/>
  <c r="M6" i="104"/>
  <c r="M5" i="104" s="1"/>
  <c r="M9" i="112" l="1"/>
  <c r="M47" i="116"/>
  <c r="D107" i="682"/>
  <c r="E76" i="683"/>
  <c r="M9" i="120"/>
  <c r="L78" i="682"/>
  <c r="E102" i="682" s="1"/>
  <c r="B96" i="755"/>
  <c r="F11" i="676"/>
  <c r="H11" i="676" s="1"/>
  <c r="I34" i="420"/>
  <c r="L75" i="683"/>
  <c r="E105" i="683" s="1"/>
  <c r="L78" i="683"/>
  <c r="E108" i="683" s="1"/>
  <c r="L77" i="683"/>
  <c r="E107" i="683" s="1"/>
  <c r="L74" i="683"/>
  <c r="E104" i="683" s="1"/>
  <c r="L86" i="683"/>
  <c r="E116" i="683" s="1"/>
  <c r="L73" i="683"/>
  <c r="E103" i="683" s="1"/>
  <c r="L79" i="683"/>
  <c r="E109" i="683" s="1"/>
  <c r="L81" i="683"/>
  <c r="E111" i="683" s="1"/>
  <c r="C102" i="683"/>
  <c r="L72" i="683"/>
  <c r="E102" i="683" s="1"/>
  <c r="L83" i="683"/>
  <c r="E113" i="683" s="1"/>
  <c r="C101" i="683"/>
  <c r="L71" i="683"/>
  <c r="E101" i="683" s="1"/>
  <c r="J91" i="683"/>
  <c r="C121" i="683" s="1"/>
  <c r="L80" i="683"/>
  <c r="E110" i="683" s="1"/>
  <c r="E71" i="683"/>
  <c r="C91" i="683"/>
  <c r="E75" i="683"/>
  <c r="L82" i="683"/>
  <c r="E112" i="683" s="1"/>
  <c r="L76" i="683"/>
  <c r="E106" i="683" s="1"/>
  <c r="L89" i="683"/>
  <c r="E119" i="683" s="1"/>
  <c r="D113" i="682"/>
  <c r="K91" i="683"/>
  <c r="D121" i="683" s="1"/>
  <c r="E89" i="683"/>
  <c r="E59" i="682"/>
  <c r="E55" i="682"/>
  <c r="D103" i="682"/>
  <c r="D99" i="682"/>
  <c r="E105" i="682"/>
  <c r="D114" i="682"/>
  <c r="E110" i="682"/>
  <c r="D109" i="682"/>
  <c r="E100" i="682"/>
  <c r="E107" i="682"/>
  <c r="E52" i="682"/>
  <c r="E44" i="682"/>
  <c r="E53" i="682"/>
  <c r="L77" i="682"/>
  <c r="E101" i="682" s="1"/>
  <c r="D101" i="682"/>
  <c r="L80" i="682"/>
  <c r="D104" i="682"/>
  <c r="L84" i="682"/>
  <c r="E109" i="682" s="1"/>
  <c r="D108" i="682"/>
  <c r="L87" i="682"/>
  <c r="E111" i="682" s="1"/>
  <c r="D111" i="682"/>
  <c r="L88" i="682"/>
  <c r="E106" i="682" s="1"/>
  <c r="D112" i="682"/>
  <c r="K91" i="682"/>
  <c r="E91" i="682"/>
  <c r="D91" i="682"/>
  <c r="C14" i="685"/>
  <c r="C33" i="685"/>
  <c r="F15" i="676"/>
  <c r="C11" i="685"/>
  <c r="E15" i="676"/>
  <c r="B115" i="755"/>
  <c r="G13" i="676"/>
  <c r="F10" i="753"/>
  <c r="M10" i="753"/>
  <c r="E10" i="753"/>
  <c r="G10" i="753"/>
  <c r="D10" i="753"/>
  <c r="N13" i="753"/>
  <c r="N19" i="753"/>
  <c r="N17" i="753"/>
  <c r="N14" i="753"/>
  <c r="N21" i="753"/>
  <c r="N20" i="753"/>
  <c r="E7" i="741"/>
  <c r="E7" i="420"/>
  <c r="K46" i="108"/>
  <c r="J45" i="108"/>
  <c r="G45" i="736"/>
  <c r="G44" i="420"/>
  <c r="E13" i="420"/>
  <c r="C45" i="685"/>
  <c r="C41" i="685"/>
  <c r="C36" i="685"/>
  <c r="C39" i="685"/>
  <c r="F17" i="676"/>
  <c r="H17" i="676" s="1"/>
  <c r="F9" i="772"/>
  <c r="F18" i="676"/>
  <c r="H18" i="676" s="1"/>
  <c r="F16" i="676"/>
  <c r="H16" i="676" s="1"/>
  <c r="F10" i="772"/>
  <c r="C40" i="685"/>
  <c r="C42" i="685"/>
  <c r="I41" i="420"/>
  <c r="I42" i="420"/>
  <c r="H38" i="420"/>
  <c r="I40" i="420"/>
  <c r="I33" i="420"/>
  <c r="I9" i="420"/>
  <c r="B133" i="755"/>
  <c r="C9" i="685"/>
  <c r="C27" i="685"/>
  <c r="B135" i="755"/>
  <c r="E19" i="676"/>
  <c r="C87" i="748"/>
  <c r="N16" i="753"/>
  <c r="N18" i="753"/>
  <c r="C10" i="685"/>
  <c r="C12" i="685"/>
  <c r="E6" i="676"/>
  <c r="C135" i="748"/>
  <c r="N15" i="753"/>
  <c r="N11" i="753"/>
  <c r="E8" i="676"/>
  <c r="C8" i="685"/>
  <c r="H10" i="676"/>
  <c r="C46" i="685"/>
  <c r="C17" i="685"/>
  <c r="M52" i="115"/>
  <c r="M45" i="115"/>
  <c r="M47" i="115"/>
  <c r="E5" i="676"/>
  <c r="F17" i="741"/>
  <c r="M47" i="125"/>
  <c r="C86" i="748"/>
  <c r="C94" i="748"/>
  <c r="C93" i="748"/>
  <c r="D16" i="741"/>
  <c r="F8" i="741"/>
  <c r="K8" i="122"/>
  <c r="K8" i="111"/>
  <c r="C91" i="748"/>
  <c r="C92" i="748"/>
  <c r="C85" i="748"/>
  <c r="M52" i="100"/>
  <c r="C84" i="748"/>
  <c r="K8" i="101"/>
  <c r="C82" i="748"/>
  <c r="C81" i="748"/>
  <c r="E33" i="683"/>
  <c r="E19" i="683"/>
  <c r="E22" i="683"/>
  <c r="E4" i="683"/>
  <c r="E47" i="683"/>
  <c r="E14" i="683"/>
  <c r="E20" i="683"/>
  <c r="E23" i="683"/>
  <c r="E16" i="683"/>
  <c r="E9" i="683"/>
  <c r="E48" i="683"/>
  <c r="E43" i="683"/>
  <c r="E8" i="683"/>
  <c r="E29" i="683"/>
  <c r="E24" i="683"/>
  <c r="E38" i="683"/>
  <c r="E58" i="683"/>
  <c r="E46" i="683"/>
  <c r="E7" i="683"/>
  <c r="E44" i="683"/>
  <c r="E21" i="683"/>
  <c r="E10" i="683"/>
  <c r="E13" i="683"/>
  <c r="E26" i="683"/>
  <c r="E45" i="683"/>
  <c r="E54" i="683"/>
  <c r="E34" i="683"/>
  <c r="E15" i="683"/>
  <c r="E55" i="683"/>
  <c r="E28" i="683"/>
  <c r="E17" i="683"/>
  <c r="E59" i="683"/>
  <c r="E25" i="683"/>
  <c r="E27" i="683"/>
  <c r="E51" i="683"/>
  <c r="E18" i="683"/>
  <c r="E42" i="683"/>
  <c r="E37" i="683"/>
  <c r="C22" i="685"/>
  <c r="D61" i="683"/>
  <c r="E62" i="420"/>
  <c r="E65" i="420"/>
  <c r="D6" i="420"/>
  <c r="E59" i="420"/>
  <c r="E53" i="420"/>
  <c r="I58" i="420"/>
  <c r="F19" i="741"/>
  <c r="M68" i="120"/>
  <c r="M40" i="120"/>
  <c r="I27" i="420"/>
  <c r="M47" i="120"/>
  <c r="M55" i="120"/>
  <c r="I26" i="420"/>
  <c r="M17" i="120"/>
  <c r="E19" i="741"/>
  <c r="D19" i="741"/>
  <c r="E16" i="741"/>
  <c r="E18" i="741"/>
  <c r="E17" i="741"/>
  <c r="D17" i="741"/>
  <c r="D18" i="741"/>
  <c r="D20" i="741"/>
  <c r="F20" i="741"/>
  <c r="E20" i="741"/>
  <c r="K8" i="124"/>
  <c r="F5" i="741"/>
  <c r="K8" i="102"/>
  <c r="I28" i="420"/>
  <c r="I30" i="420"/>
  <c r="I72" i="420"/>
  <c r="I55" i="420"/>
  <c r="I47" i="420"/>
  <c r="I20" i="420"/>
  <c r="H45" i="420"/>
  <c r="I36" i="420"/>
  <c r="I71" i="420"/>
  <c r="I24" i="420"/>
  <c r="I70" i="420"/>
  <c r="H3" i="420"/>
  <c r="I14" i="420"/>
  <c r="I52" i="420"/>
  <c r="I17" i="420"/>
  <c r="I56" i="420"/>
  <c r="H13" i="420"/>
  <c r="H50" i="420"/>
  <c r="I68" i="420"/>
  <c r="I12" i="420"/>
  <c r="I19" i="420"/>
  <c r="I10" i="420"/>
  <c r="I67" i="420"/>
  <c r="I31" i="420"/>
  <c r="I21" i="420"/>
  <c r="I75" i="420"/>
  <c r="I16" i="420"/>
  <c r="I37" i="420"/>
  <c r="I25" i="420"/>
  <c r="I46" i="420"/>
  <c r="I32" i="420"/>
  <c r="I66" i="420"/>
  <c r="H65" i="420"/>
  <c r="H53" i="420"/>
  <c r="I64" i="420"/>
  <c r="I73" i="420"/>
  <c r="H62" i="420"/>
  <c r="I57" i="420"/>
  <c r="I29" i="420"/>
  <c r="I69" i="420"/>
  <c r="H59" i="420"/>
  <c r="M45" i="59"/>
  <c r="H11" i="420"/>
  <c r="I60" i="420"/>
  <c r="I39" i="420"/>
  <c r="I51" i="420"/>
  <c r="I61" i="420"/>
  <c r="I22" i="736"/>
  <c r="I22" i="420"/>
  <c r="I23" i="736"/>
  <c r="I23" i="420"/>
  <c r="I4" i="420"/>
  <c r="I18" i="420"/>
  <c r="I49" i="420"/>
  <c r="H74" i="420"/>
  <c r="I35" i="420"/>
  <c r="H7" i="420"/>
  <c r="I54" i="420"/>
  <c r="I48" i="420"/>
  <c r="I63" i="420"/>
  <c r="M17" i="100"/>
  <c r="M13" i="100"/>
  <c r="M15" i="100"/>
  <c r="I43" i="736"/>
  <c r="M68" i="100"/>
  <c r="M40" i="100"/>
  <c r="M65" i="100"/>
  <c r="M55" i="100"/>
  <c r="M9" i="100"/>
  <c r="I20" i="736"/>
  <c r="M47" i="100"/>
  <c r="M45" i="100"/>
  <c r="E52" i="683"/>
  <c r="F6" i="741"/>
  <c r="K8" i="119"/>
  <c r="K8" i="118"/>
  <c r="K8" i="123"/>
  <c r="K8" i="110"/>
  <c r="K8" i="104"/>
  <c r="K8" i="107"/>
  <c r="K8" i="125"/>
  <c r="K8" i="103"/>
  <c r="K8" i="114"/>
  <c r="K8" i="117"/>
  <c r="K8" i="475"/>
  <c r="K8" i="472"/>
  <c r="K8" i="112"/>
  <c r="K8" i="115"/>
  <c r="K8" i="106"/>
  <c r="K8" i="120"/>
  <c r="K8" i="116"/>
  <c r="K8" i="105"/>
  <c r="K8" i="121"/>
  <c r="K8" i="100"/>
  <c r="V7" i="120"/>
  <c r="K27" i="674" s="1"/>
  <c r="E36" i="683"/>
  <c r="I9" i="736"/>
  <c r="M62" i="122"/>
  <c r="M65" i="121"/>
  <c r="E35" i="683"/>
  <c r="M47" i="59"/>
  <c r="M47" i="118"/>
  <c r="M47" i="121"/>
  <c r="E32" i="683"/>
  <c r="M55" i="106"/>
  <c r="M52" i="103"/>
  <c r="H75" i="736"/>
  <c r="M62" i="107"/>
  <c r="M65" i="103"/>
  <c r="M68" i="112"/>
  <c r="AJ60" i="59"/>
  <c r="M68" i="123"/>
  <c r="E50" i="683"/>
  <c r="I48" i="736"/>
  <c r="M17" i="472"/>
  <c r="E53" i="683"/>
  <c r="M68" i="117"/>
  <c r="E31" i="683"/>
  <c r="E50" i="736"/>
  <c r="E49" i="683"/>
  <c r="E60" i="736"/>
  <c r="E7" i="736"/>
  <c r="E12" i="683"/>
  <c r="E11" i="683"/>
  <c r="M52" i="120"/>
  <c r="H60" i="736"/>
  <c r="E5" i="683"/>
  <c r="E30" i="683"/>
  <c r="H53" i="736"/>
  <c r="H63" i="736"/>
  <c r="H13" i="736"/>
  <c r="I54" i="736"/>
  <c r="I14" i="736"/>
  <c r="E39" i="683"/>
  <c r="I52" i="736"/>
  <c r="H50" i="736"/>
  <c r="E38" i="736"/>
  <c r="E53" i="736"/>
  <c r="E11" i="736"/>
  <c r="E44" i="736"/>
  <c r="D6" i="736"/>
  <c r="E15" i="736"/>
  <c r="E13" i="736"/>
  <c r="E66" i="736"/>
  <c r="M62" i="118"/>
  <c r="I62" i="736"/>
  <c r="M40" i="118"/>
  <c r="I12" i="736"/>
  <c r="I37" i="736"/>
  <c r="I27" i="736"/>
  <c r="I36" i="736"/>
  <c r="I5" i="736"/>
  <c r="M5" i="118"/>
  <c r="I3" i="736" s="1"/>
  <c r="I30" i="736"/>
  <c r="I31" i="736"/>
  <c r="I16" i="736"/>
  <c r="I17" i="736"/>
  <c r="I18" i="736"/>
  <c r="I10" i="736"/>
  <c r="M17" i="118"/>
  <c r="I69" i="736"/>
  <c r="M68" i="118"/>
  <c r="I24" i="736"/>
  <c r="I35" i="736"/>
  <c r="I29" i="736"/>
  <c r="E63" i="736"/>
  <c r="I25" i="736"/>
  <c r="M55" i="118"/>
  <c r="I68" i="736"/>
  <c r="I32" i="736"/>
  <c r="E6" i="683"/>
  <c r="V5" i="118"/>
  <c r="I25" i="674" s="1"/>
  <c r="I33" i="674" s="1"/>
  <c r="V7" i="118"/>
  <c r="K25" i="674" s="1"/>
  <c r="M9" i="118"/>
  <c r="I8" i="736"/>
  <c r="H3" i="736"/>
  <c r="I67" i="736"/>
  <c r="H38" i="736"/>
  <c r="I71" i="736"/>
  <c r="H66" i="736"/>
  <c r="H11" i="736"/>
  <c r="O43" i="59"/>
  <c r="P43" i="59" s="1"/>
  <c r="I42" i="736"/>
  <c r="I58" i="736"/>
  <c r="I39" i="736"/>
  <c r="I51" i="736"/>
  <c r="I70" i="736"/>
  <c r="I59" i="736"/>
  <c r="V10" i="59"/>
  <c r="I21" i="736"/>
  <c r="O49" i="59"/>
  <c r="P49" i="59" s="1"/>
  <c r="I47" i="736"/>
  <c r="I73" i="736"/>
  <c r="I34" i="736"/>
  <c r="I72" i="736"/>
  <c r="V8" i="59"/>
  <c r="I19" i="736"/>
  <c r="O63" i="59"/>
  <c r="I61" i="736"/>
  <c r="I74" i="736"/>
  <c r="H7" i="736"/>
  <c r="O42" i="59"/>
  <c r="P42" i="59" s="1"/>
  <c r="I40" i="736"/>
  <c r="I57" i="736"/>
  <c r="V7" i="59"/>
  <c r="K6" i="674" s="1"/>
  <c r="I28" i="736"/>
  <c r="I65" i="736"/>
  <c r="I56" i="736"/>
  <c r="I49" i="736"/>
  <c r="I64" i="736"/>
  <c r="O78" i="59"/>
  <c r="P78" i="59" s="1"/>
  <c r="I41" i="736"/>
  <c r="I55" i="736"/>
  <c r="O48" i="59"/>
  <c r="P48" i="59" s="1"/>
  <c r="I46" i="736"/>
  <c r="I4" i="736"/>
  <c r="I33" i="736"/>
  <c r="E3" i="683"/>
  <c r="O46" i="59"/>
  <c r="P46" i="59" s="1"/>
  <c r="O27" i="59"/>
  <c r="P27" i="59" s="1"/>
  <c r="O32" i="59"/>
  <c r="P32" i="59" s="1"/>
  <c r="O25" i="59"/>
  <c r="P25" i="59" s="1"/>
  <c r="O24" i="59"/>
  <c r="P24" i="59" s="1"/>
  <c r="O12" i="59"/>
  <c r="P12" i="59" s="1"/>
  <c r="O22" i="59"/>
  <c r="P22" i="59" s="1"/>
  <c r="O19" i="59"/>
  <c r="P19" i="59" s="1"/>
  <c r="O23" i="59"/>
  <c r="P23" i="59" s="1"/>
  <c r="O51" i="59"/>
  <c r="P51" i="59" s="1"/>
  <c r="O66" i="59"/>
  <c r="P66" i="59" s="1"/>
  <c r="O34" i="59"/>
  <c r="P34" i="59" s="1"/>
  <c r="O35" i="59"/>
  <c r="P35" i="59" s="1"/>
  <c r="M62" i="59"/>
  <c r="M65" i="59"/>
  <c r="O73" i="59"/>
  <c r="P73" i="59" s="1"/>
  <c r="O30" i="59"/>
  <c r="P30" i="59" s="1"/>
  <c r="O29" i="59"/>
  <c r="P29" i="59" s="1"/>
  <c r="AF5" i="59"/>
  <c r="AH5" i="59"/>
  <c r="AJ50" i="59"/>
  <c r="T17" i="59"/>
  <c r="AE5" i="59"/>
  <c r="O50" i="59"/>
  <c r="P50" i="59" s="1"/>
  <c r="AJ22" i="59"/>
  <c r="AJ6" i="59"/>
  <c r="AB5" i="59"/>
  <c r="AD5" i="59"/>
  <c r="AC5" i="59"/>
  <c r="O33" i="59"/>
  <c r="P33" i="59" s="1"/>
  <c r="M13" i="59"/>
  <c r="O44" i="59"/>
  <c r="P44" i="59" s="1"/>
  <c r="O37" i="59"/>
  <c r="P37" i="59" s="1"/>
  <c r="O71" i="59"/>
  <c r="P71" i="59" s="1"/>
  <c r="O39" i="59"/>
  <c r="P39" i="59" s="1"/>
  <c r="O70" i="59"/>
  <c r="O54" i="59"/>
  <c r="P54" i="59" s="1"/>
  <c r="O21" i="59"/>
  <c r="P21" i="59" s="1"/>
  <c r="O38" i="59"/>
  <c r="P38" i="59" s="1"/>
  <c r="M55" i="59"/>
  <c r="O11" i="59"/>
  <c r="P11" i="59" s="1"/>
  <c r="O31" i="59"/>
  <c r="P31" i="59" s="1"/>
  <c r="M68" i="59"/>
  <c r="M52" i="59"/>
  <c r="O26" i="59"/>
  <c r="P26" i="59" s="1"/>
  <c r="O64" i="59"/>
  <c r="P64" i="59" s="1"/>
  <c r="O20" i="59"/>
  <c r="P20" i="59" s="1"/>
  <c r="AG5" i="59"/>
  <c r="AI5" i="59"/>
  <c r="AJ33" i="59"/>
  <c r="AJ12" i="59"/>
  <c r="M15" i="59"/>
  <c r="O16" i="59"/>
  <c r="P16" i="59" s="1"/>
  <c r="O18" i="59"/>
  <c r="P18" i="59" s="1"/>
  <c r="M40" i="59"/>
  <c r="O41" i="59"/>
  <c r="P41" i="59" s="1"/>
  <c r="M9" i="59"/>
  <c r="O10" i="59"/>
  <c r="P10" i="59" s="1"/>
  <c r="AA5" i="59"/>
  <c r="C52" i="748" l="1"/>
  <c r="F13" i="676"/>
  <c r="H13" i="676" s="1"/>
  <c r="C90" i="748"/>
  <c r="C14" i="748" s="1"/>
  <c r="F45" i="674"/>
  <c r="G45" i="674" s="1"/>
  <c r="E91" i="683"/>
  <c r="L91" i="683"/>
  <c r="E121" i="683" s="1"/>
  <c r="D91" i="683"/>
  <c r="E104" i="682"/>
  <c r="E99" i="682"/>
  <c r="E114" i="682"/>
  <c r="E112" i="682"/>
  <c r="E113" i="682"/>
  <c r="E108" i="682"/>
  <c r="E103" i="682"/>
  <c r="D115" i="682"/>
  <c r="L91" i="682"/>
  <c r="G23" i="676"/>
  <c r="B132" i="755"/>
  <c r="E7" i="676"/>
  <c r="E24" i="753"/>
  <c r="M24" i="753"/>
  <c r="B97" i="755"/>
  <c r="K23" i="753"/>
  <c r="C34" i="685"/>
  <c r="C38" i="685"/>
  <c r="G23" i="753"/>
  <c r="D24" i="753"/>
  <c r="C35" i="685"/>
  <c r="F23" i="753"/>
  <c r="C44" i="685"/>
  <c r="B79" i="755"/>
  <c r="G44" i="736"/>
  <c r="J8" i="108"/>
  <c r="G43" i="420"/>
  <c r="K45" i="108"/>
  <c r="H44" i="420"/>
  <c r="H45" i="736"/>
  <c r="D37" i="682"/>
  <c r="E37" i="682" s="1"/>
  <c r="M46" i="108"/>
  <c r="C134" i="748"/>
  <c r="B64" i="755" s="1"/>
  <c r="C128" i="748"/>
  <c r="C55" i="748" s="1"/>
  <c r="C131" i="748"/>
  <c r="B63" i="755" s="1"/>
  <c r="C129" i="748"/>
  <c r="C57" i="748" s="1"/>
  <c r="F34" i="772"/>
  <c r="F30" i="772" s="1"/>
  <c r="C37" i="685"/>
  <c r="C43" i="685"/>
  <c r="F9" i="741"/>
  <c r="I38" i="420"/>
  <c r="B136" i="755"/>
  <c r="F14" i="772"/>
  <c r="C13" i="685"/>
  <c r="C52" i="685"/>
  <c r="B98" i="755"/>
  <c r="F19" i="676"/>
  <c r="O15" i="753"/>
  <c r="N10" i="753"/>
  <c r="O11" i="753"/>
  <c r="B131" i="755"/>
  <c r="C48" i="685"/>
  <c r="C47" i="685" s="1"/>
  <c r="B100" i="755"/>
  <c r="B99" i="755"/>
  <c r="C64" i="748"/>
  <c r="F7" i="772"/>
  <c r="F9" i="676"/>
  <c r="F8" i="772"/>
  <c r="C51" i="748"/>
  <c r="C31" i="748"/>
  <c r="C48" i="748"/>
  <c r="C50" i="748"/>
  <c r="C8" i="748"/>
  <c r="B20" i="755" s="1"/>
  <c r="C49" i="748"/>
  <c r="C15" i="748"/>
  <c r="C19" i="748"/>
  <c r="C11" i="748"/>
  <c r="B23" i="755" s="1"/>
  <c r="C9" i="748"/>
  <c r="B21" i="755" s="1"/>
  <c r="H5" i="676"/>
  <c r="C29" i="685"/>
  <c r="C26" i="685"/>
  <c r="E20" i="676"/>
  <c r="D8" i="741"/>
  <c r="B77" i="755"/>
  <c r="C30" i="748"/>
  <c r="D6" i="741"/>
  <c r="D5" i="741"/>
  <c r="C143" i="748"/>
  <c r="G16" i="741"/>
  <c r="C89" i="748"/>
  <c r="C80" i="748"/>
  <c r="E40" i="683"/>
  <c r="E41" i="683"/>
  <c r="D62" i="683"/>
  <c r="F21" i="741"/>
  <c r="G19" i="741"/>
  <c r="G17" i="741"/>
  <c r="D21" i="741"/>
  <c r="G18" i="741"/>
  <c r="G20" i="741"/>
  <c r="E21" i="741"/>
  <c r="I62" i="420"/>
  <c r="I59" i="420"/>
  <c r="I13" i="420"/>
  <c r="I45" i="420"/>
  <c r="I7" i="420"/>
  <c r="I65" i="420"/>
  <c r="I11" i="736"/>
  <c r="I11" i="420"/>
  <c r="I3" i="420"/>
  <c r="I50" i="420"/>
  <c r="I53" i="420"/>
  <c r="I13" i="736"/>
  <c r="G7" i="741"/>
  <c r="I53" i="736"/>
  <c r="K33" i="674"/>
  <c r="I7" i="736"/>
  <c r="V14" i="59"/>
  <c r="R6" i="674" s="1"/>
  <c r="I38" i="736"/>
  <c r="I50" i="736"/>
  <c r="I60" i="736"/>
  <c r="O65" i="59"/>
  <c r="P65" i="59" s="1"/>
  <c r="I63" i="736"/>
  <c r="I66" i="736"/>
  <c r="O45" i="59"/>
  <c r="P45" i="59" s="1"/>
  <c r="AJ5" i="59"/>
  <c r="O40" i="59"/>
  <c r="P40" i="59" s="1"/>
  <c r="O55" i="59"/>
  <c r="P55" i="59" s="1"/>
  <c r="O13" i="59"/>
  <c r="P13" i="59" s="1"/>
  <c r="C51" i="685" l="1"/>
  <c r="C49" i="685" s="1"/>
  <c r="C7" i="685"/>
  <c r="H45" i="674"/>
  <c r="B95" i="755"/>
  <c r="F13" i="772"/>
  <c r="I23" i="753"/>
  <c r="C79" i="748"/>
  <c r="F43" i="674"/>
  <c r="D93" i="683"/>
  <c r="E115" i="682"/>
  <c r="H19" i="676"/>
  <c r="H7" i="676"/>
  <c r="H9" i="676"/>
  <c r="M25" i="753"/>
  <c r="E25" i="753"/>
  <c r="D25" i="753"/>
  <c r="G24" i="753"/>
  <c r="K24" i="753"/>
  <c r="F24" i="753"/>
  <c r="B82" i="755"/>
  <c r="B78" i="755"/>
  <c r="C60" i="748"/>
  <c r="M45" i="108"/>
  <c r="I45" i="736"/>
  <c r="I44" i="420"/>
  <c r="L23" i="753"/>
  <c r="H44" i="736"/>
  <c r="K8" i="108"/>
  <c r="H43" i="420"/>
  <c r="D64" i="682"/>
  <c r="D92" i="682" s="1"/>
  <c r="C132" i="748"/>
  <c r="C56" i="748" s="1"/>
  <c r="C83" i="748"/>
  <c r="C7" i="748" s="1"/>
  <c r="B19" i="755" s="1"/>
  <c r="C127" i="748"/>
  <c r="B57" i="755" s="1"/>
  <c r="B59" i="755"/>
  <c r="C133" i="748"/>
  <c r="C58" i="748" s="1"/>
  <c r="C130" i="748"/>
  <c r="B62" i="755" s="1"/>
  <c r="C144" i="748"/>
  <c r="I9" i="753" s="1"/>
  <c r="B58" i="755"/>
  <c r="C61" i="748"/>
  <c r="D9" i="741"/>
  <c r="B81" i="755"/>
  <c r="I8" i="753"/>
  <c r="O10" i="753"/>
  <c r="B137" i="755"/>
  <c r="C132" i="755" s="1"/>
  <c r="C32" i="685"/>
  <c r="B76" i="755"/>
  <c r="C70" i="748"/>
  <c r="B42" i="755" s="1"/>
  <c r="C21" i="748"/>
  <c r="C25" i="685"/>
  <c r="E22" i="676"/>
  <c r="B16" i="677"/>
  <c r="G21" i="741"/>
  <c r="G753" i="475"/>
  <c r="Q749" i="475"/>
  <c r="A79" i="475"/>
  <c r="A77" i="475"/>
  <c r="A76" i="475"/>
  <c r="AM73" i="475"/>
  <c r="AL73" i="475"/>
  <c r="AM71" i="475"/>
  <c r="AY72" i="475"/>
  <c r="AM72" i="475"/>
  <c r="Z72" i="475"/>
  <c r="A72" i="475"/>
  <c r="Z69" i="475"/>
  <c r="AY68" i="475"/>
  <c r="A70" i="475"/>
  <c r="AY65" i="475"/>
  <c r="AL63" i="475"/>
  <c r="AX61" i="475"/>
  <c r="A63" i="475"/>
  <c r="AY59" i="475"/>
  <c r="AX58" i="475"/>
  <c r="AY57" i="475"/>
  <c r="AX57" i="475"/>
  <c r="AM55" i="475"/>
  <c r="AL55" i="475"/>
  <c r="AX54" i="475"/>
  <c r="Z53" i="475"/>
  <c r="AY51" i="475"/>
  <c r="A54" i="475"/>
  <c r="E52" i="475"/>
  <c r="E17" i="475" s="1"/>
  <c r="C29" i="418" s="1"/>
  <c r="AY50" i="475"/>
  <c r="A53" i="475"/>
  <c r="AL48" i="475"/>
  <c r="AL46" i="475"/>
  <c r="A44" i="475"/>
  <c r="AM40" i="475"/>
  <c r="AL40" i="475"/>
  <c r="AM36" i="475"/>
  <c r="AX36" i="475"/>
  <c r="AY35" i="475"/>
  <c r="A38" i="475"/>
  <c r="AY34" i="475"/>
  <c r="A37" i="475"/>
  <c r="A36" i="475"/>
  <c r="AX32" i="475"/>
  <c r="AY31" i="475"/>
  <c r="R32" i="475"/>
  <c r="S32" i="475" s="1"/>
  <c r="AL29" i="475"/>
  <c r="R31" i="475"/>
  <c r="S31" i="475" s="1"/>
  <c r="AY28" i="475"/>
  <c r="R30" i="475"/>
  <c r="S30" i="475" s="1"/>
  <c r="AX27" i="475"/>
  <c r="R29" i="475"/>
  <c r="S29" i="475" s="1"/>
  <c r="AY26" i="475"/>
  <c r="R28" i="475"/>
  <c r="S28" i="475" s="1"/>
  <c r="R27" i="475"/>
  <c r="S27" i="475" s="1"/>
  <c r="AM24" i="475"/>
  <c r="R26" i="475"/>
  <c r="S26" i="475" s="1"/>
  <c r="Z23" i="475"/>
  <c r="R25" i="475"/>
  <c r="S25" i="475" s="1"/>
  <c r="AY22" i="475"/>
  <c r="AY21" i="475"/>
  <c r="AY18" i="475"/>
  <c r="Z17" i="475"/>
  <c r="Z16" i="475"/>
  <c r="AM15" i="475"/>
  <c r="Y15" i="475"/>
  <c r="A16" i="475"/>
  <c r="A15" i="475"/>
  <c r="U14" i="475"/>
  <c r="V14" i="475" s="1"/>
  <c r="R32" i="674" s="1"/>
  <c r="U13" i="475"/>
  <c r="V13" i="475" s="1"/>
  <c r="Q32" i="674" s="1"/>
  <c r="AY10" i="475"/>
  <c r="U12" i="475"/>
  <c r="V12" i="475" s="1"/>
  <c r="P32" i="674" s="1"/>
  <c r="U11" i="475"/>
  <c r="R11" i="475"/>
  <c r="S11" i="475" s="1"/>
  <c r="U10" i="475"/>
  <c r="V10" i="475" s="1"/>
  <c r="N32" i="674" s="1"/>
  <c r="R10" i="475"/>
  <c r="S10" i="475" s="1"/>
  <c r="U9" i="475"/>
  <c r="R9" i="475"/>
  <c r="S9" i="475" s="1"/>
  <c r="U8" i="475"/>
  <c r="V8" i="475" s="1"/>
  <c r="L32" i="674" s="1"/>
  <c r="R8" i="475"/>
  <c r="S8" i="475" s="1"/>
  <c r="AM4" i="475"/>
  <c r="AL4" i="475"/>
  <c r="AX3" i="475"/>
  <c r="U4" i="475"/>
  <c r="V4" i="475" s="1"/>
  <c r="H32" i="674" s="1"/>
  <c r="R4" i="475"/>
  <c r="S4" i="475" s="1"/>
  <c r="U3" i="475"/>
  <c r="V3" i="475" s="1"/>
  <c r="R3" i="475"/>
  <c r="S3" i="475" s="1"/>
  <c r="AX2" i="475"/>
  <c r="AL2" i="475"/>
  <c r="Y2" i="475"/>
  <c r="BK1" i="475"/>
  <c r="BJ1" i="475"/>
  <c r="BI1" i="475"/>
  <c r="BH1" i="475"/>
  <c r="BG1" i="475"/>
  <c r="BF1" i="475"/>
  <c r="BE1" i="475"/>
  <c r="BD1" i="475"/>
  <c r="BC1" i="475"/>
  <c r="BB1" i="475"/>
  <c r="BA1" i="475"/>
  <c r="AZ1" i="475"/>
  <c r="AU1" i="475"/>
  <c r="AT1" i="475"/>
  <c r="AS1" i="475"/>
  <c r="AR1" i="475"/>
  <c r="AQ1" i="475"/>
  <c r="AP1" i="475"/>
  <c r="AO1" i="475"/>
  <c r="AN1" i="475"/>
  <c r="AI1" i="475"/>
  <c r="AH1" i="475"/>
  <c r="AG1" i="475"/>
  <c r="AF1" i="475"/>
  <c r="AE1" i="475"/>
  <c r="AD1" i="475"/>
  <c r="AC1" i="475"/>
  <c r="AB1" i="475"/>
  <c r="AA1" i="475"/>
  <c r="K1" i="475"/>
  <c r="F1" i="475"/>
  <c r="E1" i="475"/>
  <c r="Q749" i="125"/>
  <c r="A79" i="125"/>
  <c r="A77" i="125"/>
  <c r="A76" i="125"/>
  <c r="AY71" i="125"/>
  <c r="AY72" i="125"/>
  <c r="AM72" i="125"/>
  <c r="Z72" i="125"/>
  <c r="A72" i="125"/>
  <c r="AX71" i="125"/>
  <c r="A70" i="125"/>
  <c r="AM67" i="125"/>
  <c r="AX67" i="125"/>
  <c r="Y66" i="125"/>
  <c r="Z65" i="125"/>
  <c r="AL64" i="125"/>
  <c r="Z63" i="125"/>
  <c r="A64" i="125"/>
  <c r="Z60" i="125"/>
  <c r="A63" i="125"/>
  <c r="Y58" i="125"/>
  <c r="AM56" i="125"/>
  <c r="Y56" i="125"/>
  <c r="Z55" i="125"/>
  <c r="AX55" i="125"/>
  <c r="AL53" i="125"/>
  <c r="Y52" i="125"/>
  <c r="E52" i="125"/>
  <c r="E17" i="125" s="1"/>
  <c r="C28" i="418" s="1"/>
  <c r="AY50" i="125"/>
  <c r="A53" i="125"/>
  <c r="AM49" i="125"/>
  <c r="AL49" i="125"/>
  <c r="AY48" i="125"/>
  <c r="Y46" i="125"/>
  <c r="AL44" i="125"/>
  <c r="Z43" i="125"/>
  <c r="AX78" i="125"/>
  <c r="AL42" i="125"/>
  <c r="AY41" i="125"/>
  <c r="Y41" i="125"/>
  <c r="AL39" i="125"/>
  <c r="A41" i="125"/>
  <c r="AL37" i="125"/>
  <c r="A39" i="125"/>
  <c r="AM33" i="125"/>
  <c r="A36" i="125"/>
  <c r="AY30" i="125"/>
  <c r="Y30" i="125"/>
  <c r="R32" i="125"/>
  <c r="S32" i="125" s="1"/>
  <c r="R31" i="125"/>
  <c r="S31" i="125" s="1"/>
  <c r="AX28" i="125"/>
  <c r="R30" i="125"/>
  <c r="S30" i="125" s="1"/>
  <c r="Z27" i="125"/>
  <c r="R29" i="125"/>
  <c r="S29" i="125" s="1"/>
  <c r="R28" i="125"/>
  <c r="S28" i="125" s="1"/>
  <c r="AM25" i="125"/>
  <c r="Y25" i="125"/>
  <c r="R27" i="125"/>
  <c r="S27" i="125" s="1"/>
  <c r="AM24" i="125"/>
  <c r="R26" i="125"/>
  <c r="S26" i="125" s="1"/>
  <c r="AX23" i="125"/>
  <c r="R25" i="125"/>
  <c r="S25" i="125" s="1"/>
  <c r="AY21" i="125"/>
  <c r="Z20" i="125"/>
  <c r="Z19" i="125"/>
  <c r="AX19" i="125"/>
  <c r="Y18" i="125"/>
  <c r="Y17" i="125"/>
  <c r="Z15" i="125"/>
  <c r="Z14" i="125"/>
  <c r="AM13" i="125"/>
  <c r="AX13" i="125"/>
  <c r="A15" i="125"/>
  <c r="U14" i="125"/>
  <c r="AY13" i="125"/>
  <c r="U13" i="125"/>
  <c r="AM10" i="125"/>
  <c r="U12" i="125"/>
  <c r="V12" i="125" s="1"/>
  <c r="P31" i="674" s="1"/>
  <c r="U11" i="125"/>
  <c r="V11" i="125" s="1"/>
  <c r="O31" i="674" s="1"/>
  <c r="R11" i="125"/>
  <c r="S11" i="125" s="1"/>
  <c r="U10" i="125"/>
  <c r="R10" i="125"/>
  <c r="S10" i="125" s="1"/>
  <c r="U9" i="125"/>
  <c r="V9" i="125" s="1"/>
  <c r="M31" i="674" s="1"/>
  <c r="R9" i="125"/>
  <c r="S9" i="125" s="1"/>
  <c r="U8" i="125"/>
  <c r="V8" i="125" s="1"/>
  <c r="L31" i="674" s="1"/>
  <c r="R8" i="125"/>
  <c r="S8" i="125" s="1"/>
  <c r="AX4" i="125"/>
  <c r="AY3" i="125"/>
  <c r="AX3" i="125"/>
  <c r="U4" i="125"/>
  <c r="V4" i="125" s="1"/>
  <c r="H31" i="674" s="1"/>
  <c r="R4" i="125"/>
  <c r="S4" i="125" s="1"/>
  <c r="U3" i="125"/>
  <c r="V3" i="125" s="1"/>
  <c r="R3" i="125"/>
  <c r="AX2" i="125"/>
  <c r="AL2" i="125"/>
  <c r="Y2" i="125"/>
  <c r="BK1" i="125"/>
  <c r="BJ1" i="125"/>
  <c r="BI1" i="125"/>
  <c r="BH1" i="125"/>
  <c r="BG1" i="125"/>
  <c r="BF1" i="125"/>
  <c r="BE1" i="125"/>
  <c r="BD1" i="125"/>
  <c r="BC1" i="125"/>
  <c r="BB1" i="125"/>
  <c r="BA1" i="125"/>
  <c r="AZ1" i="125"/>
  <c r="AU1" i="125"/>
  <c r="AT1" i="125"/>
  <c r="AS1" i="125"/>
  <c r="AR1" i="125"/>
  <c r="AQ1" i="125"/>
  <c r="AP1" i="125"/>
  <c r="AO1" i="125"/>
  <c r="AN1" i="125"/>
  <c r="AI1" i="125"/>
  <c r="AH1" i="125"/>
  <c r="AG1" i="125"/>
  <c r="AF1" i="125"/>
  <c r="AE1" i="125"/>
  <c r="AD1" i="125"/>
  <c r="AC1" i="125"/>
  <c r="AB1" i="125"/>
  <c r="AA1" i="125"/>
  <c r="K1" i="125"/>
  <c r="F1" i="125"/>
  <c r="E1" i="125"/>
  <c r="Q751" i="123"/>
  <c r="G694" i="123"/>
  <c r="A77" i="123"/>
  <c r="A76" i="123"/>
  <c r="AX71" i="123"/>
  <c r="AY72" i="123"/>
  <c r="AM72" i="123"/>
  <c r="Z72" i="123"/>
  <c r="A72" i="123"/>
  <c r="A71" i="123"/>
  <c r="AM68" i="123"/>
  <c r="A70" i="123"/>
  <c r="AM66" i="123"/>
  <c r="AM65" i="123"/>
  <c r="AY63" i="123"/>
  <c r="AL63" i="123"/>
  <c r="A63" i="123"/>
  <c r="AY59" i="123"/>
  <c r="AX59" i="123"/>
  <c r="AY61" i="123"/>
  <c r="AL58" i="123"/>
  <c r="AM55" i="123"/>
  <c r="AX55" i="123"/>
  <c r="Z53" i="123"/>
  <c r="Y53" i="123"/>
  <c r="AM51" i="123"/>
  <c r="P53" i="123"/>
  <c r="E52" i="123"/>
  <c r="E17" i="123" s="1"/>
  <c r="C27" i="418" s="1"/>
  <c r="A53" i="123"/>
  <c r="A51" i="123"/>
  <c r="AL44" i="123"/>
  <c r="AM43" i="123"/>
  <c r="Y43" i="123"/>
  <c r="AX78" i="123"/>
  <c r="Z42" i="123"/>
  <c r="AY41" i="123"/>
  <c r="AL41" i="123"/>
  <c r="AM40" i="123"/>
  <c r="AY37" i="123"/>
  <c r="AM36" i="123"/>
  <c r="AX36" i="123"/>
  <c r="AY35" i="123"/>
  <c r="A36" i="123"/>
  <c r="A35" i="123"/>
  <c r="AX31" i="123"/>
  <c r="AY30" i="123"/>
  <c r="R32" i="123"/>
  <c r="S32" i="123" s="1"/>
  <c r="AY29" i="123"/>
  <c r="AX29" i="123"/>
  <c r="AM31" i="123"/>
  <c r="R31" i="123"/>
  <c r="S31" i="123" s="1"/>
  <c r="R30" i="123"/>
  <c r="S30" i="123" s="1"/>
  <c r="AM27" i="123"/>
  <c r="R29" i="123"/>
  <c r="S29" i="123" s="1"/>
  <c r="AM26" i="123"/>
  <c r="R28" i="123"/>
  <c r="S28" i="123" s="1"/>
  <c r="Z25" i="123"/>
  <c r="R27" i="123"/>
  <c r="S27" i="123" s="1"/>
  <c r="A27" i="123"/>
  <c r="R26" i="123"/>
  <c r="S26" i="123" s="1"/>
  <c r="R25" i="123"/>
  <c r="S25" i="123" s="1"/>
  <c r="P25" i="123"/>
  <c r="AY21" i="123"/>
  <c r="AY19" i="123"/>
  <c r="Z18" i="123"/>
  <c r="AX16" i="123"/>
  <c r="AM15" i="123"/>
  <c r="Z14" i="123"/>
  <c r="AX14" i="123"/>
  <c r="Y13" i="123"/>
  <c r="A15" i="123"/>
  <c r="U14" i="123"/>
  <c r="V14" i="123" s="1"/>
  <c r="R30" i="674" s="1"/>
  <c r="AL11" i="123"/>
  <c r="U13" i="123"/>
  <c r="V13" i="123" s="1"/>
  <c r="Q30" i="674" s="1"/>
  <c r="U12" i="123"/>
  <c r="V12" i="123" s="1"/>
  <c r="P30" i="674" s="1"/>
  <c r="AM9" i="123"/>
  <c r="Y9" i="123"/>
  <c r="U11" i="123"/>
  <c r="V11" i="123" s="1"/>
  <c r="O30" i="674" s="1"/>
  <c r="R11" i="123"/>
  <c r="S11" i="123" s="1"/>
  <c r="Y8" i="123"/>
  <c r="U10" i="123"/>
  <c r="V10" i="123" s="1"/>
  <c r="N30" i="674" s="1"/>
  <c r="R10" i="123"/>
  <c r="S10" i="123" s="1"/>
  <c r="U9" i="123"/>
  <c r="V9" i="123" s="1"/>
  <c r="M30" i="674" s="1"/>
  <c r="R9" i="123"/>
  <c r="S9" i="123" s="1"/>
  <c r="U8" i="123"/>
  <c r="V8" i="123" s="1"/>
  <c r="L30" i="674" s="1"/>
  <c r="R8" i="123"/>
  <c r="S8" i="123" s="1"/>
  <c r="AY3" i="123"/>
  <c r="U4" i="123"/>
  <c r="V4" i="123" s="1"/>
  <c r="H30" i="674" s="1"/>
  <c r="R4" i="123"/>
  <c r="S4" i="123" s="1"/>
  <c r="U3" i="123"/>
  <c r="V3" i="123" s="1"/>
  <c r="R3" i="123"/>
  <c r="S3" i="123" s="1"/>
  <c r="AX2" i="123"/>
  <c r="AL2" i="123"/>
  <c r="Y2" i="123"/>
  <c r="BK1" i="123"/>
  <c r="BJ1" i="123"/>
  <c r="BI1" i="123"/>
  <c r="BH1" i="123"/>
  <c r="BG1" i="123"/>
  <c r="BF1" i="123"/>
  <c r="BE1" i="123"/>
  <c r="BD1" i="123"/>
  <c r="BC1" i="123"/>
  <c r="BB1" i="123"/>
  <c r="BA1" i="123"/>
  <c r="AZ1" i="123"/>
  <c r="AU1" i="123"/>
  <c r="AT1" i="123"/>
  <c r="AS1" i="123"/>
  <c r="AR1" i="123"/>
  <c r="AQ1" i="123"/>
  <c r="AP1" i="123"/>
  <c r="AO1" i="123"/>
  <c r="AN1" i="123"/>
  <c r="AI1" i="123"/>
  <c r="AH1" i="123"/>
  <c r="AG1" i="123"/>
  <c r="AF1" i="123"/>
  <c r="AE1" i="123"/>
  <c r="AD1" i="123"/>
  <c r="AC1" i="123"/>
  <c r="AB1" i="123"/>
  <c r="AA1" i="123"/>
  <c r="K1" i="123"/>
  <c r="F1" i="123"/>
  <c r="E1" i="123"/>
  <c r="G752" i="122"/>
  <c r="Q750" i="122"/>
  <c r="A79" i="122"/>
  <c r="A77" i="122"/>
  <c r="A76" i="122"/>
  <c r="AY71" i="122"/>
  <c r="AY72" i="122"/>
  <c r="AM72" i="122"/>
  <c r="Z72" i="122"/>
  <c r="AY70" i="122"/>
  <c r="A72" i="122"/>
  <c r="A70" i="122"/>
  <c r="Y67" i="122"/>
  <c r="AL66" i="122"/>
  <c r="AY65" i="122"/>
  <c r="AY64" i="122"/>
  <c r="AX64" i="122"/>
  <c r="Z63" i="122"/>
  <c r="AM61" i="122"/>
  <c r="AX61" i="122"/>
  <c r="AM60" i="122"/>
  <c r="A63" i="122"/>
  <c r="AM59" i="122"/>
  <c r="AX56" i="122"/>
  <c r="AM55" i="122"/>
  <c r="AY54" i="122"/>
  <c r="Y54" i="122"/>
  <c r="AY52" i="122"/>
  <c r="AL52" i="122"/>
  <c r="E52" i="122"/>
  <c r="E17" i="122" s="1"/>
  <c r="C26" i="418" s="1"/>
  <c r="Z50" i="122"/>
  <c r="A53" i="122"/>
  <c r="AL49" i="122"/>
  <c r="AM48" i="122"/>
  <c r="Y46" i="122"/>
  <c r="AM44" i="122"/>
  <c r="A48" i="122"/>
  <c r="Z43" i="122"/>
  <c r="Y43" i="122"/>
  <c r="AM78" i="122"/>
  <c r="AL78" i="122"/>
  <c r="AY41" i="122"/>
  <c r="AL41" i="122"/>
  <c r="AM40" i="122"/>
  <c r="AM39" i="122"/>
  <c r="Z37" i="122"/>
  <c r="AY36" i="122"/>
  <c r="AY35" i="122"/>
  <c r="AX35" i="122"/>
  <c r="AL34" i="122"/>
  <c r="A36" i="122"/>
  <c r="Z32" i="122"/>
  <c r="AM30" i="122"/>
  <c r="Y30" i="122"/>
  <c r="R32" i="122"/>
  <c r="S32" i="122" s="1"/>
  <c r="AX29" i="122"/>
  <c r="R31" i="122"/>
  <c r="S31" i="122" s="1"/>
  <c r="A31" i="122"/>
  <c r="R30" i="122"/>
  <c r="S30" i="122" s="1"/>
  <c r="AM27" i="122"/>
  <c r="R29" i="122"/>
  <c r="S29" i="122" s="1"/>
  <c r="R28" i="122"/>
  <c r="S28" i="122" s="1"/>
  <c r="AX25" i="122"/>
  <c r="R27" i="122"/>
  <c r="S27" i="122" s="1"/>
  <c r="R26" i="122"/>
  <c r="S26" i="122" s="1"/>
  <c r="Z23" i="122"/>
  <c r="R25" i="122"/>
  <c r="S25" i="122" s="1"/>
  <c r="AY22" i="122"/>
  <c r="AL20" i="122"/>
  <c r="AM19" i="122"/>
  <c r="AX18" i="122"/>
  <c r="A20" i="122"/>
  <c r="AL16" i="122"/>
  <c r="AM15" i="122"/>
  <c r="Z14" i="122"/>
  <c r="AL13" i="122"/>
  <c r="AY12" i="122"/>
  <c r="A15" i="122"/>
  <c r="U14" i="122"/>
  <c r="V14" i="122" s="1"/>
  <c r="R29" i="674" s="1"/>
  <c r="AY11" i="122"/>
  <c r="U13" i="122"/>
  <c r="V13" i="122" s="1"/>
  <c r="Q29" i="674" s="1"/>
  <c r="Y10" i="122"/>
  <c r="U12" i="122"/>
  <c r="V12" i="122" s="1"/>
  <c r="P29" i="674" s="1"/>
  <c r="Z9" i="122"/>
  <c r="U11" i="122"/>
  <c r="V11" i="122" s="1"/>
  <c r="O29" i="674" s="1"/>
  <c r="R11" i="122"/>
  <c r="S11" i="122" s="1"/>
  <c r="A11" i="122"/>
  <c r="U10" i="122"/>
  <c r="R10" i="122"/>
  <c r="S10" i="122" s="1"/>
  <c r="U9" i="122"/>
  <c r="V9" i="122" s="1"/>
  <c r="M29" i="674" s="1"/>
  <c r="R9" i="122"/>
  <c r="S9" i="122" s="1"/>
  <c r="U8" i="122"/>
  <c r="V8" i="122" s="1"/>
  <c r="L29" i="674" s="1"/>
  <c r="R8" i="122"/>
  <c r="S8" i="122" s="1"/>
  <c r="Z4" i="122"/>
  <c r="Y4" i="122"/>
  <c r="AX3" i="122"/>
  <c r="U4" i="122"/>
  <c r="V4" i="122" s="1"/>
  <c r="H29" i="674" s="1"/>
  <c r="R4" i="122"/>
  <c r="S4" i="122" s="1"/>
  <c r="U3" i="122"/>
  <c r="V3" i="122" s="1"/>
  <c r="R3" i="122"/>
  <c r="S3" i="122" s="1"/>
  <c r="AX2" i="122"/>
  <c r="AL2" i="122"/>
  <c r="Y2" i="122"/>
  <c r="BK1" i="122"/>
  <c r="BJ1" i="122"/>
  <c r="BI1" i="122"/>
  <c r="BH1" i="122"/>
  <c r="BG1" i="122"/>
  <c r="BF1" i="122"/>
  <c r="BE1" i="122"/>
  <c r="BD1" i="122"/>
  <c r="BC1" i="122"/>
  <c r="BB1" i="122"/>
  <c r="BA1" i="122"/>
  <c r="AZ1" i="122"/>
  <c r="AU1" i="122"/>
  <c r="AT1" i="122"/>
  <c r="AS1" i="122"/>
  <c r="AR1" i="122"/>
  <c r="AQ1" i="122"/>
  <c r="AP1" i="122"/>
  <c r="AO1" i="122"/>
  <c r="AN1" i="122"/>
  <c r="AI1" i="122"/>
  <c r="AH1" i="122"/>
  <c r="AG1" i="122"/>
  <c r="AF1" i="122"/>
  <c r="AE1" i="122"/>
  <c r="AD1" i="122"/>
  <c r="AC1" i="122"/>
  <c r="AB1" i="122"/>
  <c r="AA1" i="122"/>
  <c r="K1" i="122"/>
  <c r="F1" i="122"/>
  <c r="E1" i="122"/>
  <c r="G753" i="121"/>
  <c r="Q751" i="121"/>
  <c r="A79" i="121"/>
  <c r="A77" i="121"/>
  <c r="A76" i="121"/>
  <c r="AL73" i="121"/>
  <c r="AY72" i="121"/>
  <c r="AM72" i="121"/>
  <c r="Z72" i="121"/>
  <c r="Z70" i="121"/>
  <c r="A72" i="121"/>
  <c r="AX69" i="121"/>
  <c r="Z68" i="121"/>
  <c r="A70" i="121"/>
  <c r="AY67" i="121"/>
  <c r="Y66" i="121"/>
  <c r="A63" i="121"/>
  <c r="AY57" i="121"/>
  <c r="AX57" i="121"/>
  <c r="Z54" i="121"/>
  <c r="Y54" i="121"/>
  <c r="AY53" i="121"/>
  <c r="AX53" i="121"/>
  <c r="Y52" i="121"/>
  <c r="P53" i="121"/>
  <c r="E52" i="121"/>
  <c r="AM50" i="121"/>
  <c r="A53" i="121"/>
  <c r="AX49" i="121"/>
  <c r="AL48" i="121"/>
  <c r="AY46" i="121"/>
  <c r="A50" i="121"/>
  <c r="AY45" i="121"/>
  <c r="AM45" i="121"/>
  <c r="Z45" i="121"/>
  <c r="Z78" i="121"/>
  <c r="Z41" i="121"/>
  <c r="Z40" i="121"/>
  <c r="AX40" i="121"/>
  <c r="Z39" i="121"/>
  <c r="A40" i="121"/>
  <c r="AY36" i="121"/>
  <c r="AX36" i="121"/>
  <c r="AM35" i="121"/>
  <c r="A38" i="121"/>
  <c r="E17" i="121"/>
  <c r="AY33" i="121"/>
  <c r="A36" i="121"/>
  <c r="Z30" i="121"/>
  <c r="A33" i="121"/>
  <c r="R32" i="121"/>
  <c r="S32" i="121" s="1"/>
  <c r="AY29" i="121"/>
  <c r="A32" i="121"/>
  <c r="R31" i="121"/>
  <c r="S31" i="121" s="1"/>
  <c r="R30" i="121"/>
  <c r="S30" i="121" s="1"/>
  <c r="Z27" i="121"/>
  <c r="R29" i="121"/>
  <c r="S29" i="121" s="1"/>
  <c r="R28" i="121"/>
  <c r="S28" i="121" s="1"/>
  <c r="R27" i="121"/>
  <c r="S27" i="121" s="1"/>
  <c r="R26" i="121"/>
  <c r="S26" i="121" s="1"/>
  <c r="AY25" i="121"/>
  <c r="R25" i="121"/>
  <c r="S25" i="121" s="1"/>
  <c r="Z22" i="121"/>
  <c r="AX16" i="121"/>
  <c r="Z12" i="121"/>
  <c r="A15" i="121"/>
  <c r="U14" i="121"/>
  <c r="U13" i="121"/>
  <c r="Z10" i="121"/>
  <c r="AX10" i="121"/>
  <c r="U12" i="121"/>
  <c r="V12" i="121" s="1"/>
  <c r="P28" i="674" s="1"/>
  <c r="AL9" i="121"/>
  <c r="U11" i="121"/>
  <c r="V11" i="121" s="1"/>
  <c r="O28" i="674" s="1"/>
  <c r="R11" i="121"/>
  <c r="S11" i="121" s="1"/>
  <c r="AM8" i="121"/>
  <c r="U10" i="121"/>
  <c r="R10" i="121"/>
  <c r="S10" i="121" s="1"/>
  <c r="U9" i="121"/>
  <c r="R9" i="121"/>
  <c r="S9" i="121" s="1"/>
  <c r="U8" i="121"/>
  <c r="V8" i="121" s="1"/>
  <c r="L28" i="674" s="1"/>
  <c r="R8" i="121"/>
  <c r="S8" i="121" s="1"/>
  <c r="AY4" i="121"/>
  <c r="AM3" i="121"/>
  <c r="AL3" i="121"/>
  <c r="U4" i="121"/>
  <c r="V4" i="121" s="1"/>
  <c r="H28" i="674" s="1"/>
  <c r="R4" i="121"/>
  <c r="S4" i="121" s="1"/>
  <c r="U3" i="121"/>
  <c r="V3" i="121" s="1"/>
  <c r="R3" i="121"/>
  <c r="S3" i="121" s="1"/>
  <c r="AX2" i="121"/>
  <c r="AL2" i="121"/>
  <c r="Y2" i="121"/>
  <c r="BK1" i="121"/>
  <c r="BJ1" i="121"/>
  <c r="BI1" i="121"/>
  <c r="BH1" i="121"/>
  <c r="BG1" i="121"/>
  <c r="BF1" i="121"/>
  <c r="BE1" i="121"/>
  <c r="BD1" i="121"/>
  <c r="BC1" i="121"/>
  <c r="BB1" i="121"/>
  <c r="BA1" i="121"/>
  <c r="AZ1" i="121"/>
  <c r="AU1" i="121"/>
  <c r="AT1" i="121"/>
  <c r="AS1" i="121"/>
  <c r="AR1" i="121"/>
  <c r="AQ1" i="121"/>
  <c r="AP1" i="121"/>
  <c r="AO1" i="121"/>
  <c r="AN1" i="121"/>
  <c r="AI1" i="121"/>
  <c r="AH1" i="121"/>
  <c r="AG1" i="121"/>
  <c r="AF1" i="121"/>
  <c r="AE1" i="121"/>
  <c r="AD1" i="121"/>
  <c r="AC1" i="121"/>
  <c r="AB1" i="121"/>
  <c r="AA1" i="121"/>
  <c r="K1" i="121"/>
  <c r="F1" i="121"/>
  <c r="E1" i="121"/>
  <c r="G753" i="120"/>
  <c r="Q751" i="120"/>
  <c r="A77" i="120"/>
  <c r="A76" i="120"/>
  <c r="AY72" i="120"/>
  <c r="AM72" i="120"/>
  <c r="Z72" i="120"/>
  <c r="Z70" i="120"/>
  <c r="A72" i="120"/>
  <c r="AY69" i="120"/>
  <c r="Y69" i="120"/>
  <c r="A70" i="120"/>
  <c r="AX66" i="120"/>
  <c r="AM65" i="120"/>
  <c r="AM63" i="120"/>
  <c r="A65" i="120"/>
  <c r="AM61" i="120"/>
  <c r="AX61" i="120"/>
  <c r="AM60" i="120"/>
  <c r="A63" i="120"/>
  <c r="AM59" i="120"/>
  <c r="AX58" i="120"/>
  <c r="Z56" i="120"/>
  <c r="AM55" i="120"/>
  <c r="AY54" i="120"/>
  <c r="Z52" i="120"/>
  <c r="AM51" i="120"/>
  <c r="E52" i="120"/>
  <c r="AY50" i="120"/>
  <c r="A53" i="120"/>
  <c r="AY49" i="120"/>
  <c r="AM46" i="120"/>
  <c r="Y46" i="120"/>
  <c r="AY44" i="120"/>
  <c r="A46" i="120"/>
  <c r="A45" i="120"/>
  <c r="AM41" i="120"/>
  <c r="A43" i="120"/>
  <c r="A78" i="120"/>
  <c r="AY39" i="120"/>
  <c r="A42" i="120"/>
  <c r="AM37" i="120"/>
  <c r="AY36" i="120"/>
  <c r="AL35" i="120"/>
  <c r="E17" i="120"/>
  <c r="A36" i="120"/>
  <c r="AY30" i="120"/>
  <c r="R32" i="120"/>
  <c r="S32" i="120" s="1"/>
  <c r="Z29" i="120"/>
  <c r="AL29" i="120"/>
  <c r="R31" i="120"/>
  <c r="S31" i="120" s="1"/>
  <c r="AY28" i="120"/>
  <c r="Y28" i="120"/>
  <c r="R30" i="120"/>
  <c r="S30" i="120" s="1"/>
  <c r="Z27" i="120"/>
  <c r="R29" i="120"/>
  <c r="S29" i="120" s="1"/>
  <c r="R28" i="120"/>
  <c r="S28" i="120" s="1"/>
  <c r="AY25" i="120"/>
  <c r="Y25" i="120"/>
  <c r="R27" i="120"/>
  <c r="S27" i="120" s="1"/>
  <c r="R26" i="120"/>
  <c r="S26" i="120" s="1"/>
  <c r="AM23" i="120"/>
  <c r="R25" i="120"/>
  <c r="S25" i="120" s="1"/>
  <c r="AY22" i="120"/>
  <c r="AM21" i="120"/>
  <c r="AY19" i="120"/>
  <c r="AX18" i="120"/>
  <c r="AY16" i="120"/>
  <c r="AM13" i="120"/>
  <c r="AX13" i="120"/>
  <c r="A15" i="120"/>
  <c r="U14" i="120"/>
  <c r="AY11" i="120"/>
  <c r="U13" i="120"/>
  <c r="Z10" i="120"/>
  <c r="U12" i="120"/>
  <c r="AM9" i="120"/>
  <c r="Y9" i="120"/>
  <c r="U11" i="120"/>
  <c r="R11" i="120"/>
  <c r="S11" i="120" s="1"/>
  <c r="U10" i="120"/>
  <c r="R10" i="120"/>
  <c r="S10" i="120" s="1"/>
  <c r="U9" i="120"/>
  <c r="R9" i="120"/>
  <c r="S9" i="120" s="1"/>
  <c r="U8" i="120"/>
  <c r="R8" i="120"/>
  <c r="S8" i="120" s="1"/>
  <c r="AM4" i="120"/>
  <c r="AX4" i="120"/>
  <c r="AY3" i="120"/>
  <c r="AL3" i="120"/>
  <c r="U4" i="120"/>
  <c r="R4" i="120"/>
  <c r="S4" i="120" s="1"/>
  <c r="U3" i="120"/>
  <c r="V3" i="120" s="1"/>
  <c r="R3" i="120"/>
  <c r="S3" i="120" s="1"/>
  <c r="AX2" i="120"/>
  <c r="AL2" i="120"/>
  <c r="Y2" i="120"/>
  <c r="BK1" i="120"/>
  <c r="BJ1" i="120"/>
  <c r="BI1" i="120"/>
  <c r="BH1" i="120"/>
  <c r="BG1" i="120"/>
  <c r="BF1" i="120"/>
  <c r="BE1" i="120"/>
  <c r="BD1" i="120"/>
  <c r="BC1" i="120"/>
  <c r="BB1" i="120"/>
  <c r="BA1" i="120"/>
  <c r="AZ1" i="120"/>
  <c r="AU1" i="120"/>
  <c r="AT1" i="120"/>
  <c r="AS1" i="120"/>
  <c r="AR1" i="120"/>
  <c r="AQ1" i="120"/>
  <c r="AP1" i="120"/>
  <c r="AO1" i="120"/>
  <c r="AN1" i="120"/>
  <c r="AI1" i="120"/>
  <c r="AH1" i="120"/>
  <c r="AG1" i="120"/>
  <c r="AF1" i="120"/>
  <c r="AE1" i="120"/>
  <c r="AD1" i="120"/>
  <c r="AC1" i="120"/>
  <c r="AB1" i="120"/>
  <c r="AA1" i="120"/>
  <c r="K1" i="120"/>
  <c r="F1" i="120"/>
  <c r="E1" i="120"/>
  <c r="G753" i="119"/>
  <c r="Q751" i="119"/>
  <c r="A79" i="119"/>
  <c r="A77" i="119"/>
  <c r="A76" i="119"/>
  <c r="AY71" i="119"/>
  <c r="A73" i="119"/>
  <c r="AY72" i="119"/>
  <c r="AM72" i="119"/>
  <c r="Z72" i="119"/>
  <c r="AY70" i="119"/>
  <c r="A72" i="119"/>
  <c r="AM68" i="119"/>
  <c r="A70" i="119"/>
  <c r="AX67" i="119"/>
  <c r="AM65" i="119"/>
  <c r="AM64" i="119"/>
  <c r="AM60" i="119"/>
  <c r="A63" i="119"/>
  <c r="Z59" i="119"/>
  <c r="Z57" i="119"/>
  <c r="AM55" i="119"/>
  <c r="AL53" i="119"/>
  <c r="AY52" i="119"/>
  <c r="AM51" i="119"/>
  <c r="E52" i="119"/>
  <c r="E17" i="119" s="1"/>
  <c r="AY50" i="119"/>
  <c r="A53" i="119"/>
  <c r="AY51" i="119"/>
  <c r="A50" i="119"/>
  <c r="Z45" i="119"/>
  <c r="AL44" i="119"/>
  <c r="AY42" i="119"/>
  <c r="AM41" i="119"/>
  <c r="AL39" i="119"/>
  <c r="Y38" i="119"/>
  <c r="Y34" i="119"/>
  <c r="Z33" i="119"/>
  <c r="A36" i="119"/>
  <c r="AX32" i="119"/>
  <c r="AY31" i="119"/>
  <c r="R32" i="119"/>
  <c r="S32" i="119" s="1"/>
  <c r="R31" i="119"/>
  <c r="S31" i="119" s="1"/>
  <c r="R30" i="119"/>
  <c r="S30" i="119" s="1"/>
  <c r="AM27" i="119"/>
  <c r="R29" i="119"/>
  <c r="S29" i="119" s="1"/>
  <c r="AL26" i="119"/>
  <c r="R28" i="119"/>
  <c r="S28" i="119" s="1"/>
  <c r="Y25" i="119"/>
  <c r="R27" i="119"/>
  <c r="S27" i="119" s="1"/>
  <c r="R26" i="119"/>
  <c r="S26" i="119" s="1"/>
  <c r="AM23" i="119"/>
  <c r="R25" i="119"/>
  <c r="S25" i="119" s="1"/>
  <c r="Z22" i="119"/>
  <c r="AX21" i="119"/>
  <c r="AY20" i="119"/>
  <c r="AL20" i="119"/>
  <c r="A20" i="119"/>
  <c r="AL14" i="119"/>
  <c r="A15" i="119"/>
  <c r="U14" i="119"/>
  <c r="AY11" i="119"/>
  <c r="U13" i="119"/>
  <c r="U12" i="119"/>
  <c r="V12" i="119" s="1"/>
  <c r="P26" i="674" s="1"/>
  <c r="U11" i="119"/>
  <c r="R11" i="119"/>
  <c r="S11" i="119" s="1"/>
  <c r="U10" i="119"/>
  <c r="V10" i="119" s="1"/>
  <c r="N26" i="674" s="1"/>
  <c r="R10" i="119"/>
  <c r="S10" i="119" s="1"/>
  <c r="U9" i="119"/>
  <c r="V9" i="119" s="1"/>
  <c r="M26" i="674" s="1"/>
  <c r="R9" i="119"/>
  <c r="S9" i="119" s="1"/>
  <c r="U8" i="119"/>
  <c r="V8" i="119" s="1"/>
  <c r="R8" i="119"/>
  <c r="S8" i="119" s="1"/>
  <c r="T42" i="119" s="1"/>
  <c r="AM4" i="119"/>
  <c r="AM3" i="119"/>
  <c r="AL3" i="119"/>
  <c r="U4" i="119"/>
  <c r="V4" i="119" s="1"/>
  <c r="H26" i="674" s="1"/>
  <c r="R4" i="119"/>
  <c r="S4" i="119" s="1"/>
  <c r="U3" i="119"/>
  <c r="V3" i="119" s="1"/>
  <c r="R3" i="119"/>
  <c r="S3" i="119" s="1"/>
  <c r="AX2" i="119"/>
  <c r="AL2" i="119"/>
  <c r="Y2" i="119"/>
  <c r="BK1" i="119"/>
  <c r="BJ1" i="119"/>
  <c r="BI1" i="119"/>
  <c r="BH1" i="119"/>
  <c r="BG1" i="119"/>
  <c r="BF1" i="119"/>
  <c r="BE1" i="119"/>
  <c r="BD1" i="119"/>
  <c r="BC1" i="119"/>
  <c r="BB1" i="119"/>
  <c r="BA1" i="119"/>
  <c r="AZ1" i="119"/>
  <c r="AU1" i="119"/>
  <c r="AT1" i="119"/>
  <c r="AS1" i="119"/>
  <c r="AR1" i="119"/>
  <c r="AQ1" i="119"/>
  <c r="AP1" i="119"/>
  <c r="AO1" i="119"/>
  <c r="AN1" i="119"/>
  <c r="AI1" i="119"/>
  <c r="AH1" i="119"/>
  <c r="AG1" i="119"/>
  <c r="AF1" i="119"/>
  <c r="AE1" i="119"/>
  <c r="AD1" i="119"/>
  <c r="AC1" i="119"/>
  <c r="AB1" i="119"/>
  <c r="AA1" i="119"/>
  <c r="K1" i="119"/>
  <c r="F1" i="119"/>
  <c r="E1" i="119"/>
  <c r="G753" i="118"/>
  <c r="Q751" i="118"/>
  <c r="A77" i="118"/>
  <c r="A76" i="118"/>
  <c r="Z71" i="118"/>
  <c r="Y71" i="118"/>
  <c r="AY72" i="118"/>
  <c r="AM72" i="118"/>
  <c r="Z72" i="118"/>
  <c r="A72" i="118"/>
  <c r="AL71" i="118"/>
  <c r="Z69" i="118"/>
  <c r="A70" i="118"/>
  <c r="AM65" i="118"/>
  <c r="AY61" i="118"/>
  <c r="AL61" i="118"/>
  <c r="AM60" i="118"/>
  <c r="A63" i="118"/>
  <c r="Z54" i="118"/>
  <c r="Y54" i="118"/>
  <c r="AX52" i="118"/>
  <c r="AM51" i="118"/>
  <c r="E52" i="118"/>
  <c r="A53" i="118"/>
  <c r="Z46" i="118"/>
  <c r="Y44" i="118"/>
  <c r="A46" i="118"/>
  <c r="AM41" i="118"/>
  <c r="AY40" i="118"/>
  <c r="Z38" i="118"/>
  <c r="Y37" i="118"/>
  <c r="A39" i="118"/>
  <c r="Z35" i="118"/>
  <c r="E17" i="118"/>
  <c r="AM33" i="118"/>
  <c r="A36" i="118"/>
  <c r="Z32" i="118"/>
  <c r="R32" i="118"/>
  <c r="S32" i="118" s="1"/>
  <c r="AY29" i="118"/>
  <c r="AX29" i="118"/>
  <c r="R31" i="118"/>
  <c r="S31" i="118" s="1"/>
  <c r="R30" i="118"/>
  <c r="S30" i="118" s="1"/>
  <c r="R29" i="118"/>
  <c r="S29" i="118" s="1"/>
  <c r="R28" i="118"/>
  <c r="S28" i="118" s="1"/>
  <c r="R27" i="118"/>
  <c r="S27" i="118" s="1"/>
  <c r="R26" i="118"/>
  <c r="S26" i="118" s="1"/>
  <c r="Y23" i="118"/>
  <c r="R25" i="118"/>
  <c r="S25" i="118" s="1"/>
  <c r="AM22" i="118"/>
  <c r="AY21" i="118"/>
  <c r="Z20" i="118"/>
  <c r="AL20" i="118"/>
  <c r="AM16" i="118"/>
  <c r="AX16" i="118"/>
  <c r="AM13" i="118"/>
  <c r="Z12" i="118"/>
  <c r="A15" i="118"/>
  <c r="U14" i="118"/>
  <c r="AY11" i="118"/>
  <c r="U13" i="118"/>
  <c r="Z10" i="118"/>
  <c r="U12" i="118"/>
  <c r="V12" i="118" s="1"/>
  <c r="P25" i="674" s="1"/>
  <c r="U11" i="118"/>
  <c r="R11" i="118"/>
  <c r="S11" i="118" s="1"/>
  <c r="Y8" i="118"/>
  <c r="U10" i="118"/>
  <c r="V10" i="118" s="1"/>
  <c r="N25" i="674" s="1"/>
  <c r="R10" i="118"/>
  <c r="S10" i="118" s="1"/>
  <c r="U9" i="118"/>
  <c r="V9" i="118" s="1"/>
  <c r="M25" i="674" s="1"/>
  <c r="R9" i="118"/>
  <c r="S9" i="118" s="1"/>
  <c r="U8" i="118"/>
  <c r="V8" i="118" s="1"/>
  <c r="L25" i="674" s="1"/>
  <c r="R8" i="118"/>
  <c r="S8" i="118" s="1"/>
  <c r="AL4" i="118"/>
  <c r="Z3" i="118"/>
  <c r="AL3" i="118"/>
  <c r="AY4" i="118"/>
  <c r="U4" i="118"/>
  <c r="V4" i="118" s="1"/>
  <c r="H25" i="674" s="1"/>
  <c r="R4" i="118"/>
  <c r="S4" i="118" s="1"/>
  <c r="U3" i="118"/>
  <c r="V3" i="118" s="1"/>
  <c r="R3" i="118"/>
  <c r="S3" i="118" s="1"/>
  <c r="AX2" i="118"/>
  <c r="AL2" i="118"/>
  <c r="Y2" i="118"/>
  <c r="BK1" i="118"/>
  <c r="BJ1" i="118"/>
  <c r="BI1" i="118"/>
  <c r="BH1" i="118"/>
  <c r="BG1" i="118"/>
  <c r="BF1" i="118"/>
  <c r="BE1" i="118"/>
  <c r="BD1" i="118"/>
  <c r="BC1" i="118"/>
  <c r="BB1" i="118"/>
  <c r="BA1" i="118"/>
  <c r="AZ1" i="118"/>
  <c r="AU1" i="118"/>
  <c r="AT1" i="118"/>
  <c r="AS1" i="118"/>
  <c r="AR1" i="118"/>
  <c r="AQ1" i="118"/>
  <c r="AP1" i="118"/>
  <c r="AO1" i="118"/>
  <c r="AN1" i="118"/>
  <c r="AI1" i="118"/>
  <c r="AH1" i="118"/>
  <c r="AG1" i="118"/>
  <c r="AF1" i="118"/>
  <c r="AE1" i="118"/>
  <c r="AD1" i="118"/>
  <c r="AC1" i="118"/>
  <c r="AB1" i="118"/>
  <c r="AA1" i="118"/>
  <c r="K1" i="118"/>
  <c r="F1" i="118"/>
  <c r="E1" i="118"/>
  <c r="G753" i="117"/>
  <c r="Q751" i="117"/>
  <c r="J80" i="117" s="1"/>
  <c r="A79" i="117"/>
  <c r="A77" i="117"/>
  <c r="A76" i="117"/>
  <c r="AM71" i="117"/>
  <c r="A73" i="117"/>
  <c r="AY72" i="117"/>
  <c r="AM72" i="117"/>
  <c r="Z72" i="117"/>
  <c r="AY70" i="117"/>
  <c r="A72" i="117"/>
  <c r="AM69" i="117"/>
  <c r="A71" i="117"/>
  <c r="Z68" i="117"/>
  <c r="A70" i="117"/>
  <c r="AY67" i="117"/>
  <c r="AX66" i="117"/>
  <c r="Z63" i="117"/>
  <c r="Z61" i="117"/>
  <c r="A64" i="117"/>
  <c r="A63" i="117"/>
  <c r="AY61" i="117"/>
  <c r="Z58" i="117"/>
  <c r="AY56" i="117"/>
  <c r="A54" i="117"/>
  <c r="E52" i="117"/>
  <c r="E17" i="117" s="1"/>
  <c r="AM50" i="117"/>
  <c r="A53" i="117"/>
  <c r="Z49" i="117"/>
  <c r="AL48" i="117"/>
  <c r="AL45" i="117"/>
  <c r="AY44" i="117"/>
  <c r="Y44" i="117"/>
  <c r="Y43" i="117"/>
  <c r="A44" i="117"/>
  <c r="A43" i="117"/>
  <c r="AL40" i="117"/>
  <c r="Z37" i="117"/>
  <c r="AY36" i="117"/>
  <c r="Y36" i="117"/>
  <c r="Z33" i="117"/>
  <c r="A36" i="117"/>
  <c r="AM32" i="117"/>
  <c r="Z30" i="117"/>
  <c r="AX30" i="117"/>
  <c r="R32" i="117"/>
  <c r="S32" i="117" s="1"/>
  <c r="AY29" i="117"/>
  <c r="R31" i="117"/>
  <c r="S31" i="117" s="1"/>
  <c r="Y28" i="117"/>
  <c r="R30" i="117"/>
  <c r="S30" i="117" s="1"/>
  <c r="R29" i="117"/>
  <c r="S29" i="117" s="1"/>
  <c r="AL28" i="117"/>
  <c r="R28" i="117"/>
  <c r="S28" i="117" s="1"/>
  <c r="Z25" i="117"/>
  <c r="R27" i="117"/>
  <c r="S27" i="117" s="1"/>
  <c r="A27" i="117"/>
  <c r="R26" i="117"/>
  <c r="S26" i="117" s="1"/>
  <c r="R25" i="117"/>
  <c r="S25" i="117" s="1"/>
  <c r="AM22" i="117"/>
  <c r="Z21" i="117"/>
  <c r="AY17" i="117"/>
  <c r="AX17" i="117"/>
  <c r="AM16" i="117"/>
  <c r="AY14" i="117"/>
  <c r="AM13" i="117"/>
  <c r="AX13" i="117"/>
  <c r="A15" i="117"/>
  <c r="U14" i="117"/>
  <c r="V14" i="117" s="1"/>
  <c r="R24" i="674" s="1"/>
  <c r="U13" i="117"/>
  <c r="V13" i="117" s="1"/>
  <c r="Q24" i="674" s="1"/>
  <c r="U12" i="117"/>
  <c r="V12" i="117" s="1"/>
  <c r="P24" i="674" s="1"/>
  <c r="Y9" i="117"/>
  <c r="U11" i="117"/>
  <c r="V11" i="117" s="1"/>
  <c r="O24" i="674" s="1"/>
  <c r="R11" i="117"/>
  <c r="S11" i="117" s="1"/>
  <c r="U10" i="117"/>
  <c r="V10" i="117" s="1"/>
  <c r="N24" i="674" s="1"/>
  <c r="R10" i="117"/>
  <c r="S10" i="117" s="1"/>
  <c r="U9" i="117"/>
  <c r="V9" i="117" s="1"/>
  <c r="M24" i="674" s="1"/>
  <c r="R9" i="117"/>
  <c r="S9" i="117" s="1"/>
  <c r="U8" i="117"/>
  <c r="V8" i="117" s="1"/>
  <c r="L24" i="674" s="1"/>
  <c r="R8" i="117"/>
  <c r="S8" i="117" s="1"/>
  <c r="AM4" i="117"/>
  <c r="Y4" i="117"/>
  <c r="AY3" i="117"/>
  <c r="U4" i="117"/>
  <c r="V4" i="117" s="1"/>
  <c r="H24" i="674" s="1"/>
  <c r="R4" i="117"/>
  <c r="S4" i="117" s="1"/>
  <c r="U3" i="117"/>
  <c r="R3" i="117"/>
  <c r="S3" i="117" s="1"/>
  <c r="AX2" i="117"/>
  <c r="AL2" i="117"/>
  <c r="Y2" i="117"/>
  <c r="BK1" i="117"/>
  <c r="BJ1" i="117"/>
  <c r="BI1" i="117"/>
  <c r="BH1" i="117"/>
  <c r="BG1" i="117"/>
  <c r="BF1" i="117"/>
  <c r="BE1" i="117"/>
  <c r="BD1" i="117"/>
  <c r="BC1" i="117"/>
  <c r="BB1" i="117"/>
  <c r="BA1" i="117"/>
  <c r="AZ1" i="117"/>
  <c r="AU1" i="117"/>
  <c r="AT1" i="117"/>
  <c r="AS1" i="117"/>
  <c r="AR1" i="117"/>
  <c r="AQ1" i="117"/>
  <c r="AP1" i="117"/>
  <c r="AO1" i="117"/>
  <c r="AN1" i="117"/>
  <c r="AI1" i="117"/>
  <c r="AH1" i="117"/>
  <c r="AG1" i="117"/>
  <c r="AF1" i="117"/>
  <c r="AE1" i="117"/>
  <c r="AD1" i="117"/>
  <c r="AC1" i="117"/>
  <c r="AB1" i="117"/>
  <c r="AA1" i="117"/>
  <c r="K1" i="117"/>
  <c r="F1" i="117"/>
  <c r="E1" i="117"/>
  <c r="G753" i="116"/>
  <c r="Q751" i="116"/>
  <c r="A77" i="116"/>
  <c r="A76" i="116"/>
  <c r="AY72" i="116"/>
  <c r="AM72" i="116"/>
  <c r="Z72" i="116"/>
  <c r="Z70" i="116"/>
  <c r="A72" i="116"/>
  <c r="AM69" i="116"/>
  <c r="AY68" i="116"/>
  <c r="A70" i="116"/>
  <c r="AM67" i="116"/>
  <c r="AL67" i="116"/>
  <c r="Z66" i="116"/>
  <c r="AM65" i="116"/>
  <c r="A65" i="116"/>
  <c r="A64" i="116"/>
  <c r="AY60" i="116"/>
  <c r="A63" i="116"/>
  <c r="AY61" i="116"/>
  <c r="AM56" i="116"/>
  <c r="Z55" i="116"/>
  <c r="AX55" i="116"/>
  <c r="Z52" i="116"/>
  <c r="A55" i="116"/>
  <c r="Z51" i="116"/>
  <c r="A54" i="116"/>
  <c r="E52" i="116"/>
  <c r="E17" i="116" s="1"/>
  <c r="A53" i="116"/>
  <c r="AY49" i="116"/>
  <c r="AL49" i="116"/>
  <c r="Z48" i="116"/>
  <c r="Y48" i="116"/>
  <c r="AX44" i="116"/>
  <c r="AM43" i="116"/>
  <c r="Z42" i="116"/>
  <c r="AL41" i="116"/>
  <c r="AY37" i="116"/>
  <c r="AL37" i="116"/>
  <c r="Z36" i="116"/>
  <c r="AL36" i="116"/>
  <c r="Z34" i="116"/>
  <c r="AY33" i="116"/>
  <c r="A36" i="116"/>
  <c r="Y32" i="116"/>
  <c r="R32" i="116"/>
  <c r="S32" i="116" s="1"/>
  <c r="R31" i="116"/>
  <c r="S31" i="116" s="1"/>
  <c r="A31" i="116"/>
  <c r="R30" i="116"/>
  <c r="S30" i="116" s="1"/>
  <c r="R29" i="116"/>
  <c r="S29" i="116" s="1"/>
  <c r="Z26" i="116"/>
  <c r="Y26" i="116"/>
  <c r="R28" i="116"/>
  <c r="S28" i="116" s="1"/>
  <c r="AY25" i="116"/>
  <c r="R27" i="116"/>
  <c r="S27" i="116" s="1"/>
  <c r="R26" i="116"/>
  <c r="S26" i="116" s="1"/>
  <c r="AY23" i="116"/>
  <c r="R25" i="116"/>
  <c r="S25" i="116" s="1"/>
  <c r="AM21" i="116"/>
  <c r="Y20" i="116"/>
  <c r="AY18" i="116"/>
  <c r="Z17" i="116"/>
  <c r="AY13" i="116"/>
  <c r="AM12" i="116"/>
  <c r="A15" i="116"/>
  <c r="U14" i="116"/>
  <c r="AL11" i="116"/>
  <c r="U13" i="116"/>
  <c r="V13" i="116" s="1"/>
  <c r="Q23" i="674" s="1"/>
  <c r="AL10" i="116"/>
  <c r="U12" i="116"/>
  <c r="V12" i="116" s="1"/>
  <c r="P23" i="674" s="1"/>
  <c r="Z9" i="116"/>
  <c r="U11" i="116"/>
  <c r="V11" i="116" s="1"/>
  <c r="O23" i="674" s="1"/>
  <c r="R11" i="116"/>
  <c r="S11" i="116" s="1"/>
  <c r="U10" i="116"/>
  <c r="V10" i="116" s="1"/>
  <c r="N23" i="674" s="1"/>
  <c r="R10" i="116"/>
  <c r="S10" i="116" s="1"/>
  <c r="U9" i="116"/>
  <c r="V9" i="116" s="1"/>
  <c r="M23" i="674" s="1"/>
  <c r="R9" i="116"/>
  <c r="S9" i="116" s="1"/>
  <c r="U8" i="116"/>
  <c r="V8" i="116" s="1"/>
  <c r="L23" i="674" s="1"/>
  <c r="R8" i="116"/>
  <c r="S8" i="116" s="1"/>
  <c r="AL4" i="116"/>
  <c r="AM3" i="116"/>
  <c r="U4" i="116"/>
  <c r="V4" i="116" s="1"/>
  <c r="H23" i="674" s="1"/>
  <c r="R4" i="116"/>
  <c r="S4" i="116" s="1"/>
  <c r="U3" i="116"/>
  <c r="V3" i="116" s="1"/>
  <c r="R3" i="116"/>
  <c r="S3" i="116" s="1"/>
  <c r="AX2" i="116"/>
  <c r="AL2" i="116"/>
  <c r="Y2" i="116"/>
  <c r="BK1" i="116"/>
  <c r="BJ1" i="116"/>
  <c r="BI1" i="116"/>
  <c r="BH1" i="116"/>
  <c r="BG1" i="116"/>
  <c r="BF1" i="116"/>
  <c r="BE1" i="116"/>
  <c r="BD1" i="116"/>
  <c r="BC1" i="116"/>
  <c r="BB1" i="116"/>
  <c r="BA1" i="116"/>
  <c r="AZ1" i="116"/>
  <c r="AU1" i="116"/>
  <c r="AT1" i="116"/>
  <c r="AS1" i="116"/>
  <c r="AR1" i="116"/>
  <c r="AQ1" i="116"/>
  <c r="AP1" i="116"/>
  <c r="AO1" i="116"/>
  <c r="AN1" i="116"/>
  <c r="AI1" i="116"/>
  <c r="AH1" i="116"/>
  <c r="AG1" i="116"/>
  <c r="AF1" i="116"/>
  <c r="AE1" i="116"/>
  <c r="AD1" i="116"/>
  <c r="AC1" i="116"/>
  <c r="AB1" i="116"/>
  <c r="AA1" i="116"/>
  <c r="K1" i="116"/>
  <c r="F1" i="116"/>
  <c r="E1" i="116"/>
  <c r="G753" i="124"/>
  <c r="Q751" i="124"/>
  <c r="A79" i="124"/>
  <c r="A77" i="124"/>
  <c r="A76" i="124"/>
  <c r="AY72" i="124"/>
  <c r="AM72" i="124"/>
  <c r="Z72" i="124"/>
  <c r="AY70" i="124"/>
  <c r="A72" i="124"/>
  <c r="A70" i="124"/>
  <c r="Y67" i="124"/>
  <c r="AL66" i="124"/>
  <c r="Z65" i="124"/>
  <c r="AM61" i="124"/>
  <c r="AM60" i="124"/>
  <c r="A63" i="124"/>
  <c r="AM58" i="124"/>
  <c r="AM55" i="124"/>
  <c r="AY54" i="124"/>
  <c r="AL53" i="124"/>
  <c r="AY51" i="124"/>
  <c r="E52" i="124"/>
  <c r="AY50" i="124"/>
  <c r="A53" i="124"/>
  <c r="A51" i="124"/>
  <c r="AY46" i="124"/>
  <c r="Y45" i="124"/>
  <c r="Z44" i="124"/>
  <c r="A48" i="124"/>
  <c r="Z43" i="124"/>
  <c r="AY78" i="124"/>
  <c r="AY41" i="124"/>
  <c r="AM40" i="124"/>
  <c r="AX40" i="124"/>
  <c r="AY36" i="124"/>
  <c r="A36" i="124"/>
  <c r="A34" i="124"/>
  <c r="R32" i="124"/>
  <c r="S32" i="124" s="1"/>
  <c r="R31" i="124"/>
  <c r="S31" i="124" s="1"/>
  <c r="AY28" i="124"/>
  <c r="R30" i="124"/>
  <c r="S30" i="124" s="1"/>
  <c r="R29" i="124"/>
  <c r="S29" i="124" s="1"/>
  <c r="R28" i="124"/>
  <c r="S28" i="124" s="1"/>
  <c r="Z25" i="124"/>
  <c r="AL25" i="124"/>
  <c r="R27" i="124"/>
  <c r="S27" i="124" s="1"/>
  <c r="Z24" i="124"/>
  <c r="R26" i="124"/>
  <c r="S26" i="124" s="1"/>
  <c r="Y23" i="124"/>
  <c r="R25" i="124"/>
  <c r="S25" i="124" s="1"/>
  <c r="AM21" i="124"/>
  <c r="Z19" i="124"/>
  <c r="Y17" i="124"/>
  <c r="Y15" i="124"/>
  <c r="AY13" i="124"/>
  <c r="A16" i="124"/>
  <c r="AM12" i="124"/>
  <c r="A15" i="124"/>
  <c r="U14" i="124"/>
  <c r="A14" i="124"/>
  <c r="U13" i="124"/>
  <c r="V13" i="124" s="1"/>
  <c r="Q22" i="674" s="1"/>
  <c r="U12" i="124"/>
  <c r="V12" i="124" s="1"/>
  <c r="P22" i="674" s="1"/>
  <c r="U11" i="124"/>
  <c r="R11" i="124"/>
  <c r="S11" i="124" s="1"/>
  <c r="U10" i="124"/>
  <c r="R10" i="124"/>
  <c r="S10" i="124" s="1"/>
  <c r="U9" i="124"/>
  <c r="V9" i="124" s="1"/>
  <c r="M22" i="674" s="1"/>
  <c r="R9" i="124"/>
  <c r="S9" i="124" s="1"/>
  <c r="U8" i="124"/>
  <c r="V8" i="124" s="1"/>
  <c r="L22" i="674" s="1"/>
  <c r="R8" i="124"/>
  <c r="S8" i="124" s="1"/>
  <c r="AM4" i="124"/>
  <c r="U4" i="124"/>
  <c r="V4" i="124" s="1"/>
  <c r="H22" i="674" s="1"/>
  <c r="R4" i="124"/>
  <c r="S4" i="124" s="1"/>
  <c r="U3" i="124"/>
  <c r="V3" i="124" s="1"/>
  <c r="R3" i="124"/>
  <c r="S3" i="124" s="1"/>
  <c r="AX2" i="124"/>
  <c r="AL2" i="124"/>
  <c r="Y2" i="124"/>
  <c r="BK1" i="124"/>
  <c r="BJ1" i="124"/>
  <c r="BI1" i="124"/>
  <c r="BH1" i="124"/>
  <c r="BG1" i="124"/>
  <c r="BF1" i="124"/>
  <c r="BE1" i="124"/>
  <c r="BD1" i="124"/>
  <c r="BC1" i="124"/>
  <c r="BB1" i="124"/>
  <c r="BA1" i="124"/>
  <c r="AZ1" i="124"/>
  <c r="AU1" i="124"/>
  <c r="AT1" i="124"/>
  <c r="AS1" i="124"/>
  <c r="AR1" i="124"/>
  <c r="AQ1" i="124"/>
  <c r="AP1" i="124"/>
  <c r="AO1" i="124"/>
  <c r="AN1" i="124"/>
  <c r="AI1" i="124"/>
  <c r="AH1" i="124"/>
  <c r="AG1" i="124"/>
  <c r="AF1" i="124"/>
  <c r="AE1" i="124"/>
  <c r="AD1" i="124"/>
  <c r="AC1" i="124"/>
  <c r="AB1" i="124"/>
  <c r="AA1" i="124"/>
  <c r="K1" i="124"/>
  <c r="F1" i="124"/>
  <c r="E1" i="124"/>
  <c r="G753" i="115"/>
  <c r="Q751" i="115"/>
  <c r="A77" i="115"/>
  <c r="A76" i="115"/>
  <c r="AM71" i="115"/>
  <c r="AY72" i="115"/>
  <c r="AM72" i="115"/>
  <c r="Z72" i="115"/>
  <c r="A72" i="115"/>
  <c r="AM69" i="115"/>
  <c r="AL69" i="115"/>
  <c r="AY68" i="115"/>
  <c r="A70" i="115"/>
  <c r="Y67" i="115"/>
  <c r="AL66" i="115"/>
  <c r="AY65" i="115"/>
  <c r="Z63" i="115"/>
  <c r="Z60" i="115"/>
  <c r="A63" i="115"/>
  <c r="AX59" i="115"/>
  <c r="AY61" i="115"/>
  <c r="AM58" i="115"/>
  <c r="AL58" i="115"/>
  <c r="AL54" i="115"/>
  <c r="AM52" i="115"/>
  <c r="E52" i="115"/>
  <c r="A53" i="115"/>
  <c r="AY48" i="115"/>
  <c r="A51" i="115"/>
  <c r="Z46" i="115"/>
  <c r="AL46" i="115"/>
  <c r="Z43" i="115"/>
  <c r="AX43" i="115"/>
  <c r="AM78" i="115"/>
  <c r="AL78" i="115"/>
  <c r="AY41" i="115"/>
  <c r="Y41" i="115"/>
  <c r="AM40" i="115"/>
  <c r="A40" i="115"/>
  <c r="A39" i="115"/>
  <c r="AM35" i="115"/>
  <c r="AL35" i="115"/>
  <c r="E17" i="115"/>
  <c r="Z33" i="115"/>
  <c r="A36" i="115"/>
  <c r="AY34" i="115"/>
  <c r="Y31" i="115"/>
  <c r="R32" i="115"/>
  <c r="S32" i="115" s="1"/>
  <c r="R31" i="115"/>
  <c r="S31" i="115" s="1"/>
  <c r="R30" i="115"/>
  <c r="S30" i="115" s="1"/>
  <c r="R29" i="115"/>
  <c r="S29" i="115" s="1"/>
  <c r="R28" i="115"/>
  <c r="S28" i="115" s="1"/>
  <c r="R27" i="115"/>
  <c r="S27" i="115" s="1"/>
  <c r="AY24" i="115"/>
  <c r="R26" i="115"/>
  <c r="S26" i="115" s="1"/>
  <c r="R25" i="115"/>
  <c r="S25" i="115" s="1"/>
  <c r="AX21" i="115"/>
  <c r="AY20" i="115"/>
  <c r="AX20" i="115"/>
  <c r="Z17" i="115"/>
  <c r="AL17" i="115"/>
  <c r="A15" i="115"/>
  <c r="U14" i="115"/>
  <c r="V14" i="115" s="1"/>
  <c r="R21" i="674" s="1"/>
  <c r="U13" i="115"/>
  <c r="V13" i="115" s="1"/>
  <c r="Q21" i="674" s="1"/>
  <c r="AM10" i="115"/>
  <c r="U12" i="115"/>
  <c r="V12" i="115" s="1"/>
  <c r="P21" i="674" s="1"/>
  <c r="U11" i="115"/>
  <c r="V11" i="115" s="1"/>
  <c r="O21" i="674" s="1"/>
  <c r="R11" i="115"/>
  <c r="S11" i="115" s="1"/>
  <c r="AX8" i="115"/>
  <c r="U10" i="115"/>
  <c r="V10" i="115" s="1"/>
  <c r="N21" i="674" s="1"/>
  <c r="R10" i="115"/>
  <c r="S10" i="115" s="1"/>
  <c r="U9" i="115"/>
  <c r="V9" i="115" s="1"/>
  <c r="M21" i="674" s="1"/>
  <c r="R9" i="115"/>
  <c r="S9" i="115" s="1"/>
  <c r="U8" i="115"/>
  <c r="V8" i="115" s="1"/>
  <c r="L21" i="674" s="1"/>
  <c r="R8" i="115"/>
  <c r="S8" i="115" s="1"/>
  <c r="Z4" i="115"/>
  <c r="AX4" i="115"/>
  <c r="AX3" i="115"/>
  <c r="AM4" i="115"/>
  <c r="AL4" i="115"/>
  <c r="U4" i="115"/>
  <c r="V4" i="115" s="1"/>
  <c r="H21" i="674" s="1"/>
  <c r="R4" i="115"/>
  <c r="S4" i="115" s="1"/>
  <c r="AY3" i="115"/>
  <c r="U3" i="115"/>
  <c r="V3" i="115" s="1"/>
  <c r="R3" i="115"/>
  <c r="S3" i="115" s="1"/>
  <c r="AX2" i="115"/>
  <c r="AL2" i="115"/>
  <c r="Y2" i="115"/>
  <c r="BK1" i="115"/>
  <c r="BJ1" i="115"/>
  <c r="BI1" i="115"/>
  <c r="BH1" i="115"/>
  <c r="BG1" i="115"/>
  <c r="BF1" i="115"/>
  <c r="BE1" i="115"/>
  <c r="BD1" i="115"/>
  <c r="BC1" i="115"/>
  <c r="BB1" i="115"/>
  <c r="BA1" i="115"/>
  <c r="AZ1" i="115"/>
  <c r="AU1" i="115"/>
  <c r="AT1" i="115"/>
  <c r="AS1" i="115"/>
  <c r="AR1" i="115"/>
  <c r="AQ1" i="115"/>
  <c r="AP1" i="115"/>
  <c r="AO1" i="115"/>
  <c r="AN1" i="115"/>
  <c r="AI1" i="115"/>
  <c r="AH1" i="115"/>
  <c r="AG1" i="115"/>
  <c r="AF1" i="115"/>
  <c r="AE1" i="115"/>
  <c r="AD1" i="115"/>
  <c r="AC1" i="115"/>
  <c r="AB1" i="115"/>
  <c r="AA1" i="115"/>
  <c r="K1" i="115"/>
  <c r="F1" i="115"/>
  <c r="E1" i="115"/>
  <c r="G753" i="114"/>
  <c r="Q751" i="114"/>
  <c r="A77" i="114"/>
  <c r="A76" i="114"/>
  <c r="AY72" i="114"/>
  <c r="AM72" i="114"/>
  <c r="Z72" i="114"/>
  <c r="AM70" i="114"/>
  <c r="A72" i="114"/>
  <c r="AX71" i="114"/>
  <c r="A71" i="114"/>
  <c r="A70" i="114"/>
  <c r="AY67" i="114"/>
  <c r="AY65" i="114"/>
  <c r="A63" i="114"/>
  <c r="AM58" i="114"/>
  <c r="AM53" i="114"/>
  <c r="AY52" i="114"/>
  <c r="E52" i="114"/>
  <c r="E17" i="114" s="1"/>
  <c r="A53" i="114"/>
  <c r="Z49" i="114"/>
  <c r="AL42" i="114"/>
  <c r="AM38" i="114"/>
  <c r="AL38" i="114"/>
  <c r="A37" i="114"/>
  <c r="A36" i="114"/>
  <c r="AM32" i="114"/>
  <c r="AM31" i="114"/>
  <c r="Z30" i="114"/>
  <c r="R32" i="114"/>
  <c r="S32" i="114" s="1"/>
  <c r="R31" i="114"/>
  <c r="S31" i="114" s="1"/>
  <c r="Y28" i="114"/>
  <c r="R30" i="114"/>
  <c r="S30" i="114" s="1"/>
  <c r="R29" i="114"/>
  <c r="S29" i="114" s="1"/>
  <c r="AL28" i="114"/>
  <c r="R28" i="114"/>
  <c r="S28" i="114" s="1"/>
  <c r="Z25" i="114"/>
  <c r="R27" i="114"/>
  <c r="S27" i="114" s="1"/>
  <c r="R26" i="114"/>
  <c r="S26" i="114" s="1"/>
  <c r="AY23" i="114"/>
  <c r="AX23" i="114"/>
  <c r="R25" i="114"/>
  <c r="S25" i="114" s="1"/>
  <c r="Z21" i="114"/>
  <c r="Y21" i="114"/>
  <c r="AY17" i="114"/>
  <c r="AM16" i="114"/>
  <c r="A17" i="114"/>
  <c r="AY13" i="114"/>
  <c r="AM12" i="114"/>
  <c r="A15" i="114"/>
  <c r="U14" i="114"/>
  <c r="Z11" i="114"/>
  <c r="A14" i="114"/>
  <c r="U13" i="114"/>
  <c r="Z10" i="114"/>
  <c r="U12" i="114"/>
  <c r="V12" i="114" s="1"/>
  <c r="P20" i="674" s="1"/>
  <c r="Y9" i="114"/>
  <c r="U11" i="114"/>
  <c r="V11" i="114" s="1"/>
  <c r="O20" i="674" s="1"/>
  <c r="R11" i="114"/>
  <c r="S11" i="114" s="1"/>
  <c r="U10" i="114"/>
  <c r="R10" i="114"/>
  <c r="S10" i="114" s="1"/>
  <c r="U9" i="114"/>
  <c r="V9" i="114" s="1"/>
  <c r="M20" i="674" s="1"/>
  <c r="R9" i="114"/>
  <c r="S9" i="114" s="1"/>
  <c r="U8" i="114"/>
  <c r="V8" i="114" s="1"/>
  <c r="L20" i="674" s="1"/>
  <c r="R8" i="114"/>
  <c r="S8" i="114" s="1"/>
  <c r="AM4" i="114"/>
  <c r="Y4" i="114"/>
  <c r="AM3" i="114"/>
  <c r="AL3" i="114"/>
  <c r="U4" i="114"/>
  <c r="V4" i="114" s="1"/>
  <c r="H20" i="674" s="1"/>
  <c r="R4" i="114"/>
  <c r="S4" i="114" s="1"/>
  <c r="U3" i="114"/>
  <c r="V3" i="114" s="1"/>
  <c r="R3" i="114"/>
  <c r="S3" i="114" s="1"/>
  <c r="AX2" i="114"/>
  <c r="AL2" i="114"/>
  <c r="Y2" i="114"/>
  <c r="BK1" i="114"/>
  <c r="BJ1" i="114"/>
  <c r="BI1" i="114"/>
  <c r="BH1" i="114"/>
  <c r="BG1" i="114"/>
  <c r="BF1" i="114"/>
  <c r="BE1" i="114"/>
  <c r="BD1" i="114"/>
  <c r="BC1" i="114"/>
  <c r="BB1" i="114"/>
  <c r="BA1" i="114"/>
  <c r="AZ1" i="114"/>
  <c r="AU1" i="114"/>
  <c r="AT1" i="114"/>
  <c r="AS1" i="114"/>
  <c r="AR1" i="114"/>
  <c r="AQ1" i="114"/>
  <c r="AP1" i="114"/>
  <c r="AO1" i="114"/>
  <c r="AN1" i="114"/>
  <c r="AI1" i="114"/>
  <c r="AH1" i="114"/>
  <c r="AG1" i="114"/>
  <c r="AF1" i="114"/>
  <c r="AE1" i="114"/>
  <c r="AD1" i="114"/>
  <c r="AC1" i="114"/>
  <c r="AB1" i="114"/>
  <c r="AA1" i="114"/>
  <c r="K1" i="114"/>
  <c r="F1" i="114"/>
  <c r="E1" i="114"/>
  <c r="G753" i="472"/>
  <c r="Q751" i="472"/>
  <c r="A79" i="472"/>
  <c r="A77" i="472"/>
  <c r="A76" i="472"/>
  <c r="A73" i="472"/>
  <c r="AY72" i="472"/>
  <c r="AM72" i="472"/>
  <c r="Z72" i="472"/>
  <c r="AY70" i="472"/>
  <c r="A72" i="472"/>
  <c r="A70" i="472"/>
  <c r="AY67" i="472"/>
  <c r="AL67" i="472"/>
  <c r="AM65" i="472"/>
  <c r="AL64" i="472"/>
  <c r="Z63" i="472"/>
  <c r="AY61" i="472"/>
  <c r="A63" i="472"/>
  <c r="AY59" i="472"/>
  <c r="AX59" i="472"/>
  <c r="AX56" i="472"/>
  <c r="E52" i="472"/>
  <c r="E17" i="472" s="1"/>
  <c r="AY50" i="472"/>
  <c r="A53" i="472"/>
  <c r="AY51" i="472"/>
  <c r="AX51" i="472"/>
  <c r="AY46" i="472"/>
  <c r="AM45" i="472"/>
  <c r="Y45" i="472"/>
  <c r="Z44" i="472"/>
  <c r="AY78" i="472"/>
  <c r="AX78" i="472"/>
  <c r="AM42" i="472"/>
  <c r="A44" i="472"/>
  <c r="Z41" i="472"/>
  <c r="A78" i="472"/>
  <c r="A41" i="472"/>
  <c r="Z37" i="472"/>
  <c r="AL36" i="472"/>
  <c r="Z33" i="472"/>
  <c r="A36" i="472"/>
  <c r="AY30" i="472"/>
  <c r="R32" i="472"/>
  <c r="S32" i="472" s="1"/>
  <c r="Z29" i="472"/>
  <c r="A32" i="472"/>
  <c r="R31" i="472"/>
  <c r="S31" i="472" s="1"/>
  <c r="AY28" i="472"/>
  <c r="A31" i="472"/>
  <c r="R30" i="472"/>
  <c r="S30" i="472" s="1"/>
  <c r="R29" i="472"/>
  <c r="S29" i="472" s="1"/>
  <c r="AX26" i="472"/>
  <c r="R28" i="472"/>
  <c r="S28" i="472" s="1"/>
  <c r="Z25" i="472"/>
  <c r="R27" i="472"/>
  <c r="S27" i="472" s="1"/>
  <c r="R26" i="472"/>
  <c r="S26" i="472" s="1"/>
  <c r="R25" i="472"/>
  <c r="S25" i="472" s="1"/>
  <c r="Z22" i="472"/>
  <c r="Z20" i="472"/>
  <c r="AM18" i="472"/>
  <c r="AL16" i="472"/>
  <c r="A17" i="472"/>
  <c r="AM12" i="472"/>
  <c r="A15" i="472"/>
  <c r="U14" i="472"/>
  <c r="U13" i="472"/>
  <c r="V13" i="472" s="1"/>
  <c r="Q19" i="674" s="1"/>
  <c r="U12" i="472"/>
  <c r="V12" i="472" s="1"/>
  <c r="P19" i="674" s="1"/>
  <c r="AM9" i="472"/>
  <c r="AL9" i="472"/>
  <c r="U11" i="472"/>
  <c r="V11" i="472" s="1"/>
  <c r="O19" i="674" s="1"/>
  <c r="R11" i="472"/>
  <c r="S11" i="472" s="1"/>
  <c r="Z8" i="472"/>
  <c r="U10" i="472"/>
  <c r="R10" i="472"/>
  <c r="S10" i="472" s="1"/>
  <c r="U9" i="472"/>
  <c r="R9" i="472"/>
  <c r="S9" i="472" s="1"/>
  <c r="U8" i="472"/>
  <c r="V8" i="472" s="1"/>
  <c r="L19" i="674" s="1"/>
  <c r="R8" i="472"/>
  <c r="S8" i="472" s="1"/>
  <c r="AX4" i="472"/>
  <c r="U4" i="472"/>
  <c r="V4" i="472" s="1"/>
  <c r="H19" i="674" s="1"/>
  <c r="R4" i="472"/>
  <c r="S4" i="472" s="1"/>
  <c r="U3" i="472"/>
  <c r="V3" i="472" s="1"/>
  <c r="R3" i="472"/>
  <c r="S3" i="472" s="1"/>
  <c r="AX2" i="472"/>
  <c r="AL2" i="472"/>
  <c r="Y2" i="472"/>
  <c r="BK1" i="472"/>
  <c r="BJ1" i="472"/>
  <c r="BI1" i="472"/>
  <c r="BH1" i="472"/>
  <c r="BG1" i="472"/>
  <c r="BF1" i="472"/>
  <c r="BE1" i="472"/>
  <c r="BD1" i="472"/>
  <c r="BC1" i="472"/>
  <c r="BB1" i="472"/>
  <c r="BA1" i="472"/>
  <c r="AZ1" i="472"/>
  <c r="AU1" i="472"/>
  <c r="AT1" i="472"/>
  <c r="AS1" i="472"/>
  <c r="AR1" i="472"/>
  <c r="AQ1" i="472"/>
  <c r="AP1" i="472"/>
  <c r="AO1" i="472"/>
  <c r="AN1" i="472"/>
  <c r="AI1" i="472"/>
  <c r="AH1" i="472"/>
  <c r="AG1" i="472"/>
  <c r="AF1" i="472"/>
  <c r="AE1" i="472"/>
  <c r="AD1" i="472"/>
  <c r="AC1" i="472"/>
  <c r="AB1" i="472"/>
  <c r="AA1" i="472"/>
  <c r="K1" i="472"/>
  <c r="F1" i="472"/>
  <c r="E1" i="472"/>
  <c r="G753" i="112"/>
  <c r="Q751" i="112"/>
  <c r="A77" i="112"/>
  <c r="A76" i="112"/>
  <c r="Z73" i="112"/>
  <c r="AY72" i="112"/>
  <c r="AM72" i="112"/>
  <c r="Z72" i="112"/>
  <c r="A72" i="112"/>
  <c r="AM69" i="112"/>
  <c r="A71" i="112"/>
  <c r="A70" i="112"/>
  <c r="AM67" i="112"/>
  <c r="AL67" i="112"/>
  <c r="Z65" i="112"/>
  <c r="A65" i="112"/>
  <c r="AY61" i="112"/>
  <c r="AM60" i="112"/>
  <c r="A63" i="112"/>
  <c r="Y59" i="112"/>
  <c r="AY58" i="112"/>
  <c r="Y55" i="112"/>
  <c r="A54" i="112"/>
  <c r="E52" i="112"/>
  <c r="AY50" i="112"/>
  <c r="A53" i="112"/>
  <c r="Z48" i="112"/>
  <c r="Y48" i="112"/>
  <c r="AM78" i="112"/>
  <c r="Y42" i="112"/>
  <c r="Z40" i="112"/>
  <c r="Y38" i="112"/>
  <c r="Z35" i="112"/>
  <c r="E17" i="112"/>
  <c r="Z33" i="112"/>
  <c r="A36" i="112"/>
  <c r="Z32" i="112"/>
  <c r="AL31" i="112"/>
  <c r="R32" i="112"/>
  <c r="S32" i="112" s="1"/>
  <c r="AY29" i="112"/>
  <c r="AL29" i="112"/>
  <c r="R31" i="112"/>
  <c r="S31" i="112" s="1"/>
  <c r="R30" i="112"/>
  <c r="S30" i="112" s="1"/>
  <c r="AX27" i="112"/>
  <c r="R29" i="112"/>
  <c r="S29" i="112" s="1"/>
  <c r="R28" i="112"/>
  <c r="S28" i="112" s="1"/>
  <c r="AL25" i="112"/>
  <c r="R27" i="112"/>
  <c r="S27" i="112" s="1"/>
  <c r="R26" i="112"/>
  <c r="S26" i="112" s="1"/>
  <c r="AY23" i="112"/>
  <c r="AM25" i="112"/>
  <c r="R25" i="112"/>
  <c r="S25" i="112" s="1"/>
  <c r="AM22" i="112"/>
  <c r="Z20" i="112"/>
  <c r="AM18" i="112"/>
  <c r="Z16" i="112"/>
  <c r="AL14" i="112"/>
  <c r="AY13" i="112"/>
  <c r="A15" i="112"/>
  <c r="U14" i="112"/>
  <c r="V14" i="112" s="1"/>
  <c r="R18" i="674" s="1"/>
  <c r="AY11" i="112"/>
  <c r="Y11" i="112"/>
  <c r="U13" i="112"/>
  <c r="V13" i="112" s="1"/>
  <c r="Q18" i="674" s="1"/>
  <c r="U12" i="112"/>
  <c r="V12" i="112" s="1"/>
  <c r="P18" i="674" s="1"/>
  <c r="U11" i="112"/>
  <c r="V11" i="112" s="1"/>
  <c r="O18" i="674" s="1"/>
  <c r="R11" i="112"/>
  <c r="S11" i="112" s="1"/>
  <c r="U10" i="112"/>
  <c r="V10" i="112" s="1"/>
  <c r="N18" i="674" s="1"/>
  <c r="S10" i="112"/>
  <c r="U9" i="112"/>
  <c r="V9" i="112" s="1"/>
  <c r="M18" i="674" s="1"/>
  <c r="R9" i="112"/>
  <c r="S9" i="112" s="1"/>
  <c r="U8" i="112"/>
  <c r="V8" i="112" s="1"/>
  <c r="L18" i="674" s="1"/>
  <c r="R8" i="112"/>
  <c r="S8" i="112" s="1"/>
  <c r="AX3" i="112"/>
  <c r="AY4" i="112"/>
  <c r="U4" i="112"/>
  <c r="V4" i="112" s="1"/>
  <c r="H18" i="674" s="1"/>
  <c r="R4" i="112"/>
  <c r="S4" i="112" s="1"/>
  <c r="U3" i="112"/>
  <c r="V3" i="112" s="1"/>
  <c r="R3" i="112"/>
  <c r="S3" i="112" s="1"/>
  <c r="AX2" i="112"/>
  <c r="AL2" i="112"/>
  <c r="Y2" i="112"/>
  <c r="BK1" i="112"/>
  <c r="BJ1" i="112"/>
  <c r="BI1" i="112"/>
  <c r="BH1" i="112"/>
  <c r="BG1" i="112"/>
  <c r="BF1" i="112"/>
  <c r="BE1" i="112"/>
  <c r="BD1" i="112"/>
  <c r="BC1" i="112"/>
  <c r="BB1" i="112"/>
  <c r="BA1" i="112"/>
  <c r="AZ1" i="112"/>
  <c r="AU1" i="112"/>
  <c r="AT1" i="112"/>
  <c r="AS1" i="112"/>
  <c r="AR1" i="112"/>
  <c r="AQ1" i="112"/>
  <c r="AP1" i="112"/>
  <c r="AO1" i="112"/>
  <c r="AN1" i="112"/>
  <c r="AI1" i="112"/>
  <c r="AH1" i="112"/>
  <c r="AG1" i="112"/>
  <c r="AF1" i="112"/>
  <c r="AE1" i="112"/>
  <c r="AD1" i="112"/>
  <c r="AC1" i="112"/>
  <c r="AB1" i="112"/>
  <c r="AA1" i="112"/>
  <c r="K1" i="112"/>
  <c r="F1" i="112"/>
  <c r="E1" i="112"/>
  <c r="G752" i="111"/>
  <c r="Q750" i="111"/>
  <c r="A77" i="111"/>
  <c r="A76" i="111"/>
  <c r="Z71" i="111"/>
  <c r="AY72" i="111"/>
  <c r="AM72" i="111"/>
  <c r="Z72" i="111"/>
  <c r="AM70" i="111"/>
  <c r="A72" i="111"/>
  <c r="Z68" i="111"/>
  <c r="A70" i="111"/>
  <c r="AY67" i="111"/>
  <c r="Y66" i="111"/>
  <c r="AY65" i="111"/>
  <c r="Y64" i="111"/>
  <c r="A64" i="111"/>
  <c r="A63" i="111"/>
  <c r="Y57" i="111"/>
  <c r="AY56" i="111"/>
  <c r="Y56" i="111"/>
  <c r="AX55" i="111"/>
  <c r="Y53" i="111"/>
  <c r="E52" i="111"/>
  <c r="E17" i="111" s="1"/>
  <c r="AY50" i="111"/>
  <c r="A53" i="111"/>
  <c r="Y49" i="111"/>
  <c r="AX46" i="111"/>
  <c r="AY44" i="111"/>
  <c r="Y44" i="111"/>
  <c r="A45" i="111"/>
  <c r="AM42" i="111"/>
  <c r="Z39" i="111"/>
  <c r="Y39" i="111"/>
  <c r="A41" i="111"/>
  <c r="Z37" i="111"/>
  <c r="AL37" i="111"/>
  <c r="AY33" i="111"/>
  <c r="A36" i="111"/>
  <c r="AY35" i="111"/>
  <c r="AM30" i="111"/>
  <c r="R32" i="111"/>
  <c r="S32" i="111" s="1"/>
  <c r="R31" i="111"/>
  <c r="S31" i="111" s="1"/>
  <c r="Z28" i="111"/>
  <c r="R30" i="111"/>
  <c r="S30" i="111" s="1"/>
  <c r="R29" i="111"/>
  <c r="S29" i="111" s="1"/>
  <c r="AL26" i="111"/>
  <c r="R28" i="111"/>
  <c r="S28" i="111" s="1"/>
  <c r="R27" i="111"/>
  <c r="S27" i="111" s="1"/>
  <c r="R26" i="111"/>
  <c r="S26" i="111" s="1"/>
  <c r="R25" i="111"/>
  <c r="S25" i="111" s="1"/>
  <c r="Z22" i="111"/>
  <c r="AM14" i="111"/>
  <c r="AM12" i="111"/>
  <c r="A15" i="111"/>
  <c r="U14" i="111"/>
  <c r="AM11" i="111"/>
  <c r="U13" i="111"/>
  <c r="V13" i="111" s="1"/>
  <c r="Q17" i="674" s="1"/>
  <c r="U12" i="111"/>
  <c r="V12" i="111" s="1"/>
  <c r="P17" i="674" s="1"/>
  <c r="Z9" i="111"/>
  <c r="U11" i="111"/>
  <c r="V11" i="111" s="1"/>
  <c r="O17" i="674" s="1"/>
  <c r="R11" i="111"/>
  <c r="S11" i="111" s="1"/>
  <c r="A11" i="111"/>
  <c r="U10" i="111"/>
  <c r="R10" i="111"/>
  <c r="S10" i="111" s="1"/>
  <c r="U9" i="111"/>
  <c r="V9" i="111" s="1"/>
  <c r="M17" i="674" s="1"/>
  <c r="R9" i="111"/>
  <c r="S9" i="111" s="1"/>
  <c r="U8" i="111"/>
  <c r="V8" i="111" s="1"/>
  <c r="L17" i="674" s="1"/>
  <c r="R8" i="111"/>
  <c r="S8" i="111" s="1"/>
  <c r="Z4" i="111"/>
  <c r="Z3" i="111"/>
  <c r="U4" i="111"/>
  <c r="V4" i="111" s="1"/>
  <c r="H17" i="674" s="1"/>
  <c r="R4" i="111"/>
  <c r="S4" i="111" s="1"/>
  <c r="U3" i="111"/>
  <c r="V3" i="111" s="1"/>
  <c r="R3" i="111"/>
  <c r="S3" i="111" s="1"/>
  <c r="AX2" i="111"/>
  <c r="AL2" i="111"/>
  <c r="Y2" i="111"/>
  <c r="BK1" i="111"/>
  <c r="BJ1" i="111"/>
  <c r="BI1" i="111"/>
  <c r="BH1" i="111"/>
  <c r="BG1" i="111"/>
  <c r="BF1" i="111"/>
  <c r="BE1" i="111"/>
  <c r="BD1" i="111"/>
  <c r="BC1" i="111"/>
  <c r="BB1" i="111"/>
  <c r="BA1" i="111"/>
  <c r="AZ1" i="111"/>
  <c r="AU1" i="111"/>
  <c r="AT1" i="111"/>
  <c r="AS1" i="111"/>
  <c r="AR1" i="111"/>
  <c r="AQ1" i="111"/>
  <c r="AP1" i="111"/>
  <c r="AO1" i="111"/>
  <c r="AN1" i="111"/>
  <c r="AI1" i="111"/>
  <c r="AH1" i="111"/>
  <c r="AG1" i="111"/>
  <c r="AF1" i="111"/>
  <c r="AE1" i="111"/>
  <c r="AD1" i="111"/>
  <c r="AC1" i="111"/>
  <c r="AB1" i="111"/>
  <c r="AA1" i="111"/>
  <c r="K1" i="111"/>
  <c r="F1" i="111"/>
  <c r="E1" i="111"/>
  <c r="G753" i="110"/>
  <c r="Q746" i="110"/>
  <c r="A77" i="110"/>
  <c r="A76" i="110"/>
  <c r="AY73" i="110"/>
  <c r="AL71" i="110"/>
  <c r="AY72" i="110"/>
  <c r="AM72" i="110"/>
  <c r="Z72" i="110"/>
  <c r="AM70" i="110"/>
  <c r="A72" i="110"/>
  <c r="AY69" i="110"/>
  <c r="AM68" i="110"/>
  <c r="A70" i="110"/>
  <c r="AY66" i="110"/>
  <c r="AL66" i="110"/>
  <c r="Z61" i="110"/>
  <c r="AX61" i="110"/>
  <c r="AY60" i="110"/>
  <c r="A63" i="110"/>
  <c r="Z59" i="110"/>
  <c r="AY55" i="110"/>
  <c r="Z54" i="110"/>
  <c r="E52" i="110"/>
  <c r="E17" i="110" s="1"/>
  <c r="A53" i="110"/>
  <c r="AM46" i="110"/>
  <c r="A50" i="110"/>
  <c r="Z78" i="110"/>
  <c r="AY40" i="110"/>
  <c r="AL37" i="110"/>
  <c r="Z36" i="110"/>
  <c r="Z34" i="110"/>
  <c r="AY33" i="110"/>
  <c r="A36" i="110"/>
  <c r="AX32" i="110"/>
  <c r="R32" i="110"/>
  <c r="S32" i="110" s="1"/>
  <c r="AL29" i="110"/>
  <c r="R31" i="110"/>
  <c r="S31" i="110" s="1"/>
  <c r="R30" i="110"/>
  <c r="S30" i="110" s="1"/>
  <c r="R29" i="110"/>
  <c r="S29" i="110" s="1"/>
  <c r="R28" i="110"/>
  <c r="S28" i="110" s="1"/>
  <c r="R27" i="110"/>
  <c r="S27" i="110" s="1"/>
  <c r="Z24" i="110"/>
  <c r="R26" i="110"/>
  <c r="S26" i="110" s="1"/>
  <c r="AL23" i="110"/>
  <c r="R25" i="110"/>
  <c r="S25" i="110" s="1"/>
  <c r="AM19" i="110"/>
  <c r="Y15" i="110"/>
  <c r="A15" i="110"/>
  <c r="Z14" i="110"/>
  <c r="U14" i="110"/>
  <c r="V14" i="110" s="1"/>
  <c r="R16" i="674" s="1"/>
  <c r="A14" i="110"/>
  <c r="U13" i="110"/>
  <c r="V13" i="110" s="1"/>
  <c r="Q16" i="674" s="1"/>
  <c r="A13" i="110"/>
  <c r="U12" i="110"/>
  <c r="V12" i="110" s="1"/>
  <c r="P16" i="674" s="1"/>
  <c r="U11" i="110"/>
  <c r="V11" i="110" s="1"/>
  <c r="O16" i="674" s="1"/>
  <c r="R11" i="110"/>
  <c r="S11" i="110" s="1"/>
  <c r="A11" i="110"/>
  <c r="U10" i="110"/>
  <c r="V10" i="110" s="1"/>
  <c r="N16" i="674" s="1"/>
  <c r="R10" i="110"/>
  <c r="S10" i="110" s="1"/>
  <c r="U9" i="110"/>
  <c r="V9" i="110" s="1"/>
  <c r="M16" i="674" s="1"/>
  <c r="R9" i="110"/>
  <c r="S9" i="110" s="1"/>
  <c r="U8" i="110"/>
  <c r="V8" i="110" s="1"/>
  <c r="L16" i="674" s="1"/>
  <c r="R8" i="110"/>
  <c r="S8" i="110" s="1"/>
  <c r="AM4" i="110"/>
  <c r="AL4" i="110"/>
  <c r="AM3" i="110"/>
  <c r="U4" i="110"/>
  <c r="V4" i="110" s="1"/>
  <c r="H16" i="674" s="1"/>
  <c r="R4" i="110"/>
  <c r="S4" i="110" s="1"/>
  <c r="U3" i="110"/>
  <c r="R3" i="110"/>
  <c r="S3" i="110" s="1"/>
  <c r="AX2" i="110"/>
  <c r="AL2" i="110"/>
  <c r="Y2" i="110"/>
  <c r="BK1" i="110"/>
  <c r="BJ1" i="110"/>
  <c r="BI1" i="110"/>
  <c r="BH1" i="110"/>
  <c r="BG1" i="110"/>
  <c r="BF1" i="110"/>
  <c r="BE1" i="110"/>
  <c r="BD1" i="110"/>
  <c r="BC1" i="110"/>
  <c r="BB1" i="110"/>
  <c r="BA1" i="110"/>
  <c r="AZ1" i="110"/>
  <c r="AU1" i="110"/>
  <c r="AT1" i="110"/>
  <c r="AS1" i="110"/>
  <c r="AR1" i="110"/>
  <c r="AQ1" i="110"/>
  <c r="AP1" i="110"/>
  <c r="AO1" i="110"/>
  <c r="AN1" i="110"/>
  <c r="AI1" i="110"/>
  <c r="AH1" i="110"/>
  <c r="AG1" i="110"/>
  <c r="AF1" i="110"/>
  <c r="AE1" i="110"/>
  <c r="AD1" i="110"/>
  <c r="AC1" i="110"/>
  <c r="AB1" i="110"/>
  <c r="AA1" i="110"/>
  <c r="K1" i="110"/>
  <c r="F1" i="110"/>
  <c r="E1" i="110"/>
  <c r="G753" i="108"/>
  <c r="Q751" i="108"/>
  <c r="A77" i="108"/>
  <c r="A76" i="108"/>
  <c r="AX73" i="108"/>
  <c r="AY72" i="108"/>
  <c r="AM72" i="108"/>
  <c r="Z72" i="108"/>
  <c r="A72" i="108"/>
  <c r="Z68" i="108"/>
  <c r="A70" i="108"/>
  <c r="AY67" i="108"/>
  <c r="AX67" i="108"/>
  <c r="Z65" i="108"/>
  <c r="AY60" i="108"/>
  <c r="A63" i="108"/>
  <c r="AY52" i="108"/>
  <c r="E52" i="108"/>
  <c r="E17" i="108" s="1"/>
  <c r="A53" i="108"/>
  <c r="AY49" i="108"/>
  <c r="AM48" i="108"/>
  <c r="Y42" i="108"/>
  <c r="AL41" i="108"/>
  <c r="AY38" i="108"/>
  <c r="AY37" i="108"/>
  <c r="AY36" i="108"/>
  <c r="AL34" i="108"/>
  <c r="Z33" i="108"/>
  <c r="A36" i="108"/>
  <c r="AX32" i="108"/>
  <c r="AX31" i="108"/>
  <c r="R32" i="108"/>
  <c r="S32" i="108" s="1"/>
  <c r="C25" i="675" s="1"/>
  <c r="R31" i="108"/>
  <c r="S31" i="108" s="1"/>
  <c r="C24" i="675" s="1"/>
  <c r="R30" i="108"/>
  <c r="S30" i="108" s="1"/>
  <c r="C23" i="675" s="1"/>
  <c r="R29" i="108"/>
  <c r="S29" i="108" s="1"/>
  <c r="C22" i="675" s="1"/>
  <c r="AX26" i="108"/>
  <c r="R28" i="108"/>
  <c r="S28" i="108" s="1"/>
  <c r="C21" i="675" s="1"/>
  <c r="R27" i="108"/>
  <c r="S27" i="108" s="1"/>
  <c r="C20" i="675" s="1"/>
  <c r="A27" i="108"/>
  <c r="R26" i="108"/>
  <c r="S26" i="108" s="1"/>
  <c r="C19" i="675" s="1"/>
  <c r="R25" i="108"/>
  <c r="S25" i="108" s="1"/>
  <c r="C18" i="675" s="1"/>
  <c r="AY22" i="108"/>
  <c r="A19" i="108"/>
  <c r="Z13" i="108"/>
  <c r="A15" i="108"/>
  <c r="U14" i="108"/>
  <c r="V14" i="108" s="1"/>
  <c r="Y11" i="108"/>
  <c r="U13" i="108"/>
  <c r="V13" i="108" s="1"/>
  <c r="A13" i="108"/>
  <c r="U12" i="108"/>
  <c r="AM9" i="108"/>
  <c r="U11" i="108"/>
  <c r="R11" i="108"/>
  <c r="S11" i="108" s="1"/>
  <c r="U10" i="108"/>
  <c r="R10" i="108"/>
  <c r="S10" i="108" s="1"/>
  <c r="U9" i="108"/>
  <c r="R9" i="108"/>
  <c r="S9" i="108" s="1"/>
  <c r="U8" i="108"/>
  <c r="R8" i="108"/>
  <c r="S8" i="108" s="1"/>
  <c r="Z4" i="108"/>
  <c r="AL4" i="108"/>
  <c r="AM3" i="108"/>
  <c r="AL3" i="108"/>
  <c r="U4" i="108"/>
  <c r="R4" i="108"/>
  <c r="S4" i="108" s="1"/>
  <c r="U3" i="108"/>
  <c r="V3" i="108" s="1"/>
  <c r="R3" i="108"/>
  <c r="S3" i="108" s="1"/>
  <c r="AX2" i="108"/>
  <c r="AL2" i="108"/>
  <c r="Y2" i="108"/>
  <c r="BK1" i="108"/>
  <c r="BJ1" i="108"/>
  <c r="BI1" i="108"/>
  <c r="BH1" i="108"/>
  <c r="BG1" i="108"/>
  <c r="BF1" i="108"/>
  <c r="BE1" i="108"/>
  <c r="BD1" i="108"/>
  <c r="BC1" i="108"/>
  <c r="BB1" i="108"/>
  <c r="BA1" i="108"/>
  <c r="AZ1" i="108"/>
  <c r="AU1" i="108"/>
  <c r="AT1" i="108"/>
  <c r="AS1" i="108"/>
  <c r="AR1" i="108"/>
  <c r="AQ1" i="108"/>
  <c r="AP1" i="108"/>
  <c r="AO1" i="108"/>
  <c r="AN1" i="108"/>
  <c r="AI1" i="108"/>
  <c r="AH1" i="108"/>
  <c r="AG1" i="108"/>
  <c r="AF1" i="108"/>
  <c r="AE1" i="108"/>
  <c r="AD1" i="108"/>
  <c r="AC1" i="108"/>
  <c r="AB1" i="108"/>
  <c r="AA1" i="108"/>
  <c r="K1" i="108"/>
  <c r="F1" i="108"/>
  <c r="E1" i="108"/>
  <c r="G753" i="107"/>
  <c r="Q751" i="107"/>
  <c r="A77" i="107"/>
  <c r="A76" i="107"/>
  <c r="A73" i="107"/>
  <c r="AY72" i="107"/>
  <c r="AM72" i="107"/>
  <c r="Z72" i="107"/>
  <c r="A72" i="107"/>
  <c r="AL71" i="107"/>
  <c r="AM69" i="107"/>
  <c r="Z68" i="107"/>
  <c r="A70" i="107"/>
  <c r="Y67" i="107"/>
  <c r="Y66" i="107"/>
  <c r="AM65" i="107"/>
  <c r="AM64" i="107"/>
  <c r="Y61" i="107"/>
  <c r="A63" i="107"/>
  <c r="Y59" i="107"/>
  <c r="AX56" i="107"/>
  <c r="AL54" i="107"/>
  <c r="A55" i="107"/>
  <c r="E52" i="107"/>
  <c r="E17" i="107" s="1"/>
  <c r="AY50" i="107"/>
  <c r="A53" i="107"/>
  <c r="AX46" i="107"/>
  <c r="AX44" i="107"/>
  <c r="AY43" i="107"/>
  <c r="AY78" i="107"/>
  <c r="A78" i="107"/>
  <c r="AY37" i="107"/>
  <c r="AM36" i="107"/>
  <c r="A38" i="107"/>
  <c r="AM33" i="107"/>
  <c r="A36" i="107"/>
  <c r="Y32" i="107"/>
  <c r="AX30" i="107"/>
  <c r="R32" i="107"/>
  <c r="S32" i="107" s="1"/>
  <c r="A32" i="107"/>
  <c r="R31" i="107"/>
  <c r="S31" i="107" s="1"/>
  <c r="R30" i="107"/>
  <c r="S30" i="107" s="1"/>
  <c r="R29" i="107"/>
  <c r="S29" i="107" s="1"/>
  <c r="AX26" i="107"/>
  <c r="R28" i="107"/>
  <c r="S28" i="107" s="1"/>
  <c r="R27" i="107"/>
  <c r="S27" i="107" s="1"/>
  <c r="R26" i="107"/>
  <c r="S26" i="107" s="1"/>
  <c r="Y23" i="107"/>
  <c r="R25" i="107"/>
  <c r="S25" i="107" s="1"/>
  <c r="A20" i="107"/>
  <c r="AY12" i="107"/>
  <c r="A15" i="107"/>
  <c r="U14" i="107"/>
  <c r="AY11" i="107"/>
  <c r="U13" i="107"/>
  <c r="U12" i="107"/>
  <c r="V12" i="107" s="1"/>
  <c r="P14" i="674" s="1"/>
  <c r="U11" i="107"/>
  <c r="R11" i="107"/>
  <c r="S11" i="107" s="1"/>
  <c r="AY8" i="107"/>
  <c r="U10" i="107"/>
  <c r="R10" i="107"/>
  <c r="S10" i="107" s="1"/>
  <c r="U9" i="107"/>
  <c r="V9" i="107" s="1"/>
  <c r="M14" i="674" s="1"/>
  <c r="R9" i="107"/>
  <c r="S9" i="107" s="1"/>
  <c r="U8" i="107"/>
  <c r="V8" i="107" s="1"/>
  <c r="L14" i="674" s="1"/>
  <c r="R8" i="107"/>
  <c r="S8" i="107" s="1"/>
  <c r="AY4" i="107"/>
  <c r="AY3" i="107"/>
  <c r="AX3" i="107"/>
  <c r="U4" i="107"/>
  <c r="V4" i="107" s="1"/>
  <c r="H14" i="674" s="1"/>
  <c r="R4" i="107"/>
  <c r="S4" i="107" s="1"/>
  <c r="U3" i="107"/>
  <c r="V3" i="107" s="1"/>
  <c r="R3" i="107"/>
  <c r="S3" i="107" s="1"/>
  <c r="AX2" i="107"/>
  <c r="AL2" i="107"/>
  <c r="Y2" i="107"/>
  <c r="BK1" i="107"/>
  <c r="BJ1" i="107"/>
  <c r="BI1" i="107"/>
  <c r="BH1" i="107"/>
  <c r="BG1" i="107"/>
  <c r="BF1" i="107"/>
  <c r="BE1" i="107"/>
  <c r="BD1" i="107"/>
  <c r="BC1" i="107"/>
  <c r="BB1" i="107"/>
  <c r="BA1" i="107"/>
  <c r="AZ1" i="107"/>
  <c r="AU1" i="107"/>
  <c r="AT1" i="107"/>
  <c r="AS1" i="107"/>
  <c r="AR1" i="107"/>
  <c r="AQ1" i="107"/>
  <c r="AP1" i="107"/>
  <c r="AO1" i="107"/>
  <c r="AN1" i="107"/>
  <c r="AI1" i="107"/>
  <c r="AH1" i="107"/>
  <c r="AG1" i="107"/>
  <c r="AF1" i="107"/>
  <c r="AE1" i="107"/>
  <c r="AD1" i="107"/>
  <c r="AC1" i="107"/>
  <c r="AB1" i="107"/>
  <c r="AA1" i="107"/>
  <c r="K1" i="107"/>
  <c r="F1" i="107"/>
  <c r="E1" i="107"/>
  <c r="G752" i="106"/>
  <c r="Q750" i="106"/>
  <c r="A77" i="106"/>
  <c r="A76" i="106"/>
  <c r="AM73" i="106"/>
  <c r="AL71" i="106"/>
  <c r="AY72" i="106"/>
  <c r="AM72" i="106"/>
  <c r="Z72" i="106"/>
  <c r="AM70" i="106"/>
  <c r="A72" i="106"/>
  <c r="A71" i="106"/>
  <c r="AY68" i="106"/>
  <c r="A70" i="106"/>
  <c r="AL66" i="106"/>
  <c r="AM65" i="106"/>
  <c r="AY60" i="106"/>
  <c r="A63" i="106"/>
  <c r="Y54" i="106"/>
  <c r="E52" i="106"/>
  <c r="E17" i="106" s="1"/>
  <c r="AY50" i="106"/>
  <c r="A53" i="106"/>
  <c r="Y48" i="106"/>
  <c r="Y45" i="106"/>
  <c r="AY78" i="106"/>
  <c r="AY42" i="106"/>
  <c r="Z39" i="106"/>
  <c r="AY35" i="106"/>
  <c r="A36" i="106"/>
  <c r="AX32" i="106"/>
  <c r="AX31" i="106"/>
  <c r="R32" i="106"/>
  <c r="S32" i="106" s="1"/>
  <c r="R31" i="106"/>
  <c r="S31" i="106" s="1"/>
  <c r="R30" i="106"/>
  <c r="S30" i="106" s="1"/>
  <c r="R29" i="106"/>
  <c r="S29" i="106" s="1"/>
  <c r="R28" i="106"/>
  <c r="S28" i="106" s="1"/>
  <c r="Y25" i="106"/>
  <c r="R27" i="106"/>
  <c r="S27" i="106" s="1"/>
  <c r="AX24" i="106"/>
  <c r="R26" i="106"/>
  <c r="S26" i="106" s="1"/>
  <c r="R25" i="106"/>
  <c r="S25" i="106" s="1"/>
  <c r="Y21" i="106"/>
  <c r="AX20" i="106"/>
  <c r="AX17" i="106"/>
  <c r="Z15" i="106"/>
  <c r="AX15" i="106"/>
  <c r="AM14" i="106"/>
  <c r="AM12" i="106"/>
  <c r="A15" i="106"/>
  <c r="AY14" i="106"/>
  <c r="U14" i="106"/>
  <c r="U13" i="106"/>
  <c r="AX10" i="106"/>
  <c r="U12" i="106"/>
  <c r="V12" i="106" s="1"/>
  <c r="P13" i="674" s="1"/>
  <c r="U11" i="106"/>
  <c r="V11" i="106" s="1"/>
  <c r="O13" i="674" s="1"/>
  <c r="R11" i="106"/>
  <c r="S11" i="106" s="1"/>
  <c r="U10" i="106"/>
  <c r="V10" i="106" s="1"/>
  <c r="N13" i="674" s="1"/>
  <c r="R10" i="106"/>
  <c r="S10" i="106" s="1"/>
  <c r="U9" i="106"/>
  <c r="R9" i="106"/>
  <c r="S9" i="106" s="1"/>
  <c r="U8" i="106"/>
  <c r="V8" i="106" s="1"/>
  <c r="L13" i="674" s="1"/>
  <c r="R8" i="106"/>
  <c r="S8" i="106" s="1"/>
  <c r="AY4" i="106"/>
  <c r="AL4" i="106"/>
  <c r="AY3" i="106"/>
  <c r="AX3" i="106"/>
  <c r="U4" i="106"/>
  <c r="V4" i="106" s="1"/>
  <c r="H13" i="674" s="1"/>
  <c r="R4" i="106"/>
  <c r="S4" i="106" s="1"/>
  <c r="U3" i="106"/>
  <c r="V3" i="106" s="1"/>
  <c r="R3" i="106"/>
  <c r="S3" i="106" s="1"/>
  <c r="AX2" i="106"/>
  <c r="AL2" i="106"/>
  <c r="Y2" i="106"/>
  <c r="BK1" i="106"/>
  <c r="BJ1" i="106"/>
  <c r="BI1" i="106"/>
  <c r="BH1" i="106"/>
  <c r="BG1" i="106"/>
  <c r="BF1" i="106"/>
  <c r="BE1" i="106"/>
  <c r="BD1" i="106"/>
  <c r="BC1" i="106"/>
  <c r="BB1" i="106"/>
  <c r="BA1" i="106"/>
  <c r="AZ1" i="106"/>
  <c r="AU1" i="106"/>
  <c r="AT1" i="106"/>
  <c r="AS1" i="106"/>
  <c r="AR1" i="106"/>
  <c r="AQ1" i="106"/>
  <c r="AP1" i="106"/>
  <c r="AO1" i="106"/>
  <c r="AN1" i="106"/>
  <c r="AI1" i="106"/>
  <c r="AH1" i="106"/>
  <c r="AG1" i="106"/>
  <c r="AF1" i="106"/>
  <c r="AE1" i="106"/>
  <c r="AD1" i="106"/>
  <c r="AC1" i="106"/>
  <c r="AB1" i="106"/>
  <c r="AA1" i="106"/>
  <c r="K1" i="106"/>
  <c r="F1" i="106"/>
  <c r="E1" i="106"/>
  <c r="G753" i="105"/>
  <c r="Q751" i="105"/>
  <c r="A79" i="105"/>
  <c r="A77" i="105"/>
  <c r="A76" i="105"/>
  <c r="AY73" i="105"/>
  <c r="AY72" i="105"/>
  <c r="AM72" i="105"/>
  <c r="Z72" i="105"/>
  <c r="A72" i="105"/>
  <c r="A71" i="105"/>
  <c r="AM68" i="105"/>
  <c r="A70" i="105"/>
  <c r="Z66" i="105"/>
  <c r="Y66" i="105"/>
  <c r="AL64" i="105"/>
  <c r="AY60" i="105"/>
  <c r="A63" i="105"/>
  <c r="AY59" i="105"/>
  <c r="AL59" i="105"/>
  <c r="AM56" i="105"/>
  <c r="AX55" i="105"/>
  <c r="Y51" i="105"/>
  <c r="E52" i="105"/>
  <c r="AM50" i="105"/>
  <c r="A53" i="105"/>
  <c r="AL49" i="105"/>
  <c r="AY51" i="105"/>
  <c r="AX51" i="105"/>
  <c r="AM44" i="105"/>
  <c r="AL40" i="105"/>
  <c r="A40" i="105"/>
  <c r="AX36" i="105"/>
  <c r="AM34" i="105"/>
  <c r="AX34" i="105"/>
  <c r="E17" i="105"/>
  <c r="A36" i="105"/>
  <c r="AY34" i="105"/>
  <c r="Z31" i="105"/>
  <c r="R32" i="105"/>
  <c r="S32" i="105" s="1"/>
  <c r="R31" i="105"/>
  <c r="S31" i="105" s="1"/>
  <c r="R30" i="105"/>
  <c r="S30" i="105" s="1"/>
  <c r="R29" i="105"/>
  <c r="S29" i="105" s="1"/>
  <c r="R28" i="105"/>
  <c r="S28" i="105" s="1"/>
  <c r="AM25" i="105"/>
  <c r="R27" i="105"/>
  <c r="S27" i="105" s="1"/>
  <c r="AL24" i="105"/>
  <c r="R26" i="105"/>
  <c r="S26" i="105" s="1"/>
  <c r="Z23" i="105"/>
  <c r="R25" i="105"/>
  <c r="S25" i="105" s="1"/>
  <c r="Z19" i="105"/>
  <c r="AY18" i="105"/>
  <c r="A15" i="105"/>
  <c r="U14" i="105"/>
  <c r="V14" i="105" s="1"/>
  <c r="R12" i="674" s="1"/>
  <c r="U13" i="105"/>
  <c r="V13" i="105" s="1"/>
  <c r="Q12" i="674" s="1"/>
  <c r="U12" i="105"/>
  <c r="V12" i="105" s="1"/>
  <c r="P12" i="674" s="1"/>
  <c r="Y9" i="105"/>
  <c r="U11" i="105"/>
  <c r="V11" i="105" s="1"/>
  <c r="O12" i="674" s="1"/>
  <c r="R11" i="105"/>
  <c r="S11" i="105" s="1"/>
  <c r="AL8" i="105"/>
  <c r="U10" i="105"/>
  <c r="V10" i="105" s="1"/>
  <c r="N12" i="674" s="1"/>
  <c r="R10" i="105"/>
  <c r="S10" i="105" s="1"/>
  <c r="U9" i="105"/>
  <c r="V9" i="105" s="1"/>
  <c r="M12" i="674" s="1"/>
  <c r="R9" i="105"/>
  <c r="S9" i="105" s="1"/>
  <c r="U8" i="105"/>
  <c r="V8" i="105" s="1"/>
  <c r="L12" i="674" s="1"/>
  <c r="R8" i="105"/>
  <c r="S8" i="105" s="1"/>
  <c r="AX4" i="105"/>
  <c r="AL3" i="105"/>
  <c r="U4" i="105"/>
  <c r="V4" i="105" s="1"/>
  <c r="H12" i="674" s="1"/>
  <c r="R4" i="105"/>
  <c r="S4" i="105" s="1"/>
  <c r="U3" i="105"/>
  <c r="V3" i="105" s="1"/>
  <c r="R3" i="105"/>
  <c r="S3" i="105" s="1"/>
  <c r="AX2" i="105"/>
  <c r="AL2" i="105"/>
  <c r="Y2" i="105"/>
  <c r="BK1" i="105"/>
  <c r="BJ1" i="105"/>
  <c r="BI1" i="105"/>
  <c r="BH1" i="105"/>
  <c r="BG1" i="105"/>
  <c r="BF1" i="105"/>
  <c r="BE1" i="105"/>
  <c r="BD1" i="105"/>
  <c r="BC1" i="105"/>
  <c r="BB1" i="105"/>
  <c r="BA1" i="105"/>
  <c r="AZ1" i="105"/>
  <c r="AU1" i="105"/>
  <c r="AT1" i="105"/>
  <c r="AS1" i="105"/>
  <c r="AR1" i="105"/>
  <c r="AQ1" i="105"/>
  <c r="AP1" i="105"/>
  <c r="AO1" i="105"/>
  <c r="AN1" i="105"/>
  <c r="AI1" i="105"/>
  <c r="AH1" i="105"/>
  <c r="AG1" i="105"/>
  <c r="AF1" i="105"/>
  <c r="AE1" i="105"/>
  <c r="AD1" i="105"/>
  <c r="AC1" i="105"/>
  <c r="AB1" i="105"/>
  <c r="AA1" i="105"/>
  <c r="K1" i="105"/>
  <c r="F1" i="105"/>
  <c r="E1" i="105"/>
  <c r="G749" i="104"/>
  <c r="Q747" i="104"/>
  <c r="A79" i="104"/>
  <c r="A77" i="104"/>
  <c r="A76" i="104"/>
  <c r="AY72" i="104"/>
  <c r="AM72" i="104"/>
  <c r="Z72" i="104"/>
  <c r="AM70" i="104"/>
  <c r="A72" i="104"/>
  <c r="AL69" i="104"/>
  <c r="Z68" i="104"/>
  <c r="A70" i="104"/>
  <c r="AX66" i="104"/>
  <c r="AY61" i="104"/>
  <c r="AY60" i="104"/>
  <c r="A63" i="104"/>
  <c r="AY56" i="104"/>
  <c r="Z52" i="104"/>
  <c r="Z51" i="104"/>
  <c r="E52" i="104"/>
  <c r="A53" i="104"/>
  <c r="Y49" i="104"/>
  <c r="AY44" i="104"/>
  <c r="AY78" i="104"/>
  <c r="Y41" i="104"/>
  <c r="AM40" i="104"/>
  <c r="Z39" i="104"/>
  <c r="E17" i="104"/>
  <c r="A36" i="104"/>
  <c r="A35" i="104"/>
  <c r="AX30" i="104"/>
  <c r="R32" i="104"/>
  <c r="S32" i="104" s="1"/>
  <c r="R31" i="104"/>
  <c r="S31" i="104" s="1"/>
  <c r="R30" i="104"/>
  <c r="S30" i="104" s="1"/>
  <c r="AX27" i="104"/>
  <c r="R29" i="104"/>
  <c r="S29" i="104" s="1"/>
  <c r="R28" i="104"/>
  <c r="S28" i="104" s="1"/>
  <c r="Z25" i="104"/>
  <c r="R27" i="104"/>
  <c r="S27" i="104" s="1"/>
  <c r="AX24" i="104"/>
  <c r="R26" i="104"/>
  <c r="S26" i="104" s="1"/>
  <c r="R25" i="104"/>
  <c r="S25" i="104" s="1"/>
  <c r="AY12" i="104"/>
  <c r="A15" i="104"/>
  <c r="U14" i="104"/>
  <c r="AM11" i="104"/>
  <c r="U13" i="104"/>
  <c r="Y10" i="104"/>
  <c r="U12" i="104"/>
  <c r="V12" i="104" s="1"/>
  <c r="P11" i="674" s="1"/>
  <c r="Z9" i="104"/>
  <c r="U11" i="104"/>
  <c r="V11" i="104" s="1"/>
  <c r="O11" i="674" s="1"/>
  <c r="R11" i="104"/>
  <c r="S11" i="104" s="1"/>
  <c r="U10" i="104"/>
  <c r="V10" i="104" s="1"/>
  <c r="N11" i="674" s="1"/>
  <c r="R10" i="104"/>
  <c r="S10" i="104" s="1"/>
  <c r="U9" i="104"/>
  <c r="V9" i="104" s="1"/>
  <c r="M11" i="674" s="1"/>
  <c r="R9" i="104"/>
  <c r="S9" i="104" s="1"/>
  <c r="U8" i="104"/>
  <c r="V8" i="104" s="1"/>
  <c r="L11" i="674" s="1"/>
  <c r="R8" i="104"/>
  <c r="S8" i="104" s="1"/>
  <c r="AX4" i="104"/>
  <c r="AY3" i="104"/>
  <c r="AX3" i="104"/>
  <c r="U4" i="104"/>
  <c r="V4" i="104" s="1"/>
  <c r="H11" i="674" s="1"/>
  <c r="R4" i="104"/>
  <c r="S4" i="104" s="1"/>
  <c r="U3" i="104"/>
  <c r="V3" i="104" s="1"/>
  <c r="R3" i="104"/>
  <c r="S3" i="104" s="1"/>
  <c r="AX2" i="104"/>
  <c r="AL2" i="104"/>
  <c r="Y2" i="104"/>
  <c r="BK1" i="104"/>
  <c r="BJ1" i="104"/>
  <c r="BI1" i="104"/>
  <c r="BH1" i="104"/>
  <c r="BG1" i="104"/>
  <c r="BF1" i="104"/>
  <c r="BE1" i="104"/>
  <c r="BD1" i="104"/>
  <c r="BC1" i="104"/>
  <c r="BB1" i="104"/>
  <c r="BA1" i="104"/>
  <c r="AZ1" i="104"/>
  <c r="AU1" i="104"/>
  <c r="AT1" i="104"/>
  <c r="AS1" i="104"/>
  <c r="AR1" i="104"/>
  <c r="AQ1" i="104"/>
  <c r="AP1" i="104"/>
  <c r="AO1" i="104"/>
  <c r="AN1" i="104"/>
  <c r="AI1" i="104"/>
  <c r="AH1" i="104"/>
  <c r="AG1" i="104"/>
  <c r="AF1" i="104"/>
  <c r="AE1" i="104"/>
  <c r="AD1" i="104"/>
  <c r="AC1" i="104"/>
  <c r="AB1" i="104"/>
  <c r="AA1" i="104"/>
  <c r="K1" i="104"/>
  <c r="F1" i="104"/>
  <c r="E1" i="104"/>
  <c r="G753" i="103"/>
  <c r="Q751" i="103"/>
  <c r="A79" i="103"/>
  <c r="A77" i="103"/>
  <c r="A76" i="103"/>
  <c r="AY72" i="103"/>
  <c r="AM72" i="103"/>
  <c r="Z72" i="103"/>
  <c r="Z70" i="103"/>
  <c r="A72" i="103"/>
  <c r="AX71" i="103"/>
  <c r="A71" i="103"/>
  <c r="A70" i="103"/>
  <c r="AM65" i="103"/>
  <c r="AY60" i="103"/>
  <c r="A63" i="103"/>
  <c r="Z56" i="103"/>
  <c r="E52" i="103"/>
  <c r="E17" i="103" s="1"/>
  <c r="A53" i="103"/>
  <c r="AY51" i="103"/>
  <c r="AM45" i="103"/>
  <c r="A49" i="103"/>
  <c r="AY44" i="103"/>
  <c r="AY78" i="103"/>
  <c r="AY42" i="103"/>
  <c r="AM39" i="103"/>
  <c r="Y39" i="103"/>
  <c r="AX37" i="103"/>
  <c r="AM35" i="103"/>
  <c r="Y34" i="103"/>
  <c r="A36" i="103"/>
  <c r="AX30" i="103"/>
  <c r="R32" i="103"/>
  <c r="S32" i="103" s="1"/>
  <c r="R31" i="103"/>
  <c r="S31" i="103" s="1"/>
  <c r="Y28" i="103"/>
  <c r="R30" i="103"/>
  <c r="S30" i="103" s="1"/>
  <c r="Y29" i="103"/>
  <c r="R29" i="103"/>
  <c r="S29" i="103" s="1"/>
  <c r="R28" i="103"/>
  <c r="S28" i="103" s="1"/>
  <c r="R27" i="103"/>
  <c r="S27" i="103" s="1"/>
  <c r="AX24" i="103"/>
  <c r="R26" i="103"/>
  <c r="S26" i="103" s="1"/>
  <c r="R25" i="103"/>
  <c r="S25" i="103" s="1"/>
  <c r="AM22" i="103"/>
  <c r="AL23" i="103"/>
  <c r="Z18" i="103"/>
  <c r="AL18" i="103"/>
  <c r="AL16" i="103"/>
  <c r="AM12" i="103"/>
  <c r="A15" i="103"/>
  <c r="U14" i="103"/>
  <c r="V14" i="103" s="1"/>
  <c r="R10" i="674" s="1"/>
  <c r="U13" i="103"/>
  <c r="U12" i="103"/>
  <c r="V12" i="103" s="1"/>
  <c r="P10" i="674" s="1"/>
  <c r="AL9" i="103"/>
  <c r="U11" i="103"/>
  <c r="R11" i="103"/>
  <c r="S11" i="103" s="1"/>
  <c r="U10" i="103"/>
  <c r="R10" i="103"/>
  <c r="S10" i="103" s="1"/>
  <c r="U9" i="103"/>
  <c r="V9" i="103" s="1"/>
  <c r="M10" i="674" s="1"/>
  <c r="R9" i="103"/>
  <c r="S9" i="103" s="1"/>
  <c r="U8" i="103"/>
  <c r="V8" i="103" s="1"/>
  <c r="L10" i="674" s="1"/>
  <c r="R8" i="103"/>
  <c r="S8" i="103" s="1"/>
  <c r="Z4" i="103"/>
  <c r="AX4" i="103"/>
  <c r="U4" i="103"/>
  <c r="V4" i="103" s="1"/>
  <c r="H10" i="674" s="1"/>
  <c r="R4" i="103"/>
  <c r="S4" i="103" s="1"/>
  <c r="U3" i="103"/>
  <c r="V3" i="103" s="1"/>
  <c r="R3" i="103"/>
  <c r="S3" i="103" s="1"/>
  <c r="AX2" i="103"/>
  <c r="AL2" i="103"/>
  <c r="Y2" i="103"/>
  <c r="BK1" i="103"/>
  <c r="BJ1" i="103"/>
  <c r="BI1" i="103"/>
  <c r="BH1" i="103"/>
  <c r="BG1" i="103"/>
  <c r="BF1" i="103"/>
  <c r="BE1" i="103"/>
  <c r="BD1" i="103"/>
  <c r="BC1" i="103"/>
  <c r="BB1" i="103"/>
  <c r="BA1" i="103"/>
  <c r="AZ1" i="103"/>
  <c r="AU1" i="103"/>
  <c r="AT1" i="103"/>
  <c r="AS1" i="103"/>
  <c r="AR1" i="103"/>
  <c r="AQ1" i="103"/>
  <c r="AP1" i="103"/>
  <c r="AO1" i="103"/>
  <c r="AN1" i="103"/>
  <c r="AI1" i="103"/>
  <c r="AH1" i="103"/>
  <c r="AG1" i="103"/>
  <c r="AF1" i="103"/>
  <c r="AE1" i="103"/>
  <c r="AD1" i="103"/>
  <c r="AC1" i="103"/>
  <c r="AB1" i="103"/>
  <c r="AA1" i="103"/>
  <c r="K1" i="103"/>
  <c r="F1" i="103"/>
  <c r="E1" i="103"/>
  <c r="G753" i="102"/>
  <c r="Q751" i="102"/>
  <c r="J80" i="102" s="1"/>
  <c r="A77" i="102"/>
  <c r="A76" i="102"/>
  <c r="AY73" i="102"/>
  <c r="AL73" i="102"/>
  <c r="AY72" i="102"/>
  <c r="AM72" i="102"/>
  <c r="Z72" i="102"/>
  <c r="AM70" i="102"/>
  <c r="A72" i="102"/>
  <c r="A70" i="102"/>
  <c r="AM66" i="102"/>
  <c r="Y66" i="102"/>
  <c r="Z65" i="102"/>
  <c r="AL63" i="102"/>
  <c r="AY61" i="102"/>
  <c r="Y61" i="102"/>
  <c r="AY60" i="102"/>
  <c r="A63" i="102"/>
  <c r="AX59" i="102"/>
  <c r="AX58" i="102"/>
  <c r="Z57" i="102"/>
  <c r="AX55" i="102"/>
  <c r="E52" i="102"/>
  <c r="A53" i="102"/>
  <c r="AL46" i="102"/>
  <c r="AY37" i="102"/>
  <c r="AM34" i="102"/>
  <c r="AY33" i="102"/>
  <c r="A36" i="102"/>
  <c r="AL32" i="102"/>
  <c r="AY31" i="102"/>
  <c r="R32" i="102"/>
  <c r="S32" i="102" s="1"/>
  <c r="AM29" i="102"/>
  <c r="AL29" i="102"/>
  <c r="R31" i="102"/>
  <c r="S31" i="102" s="1"/>
  <c r="AM28" i="102"/>
  <c r="R30" i="102"/>
  <c r="S30" i="102" s="1"/>
  <c r="R29" i="102"/>
  <c r="S29" i="102" s="1"/>
  <c r="R28" i="102"/>
  <c r="S28" i="102" s="1"/>
  <c r="R27" i="102"/>
  <c r="S27" i="102" s="1"/>
  <c r="R26" i="102"/>
  <c r="S26" i="102" s="1"/>
  <c r="Z23" i="102"/>
  <c r="Y23" i="102"/>
  <c r="R25" i="102"/>
  <c r="S25" i="102" s="1"/>
  <c r="Z22" i="102"/>
  <c r="AY21" i="102"/>
  <c r="AX21" i="102"/>
  <c r="AX18" i="102"/>
  <c r="AL17" i="102"/>
  <c r="AX14" i="102"/>
  <c r="A15" i="102"/>
  <c r="U14" i="102"/>
  <c r="V14" i="102" s="1"/>
  <c r="R9" i="674" s="1"/>
  <c r="U13" i="102"/>
  <c r="U12" i="102"/>
  <c r="V12" i="102" s="1"/>
  <c r="P9" i="674" s="1"/>
  <c r="AY9" i="102"/>
  <c r="A12" i="102"/>
  <c r="U11" i="102"/>
  <c r="V11" i="102" s="1"/>
  <c r="O9" i="674" s="1"/>
  <c r="R11" i="102"/>
  <c r="S11" i="102" s="1"/>
  <c r="U10" i="102"/>
  <c r="V10" i="102" s="1"/>
  <c r="N9" i="674" s="1"/>
  <c r="R10" i="102"/>
  <c r="S10" i="102" s="1"/>
  <c r="U9" i="102"/>
  <c r="V9" i="102" s="1"/>
  <c r="M9" i="674" s="1"/>
  <c r="R9" i="102"/>
  <c r="S9" i="102" s="1"/>
  <c r="U8" i="102"/>
  <c r="V8" i="102" s="1"/>
  <c r="L9" i="674" s="1"/>
  <c r="R8" i="102"/>
  <c r="S8" i="102" s="1"/>
  <c r="AL4" i="102"/>
  <c r="U4" i="102"/>
  <c r="V4" i="102" s="1"/>
  <c r="H9" i="674" s="1"/>
  <c r="R4" i="102"/>
  <c r="S4" i="102" s="1"/>
  <c r="U3" i="102"/>
  <c r="V3" i="102" s="1"/>
  <c r="R3" i="102"/>
  <c r="S3" i="102" s="1"/>
  <c r="AX2" i="102"/>
  <c r="AL2" i="102"/>
  <c r="Y2" i="102"/>
  <c r="BK1" i="102"/>
  <c r="BJ1" i="102"/>
  <c r="BI1" i="102"/>
  <c r="BH1" i="102"/>
  <c r="BG1" i="102"/>
  <c r="BF1" i="102"/>
  <c r="BE1" i="102"/>
  <c r="BD1" i="102"/>
  <c r="BC1" i="102"/>
  <c r="BB1" i="102"/>
  <c r="BA1" i="102"/>
  <c r="AZ1" i="102"/>
  <c r="AU1" i="102"/>
  <c r="AT1" i="102"/>
  <c r="AS1" i="102"/>
  <c r="AR1" i="102"/>
  <c r="AQ1" i="102"/>
  <c r="AP1" i="102"/>
  <c r="AO1" i="102"/>
  <c r="AN1" i="102"/>
  <c r="AI1" i="102"/>
  <c r="AH1" i="102"/>
  <c r="AG1" i="102"/>
  <c r="AF1" i="102"/>
  <c r="AE1" i="102"/>
  <c r="AD1" i="102"/>
  <c r="AC1" i="102"/>
  <c r="AB1" i="102"/>
  <c r="AA1" i="102"/>
  <c r="K1" i="102"/>
  <c r="F1" i="102"/>
  <c r="E1" i="102"/>
  <c r="G759" i="101"/>
  <c r="Q747" i="101"/>
  <c r="A79" i="101"/>
  <c r="A77" i="101"/>
  <c r="A76" i="101"/>
  <c r="Z73" i="101"/>
  <c r="AY72" i="101"/>
  <c r="AM72" i="101"/>
  <c r="Z72" i="101"/>
  <c r="AY70" i="101"/>
  <c r="A72" i="101"/>
  <c r="Z68" i="101"/>
  <c r="A70" i="101"/>
  <c r="Z66" i="101"/>
  <c r="AY63" i="101"/>
  <c r="AY61" i="101"/>
  <c r="AY60" i="101"/>
  <c r="A63" i="101"/>
  <c r="AM58" i="101"/>
  <c r="AY57" i="101"/>
  <c r="AY55" i="101"/>
  <c r="AX55" i="101"/>
  <c r="AL51" i="101"/>
  <c r="E52" i="101"/>
  <c r="A53" i="101"/>
  <c r="AX44" i="101"/>
  <c r="AY43" i="101"/>
  <c r="Y43" i="101"/>
  <c r="A78" i="101"/>
  <c r="Z39" i="101"/>
  <c r="AL39" i="101"/>
  <c r="Y37" i="101"/>
  <c r="AY36" i="101"/>
  <c r="Y36" i="101"/>
  <c r="AY33" i="101"/>
  <c r="A36" i="101"/>
  <c r="Z32" i="101"/>
  <c r="R32" i="101"/>
  <c r="S32" i="101" s="1"/>
  <c r="R31" i="101"/>
  <c r="S31" i="101" s="1"/>
  <c r="AL28" i="101"/>
  <c r="R30" i="101"/>
  <c r="S30" i="101" s="1"/>
  <c r="R29" i="101"/>
  <c r="S29" i="101" s="1"/>
  <c r="R28" i="101"/>
  <c r="S28" i="101" s="1"/>
  <c r="AY25" i="101"/>
  <c r="R27" i="101"/>
  <c r="S27" i="101" s="1"/>
  <c r="R26" i="101"/>
  <c r="S26" i="101" s="1"/>
  <c r="Y23" i="101"/>
  <c r="R25" i="101"/>
  <c r="S25" i="101" s="1"/>
  <c r="AY22" i="101"/>
  <c r="AY21" i="101"/>
  <c r="AM17" i="101"/>
  <c r="AX15" i="101"/>
  <c r="A17" i="101"/>
  <c r="AM13" i="101"/>
  <c r="Z12" i="101"/>
  <c r="A15" i="101"/>
  <c r="U14" i="101"/>
  <c r="A14" i="101"/>
  <c r="U13" i="101"/>
  <c r="U12" i="101"/>
  <c r="V12" i="101" s="1"/>
  <c r="P8" i="674" s="1"/>
  <c r="Y9" i="101"/>
  <c r="U11" i="101"/>
  <c r="R11" i="101"/>
  <c r="S11" i="101" s="1"/>
  <c r="U10" i="101"/>
  <c r="R10" i="101"/>
  <c r="S10" i="101" s="1"/>
  <c r="U9" i="101"/>
  <c r="V9" i="101" s="1"/>
  <c r="M8" i="674" s="1"/>
  <c r="R9" i="101"/>
  <c r="S9" i="101" s="1"/>
  <c r="U8" i="101"/>
  <c r="V8" i="101" s="1"/>
  <c r="L8" i="674" s="1"/>
  <c r="R8" i="101"/>
  <c r="S8" i="101" s="1"/>
  <c r="AX4" i="101"/>
  <c r="AY3" i="101"/>
  <c r="AL3" i="101"/>
  <c r="U4" i="101"/>
  <c r="V4" i="101" s="1"/>
  <c r="H8" i="674" s="1"/>
  <c r="R4" i="101"/>
  <c r="S4" i="101" s="1"/>
  <c r="U3" i="101"/>
  <c r="V3" i="101" s="1"/>
  <c r="R3" i="101"/>
  <c r="S3" i="101" s="1"/>
  <c r="AX2" i="101"/>
  <c r="AL2" i="101"/>
  <c r="Y2" i="101"/>
  <c r="BK1" i="101"/>
  <c r="BJ1" i="101"/>
  <c r="BI1" i="101"/>
  <c r="BH1" i="101"/>
  <c r="BG1" i="101"/>
  <c r="BF1" i="101"/>
  <c r="BE1" i="101"/>
  <c r="BD1" i="101"/>
  <c r="BC1" i="101"/>
  <c r="BB1" i="101"/>
  <c r="BA1" i="101"/>
  <c r="AZ1" i="101"/>
  <c r="AU1" i="101"/>
  <c r="AT1" i="101"/>
  <c r="AS1" i="101"/>
  <c r="AR1" i="101"/>
  <c r="AQ1" i="101"/>
  <c r="AP1" i="101"/>
  <c r="AO1" i="101"/>
  <c r="AN1" i="101"/>
  <c r="AI1" i="101"/>
  <c r="AH1" i="101"/>
  <c r="AG1" i="101"/>
  <c r="AF1" i="101"/>
  <c r="AE1" i="101"/>
  <c r="AD1" i="101"/>
  <c r="AC1" i="101"/>
  <c r="AB1" i="101"/>
  <c r="AA1" i="101"/>
  <c r="K1" i="101"/>
  <c r="F1" i="101"/>
  <c r="E1" i="101"/>
  <c r="G732" i="100"/>
  <c r="Q730" i="100"/>
  <c r="A77" i="100"/>
  <c r="A76" i="100"/>
  <c r="AM73" i="100"/>
  <c r="AY72" i="100"/>
  <c r="AM72" i="100"/>
  <c r="Z72" i="100"/>
  <c r="AY70" i="100"/>
  <c r="A72" i="100"/>
  <c r="AL71" i="100"/>
  <c r="AL69" i="100"/>
  <c r="AM68" i="100"/>
  <c r="A70" i="100"/>
  <c r="Y67" i="100"/>
  <c r="Z66" i="100"/>
  <c r="AX66" i="100"/>
  <c r="A63" i="100"/>
  <c r="Y59" i="100"/>
  <c r="AM58" i="100"/>
  <c r="AY55" i="100"/>
  <c r="AL55" i="100"/>
  <c r="AM53" i="100"/>
  <c r="Y51" i="100"/>
  <c r="E52" i="100"/>
  <c r="AM50" i="100"/>
  <c r="A53" i="100"/>
  <c r="Z46" i="100"/>
  <c r="AX46" i="100"/>
  <c r="Z43" i="100"/>
  <c r="Y43" i="100"/>
  <c r="AM78" i="100"/>
  <c r="Y41" i="100"/>
  <c r="AX40" i="100"/>
  <c r="A42" i="100"/>
  <c r="Z37" i="100"/>
  <c r="AX37" i="100"/>
  <c r="Z36" i="100"/>
  <c r="E17" i="100"/>
  <c r="AM33" i="100"/>
  <c r="A36" i="100"/>
  <c r="R32" i="100"/>
  <c r="S32" i="100" s="1"/>
  <c r="Z29" i="100"/>
  <c r="R31" i="100"/>
  <c r="S31" i="100" s="1"/>
  <c r="R30" i="100"/>
  <c r="S30" i="100" s="1"/>
  <c r="Y27" i="100"/>
  <c r="R29" i="100"/>
  <c r="S29" i="100" s="1"/>
  <c r="R28" i="100"/>
  <c r="S28" i="100" s="1"/>
  <c r="Y25" i="100"/>
  <c r="AY27" i="100"/>
  <c r="R27" i="100"/>
  <c r="S27" i="100" s="1"/>
  <c r="R26" i="100"/>
  <c r="S26" i="100" s="1"/>
  <c r="R25" i="100"/>
  <c r="S25" i="100" s="1"/>
  <c r="Z22" i="100"/>
  <c r="Z19" i="100"/>
  <c r="Y19" i="100"/>
  <c r="AY14" i="100"/>
  <c r="Y14" i="100"/>
  <c r="AM13" i="100"/>
  <c r="AY12" i="100"/>
  <c r="A15" i="100"/>
  <c r="U14" i="100"/>
  <c r="V14" i="100" s="1"/>
  <c r="R7" i="674" s="1"/>
  <c r="Z11" i="100"/>
  <c r="AL11" i="100"/>
  <c r="U13" i="100"/>
  <c r="U12" i="100"/>
  <c r="V12" i="100" s="1"/>
  <c r="P7" i="674" s="1"/>
  <c r="AX9" i="100"/>
  <c r="U11" i="100"/>
  <c r="R11" i="100"/>
  <c r="S11" i="100" s="1"/>
  <c r="U10" i="100"/>
  <c r="R10" i="100"/>
  <c r="S10" i="100" s="1"/>
  <c r="U9" i="100"/>
  <c r="R9" i="100"/>
  <c r="S9" i="100" s="1"/>
  <c r="U8" i="100"/>
  <c r="V8" i="100" s="1"/>
  <c r="L7" i="674" s="1"/>
  <c r="R8" i="100"/>
  <c r="S8" i="100" s="1"/>
  <c r="AY4" i="100"/>
  <c r="Z3" i="100"/>
  <c r="AX3" i="100"/>
  <c r="U4" i="100"/>
  <c r="V4" i="100" s="1"/>
  <c r="H7" i="674" s="1"/>
  <c r="R4" i="100"/>
  <c r="S4" i="100" s="1"/>
  <c r="U3" i="100"/>
  <c r="V3" i="100" s="1"/>
  <c r="R3" i="100"/>
  <c r="S3" i="100" s="1"/>
  <c r="AX2" i="100"/>
  <c r="AL2" i="100"/>
  <c r="Y2" i="100"/>
  <c r="BK1" i="100"/>
  <c r="BJ1" i="100"/>
  <c r="BI1" i="100"/>
  <c r="BH1" i="100"/>
  <c r="BG1" i="100"/>
  <c r="BF1" i="100"/>
  <c r="BE1" i="100"/>
  <c r="BD1" i="100"/>
  <c r="BC1" i="100"/>
  <c r="BB1" i="100"/>
  <c r="BA1" i="100"/>
  <c r="AZ1" i="100"/>
  <c r="AU1" i="100"/>
  <c r="AT1" i="100"/>
  <c r="AS1" i="100"/>
  <c r="AR1" i="100"/>
  <c r="AQ1" i="100"/>
  <c r="AP1" i="100"/>
  <c r="AO1" i="100"/>
  <c r="AN1" i="100"/>
  <c r="AI1" i="100"/>
  <c r="AH1" i="100"/>
  <c r="AG1" i="100"/>
  <c r="AF1" i="100"/>
  <c r="AE1" i="100"/>
  <c r="AD1" i="100"/>
  <c r="AC1" i="100"/>
  <c r="AB1" i="100"/>
  <c r="AA1" i="100"/>
  <c r="K1" i="100"/>
  <c r="F1" i="100"/>
  <c r="E1" i="100"/>
  <c r="E52" i="59"/>
  <c r="E17" i="59"/>
  <c r="A14" i="54"/>
  <c r="A4" i="54"/>
  <c r="A25" i="418"/>
  <c r="A24" i="418"/>
  <c r="B23" i="418"/>
  <c r="L23" i="418" s="1"/>
  <c r="A23" i="418"/>
  <c r="B22" i="418"/>
  <c r="L22" i="418" s="1"/>
  <c r="A22" i="418"/>
  <c r="B21" i="418"/>
  <c r="L21" i="418" s="1"/>
  <c r="A21" i="418"/>
  <c r="B20" i="418"/>
  <c r="L20" i="418" s="1"/>
  <c r="A20" i="418"/>
  <c r="B19" i="418"/>
  <c r="L19" i="418" s="1"/>
  <c r="A19" i="418"/>
  <c r="B18" i="418"/>
  <c r="L18" i="418" s="1"/>
  <c r="A18" i="418"/>
  <c r="B17" i="418"/>
  <c r="L17" i="418" s="1"/>
  <c r="A17" i="418"/>
  <c r="B16" i="418"/>
  <c r="L16" i="418" s="1"/>
  <c r="A16" i="418"/>
  <c r="B15" i="418"/>
  <c r="L15" i="418" s="1"/>
  <c r="A15" i="418"/>
  <c r="B14" i="418"/>
  <c r="L14" i="418" s="1"/>
  <c r="B13" i="418"/>
  <c r="L13" i="418" s="1"/>
  <c r="A13" i="418"/>
  <c r="B12" i="418"/>
  <c r="L12" i="418" s="1"/>
  <c r="B11" i="418"/>
  <c r="L11" i="418" s="1"/>
  <c r="B10" i="418"/>
  <c r="L10" i="418" s="1"/>
  <c r="B9" i="418"/>
  <c r="L9" i="418" s="1"/>
  <c r="B8" i="418"/>
  <c r="L8" i="418" s="1"/>
  <c r="B7" i="418"/>
  <c r="L7" i="418" s="1"/>
  <c r="B6" i="418"/>
  <c r="L6" i="418" s="1"/>
  <c r="B5" i="418"/>
  <c r="L5" i="418" s="1"/>
  <c r="B4" i="418"/>
  <c r="L4" i="418" s="1"/>
  <c r="A4" i="418"/>
  <c r="B3" i="418"/>
  <c r="A3" i="418"/>
  <c r="C6" i="685" l="1"/>
  <c r="B5" i="755"/>
  <c r="D9" i="749"/>
  <c r="F44" i="674"/>
  <c r="F42" i="674" s="1"/>
  <c r="H43" i="674"/>
  <c r="D36" i="674"/>
  <c r="B80" i="755"/>
  <c r="C88" i="748"/>
  <c r="C13" i="748" s="1"/>
  <c r="C125" i="748"/>
  <c r="B25" i="755"/>
  <c r="E27" i="753"/>
  <c r="G25" i="753"/>
  <c r="K25" i="753"/>
  <c r="F25" i="753"/>
  <c r="N9" i="753"/>
  <c r="N8" i="753"/>
  <c r="L24" i="753"/>
  <c r="D27" i="753"/>
  <c r="C24" i="672"/>
  <c r="C54" i="685"/>
  <c r="C53" i="685" s="1"/>
  <c r="B101" i="755"/>
  <c r="B102" i="755" s="1"/>
  <c r="C95" i="755" s="1"/>
  <c r="F24" i="772"/>
  <c r="F23" i="772" s="1"/>
  <c r="I43" i="420"/>
  <c r="I44" i="736"/>
  <c r="C23" i="672"/>
  <c r="C18" i="672"/>
  <c r="C25" i="672"/>
  <c r="C19" i="672"/>
  <c r="C26" i="672"/>
  <c r="C71" i="748"/>
  <c r="B43" i="755" s="1"/>
  <c r="B44" i="755" s="1"/>
  <c r="C42" i="755" s="1"/>
  <c r="C54" i="748"/>
  <c r="C126" i="748"/>
  <c r="C59" i="748"/>
  <c r="C142" i="748"/>
  <c r="D69" i="748" s="1"/>
  <c r="B61" i="755"/>
  <c r="B60" i="755"/>
  <c r="L3" i="418"/>
  <c r="I7" i="753"/>
  <c r="C135" i="755"/>
  <c r="C136" i="755"/>
  <c r="C133" i="755"/>
  <c r="C134" i="755"/>
  <c r="C131" i="755"/>
  <c r="D137" i="755"/>
  <c r="C10" i="748"/>
  <c r="B22" i="755" s="1"/>
  <c r="C6" i="748"/>
  <c r="D6" i="679"/>
  <c r="E23" i="676"/>
  <c r="B18" i="677"/>
  <c r="B7" i="755" s="1"/>
  <c r="H20" i="741"/>
  <c r="H19" i="741"/>
  <c r="H16" i="741"/>
  <c r="H17" i="741"/>
  <c r="H18" i="741"/>
  <c r="AC72" i="124"/>
  <c r="C25" i="418"/>
  <c r="AE72" i="102"/>
  <c r="AG72" i="111"/>
  <c r="V12" i="108"/>
  <c r="P15" i="674" s="1"/>
  <c r="V4" i="120"/>
  <c r="H27" i="674" s="1"/>
  <c r="V11" i="120"/>
  <c r="O27" i="674" s="1"/>
  <c r="E28" i="418"/>
  <c r="I28" i="418"/>
  <c r="V4" i="108"/>
  <c r="H15" i="674" s="1"/>
  <c r="V11" i="108"/>
  <c r="O15" i="674" s="1"/>
  <c r="V9" i="120"/>
  <c r="M27" i="674" s="1"/>
  <c r="E26" i="418"/>
  <c r="I26" i="418"/>
  <c r="D31" i="680" s="1"/>
  <c r="V8" i="108"/>
  <c r="L15" i="674" s="1"/>
  <c r="E29" i="418"/>
  <c r="I29" i="418"/>
  <c r="D35" i="680" s="1"/>
  <c r="E25" i="418"/>
  <c r="I25" i="418"/>
  <c r="D30" i="680" s="1"/>
  <c r="V12" i="120"/>
  <c r="P27" i="674" s="1"/>
  <c r="V9" i="108"/>
  <c r="M15" i="674" s="1"/>
  <c r="E27" i="418"/>
  <c r="I27" i="418"/>
  <c r="D32" i="680" s="1"/>
  <c r="C50" i="736"/>
  <c r="V13" i="120"/>
  <c r="Q27" i="674" s="1"/>
  <c r="V8" i="120"/>
  <c r="L27" i="674" s="1"/>
  <c r="V14" i="120"/>
  <c r="R27" i="674" s="1"/>
  <c r="AH72" i="119"/>
  <c r="W19" i="119"/>
  <c r="L26" i="674"/>
  <c r="C4" i="418"/>
  <c r="E17" i="102"/>
  <c r="AF72" i="108"/>
  <c r="AH72" i="122"/>
  <c r="E17" i="124"/>
  <c r="E17" i="101"/>
  <c r="AI72" i="115"/>
  <c r="AB72" i="115"/>
  <c r="AC72" i="115"/>
  <c r="AC72" i="111"/>
  <c r="AA72" i="115"/>
  <c r="AE72" i="111"/>
  <c r="AB72" i="117"/>
  <c r="AH72" i="110"/>
  <c r="AG72" i="105"/>
  <c r="AB72" i="121"/>
  <c r="AC72" i="475"/>
  <c r="AG72" i="117"/>
  <c r="AE72" i="119"/>
  <c r="AF72" i="121"/>
  <c r="AY7" i="101"/>
  <c r="Z7" i="101"/>
  <c r="AM7" i="101"/>
  <c r="AM7" i="472"/>
  <c r="AY7" i="472"/>
  <c r="Z7" i="472"/>
  <c r="AM16" i="122"/>
  <c r="AY20" i="122"/>
  <c r="AX38" i="122"/>
  <c r="Y45" i="122"/>
  <c r="AA45" i="122" s="1"/>
  <c r="AL53" i="122"/>
  <c r="AM6" i="103"/>
  <c r="AY6" i="103"/>
  <c r="Z6" i="103"/>
  <c r="AM21" i="108"/>
  <c r="Z37" i="119"/>
  <c r="AX56" i="119"/>
  <c r="Y64" i="119"/>
  <c r="A78" i="115"/>
  <c r="AY61" i="125"/>
  <c r="Y16" i="112"/>
  <c r="Y24" i="116"/>
  <c r="AH24" i="116" s="1"/>
  <c r="AL11" i="121"/>
  <c r="Z23" i="121"/>
  <c r="AX7" i="125"/>
  <c r="Y7" i="125"/>
  <c r="AL7" i="125"/>
  <c r="Y11" i="125"/>
  <c r="AY7" i="107"/>
  <c r="Z7" i="107"/>
  <c r="AM7" i="107"/>
  <c r="Z10" i="112"/>
  <c r="AM7" i="114"/>
  <c r="AY7" i="114"/>
  <c r="Z7" i="114"/>
  <c r="A19" i="115"/>
  <c r="AX36" i="124"/>
  <c r="A54" i="124"/>
  <c r="AL59" i="124"/>
  <c r="A65" i="124"/>
  <c r="AM66" i="124"/>
  <c r="Z23" i="118"/>
  <c r="AL35" i="118"/>
  <c r="AL78" i="118"/>
  <c r="Y58" i="118"/>
  <c r="Y35" i="123"/>
  <c r="AL39" i="123"/>
  <c r="AL46" i="123"/>
  <c r="AM57" i="123"/>
  <c r="AL64" i="121"/>
  <c r="Z18" i="111"/>
  <c r="AM27" i="124"/>
  <c r="Z40" i="117"/>
  <c r="AY66" i="117"/>
  <c r="Y7" i="100"/>
  <c r="AX7" i="100"/>
  <c r="AL7" i="100"/>
  <c r="AX56" i="121"/>
  <c r="AL69" i="125"/>
  <c r="A31" i="475"/>
  <c r="AM6" i="104"/>
  <c r="AY6" i="104"/>
  <c r="Z6" i="104"/>
  <c r="AY6" i="105"/>
  <c r="Z6" i="105"/>
  <c r="AM6" i="105"/>
  <c r="AY6" i="107"/>
  <c r="Z6" i="107"/>
  <c r="AM6" i="107"/>
  <c r="AL7" i="110"/>
  <c r="AX7" i="110"/>
  <c r="Y7" i="110"/>
  <c r="AM7" i="111"/>
  <c r="AY7" i="111"/>
  <c r="Z7" i="111"/>
  <c r="Z27" i="117"/>
  <c r="Y11" i="120"/>
  <c r="AY17" i="120"/>
  <c r="Y10" i="119"/>
  <c r="AX7" i="101"/>
  <c r="Y7" i="101"/>
  <c r="AL7" i="101"/>
  <c r="AM7" i="103"/>
  <c r="Z7" i="103"/>
  <c r="AY7" i="103"/>
  <c r="AL57" i="108"/>
  <c r="AM7" i="110"/>
  <c r="AY7" i="110"/>
  <c r="Z7" i="110"/>
  <c r="AY14" i="472"/>
  <c r="AM16" i="124"/>
  <c r="AM20" i="124"/>
  <c r="AB72" i="116"/>
  <c r="AL7" i="116"/>
  <c r="AX7" i="116"/>
  <c r="Y7" i="116"/>
  <c r="AX7" i="121"/>
  <c r="Y7" i="121"/>
  <c r="AL7" i="121"/>
  <c r="AY7" i="125"/>
  <c r="Z7" i="125"/>
  <c r="AM7" i="125"/>
  <c r="AM7" i="100"/>
  <c r="AY7" i="100"/>
  <c r="Z7" i="100"/>
  <c r="AL7" i="108"/>
  <c r="AX7" i="108"/>
  <c r="Y7" i="108"/>
  <c r="Z6" i="111"/>
  <c r="AM6" i="111"/>
  <c r="AY6" i="111"/>
  <c r="Z6" i="472"/>
  <c r="AM6" i="472"/>
  <c r="AY6" i="472"/>
  <c r="AM6" i="114"/>
  <c r="AY6" i="114"/>
  <c r="Z6" i="114"/>
  <c r="Z7" i="116"/>
  <c r="AM7" i="116"/>
  <c r="AY7" i="116"/>
  <c r="AL7" i="120"/>
  <c r="AX7" i="120"/>
  <c r="Y7" i="120"/>
  <c r="AM7" i="121"/>
  <c r="Z7" i="121"/>
  <c r="AY7" i="121"/>
  <c r="AB72" i="101"/>
  <c r="AY6" i="101"/>
  <c r="Z6" i="101"/>
  <c r="AM6" i="101"/>
  <c r="AI72" i="103"/>
  <c r="Z7" i="108"/>
  <c r="AM7" i="108"/>
  <c r="AY7" i="108"/>
  <c r="Z6" i="110"/>
  <c r="AM6" i="110"/>
  <c r="AY6" i="110"/>
  <c r="AB72" i="110"/>
  <c r="A10" i="112"/>
  <c r="Y7" i="112"/>
  <c r="AL7" i="112"/>
  <c r="AX7" i="112"/>
  <c r="AE72" i="112"/>
  <c r="AX7" i="124"/>
  <c r="Y7" i="124"/>
  <c r="AL7" i="124"/>
  <c r="AL7" i="117"/>
  <c r="AX7" i="117"/>
  <c r="Y7" i="117"/>
  <c r="Y7" i="118"/>
  <c r="AX7" i="118"/>
  <c r="AL7" i="118"/>
  <c r="AM7" i="120"/>
  <c r="AY7" i="120"/>
  <c r="Z7" i="120"/>
  <c r="AE72" i="121"/>
  <c r="AL7" i="122"/>
  <c r="Y7" i="122"/>
  <c r="AX7" i="122"/>
  <c r="AA72" i="123"/>
  <c r="AI72" i="123"/>
  <c r="AY6" i="125"/>
  <c r="Z6" i="125"/>
  <c r="AM6" i="125"/>
  <c r="AM6" i="100"/>
  <c r="AY6" i="100"/>
  <c r="Z6" i="100"/>
  <c r="AL7" i="102"/>
  <c r="AX7" i="102"/>
  <c r="Y7" i="102"/>
  <c r="Z6" i="108"/>
  <c r="AM6" i="108"/>
  <c r="AY6" i="108"/>
  <c r="AY7" i="112"/>
  <c r="Z7" i="112"/>
  <c r="AM7" i="112"/>
  <c r="Z7" i="124"/>
  <c r="AM7" i="124"/>
  <c r="AY7" i="124"/>
  <c r="Z6" i="116"/>
  <c r="AM6" i="116"/>
  <c r="AY6" i="116"/>
  <c r="AM7" i="117"/>
  <c r="AY7" i="117"/>
  <c r="Z7" i="117"/>
  <c r="AY7" i="118"/>
  <c r="Z7" i="118"/>
  <c r="AM7" i="118"/>
  <c r="Y7" i="119"/>
  <c r="AX7" i="119"/>
  <c r="AL7" i="119"/>
  <c r="Z6" i="121"/>
  <c r="AM6" i="121"/>
  <c r="AY6" i="121"/>
  <c r="Z6" i="122"/>
  <c r="AM6" i="122"/>
  <c r="AY6" i="122"/>
  <c r="AM7" i="122"/>
  <c r="AY7" i="122"/>
  <c r="Z7" i="122"/>
  <c r="AX7" i="123"/>
  <c r="Y7" i="123"/>
  <c r="AL7" i="123"/>
  <c r="AX30" i="125"/>
  <c r="AL7" i="475"/>
  <c r="AX7" i="475"/>
  <c r="Y7" i="475"/>
  <c r="AX7" i="115"/>
  <c r="Y7" i="115"/>
  <c r="AL7" i="115"/>
  <c r="AY6" i="124"/>
  <c r="Z6" i="124"/>
  <c r="AM6" i="124"/>
  <c r="Z7" i="119"/>
  <c r="AM7" i="119"/>
  <c r="AY7" i="119"/>
  <c r="AH72" i="120"/>
  <c r="Z6" i="120"/>
  <c r="AY6" i="120"/>
  <c r="AM6" i="120"/>
  <c r="AC72" i="123"/>
  <c r="AM7" i="123"/>
  <c r="AY7" i="123"/>
  <c r="Z7" i="123"/>
  <c r="Z7" i="475"/>
  <c r="AM7" i="475"/>
  <c r="AY7" i="475"/>
  <c r="AD72" i="102"/>
  <c r="Z7" i="102"/>
  <c r="AM7" i="102"/>
  <c r="AY7" i="102"/>
  <c r="AX7" i="104"/>
  <c r="Y7" i="104"/>
  <c r="AL7" i="104"/>
  <c r="AC72" i="105"/>
  <c r="Y7" i="105"/>
  <c r="AL7" i="105"/>
  <c r="AX7" i="105"/>
  <c r="AL7" i="106"/>
  <c r="AX7" i="106"/>
  <c r="Y7" i="106"/>
  <c r="AY7" i="104"/>
  <c r="Z7" i="104"/>
  <c r="AM7" i="104"/>
  <c r="AY7" i="105"/>
  <c r="Z7" i="105"/>
  <c r="AM7" i="105"/>
  <c r="AM7" i="106"/>
  <c r="AY7" i="106"/>
  <c r="Z7" i="106"/>
  <c r="AY6" i="112"/>
  <c r="Z6" i="112"/>
  <c r="AM6" i="112"/>
  <c r="AY7" i="115"/>
  <c r="Z7" i="115"/>
  <c r="AM7" i="115"/>
  <c r="AY6" i="118"/>
  <c r="Z6" i="118"/>
  <c r="AM6" i="118"/>
  <c r="Z6" i="102"/>
  <c r="AY6" i="102"/>
  <c r="AM6" i="102"/>
  <c r="A10" i="103"/>
  <c r="AX7" i="103"/>
  <c r="Y7" i="103"/>
  <c r="AL7" i="103"/>
  <c r="AE72" i="104"/>
  <c r="AM6" i="106"/>
  <c r="Z6" i="106"/>
  <c r="AY6" i="106"/>
  <c r="AX7" i="107"/>
  <c r="Y7" i="107"/>
  <c r="AL7" i="107"/>
  <c r="AX7" i="111"/>
  <c r="Y7" i="111"/>
  <c r="AL7" i="111"/>
  <c r="AL7" i="472"/>
  <c r="AX7" i="472"/>
  <c r="Y7" i="472"/>
  <c r="AL7" i="114"/>
  <c r="AX7" i="114"/>
  <c r="Y7" i="114"/>
  <c r="AM6" i="115"/>
  <c r="AY6" i="115"/>
  <c r="Z6" i="115"/>
  <c r="Z6" i="117"/>
  <c r="AM6" i="117"/>
  <c r="AY6" i="117"/>
  <c r="Z6" i="119"/>
  <c r="AM6" i="119"/>
  <c r="AY6" i="119"/>
  <c r="AE72" i="123"/>
  <c r="AM6" i="123"/>
  <c r="AY6" i="123"/>
  <c r="Z6" i="123"/>
  <c r="Z6" i="475"/>
  <c r="AM6" i="475"/>
  <c r="AY6" i="475"/>
  <c r="V15" i="105"/>
  <c r="AM48" i="124"/>
  <c r="AL71" i="124"/>
  <c r="AM73" i="116"/>
  <c r="Z35" i="125"/>
  <c r="AY54" i="125"/>
  <c r="AC72" i="102"/>
  <c r="AX42" i="106"/>
  <c r="AM23" i="124"/>
  <c r="A30" i="125"/>
  <c r="AL17" i="123"/>
  <c r="AM27" i="100"/>
  <c r="AD72" i="101"/>
  <c r="AM43" i="108"/>
  <c r="AM59" i="108"/>
  <c r="AX27" i="120"/>
  <c r="V15" i="112"/>
  <c r="AF72" i="101"/>
  <c r="AB73" i="101"/>
  <c r="AG72" i="102"/>
  <c r="AX55" i="106"/>
  <c r="AX63" i="106"/>
  <c r="AL20" i="120"/>
  <c r="AR20" i="120" s="1"/>
  <c r="A78" i="118"/>
  <c r="Y55" i="118"/>
  <c r="AH55" i="118" s="1"/>
  <c r="AD72" i="105"/>
  <c r="Z17" i="108"/>
  <c r="Z23" i="108"/>
  <c r="AI72" i="102"/>
  <c r="AI72" i="472"/>
  <c r="AE72" i="472"/>
  <c r="AB72" i="112"/>
  <c r="AA72" i="108"/>
  <c r="AC72" i="110"/>
  <c r="AB73" i="112"/>
  <c r="AH72" i="124"/>
  <c r="AA72" i="472"/>
  <c r="AF72" i="102"/>
  <c r="D6" i="418"/>
  <c r="AH72" i="105"/>
  <c r="AH72" i="106"/>
  <c r="AF72" i="117"/>
  <c r="AY13" i="104"/>
  <c r="Z13" i="107"/>
  <c r="AL4" i="111"/>
  <c r="AX4" i="111"/>
  <c r="Z25" i="112"/>
  <c r="AM51" i="112"/>
  <c r="Z59" i="112"/>
  <c r="AM63" i="112"/>
  <c r="AL15" i="472"/>
  <c r="AX19" i="472"/>
  <c r="AY26" i="472"/>
  <c r="AY34" i="472"/>
  <c r="AM38" i="472"/>
  <c r="AM28" i="114"/>
  <c r="AU28" i="114" s="1"/>
  <c r="AM36" i="115"/>
  <c r="AY9" i="124"/>
  <c r="Z11" i="124"/>
  <c r="A40" i="124"/>
  <c r="A66" i="124"/>
  <c r="AY45" i="102"/>
  <c r="AM30" i="103"/>
  <c r="AY64" i="103"/>
  <c r="AM66" i="104"/>
  <c r="AY55" i="105"/>
  <c r="AY63" i="105"/>
  <c r="Z8" i="106"/>
  <c r="AM46" i="106"/>
  <c r="AY58" i="106"/>
  <c r="AM9" i="107"/>
  <c r="AY14" i="110"/>
  <c r="Z42" i="110"/>
  <c r="Z45" i="110"/>
  <c r="A79" i="106"/>
  <c r="Z44" i="108"/>
  <c r="Z21" i="105"/>
  <c r="AL61" i="105"/>
  <c r="Y44" i="121"/>
  <c r="AY4" i="111"/>
  <c r="Z51" i="101"/>
  <c r="AL29" i="107"/>
  <c r="Z30" i="106"/>
  <c r="AB30" i="106" s="1"/>
  <c r="Z52" i="106"/>
  <c r="AL69" i="107"/>
  <c r="AM11" i="108"/>
  <c r="A54" i="110"/>
  <c r="AX46" i="472"/>
  <c r="AL53" i="117"/>
  <c r="Z18" i="119"/>
  <c r="AX29" i="119"/>
  <c r="AM46" i="119"/>
  <c r="AY66" i="122"/>
  <c r="Y59" i="125"/>
  <c r="AY54" i="475"/>
  <c r="AY56" i="106"/>
  <c r="AY10" i="107"/>
  <c r="Z29" i="107"/>
  <c r="Z54" i="107"/>
  <c r="AL30" i="108"/>
  <c r="AX63" i="110"/>
  <c r="AY21" i="112"/>
  <c r="Y49" i="112"/>
  <c r="A73" i="112"/>
  <c r="AL61" i="114"/>
  <c r="AY23" i="115"/>
  <c r="AX53" i="116"/>
  <c r="AM64" i="117"/>
  <c r="AL19" i="121"/>
  <c r="Z49" i="121"/>
  <c r="AE49" i="121" s="1"/>
  <c r="Y19" i="122"/>
  <c r="AX55" i="122"/>
  <c r="AM35" i="123"/>
  <c r="AX51" i="125"/>
  <c r="AM69" i="125"/>
  <c r="AM29" i="475"/>
  <c r="A19" i="110"/>
  <c r="Z17" i="112"/>
  <c r="AX44" i="112"/>
  <c r="Y56" i="112"/>
  <c r="AM24" i="472"/>
  <c r="AM14" i="124"/>
  <c r="AO14" i="124" s="1"/>
  <c r="AL26" i="117"/>
  <c r="AM56" i="118"/>
  <c r="AY64" i="118"/>
  <c r="Y8" i="120"/>
  <c r="AY24" i="121"/>
  <c r="Y32" i="121"/>
  <c r="A30" i="122"/>
  <c r="Y51" i="122"/>
  <c r="AG51" i="122" s="1"/>
  <c r="AY29" i="125"/>
  <c r="Y28" i="106"/>
  <c r="AY37" i="106"/>
  <c r="Y37" i="108"/>
  <c r="AL55" i="110"/>
  <c r="Z57" i="111"/>
  <c r="AI57" i="111" s="1"/>
  <c r="AL8" i="472"/>
  <c r="AY9" i="114"/>
  <c r="AM18" i="114"/>
  <c r="Z30" i="115"/>
  <c r="AM64" i="116"/>
  <c r="AX24" i="118"/>
  <c r="AY32" i="119"/>
  <c r="AX54" i="119"/>
  <c r="AL43" i="125"/>
  <c r="Z66" i="125"/>
  <c r="Y66" i="475"/>
  <c r="AM64" i="106"/>
  <c r="AM16" i="107"/>
  <c r="Y27" i="107"/>
  <c r="AY15" i="111"/>
  <c r="AX52" i="112"/>
  <c r="AM13" i="115"/>
  <c r="A48" i="115"/>
  <c r="Y56" i="115"/>
  <c r="AM30" i="124"/>
  <c r="Z37" i="124"/>
  <c r="AM49" i="124"/>
  <c r="AQ49" i="124" s="1"/>
  <c r="AX15" i="117"/>
  <c r="AM28" i="117"/>
  <c r="AO28" i="117" s="1"/>
  <c r="AM18" i="118"/>
  <c r="Z30" i="118"/>
  <c r="AX48" i="122"/>
  <c r="AX59" i="122"/>
  <c r="AL71" i="122"/>
  <c r="Y16" i="125"/>
  <c r="AM39" i="475"/>
  <c r="AM61" i="107"/>
  <c r="Y71" i="108"/>
  <c r="AL59" i="110"/>
  <c r="Z26" i="114"/>
  <c r="AL58" i="114"/>
  <c r="AN58" i="114" s="1"/>
  <c r="AX49" i="115"/>
  <c r="A29" i="124"/>
  <c r="AY24" i="116"/>
  <c r="A37" i="116"/>
  <c r="AM24" i="117"/>
  <c r="AS24" i="117" s="1"/>
  <c r="Y31" i="117"/>
  <c r="AY39" i="119"/>
  <c r="Z52" i="121"/>
  <c r="AI52" i="121" s="1"/>
  <c r="AL54" i="123"/>
  <c r="AM27" i="475"/>
  <c r="AS27" i="475" s="1"/>
  <c r="AX58" i="111"/>
  <c r="Y19" i="124"/>
  <c r="AH19" i="124" s="1"/>
  <c r="AM34" i="106"/>
  <c r="AX15" i="108"/>
  <c r="Z28" i="108"/>
  <c r="AY73" i="104"/>
  <c r="AL28" i="115"/>
  <c r="A32" i="101"/>
  <c r="AM25" i="102"/>
  <c r="A29" i="108"/>
  <c r="Z41" i="108"/>
  <c r="AY49" i="112"/>
  <c r="Z53" i="116"/>
  <c r="Y67" i="110"/>
  <c r="AM27" i="111"/>
  <c r="Z57" i="472"/>
  <c r="AX38" i="124"/>
  <c r="AL15" i="100"/>
  <c r="Z64" i="105"/>
  <c r="AY30" i="100"/>
  <c r="Z61" i="104"/>
  <c r="AM30" i="102"/>
  <c r="AX58" i="104"/>
  <c r="AY13" i="105"/>
  <c r="AL54" i="105"/>
  <c r="AY28" i="106"/>
  <c r="A37" i="106"/>
  <c r="A41" i="106"/>
  <c r="AX51" i="107"/>
  <c r="AX55" i="107"/>
  <c r="AM71" i="108"/>
  <c r="AY29" i="111"/>
  <c r="AX54" i="111"/>
  <c r="AM37" i="112"/>
  <c r="AN37" i="112" s="1"/>
  <c r="AY44" i="112"/>
  <c r="Z52" i="112"/>
  <c r="AB52" i="112" s="1"/>
  <c r="AM10" i="472"/>
  <c r="Z32" i="472"/>
  <c r="AY39" i="472"/>
  <c r="AY24" i="114"/>
  <c r="AY37" i="115"/>
  <c r="Z57" i="116"/>
  <c r="AM17" i="103"/>
  <c r="Y30" i="105"/>
  <c r="AY55" i="107"/>
  <c r="Z71" i="110"/>
  <c r="Z10" i="111"/>
  <c r="Y48" i="472"/>
  <c r="Y54" i="472"/>
  <c r="Z78" i="101"/>
  <c r="AX48" i="104"/>
  <c r="AL55" i="104"/>
  <c r="AX41" i="105"/>
  <c r="AX63" i="105"/>
  <c r="AL58" i="106"/>
  <c r="AL37" i="107"/>
  <c r="AY54" i="102"/>
  <c r="Y19" i="101"/>
  <c r="Y40" i="102"/>
  <c r="AX43" i="102"/>
  <c r="AM69" i="102"/>
  <c r="AL61" i="116"/>
  <c r="AL25" i="106"/>
  <c r="Y13" i="475"/>
  <c r="AL13" i="121"/>
  <c r="AY35" i="100"/>
  <c r="Z54" i="100"/>
  <c r="AX54" i="101"/>
  <c r="AX14" i="103"/>
  <c r="A41" i="103"/>
  <c r="AM24" i="104"/>
  <c r="A51" i="100"/>
  <c r="Y18" i="101"/>
  <c r="Z54" i="101"/>
  <c r="A71" i="101"/>
  <c r="AX26" i="102"/>
  <c r="AX78" i="102"/>
  <c r="AM9" i="103"/>
  <c r="AX26" i="103"/>
  <c r="AL15" i="104"/>
  <c r="A13" i="105"/>
  <c r="AX15" i="105"/>
  <c r="Y78" i="106"/>
  <c r="Z17" i="107"/>
  <c r="Z21" i="107"/>
  <c r="AY48" i="107"/>
  <c r="AM51" i="107"/>
  <c r="AL38" i="108"/>
  <c r="AX17" i="110"/>
  <c r="AL25" i="111"/>
  <c r="AM78" i="111"/>
  <c r="A10" i="102"/>
  <c r="AM26" i="102"/>
  <c r="AM35" i="102"/>
  <c r="AM46" i="102"/>
  <c r="AS46" i="102" s="1"/>
  <c r="AM57" i="103"/>
  <c r="AL18" i="107"/>
  <c r="A66" i="107"/>
  <c r="AM19" i="108"/>
  <c r="AM57" i="108"/>
  <c r="Y30" i="100"/>
  <c r="AM10" i="102"/>
  <c r="AM35" i="107"/>
  <c r="AX44" i="108"/>
  <c r="AX52" i="108"/>
  <c r="AY32" i="110"/>
  <c r="AM39" i="110"/>
  <c r="AX15" i="111"/>
  <c r="AX42" i="111"/>
  <c r="AM71" i="472"/>
  <c r="Z51" i="115"/>
  <c r="Y37" i="117"/>
  <c r="AL49" i="117"/>
  <c r="Z59" i="117"/>
  <c r="AM17" i="118"/>
  <c r="AM48" i="118"/>
  <c r="Z63" i="118"/>
  <c r="A14" i="119"/>
  <c r="AM17" i="119"/>
  <c r="Y57" i="119"/>
  <c r="AI57" i="119" s="1"/>
  <c r="AM17" i="121"/>
  <c r="AM18" i="100"/>
  <c r="Z40" i="100"/>
  <c r="Z51" i="100"/>
  <c r="AH51" i="100" s="1"/>
  <c r="A65" i="101"/>
  <c r="AM39" i="102"/>
  <c r="AL30" i="101"/>
  <c r="AX66" i="475"/>
  <c r="AL49" i="103"/>
  <c r="AY42" i="102"/>
  <c r="AM14" i="104"/>
  <c r="Z30" i="105"/>
  <c r="AY26" i="106"/>
  <c r="AL21" i="107"/>
  <c r="AM14" i="108"/>
  <c r="AY64" i="108"/>
  <c r="Z45" i="111"/>
  <c r="Z53" i="111"/>
  <c r="AC53" i="111" s="1"/>
  <c r="A38" i="472"/>
  <c r="AX53" i="472"/>
  <c r="AX57" i="472"/>
  <c r="A27" i="114"/>
  <c r="AX32" i="114"/>
  <c r="AM25" i="115"/>
  <c r="AL52" i="115"/>
  <c r="AU52" i="115" s="1"/>
  <c r="Y26" i="118"/>
  <c r="Z69" i="101"/>
  <c r="Z13" i="102"/>
  <c r="AY59" i="104"/>
  <c r="AM71" i="104"/>
  <c r="AY8" i="105"/>
  <c r="Y38" i="105"/>
  <c r="AM35" i="111"/>
  <c r="AT35" i="111" s="1"/>
  <c r="Z58" i="111"/>
  <c r="AX8" i="112"/>
  <c r="A48" i="100"/>
  <c r="AX41" i="101"/>
  <c r="AL24" i="102"/>
  <c r="AY52" i="105"/>
  <c r="Y24" i="100"/>
  <c r="AX54" i="100"/>
  <c r="Y58" i="100"/>
  <c r="AX61" i="100"/>
  <c r="AX17" i="101"/>
  <c r="AX21" i="101"/>
  <c r="Y25" i="101"/>
  <c r="AG25" i="101" s="1"/>
  <c r="A30" i="101"/>
  <c r="A50" i="101"/>
  <c r="Z53" i="101"/>
  <c r="Z8" i="102"/>
  <c r="AX20" i="102"/>
  <c r="Y38" i="102"/>
  <c r="Y42" i="102"/>
  <c r="Y45" i="102"/>
  <c r="Y57" i="102"/>
  <c r="Z11" i="103"/>
  <c r="AL21" i="103"/>
  <c r="AM23" i="103"/>
  <c r="AY25" i="103"/>
  <c r="AY37" i="103"/>
  <c r="AM41" i="103"/>
  <c r="Y52" i="103"/>
  <c r="AX56" i="103"/>
  <c r="Y64" i="103"/>
  <c r="Z67" i="103"/>
  <c r="AX29" i="104"/>
  <c r="Z32" i="104"/>
  <c r="AM54" i="104"/>
  <c r="AY58" i="104"/>
  <c r="AM36" i="105"/>
  <c r="AM40" i="105"/>
  <c r="Y56" i="101"/>
  <c r="Z14" i="102"/>
  <c r="AY15" i="100"/>
  <c r="AY18" i="101"/>
  <c r="AY40" i="101"/>
  <c r="AX59" i="101"/>
  <c r="AM32" i="102"/>
  <c r="AU32" i="102" s="1"/>
  <c r="Z78" i="102"/>
  <c r="AM26" i="103"/>
  <c r="A50" i="103"/>
  <c r="AX37" i="104"/>
  <c r="AX44" i="104"/>
  <c r="Z15" i="105"/>
  <c r="AX56" i="105"/>
  <c r="AY29" i="106"/>
  <c r="Z67" i="107"/>
  <c r="AY24" i="108"/>
  <c r="A16" i="110"/>
  <c r="AM16" i="111"/>
  <c r="AY28" i="112"/>
  <c r="AX57" i="112"/>
  <c r="AL43" i="472"/>
  <c r="AX16" i="100"/>
  <c r="AX56" i="100"/>
  <c r="AM67" i="100"/>
  <c r="AM9" i="101"/>
  <c r="Y26" i="101"/>
  <c r="Z59" i="101"/>
  <c r="AX67" i="101"/>
  <c r="AY15" i="103"/>
  <c r="AM73" i="103"/>
  <c r="AM41" i="104"/>
  <c r="AX20" i="105"/>
  <c r="AL29" i="105"/>
  <c r="Z42" i="105"/>
  <c r="A14" i="106"/>
  <c r="AL36" i="106"/>
  <c r="Y40" i="106"/>
  <c r="AY44" i="107"/>
  <c r="AY49" i="107"/>
  <c r="Z44" i="101"/>
  <c r="Z36" i="102"/>
  <c r="AX73" i="100"/>
  <c r="Z8" i="100"/>
  <c r="AY10" i="100"/>
  <c r="AY16" i="100"/>
  <c r="Z20" i="100"/>
  <c r="AM30" i="100"/>
  <c r="Z41" i="100"/>
  <c r="AM49" i="100"/>
  <c r="AY56" i="100"/>
  <c r="A79" i="100"/>
  <c r="AM15" i="101"/>
  <c r="AM24" i="101"/>
  <c r="Z41" i="101"/>
  <c r="AL49" i="101"/>
  <c r="Y52" i="101"/>
  <c r="AM18" i="102"/>
  <c r="AM24" i="102"/>
  <c r="Z40" i="102"/>
  <c r="AA40" i="102" s="1"/>
  <c r="Z43" i="102"/>
  <c r="AM51" i="102"/>
  <c r="AY55" i="102"/>
  <c r="Z59" i="102"/>
  <c r="AL67" i="102"/>
  <c r="A73" i="102"/>
  <c r="AY8" i="103"/>
  <c r="Z32" i="103"/>
  <c r="A39" i="103"/>
  <c r="A78" i="103"/>
  <c r="A46" i="103"/>
  <c r="A51" i="103"/>
  <c r="Z58" i="103"/>
  <c r="AL66" i="103"/>
  <c r="AX8" i="104"/>
  <c r="Z16" i="104"/>
  <c r="AY20" i="104"/>
  <c r="AX19" i="121"/>
  <c r="AX53" i="104"/>
  <c r="AY16" i="105"/>
  <c r="AL32" i="105"/>
  <c r="Y35" i="105"/>
  <c r="AL39" i="105"/>
  <c r="A45" i="105"/>
  <c r="AX53" i="105"/>
  <c r="AX57" i="105"/>
  <c r="Z36" i="106"/>
  <c r="AM40" i="106"/>
  <c r="Z43" i="106"/>
  <c r="AY51" i="106"/>
  <c r="Z55" i="106"/>
  <c r="AM63" i="106"/>
  <c r="Y67" i="106"/>
  <c r="Y15" i="107"/>
  <c r="AY24" i="107"/>
  <c r="AX31" i="107"/>
  <c r="Y34" i="107"/>
  <c r="AX45" i="107"/>
  <c r="AL57" i="107"/>
  <c r="Y8" i="108"/>
  <c r="AM20" i="108"/>
  <c r="Y25" i="108"/>
  <c r="AX13" i="100"/>
  <c r="Y21" i="100"/>
  <c r="AY23" i="100"/>
  <c r="A44" i="100"/>
  <c r="AX45" i="100"/>
  <c r="AX53" i="100"/>
  <c r="AX10" i="101"/>
  <c r="Y16" i="101"/>
  <c r="AX31" i="101"/>
  <c r="A44" i="101"/>
  <c r="AX45" i="101"/>
  <c r="AY56" i="101"/>
  <c r="Y19" i="102"/>
  <c r="AM27" i="102"/>
  <c r="A33" i="102"/>
  <c r="Y37" i="102"/>
  <c r="AX41" i="102"/>
  <c r="A48" i="102"/>
  <c r="AX49" i="102"/>
  <c r="Y52" i="102"/>
  <c r="AL56" i="102"/>
  <c r="A66" i="102"/>
  <c r="AY16" i="103"/>
  <c r="Z20" i="103"/>
  <c r="AY29" i="103"/>
  <c r="AM40" i="103"/>
  <c r="AY43" i="103"/>
  <c r="AX51" i="103"/>
  <c r="AX59" i="103"/>
  <c r="Y63" i="103"/>
  <c r="AL17" i="104"/>
  <c r="AL26" i="104"/>
  <c r="AM31" i="104"/>
  <c r="AY35" i="108"/>
  <c r="AY78" i="108"/>
  <c r="A71" i="108"/>
  <c r="Z49" i="110"/>
  <c r="A79" i="110"/>
  <c r="Y19" i="112"/>
  <c r="AY42" i="112"/>
  <c r="AX8" i="114"/>
  <c r="AL43" i="114"/>
  <c r="AP43" i="114" s="1"/>
  <c r="A37" i="115"/>
  <c r="AM64" i="115"/>
  <c r="AM57" i="124"/>
  <c r="AM10" i="116"/>
  <c r="Y58" i="116"/>
  <c r="Z9" i="118"/>
  <c r="AL43" i="119"/>
  <c r="AY58" i="119"/>
  <c r="AL34" i="120"/>
  <c r="AX45" i="123"/>
  <c r="AY52" i="475"/>
  <c r="Z59" i="103"/>
  <c r="AM17" i="104"/>
  <c r="AX17" i="105"/>
  <c r="AM27" i="105"/>
  <c r="Y44" i="106"/>
  <c r="AL48" i="108"/>
  <c r="AR48" i="108" s="1"/>
  <c r="AM69" i="108"/>
  <c r="AY17" i="111"/>
  <c r="AM23" i="111"/>
  <c r="Z43" i="111"/>
  <c r="AM48" i="111"/>
  <c r="AM59" i="111"/>
  <c r="A13" i="112"/>
  <c r="AL61" i="112"/>
  <c r="AR61" i="112" s="1"/>
  <c r="AM61" i="472"/>
  <c r="Y66" i="472"/>
  <c r="A13" i="114"/>
  <c r="AM36" i="114"/>
  <c r="AM34" i="115"/>
  <c r="Z57" i="115"/>
  <c r="AL13" i="116"/>
  <c r="Y25" i="116"/>
  <c r="Z78" i="116"/>
  <c r="AL29" i="117"/>
  <c r="A50" i="117"/>
  <c r="AX58" i="117"/>
  <c r="AY53" i="118"/>
  <c r="AY53" i="120"/>
  <c r="AM34" i="121"/>
  <c r="AY63" i="121"/>
  <c r="Z13" i="110"/>
  <c r="AM69" i="111"/>
  <c r="AM8" i="112"/>
  <c r="Z43" i="472"/>
  <c r="AL51" i="114"/>
  <c r="AY28" i="115"/>
  <c r="Y38" i="115"/>
  <c r="Y57" i="115"/>
  <c r="AI57" i="115" s="1"/>
  <c r="Z53" i="124"/>
  <c r="AM15" i="117"/>
  <c r="Y31" i="118"/>
  <c r="A44" i="118"/>
  <c r="AX36" i="119"/>
  <c r="AY61" i="119"/>
  <c r="AX57" i="120"/>
  <c r="AY9" i="121"/>
  <c r="AX55" i="121"/>
  <c r="AL38" i="123"/>
  <c r="AM56" i="123"/>
  <c r="AX64" i="123"/>
  <c r="AY11" i="475"/>
  <c r="AY49" i="475"/>
  <c r="Y26" i="100"/>
  <c r="Z45" i="100"/>
  <c r="Z45" i="101"/>
  <c r="AX53" i="101"/>
  <c r="AY15" i="102"/>
  <c r="AY41" i="102"/>
  <c r="AM52" i="102"/>
  <c r="A79" i="102"/>
  <c r="AX13" i="103"/>
  <c r="Z21" i="104"/>
  <c r="AX23" i="105"/>
  <c r="Z78" i="105"/>
  <c r="Y30" i="106"/>
  <c r="A34" i="110"/>
  <c r="Y67" i="111"/>
  <c r="A35" i="112"/>
  <c r="AX30" i="472"/>
  <c r="AM73" i="472"/>
  <c r="AY40" i="114"/>
  <c r="AY51" i="114"/>
  <c r="Z63" i="114"/>
  <c r="AL19" i="115"/>
  <c r="AP19" i="115" s="1"/>
  <c r="AY53" i="115"/>
  <c r="A42" i="124"/>
  <c r="AX58" i="124"/>
  <c r="Z15" i="119"/>
  <c r="AM43" i="119"/>
  <c r="AM31" i="120"/>
  <c r="AY45" i="120"/>
  <c r="AL8" i="121"/>
  <c r="AO8" i="121" s="1"/>
  <c r="Z26" i="121"/>
  <c r="A20" i="111"/>
  <c r="AX36" i="111"/>
  <c r="Z57" i="112"/>
  <c r="AY36" i="472"/>
  <c r="A29" i="115"/>
  <c r="AX45" i="115"/>
  <c r="A37" i="118"/>
  <c r="AM69" i="121"/>
  <c r="AM21" i="122"/>
  <c r="AY53" i="122"/>
  <c r="Z42" i="125"/>
  <c r="Z38" i="100"/>
  <c r="AE38" i="100" s="1"/>
  <c r="AM19" i="102"/>
  <c r="AM49" i="102"/>
  <c r="AY27" i="103"/>
  <c r="Z55" i="103"/>
  <c r="Z34" i="104"/>
  <c r="AM38" i="104"/>
  <c r="Y18" i="106"/>
  <c r="A40" i="106"/>
  <c r="AX8" i="107"/>
  <c r="AY15" i="107"/>
  <c r="Y13" i="108"/>
  <c r="A65" i="108"/>
  <c r="A17" i="110"/>
  <c r="Y23" i="116"/>
  <c r="AM35" i="116"/>
  <c r="AQ35" i="116" s="1"/>
  <c r="Y78" i="117"/>
  <c r="AX15" i="121"/>
  <c r="Z51" i="121"/>
  <c r="AY28" i="110"/>
  <c r="AL51" i="111"/>
  <c r="AY45" i="112"/>
  <c r="Z27" i="472"/>
  <c r="Z54" i="472"/>
  <c r="AY31" i="124"/>
  <c r="AM45" i="124"/>
  <c r="AL73" i="124"/>
  <c r="Z20" i="116"/>
  <c r="A32" i="116"/>
  <c r="Y39" i="116"/>
  <c r="Z26" i="117"/>
  <c r="AY38" i="117"/>
  <c r="AM53" i="117"/>
  <c r="Z24" i="118"/>
  <c r="A41" i="118"/>
  <c r="AL15" i="119"/>
  <c r="AX26" i="122"/>
  <c r="AY42" i="122"/>
  <c r="AM57" i="122"/>
  <c r="AX27" i="123"/>
  <c r="AY41" i="475"/>
  <c r="Z28" i="100"/>
  <c r="AY8" i="101"/>
  <c r="AM20" i="101"/>
  <c r="Z42" i="101"/>
  <c r="Z71" i="101"/>
  <c r="AX25" i="103"/>
  <c r="AL25" i="105"/>
  <c r="AN25" i="105" s="1"/>
  <c r="AM32" i="105"/>
  <c r="AP32" i="105" s="1"/>
  <c r="AM57" i="105"/>
  <c r="Z9" i="106"/>
  <c r="AM23" i="106"/>
  <c r="AM19" i="107"/>
  <c r="Z38" i="107"/>
  <c r="AY53" i="107"/>
  <c r="AY8" i="108"/>
  <c r="Z26" i="110"/>
  <c r="AM24" i="112"/>
  <c r="Y35" i="112"/>
  <c r="Y46" i="112"/>
  <c r="AL54" i="112"/>
  <c r="Y25" i="114"/>
  <c r="AF25" i="114" s="1"/>
  <c r="Y32" i="124"/>
  <c r="AX46" i="124"/>
  <c r="AY73" i="124"/>
  <c r="Y21" i="116"/>
  <c r="AX73" i="118"/>
  <c r="A65" i="119"/>
  <c r="AL15" i="120"/>
  <c r="Z42" i="120"/>
  <c r="Z73" i="120"/>
  <c r="AE73" i="120" s="1"/>
  <c r="AM31" i="121"/>
  <c r="AY51" i="121"/>
  <c r="Y71" i="121"/>
  <c r="AL26" i="110"/>
  <c r="AY56" i="110"/>
  <c r="A16" i="472"/>
  <c r="Z15" i="114"/>
  <c r="AL59" i="114"/>
  <c r="A44" i="115"/>
  <c r="AY8" i="124"/>
  <c r="AX8" i="116"/>
  <c r="Z45" i="117"/>
  <c r="AX18" i="121"/>
  <c r="Y34" i="121"/>
  <c r="AL42" i="121"/>
  <c r="AP42" i="121" s="1"/>
  <c r="AM66" i="121"/>
  <c r="AY17" i="122"/>
  <c r="AM34" i="122"/>
  <c r="Z45" i="122"/>
  <c r="Z73" i="122"/>
  <c r="AF73" i="122" s="1"/>
  <c r="AM17" i="123"/>
  <c r="Z31" i="123"/>
  <c r="AL34" i="123"/>
  <c r="A44" i="123"/>
  <c r="AY52" i="123"/>
  <c r="AM26" i="125"/>
  <c r="Z38" i="125"/>
  <c r="AY57" i="125"/>
  <c r="AY30" i="475"/>
  <c r="Z67" i="475"/>
  <c r="AM21" i="100"/>
  <c r="AY34" i="100"/>
  <c r="AM57" i="100"/>
  <c r="Z10" i="101"/>
  <c r="AX57" i="101"/>
  <c r="AM44" i="102"/>
  <c r="A20" i="103"/>
  <c r="AL67" i="103"/>
  <c r="AY67" i="106"/>
  <c r="Y21" i="108"/>
  <c r="AI21" i="108" s="1"/>
  <c r="AL51" i="108"/>
  <c r="AY13" i="472"/>
  <c r="AL51" i="472"/>
  <c r="A71" i="472"/>
  <c r="Y16" i="114"/>
  <c r="AX24" i="115"/>
  <c r="AM42" i="115"/>
  <c r="Y78" i="124"/>
  <c r="AF78" i="124" s="1"/>
  <c r="Z39" i="116"/>
  <c r="A38" i="117"/>
  <c r="Y59" i="119"/>
  <c r="AM43" i="121"/>
  <c r="AY39" i="108"/>
  <c r="AY46" i="108"/>
  <c r="Z54" i="108"/>
  <c r="Y66" i="108"/>
  <c r="AY11" i="110"/>
  <c r="AX40" i="111"/>
  <c r="AX15" i="112"/>
  <c r="Z53" i="112"/>
  <c r="AX21" i="472"/>
  <c r="A28" i="472"/>
  <c r="AM19" i="114"/>
  <c r="Y36" i="114"/>
  <c r="AI36" i="114" s="1"/>
  <c r="AX48" i="114"/>
  <c r="AM69" i="114"/>
  <c r="AM42" i="124"/>
  <c r="A30" i="116"/>
  <c r="AL35" i="116"/>
  <c r="A50" i="116"/>
  <c r="Z19" i="117"/>
  <c r="Z31" i="117"/>
  <c r="AM42" i="117"/>
  <c r="AL73" i="117"/>
  <c r="AL57" i="118"/>
  <c r="AY54" i="119"/>
  <c r="AM14" i="120"/>
  <c r="AM28" i="120"/>
  <c r="Y63" i="121"/>
  <c r="AX11" i="122"/>
  <c r="AY11" i="125"/>
  <c r="AY18" i="125"/>
  <c r="Z34" i="125"/>
  <c r="AY53" i="125"/>
  <c r="AL18" i="475"/>
  <c r="Z37" i="475"/>
  <c r="AY56" i="475"/>
  <c r="AY31" i="100"/>
  <c r="AX10" i="102"/>
  <c r="Z56" i="102"/>
  <c r="AL17" i="108"/>
  <c r="AY27" i="108"/>
  <c r="AL40" i="108"/>
  <c r="A44" i="110"/>
  <c r="Y53" i="110"/>
  <c r="AL39" i="112"/>
  <c r="AX55" i="472"/>
  <c r="AL20" i="114"/>
  <c r="Y67" i="114"/>
  <c r="AM45" i="115"/>
  <c r="AX20" i="124"/>
  <c r="AX35" i="124"/>
  <c r="AL54" i="124"/>
  <c r="AL17" i="116"/>
  <c r="AM29" i="116"/>
  <c r="AM31" i="118"/>
  <c r="Z42" i="118"/>
  <c r="AY57" i="118"/>
  <c r="AY36" i="119"/>
  <c r="Z48" i="119"/>
  <c r="Z66" i="119"/>
  <c r="AX24" i="120"/>
  <c r="Z57" i="120"/>
  <c r="Y24" i="121"/>
  <c r="AM38" i="121"/>
  <c r="AM55" i="121"/>
  <c r="Y42" i="100"/>
  <c r="AX34" i="107"/>
  <c r="AY53" i="112"/>
  <c r="A35" i="102"/>
  <c r="AX52" i="102"/>
  <c r="AX40" i="108"/>
  <c r="AL31" i="117"/>
  <c r="AT31" i="117" s="1"/>
  <c r="Z42" i="102"/>
  <c r="AM55" i="103"/>
  <c r="AM63" i="125"/>
  <c r="Z39" i="472"/>
  <c r="AL4" i="120"/>
  <c r="AU4" i="120" s="1"/>
  <c r="AM57" i="101"/>
  <c r="AL3" i="106"/>
  <c r="AL38" i="472"/>
  <c r="Y78" i="111"/>
  <c r="AL51" i="117"/>
  <c r="AL56" i="100"/>
  <c r="Z37" i="106"/>
  <c r="AL48" i="106"/>
  <c r="A64" i="107"/>
  <c r="Y18" i="114"/>
  <c r="AM68" i="115"/>
  <c r="AY53" i="114"/>
  <c r="AX11" i="101"/>
  <c r="AY40" i="106"/>
  <c r="AM4" i="122"/>
  <c r="G79" i="59"/>
  <c r="Y4" i="101"/>
  <c r="AL40" i="472"/>
  <c r="Y34" i="114"/>
  <c r="AG34" i="114" s="1"/>
  <c r="AL55" i="116"/>
  <c r="AM37" i="106"/>
  <c r="AS37" i="106" s="1"/>
  <c r="AX18" i="114"/>
  <c r="AM53" i="124"/>
  <c r="AN53" i="124" s="1"/>
  <c r="Y4" i="116"/>
  <c r="AL46" i="119"/>
  <c r="AP46" i="119" s="1"/>
  <c r="AL45" i="122"/>
  <c r="Z69" i="107"/>
  <c r="Y38" i="106"/>
  <c r="AM3" i="111"/>
  <c r="Y3" i="114"/>
  <c r="Z54" i="124"/>
  <c r="Z23" i="111"/>
  <c r="AX3" i="119"/>
  <c r="Z3" i="123"/>
  <c r="Y15" i="105"/>
  <c r="Y40" i="472"/>
  <c r="Y46" i="472"/>
  <c r="AX41" i="115"/>
  <c r="AM37" i="108"/>
  <c r="Z36" i="472"/>
  <c r="AY32" i="112"/>
  <c r="AX4" i="106"/>
  <c r="AL69" i="106"/>
  <c r="Z49" i="107"/>
  <c r="AF49" i="107" s="1"/>
  <c r="A40" i="108"/>
  <c r="AX52" i="116"/>
  <c r="Z73" i="106"/>
  <c r="AE73" i="106" s="1"/>
  <c r="AM49" i="107"/>
  <c r="AY3" i="108"/>
  <c r="Y40" i="111"/>
  <c r="Y16" i="472"/>
  <c r="AY17" i="118"/>
  <c r="AM20" i="118"/>
  <c r="AR3" i="121"/>
  <c r="Y40" i="121"/>
  <c r="AC40" i="121" s="1"/>
  <c r="AL4" i="122"/>
  <c r="Z51" i="123"/>
  <c r="Y46" i="107"/>
  <c r="AX37" i="108"/>
  <c r="AY70" i="110"/>
  <c r="AX31" i="112"/>
  <c r="AY51" i="112"/>
  <c r="Y11" i="116"/>
  <c r="AX35" i="116"/>
  <c r="Y46" i="119"/>
  <c r="Z42" i="103"/>
  <c r="Z19" i="107"/>
  <c r="AM24" i="118"/>
  <c r="AS24" i="118" s="1"/>
  <c r="AL57" i="105"/>
  <c r="AM4" i="111"/>
  <c r="Z45" i="472"/>
  <c r="AC45" i="472" s="1"/>
  <c r="AY33" i="115"/>
  <c r="Z18" i="118"/>
  <c r="Y3" i="121"/>
  <c r="Z15" i="122"/>
  <c r="AY78" i="122"/>
  <c r="A71" i="100"/>
  <c r="AX24" i="102"/>
  <c r="Y4" i="106"/>
  <c r="AC4" i="106" s="1"/>
  <c r="AX8" i="111"/>
  <c r="A50" i="112"/>
  <c r="Z58" i="115"/>
  <c r="Z50" i="124"/>
  <c r="Z51" i="119"/>
  <c r="AX3" i="121"/>
  <c r="AM23" i="122"/>
  <c r="Z3" i="125"/>
  <c r="Y27" i="101"/>
  <c r="Y78" i="105"/>
  <c r="A44" i="106"/>
  <c r="AM73" i="124"/>
  <c r="Z3" i="116"/>
  <c r="Y61" i="120"/>
  <c r="AD61" i="120" s="1"/>
  <c r="AY4" i="122"/>
  <c r="Y35" i="122"/>
  <c r="AM30" i="123"/>
  <c r="Y39" i="125"/>
  <c r="AL29" i="101"/>
  <c r="Y4" i="105"/>
  <c r="Y42" i="106"/>
  <c r="AF42" i="106" s="1"/>
  <c r="AM45" i="112"/>
  <c r="AY18" i="118"/>
  <c r="Y69" i="121"/>
  <c r="AX4" i="475"/>
  <c r="Z38" i="104"/>
  <c r="AL42" i="106"/>
  <c r="AM4" i="108"/>
  <c r="AN4" i="108" s="1"/>
  <c r="Z78" i="112"/>
  <c r="AX53" i="124"/>
  <c r="AY69" i="117"/>
  <c r="AM53" i="123"/>
  <c r="AX53" i="125"/>
  <c r="AL4" i="101"/>
  <c r="AM42" i="103"/>
  <c r="AY69" i="107"/>
  <c r="AL39" i="111"/>
  <c r="AX44" i="111"/>
  <c r="AY48" i="111"/>
  <c r="AL4" i="114"/>
  <c r="Z28" i="115"/>
  <c r="Y78" i="118"/>
  <c r="AY18" i="119"/>
  <c r="AY43" i="121"/>
  <c r="Y61" i="122"/>
  <c r="Z18" i="125"/>
  <c r="AY53" i="475"/>
  <c r="Y45" i="101"/>
  <c r="AE45" i="101" s="1"/>
  <c r="Y3" i="108"/>
  <c r="AM28" i="115"/>
  <c r="AN28" i="115" s="1"/>
  <c r="Y44" i="124"/>
  <c r="Y15" i="117"/>
  <c r="AM27" i="117"/>
  <c r="AM32" i="119"/>
  <c r="AM44" i="120"/>
  <c r="Y37" i="100"/>
  <c r="AB37" i="100" s="1"/>
  <c r="Z50" i="107"/>
  <c r="AX3" i="108"/>
  <c r="AL3" i="112"/>
  <c r="AL69" i="112"/>
  <c r="AY33" i="117"/>
  <c r="AM51" i="121"/>
  <c r="Z54" i="125"/>
  <c r="Y61" i="475"/>
  <c r="Y66" i="100"/>
  <c r="AX25" i="101"/>
  <c r="AM45" i="111"/>
  <c r="Z23" i="112"/>
  <c r="Y3" i="475"/>
  <c r="AM4" i="100"/>
  <c r="Z15" i="101"/>
  <c r="Z57" i="105"/>
  <c r="AM78" i="106"/>
  <c r="Y29" i="110"/>
  <c r="AM55" i="110"/>
  <c r="AU55" i="110" s="1"/>
  <c r="AX54" i="112"/>
  <c r="Z10" i="115"/>
  <c r="Z73" i="124"/>
  <c r="AG73" i="124" s="1"/>
  <c r="A39" i="116"/>
  <c r="A12" i="117"/>
  <c r="Z56" i="117"/>
  <c r="AY46" i="118"/>
  <c r="AY17" i="119"/>
  <c r="Y20" i="119"/>
  <c r="AX46" i="119"/>
  <c r="Z50" i="119"/>
  <c r="Z28" i="120"/>
  <c r="AD28" i="120" s="1"/>
  <c r="AM45" i="120"/>
  <c r="A50" i="120"/>
  <c r="AM4" i="121"/>
  <c r="A16" i="122"/>
  <c r="AX51" i="122"/>
  <c r="AM25" i="123"/>
  <c r="A66" i="123"/>
  <c r="AY63" i="125"/>
  <c r="AL66" i="475"/>
  <c r="Z27" i="100"/>
  <c r="AM31" i="102"/>
  <c r="AL64" i="103"/>
  <c r="AY67" i="103"/>
  <c r="Y55" i="104"/>
  <c r="Y17" i="105"/>
  <c r="AY19" i="110"/>
  <c r="Z21" i="112"/>
  <c r="AY65" i="112"/>
  <c r="AM36" i="472"/>
  <c r="AX51" i="124"/>
  <c r="AY3" i="116"/>
  <c r="AL23" i="116"/>
  <c r="AM53" i="116"/>
  <c r="AM38" i="118"/>
  <c r="Y43" i="120"/>
  <c r="AM56" i="120"/>
  <c r="AY23" i="122"/>
  <c r="AY44" i="122"/>
  <c r="A41" i="123"/>
  <c r="AM55" i="125"/>
  <c r="AX58" i="125"/>
  <c r="AM52" i="475"/>
  <c r="AS52" i="475" s="1"/>
  <c r="AX9" i="103"/>
  <c r="AM58" i="103"/>
  <c r="Z63" i="106"/>
  <c r="AY10" i="111"/>
  <c r="AM32" i="112"/>
  <c r="AL42" i="472"/>
  <c r="AO42" i="472" s="1"/>
  <c r="AY73" i="122"/>
  <c r="Y64" i="123"/>
  <c r="AL3" i="125"/>
  <c r="AY55" i="125"/>
  <c r="AY24" i="475"/>
  <c r="Y69" i="100"/>
  <c r="AL40" i="101"/>
  <c r="Z57" i="101"/>
  <c r="Z27" i="103"/>
  <c r="Z4" i="106"/>
  <c r="Z28" i="110"/>
  <c r="AL66" i="111"/>
  <c r="AL35" i="472"/>
  <c r="A10" i="114"/>
  <c r="AL18" i="114"/>
  <c r="AX36" i="114"/>
  <c r="Z34" i="115"/>
  <c r="Y27" i="116"/>
  <c r="AY29" i="116"/>
  <c r="Y61" i="116"/>
  <c r="AY22" i="118"/>
  <c r="AX53" i="119"/>
  <c r="Y15" i="120"/>
  <c r="Y28" i="122"/>
  <c r="AL64" i="123"/>
  <c r="AM3" i="125"/>
  <c r="A48" i="125"/>
  <c r="AM21" i="475"/>
  <c r="AL28" i="475"/>
  <c r="Z55" i="475"/>
  <c r="AM20" i="100"/>
  <c r="Z33" i="100"/>
  <c r="A40" i="100"/>
  <c r="A49" i="101"/>
  <c r="Y37" i="105"/>
  <c r="AX78" i="105"/>
  <c r="Y3" i="106"/>
  <c r="AL44" i="106"/>
  <c r="Y8" i="107"/>
  <c r="AL46" i="107"/>
  <c r="AY4" i="108"/>
  <c r="AM29" i="112"/>
  <c r="AY69" i="112"/>
  <c r="AX71" i="112"/>
  <c r="Y78" i="472"/>
  <c r="AY45" i="472"/>
  <c r="Y43" i="115"/>
  <c r="AF43" i="115" s="1"/>
  <c r="Y58" i="124"/>
  <c r="AL18" i="117"/>
  <c r="AM68" i="117"/>
  <c r="AX20" i="118"/>
  <c r="AX37" i="121"/>
  <c r="Z34" i="122"/>
  <c r="AL36" i="475"/>
  <c r="AT36" i="475" s="1"/>
  <c r="Z59" i="475"/>
  <c r="AG59" i="475" s="1"/>
  <c r="AM18" i="101"/>
  <c r="AX44" i="106"/>
  <c r="AY17" i="115"/>
  <c r="AY26" i="116"/>
  <c r="AL37" i="118"/>
  <c r="Z54" i="119"/>
  <c r="Y58" i="120"/>
  <c r="AX13" i="122"/>
  <c r="AM66" i="100"/>
  <c r="AY12" i="103"/>
  <c r="AX8" i="105"/>
  <c r="AY66" i="105"/>
  <c r="A37" i="107"/>
  <c r="AX41" i="108"/>
  <c r="AL15" i="111"/>
  <c r="Z48" i="111"/>
  <c r="AM20" i="472"/>
  <c r="A11" i="114"/>
  <c r="Z68" i="115"/>
  <c r="AL32" i="124"/>
  <c r="AM54" i="124"/>
  <c r="AM66" i="116"/>
  <c r="AX38" i="119"/>
  <c r="AX8" i="120"/>
  <c r="Z13" i="125"/>
  <c r="AS4" i="475"/>
  <c r="AX35" i="475"/>
  <c r="AL41" i="100"/>
  <c r="Y4" i="103"/>
  <c r="AI4" i="103" s="1"/>
  <c r="AY55" i="103"/>
  <c r="AL44" i="108"/>
  <c r="Z48" i="108"/>
  <c r="AX64" i="111"/>
  <c r="AM52" i="112"/>
  <c r="AL28" i="472"/>
  <c r="AX4" i="114"/>
  <c r="Y24" i="114"/>
  <c r="A35" i="114"/>
  <c r="Z40" i="114"/>
  <c r="AM25" i="124"/>
  <c r="Y48" i="124"/>
  <c r="AL58" i="124"/>
  <c r="AT58" i="124" s="1"/>
  <c r="AY33" i="119"/>
  <c r="Z54" i="120"/>
  <c r="Z66" i="121"/>
  <c r="AG66" i="121" s="1"/>
  <c r="AX45" i="122"/>
  <c r="Y24" i="123"/>
  <c r="AY4" i="475"/>
  <c r="AY24" i="101"/>
  <c r="AL58" i="102"/>
  <c r="AL4" i="103"/>
  <c r="AS4" i="103" s="1"/>
  <c r="A12" i="103"/>
  <c r="Z41" i="104"/>
  <c r="AG41" i="104" s="1"/>
  <c r="Z40" i="106"/>
  <c r="A48" i="106"/>
  <c r="AL17" i="107"/>
  <c r="Y40" i="107"/>
  <c r="Y16" i="108"/>
  <c r="AY48" i="108"/>
  <c r="AY45" i="110"/>
  <c r="AM56" i="110"/>
  <c r="Y15" i="112"/>
  <c r="AX28" i="472"/>
  <c r="Z61" i="472"/>
  <c r="AL24" i="114"/>
  <c r="A44" i="114"/>
  <c r="Y4" i="115"/>
  <c r="AC4" i="115" s="1"/>
  <c r="AL21" i="115"/>
  <c r="AM60" i="115"/>
  <c r="Z27" i="124"/>
  <c r="Y39" i="124"/>
  <c r="AL4" i="117"/>
  <c r="AN4" i="117" s="1"/>
  <c r="AX26" i="117"/>
  <c r="A27" i="118"/>
  <c r="Z30" i="120"/>
  <c r="AL25" i="122"/>
  <c r="AL56" i="122"/>
  <c r="AM21" i="123"/>
  <c r="AY25" i="123"/>
  <c r="AY56" i="123"/>
  <c r="Z56" i="125"/>
  <c r="Z55" i="100"/>
  <c r="AX9" i="102"/>
  <c r="AX40" i="107"/>
  <c r="AY14" i="108"/>
  <c r="AX16" i="108"/>
  <c r="A42" i="111"/>
  <c r="A50" i="111"/>
  <c r="AY52" i="112"/>
  <c r="Y38" i="472"/>
  <c r="Y8" i="114"/>
  <c r="AX24" i="114"/>
  <c r="Y46" i="115"/>
  <c r="AY27" i="124"/>
  <c r="AL39" i="124"/>
  <c r="Z65" i="116"/>
  <c r="AX20" i="120"/>
  <c r="AL27" i="120"/>
  <c r="G79" i="121"/>
  <c r="G77" i="121" s="1"/>
  <c r="G8" i="121" s="1"/>
  <c r="Y3" i="122"/>
  <c r="AM3" i="123"/>
  <c r="AM27" i="125"/>
  <c r="Z29" i="125"/>
  <c r="AM60" i="125"/>
  <c r="AY67" i="475"/>
  <c r="AL42" i="100"/>
  <c r="AM20" i="103"/>
  <c r="AM27" i="103"/>
  <c r="AL48" i="103"/>
  <c r="AL15" i="107"/>
  <c r="Z3" i="108"/>
  <c r="AX4" i="108"/>
  <c r="Y26" i="108"/>
  <c r="AX31" i="110"/>
  <c r="Z22" i="112"/>
  <c r="AY58" i="115"/>
  <c r="AX26" i="124"/>
  <c r="AX37" i="124"/>
  <c r="AM3" i="118"/>
  <c r="AS3" i="118" s="1"/>
  <c r="AL44" i="118"/>
  <c r="AU44" i="118" s="1"/>
  <c r="Y48" i="118"/>
  <c r="Z17" i="119"/>
  <c r="AX19" i="119"/>
  <c r="AL3" i="122"/>
  <c r="AY27" i="125"/>
  <c r="AY60" i="125"/>
  <c r="AY36" i="475"/>
  <c r="AX43" i="101"/>
  <c r="AY39" i="102"/>
  <c r="Z12" i="103"/>
  <c r="AM44" i="103"/>
  <c r="AL4" i="105"/>
  <c r="Y8" i="105"/>
  <c r="Z32" i="105"/>
  <c r="Y57" i="105"/>
  <c r="AM66" i="105"/>
  <c r="AL26" i="108"/>
  <c r="AY43" i="108"/>
  <c r="Y69" i="108"/>
  <c r="A35" i="110"/>
  <c r="AM18" i="111"/>
  <c r="AY69" i="111"/>
  <c r="AC73" i="112"/>
  <c r="AY43" i="472"/>
  <c r="A34" i="115"/>
  <c r="A20" i="116"/>
  <c r="AL26" i="116"/>
  <c r="AM38" i="117"/>
  <c r="G79" i="117"/>
  <c r="G77" i="117" s="1"/>
  <c r="G8" i="117" s="1"/>
  <c r="AM29" i="121"/>
  <c r="A49" i="122"/>
  <c r="Y35" i="475"/>
  <c r="Y32" i="111"/>
  <c r="AX32" i="111"/>
  <c r="AY34" i="111"/>
  <c r="Z34" i="111"/>
  <c r="AI34" i="111" s="1"/>
  <c r="AM26" i="112"/>
  <c r="AP26" i="112" s="1"/>
  <c r="AY26" i="112"/>
  <c r="AX28" i="112"/>
  <c r="AL28" i="112"/>
  <c r="AY55" i="115"/>
  <c r="Z55" i="115"/>
  <c r="AM36" i="124"/>
  <c r="Z36" i="124"/>
  <c r="AY44" i="116"/>
  <c r="Z44" i="116"/>
  <c r="Y21" i="101"/>
  <c r="AX48" i="103"/>
  <c r="Y53" i="103"/>
  <c r="AX15" i="107"/>
  <c r="Z49" i="108"/>
  <c r="Y11" i="111"/>
  <c r="AX11" i="111"/>
  <c r="AL36" i="112"/>
  <c r="Y36" i="112"/>
  <c r="AL4" i="472"/>
  <c r="AX3" i="114"/>
  <c r="AY18" i="115"/>
  <c r="AM18" i="115"/>
  <c r="AY44" i="115"/>
  <c r="AM44" i="115"/>
  <c r="AY16" i="116"/>
  <c r="Z16" i="116"/>
  <c r="AX4" i="119"/>
  <c r="AX21" i="121"/>
  <c r="Y21" i="121"/>
  <c r="AX48" i="125"/>
  <c r="A51" i="125"/>
  <c r="Y48" i="125"/>
  <c r="AL37" i="100"/>
  <c r="AX69" i="100"/>
  <c r="AX40" i="102"/>
  <c r="AY78" i="102"/>
  <c r="AM37" i="103"/>
  <c r="AM56" i="103"/>
  <c r="Y59" i="103"/>
  <c r="AM31" i="105"/>
  <c r="A54" i="105"/>
  <c r="AM4" i="106"/>
  <c r="AT4" i="106" s="1"/>
  <c r="AM52" i="106"/>
  <c r="Y18" i="107"/>
  <c r="AL59" i="107"/>
  <c r="Y32" i="108"/>
  <c r="A48" i="108"/>
  <c r="AM49" i="108"/>
  <c r="AS49" i="108" s="1"/>
  <c r="Y29" i="112"/>
  <c r="Y51" i="112"/>
  <c r="AY31" i="115"/>
  <c r="Z44" i="115"/>
  <c r="AM55" i="115"/>
  <c r="AX58" i="115"/>
  <c r="AX3" i="124"/>
  <c r="Y3" i="124"/>
  <c r="AL8" i="124"/>
  <c r="AX8" i="124"/>
  <c r="A11" i="124"/>
  <c r="Z18" i="124"/>
  <c r="AM18" i="124"/>
  <c r="AY18" i="124"/>
  <c r="Z52" i="124"/>
  <c r="AY52" i="124"/>
  <c r="AL16" i="117"/>
  <c r="AO16" i="117" s="1"/>
  <c r="AX16" i="117"/>
  <c r="AL3" i="100"/>
  <c r="Z49" i="100"/>
  <c r="AL27" i="101"/>
  <c r="AL45" i="101"/>
  <c r="Z63" i="101"/>
  <c r="AX30" i="102"/>
  <c r="Z73" i="102"/>
  <c r="AM78" i="104"/>
  <c r="AQ78" i="104" s="1"/>
  <c r="AX59" i="105"/>
  <c r="Z42" i="106"/>
  <c r="Y3" i="107"/>
  <c r="Z53" i="107"/>
  <c r="Z3" i="472"/>
  <c r="AM3" i="472"/>
  <c r="AY8" i="114"/>
  <c r="AY8" i="115"/>
  <c r="AM8" i="115"/>
  <c r="AY29" i="115"/>
  <c r="Z29" i="115"/>
  <c r="A45" i="116"/>
  <c r="AL78" i="116"/>
  <c r="AY58" i="118"/>
  <c r="AM58" i="118"/>
  <c r="AL67" i="123"/>
  <c r="AX67" i="123"/>
  <c r="AL48" i="125"/>
  <c r="AY49" i="100"/>
  <c r="A33" i="101"/>
  <c r="Y24" i="102"/>
  <c r="AX32" i="102"/>
  <c r="AM73" i="102"/>
  <c r="AY4" i="103"/>
  <c r="AM11" i="103"/>
  <c r="Y43" i="103"/>
  <c r="Y46" i="103"/>
  <c r="AY54" i="104"/>
  <c r="Z34" i="105"/>
  <c r="Z58" i="106"/>
  <c r="Z3" i="107"/>
  <c r="Z4" i="107"/>
  <c r="AY21" i="107"/>
  <c r="AX66" i="107"/>
  <c r="AX17" i="108"/>
  <c r="AY24" i="112"/>
  <c r="AX34" i="112"/>
  <c r="AL34" i="112"/>
  <c r="AX51" i="112"/>
  <c r="AY3" i="472"/>
  <c r="AY42" i="114"/>
  <c r="Z36" i="115"/>
  <c r="AL53" i="120"/>
  <c r="Z31" i="475"/>
  <c r="AM31" i="475"/>
  <c r="AM36" i="106"/>
  <c r="AM4" i="107"/>
  <c r="A64" i="108"/>
  <c r="AX61" i="108"/>
  <c r="AX10" i="472"/>
  <c r="Y10" i="472"/>
  <c r="Z34" i="472"/>
  <c r="AM34" i="472"/>
  <c r="AL48" i="472"/>
  <c r="A51" i="472"/>
  <c r="AX48" i="472"/>
  <c r="AM26" i="114"/>
  <c r="AO26" i="114" s="1"/>
  <c r="AY60" i="114"/>
  <c r="Z60" i="114"/>
  <c r="AM60" i="114"/>
  <c r="AT4" i="115"/>
  <c r="AS4" i="115"/>
  <c r="AL30" i="115"/>
  <c r="AX30" i="115"/>
  <c r="AM50" i="118"/>
  <c r="AY50" i="118"/>
  <c r="Z50" i="118"/>
  <c r="Z58" i="118"/>
  <c r="AB58" i="118" s="1"/>
  <c r="AX69" i="120"/>
  <c r="A71" i="120"/>
  <c r="AY8" i="100"/>
  <c r="AL16" i="100"/>
  <c r="AY33" i="100"/>
  <c r="AL43" i="100"/>
  <c r="AX29" i="101"/>
  <c r="AD73" i="101"/>
  <c r="Z70" i="102"/>
  <c r="AY41" i="104"/>
  <c r="AL58" i="104"/>
  <c r="AM3" i="107"/>
  <c r="Y17" i="107"/>
  <c r="A29" i="107"/>
  <c r="Y41" i="108"/>
  <c r="AY17" i="110"/>
  <c r="A65" i="110"/>
  <c r="Y63" i="110"/>
  <c r="A55" i="112"/>
  <c r="Y52" i="112"/>
  <c r="A27" i="472"/>
  <c r="Y24" i="472"/>
  <c r="AL44" i="472"/>
  <c r="Y44" i="472"/>
  <c r="Z4" i="114"/>
  <c r="A20" i="114"/>
  <c r="AX17" i="114"/>
  <c r="A34" i="114"/>
  <c r="Y31" i="114"/>
  <c r="Y30" i="115"/>
  <c r="AG30" i="115" s="1"/>
  <c r="Y38" i="124"/>
  <c r="Y15" i="116"/>
  <c r="AX15" i="116"/>
  <c r="A66" i="117"/>
  <c r="AL64" i="117"/>
  <c r="Y56" i="119"/>
  <c r="AL53" i="100"/>
  <c r="AT53" i="100" s="1"/>
  <c r="AL23" i="101"/>
  <c r="Z31" i="102"/>
  <c r="AX36" i="103"/>
  <c r="Y48" i="103"/>
  <c r="Z78" i="106"/>
  <c r="G79" i="107"/>
  <c r="G77" i="107" s="1"/>
  <c r="G8" i="107" s="1"/>
  <c r="AM39" i="108"/>
  <c r="Z43" i="108"/>
  <c r="Z26" i="112"/>
  <c r="Z49" i="112"/>
  <c r="AM49" i="112"/>
  <c r="A31" i="115"/>
  <c r="AX4" i="124"/>
  <c r="AL4" i="124"/>
  <c r="AP4" i="124" s="1"/>
  <c r="Z41" i="124"/>
  <c r="AY66" i="124"/>
  <c r="Y69" i="124"/>
  <c r="Z21" i="120"/>
  <c r="AY26" i="122"/>
  <c r="AM26" i="122"/>
  <c r="Z26" i="122"/>
  <c r="Y15" i="111"/>
  <c r="AM33" i="115"/>
  <c r="Z3" i="117"/>
  <c r="AX43" i="117"/>
  <c r="AX46" i="117"/>
  <c r="Z50" i="117"/>
  <c r="AL24" i="118"/>
  <c r="AY38" i="118"/>
  <c r="Y43" i="119"/>
  <c r="Y53" i="119"/>
  <c r="G79" i="119"/>
  <c r="G77" i="119" s="1"/>
  <c r="G8" i="119" s="1"/>
  <c r="AX15" i="120"/>
  <c r="Z44" i="120"/>
  <c r="AX4" i="122"/>
  <c r="AX8" i="122"/>
  <c r="AX20" i="122"/>
  <c r="Z19" i="123"/>
  <c r="AX67" i="475"/>
  <c r="AL57" i="112"/>
  <c r="Z13" i="118"/>
  <c r="AY24" i="118"/>
  <c r="AY65" i="119"/>
  <c r="Y24" i="120"/>
  <c r="AY63" i="120"/>
  <c r="Z34" i="475"/>
  <c r="Y4" i="111"/>
  <c r="AM10" i="111"/>
  <c r="AL36" i="114"/>
  <c r="AM49" i="114"/>
  <c r="AR49" i="114" s="1"/>
  <c r="AX17" i="115"/>
  <c r="AL43" i="115"/>
  <c r="AY60" i="115"/>
  <c r="Z40" i="124"/>
  <c r="AX48" i="124"/>
  <c r="AX4" i="116"/>
  <c r="AL48" i="116"/>
  <c r="AY15" i="117"/>
  <c r="AM31" i="117"/>
  <c r="AM33" i="117"/>
  <c r="AY13" i="118"/>
  <c r="AY20" i="118"/>
  <c r="AY4" i="119"/>
  <c r="AM50" i="119"/>
  <c r="AM52" i="119"/>
  <c r="Z71" i="119"/>
  <c r="Y4" i="120"/>
  <c r="Z16" i="120"/>
  <c r="Z4" i="121"/>
  <c r="Z78" i="122"/>
  <c r="Z53" i="122"/>
  <c r="Y56" i="122"/>
  <c r="Z30" i="123"/>
  <c r="Z56" i="123"/>
  <c r="Z59" i="123"/>
  <c r="Z33" i="125"/>
  <c r="G79" i="125"/>
  <c r="G77" i="125" s="1"/>
  <c r="G8" i="125" s="1"/>
  <c r="Y28" i="475"/>
  <c r="AM30" i="118"/>
  <c r="Y19" i="119"/>
  <c r="AM71" i="119"/>
  <c r="AO4" i="110"/>
  <c r="AY23" i="111"/>
  <c r="AY78" i="112"/>
  <c r="AS66" i="124"/>
  <c r="AX26" i="116"/>
  <c r="A29" i="117"/>
  <c r="Z69" i="117"/>
  <c r="AY71" i="117"/>
  <c r="AL19" i="119"/>
  <c r="AM45" i="119"/>
  <c r="AM66" i="119"/>
  <c r="A27" i="120"/>
  <c r="AM29" i="120"/>
  <c r="AX43" i="120"/>
  <c r="Z45" i="120"/>
  <c r="A39" i="121"/>
  <c r="Y36" i="125"/>
  <c r="AX28" i="475"/>
  <c r="AM50" i="475"/>
  <c r="Z65" i="123"/>
  <c r="AX36" i="125"/>
  <c r="Z48" i="115"/>
  <c r="Y13" i="116"/>
  <c r="AL24" i="116"/>
  <c r="A27" i="116"/>
  <c r="AY27" i="117"/>
  <c r="Z67" i="117"/>
  <c r="AY60" i="118"/>
  <c r="AL29" i="119"/>
  <c r="Y20" i="122"/>
  <c r="AL67" i="475"/>
  <c r="AM3" i="102"/>
  <c r="Z3" i="102"/>
  <c r="AM16" i="102"/>
  <c r="Z16" i="102"/>
  <c r="AY3" i="103"/>
  <c r="AM3" i="103"/>
  <c r="Z3" i="103"/>
  <c r="Z15" i="104"/>
  <c r="AD15" i="104" s="1"/>
  <c r="AY15" i="104"/>
  <c r="AM15" i="104"/>
  <c r="AR15" i="104" s="1"/>
  <c r="AM20" i="105"/>
  <c r="AY20" i="105"/>
  <c r="AL31" i="105"/>
  <c r="Y31" i="105"/>
  <c r="AY58" i="105"/>
  <c r="AM58" i="105"/>
  <c r="Z58" i="105"/>
  <c r="Y57" i="106"/>
  <c r="AX57" i="106"/>
  <c r="A43" i="107"/>
  <c r="AX41" i="107"/>
  <c r="Y41" i="107"/>
  <c r="Z21" i="100"/>
  <c r="AC21" i="100" s="1"/>
  <c r="AY21" i="100"/>
  <c r="AY32" i="100"/>
  <c r="AM32" i="100"/>
  <c r="AL48" i="100"/>
  <c r="Z70" i="100"/>
  <c r="AM70" i="100"/>
  <c r="AM4" i="101"/>
  <c r="AT4" i="101" s="1"/>
  <c r="AX23" i="101"/>
  <c r="AM56" i="101"/>
  <c r="Y69" i="101"/>
  <c r="AA69" i="101" s="1"/>
  <c r="AA68" i="101" s="1"/>
  <c r="AY3" i="102"/>
  <c r="AM13" i="102"/>
  <c r="AY13" i="102"/>
  <c r="AY46" i="102"/>
  <c r="AM59" i="102"/>
  <c r="AM4" i="104"/>
  <c r="AY4" i="104"/>
  <c r="Z4" i="104"/>
  <c r="Y25" i="104"/>
  <c r="AI25" i="104" s="1"/>
  <c r="AX25" i="104"/>
  <c r="Z27" i="104"/>
  <c r="AY27" i="104"/>
  <c r="AX59" i="104"/>
  <c r="Y59" i="104"/>
  <c r="Z20" i="105"/>
  <c r="Y21" i="105"/>
  <c r="AM65" i="105"/>
  <c r="Z65" i="105"/>
  <c r="AY65" i="105"/>
  <c r="AY55" i="108"/>
  <c r="AM55" i="108"/>
  <c r="Z55" i="108"/>
  <c r="AL4" i="100"/>
  <c r="Y4" i="100"/>
  <c r="A12" i="100"/>
  <c r="Y9" i="100"/>
  <c r="Y38" i="100"/>
  <c r="AL38" i="100"/>
  <c r="Z34" i="101"/>
  <c r="AY34" i="101"/>
  <c r="AX40" i="101"/>
  <c r="Y40" i="101"/>
  <c r="Y48" i="101"/>
  <c r="AX48" i="101"/>
  <c r="AY48" i="102"/>
  <c r="AM48" i="102"/>
  <c r="AM61" i="103"/>
  <c r="AY61" i="103"/>
  <c r="Z42" i="104"/>
  <c r="AM42" i="104"/>
  <c r="AX18" i="105"/>
  <c r="AM53" i="105"/>
  <c r="Z53" i="105"/>
  <c r="AY54" i="106"/>
  <c r="AX4" i="100"/>
  <c r="A35" i="101"/>
  <c r="AX32" i="101"/>
  <c r="AX27" i="102"/>
  <c r="A30" i="102"/>
  <c r="Y27" i="102"/>
  <c r="AY28" i="103"/>
  <c r="AM28" i="103"/>
  <c r="Z28" i="103"/>
  <c r="AG28" i="103" s="1"/>
  <c r="AY3" i="105"/>
  <c r="AM3" i="105"/>
  <c r="AU3" i="105" s="1"/>
  <c r="Z3" i="105"/>
  <c r="A44" i="105"/>
  <c r="Y42" i="105"/>
  <c r="AX42" i="105"/>
  <c r="A55" i="106"/>
  <c r="Y52" i="106"/>
  <c r="AL52" i="106"/>
  <c r="AY19" i="100"/>
  <c r="AM19" i="100"/>
  <c r="Z24" i="100"/>
  <c r="AY24" i="100"/>
  <c r="AF43" i="100"/>
  <c r="AY57" i="100"/>
  <c r="AL63" i="100"/>
  <c r="AY4" i="101"/>
  <c r="Y63" i="101"/>
  <c r="AL27" i="102"/>
  <c r="AT27" i="102" s="1"/>
  <c r="AL34" i="102"/>
  <c r="A37" i="102"/>
  <c r="AX34" i="102"/>
  <c r="AY44" i="102"/>
  <c r="Z48" i="102"/>
  <c r="AY59" i="103"/>
  <c r="AM59" i="103"/>
  <c r="AL42" i="105"/>
  <c r="AL35" i="106"/>
  <c r="Y35" i="106"/>
  <c r="AL46" i="106"/>
  <c r="Y46" i="106"/>
  <c r="AX78" i="107"/>
  <c r="Y78" i="107"/>
  <c r="A45" i="107"/>
  <c r="AM65" i="100"/>
  <c r="Z65" i="100"/>
  <c r="A31" i="101"/>
  <c r="Y28" i="101"/>
  <c r="AL41" i="101"/>
  <c r="A43" i="101"/>
  <c r="Y41" i="101"/>
  <c r="AB41" i="101" s="1"/>
  <c r="AX23" i="102"/>
  <c r="AL23" i="102"/>
  <c r="AY44" i="105"/>
  <c r="AY3" i="100"/>
  <c r="AM3" i="100"/>
  <c r="AY17" i="100"/>
  <c r="Z17" i="100"/>
  <c r="AX34" i="100"/>
  <c r="A37" i="100"/>
  <c r="AX43" i="100"/>
  <c r="AX37" i="102"/>
  <c r="Y78" i="102"/>
  <c r="Z58" i="102"/>
  <c r="AM58" i="102"/>
  <c r="AY18" i="104"/>
  <c r="AM18" i="104"/>
  <c r="Z18" i="104"/>
  <c r="AL16" i="105"/>
  <c r="AY40" i="105"/>
  <c r="Z40" i="105"/>
  <c r="AL67" i="105"/>
  <c r="AY59" i="100"/>
  <c r="Z59" i="100"/>
  <c r="AI59" i="100" s="1"/>
  <c r="AX69" i="101"/>
  <c r="AL69" i="101"/>
  <c r="AY4" i="102"/>
  <c r="AM4" i="102"/>
  <c r="AU4" i="102" s="1"/>
  <c r="Z4" i="102"/>
  <c r="AL28" i="102"/>
  <c r="AP28" i="102" s="1"/>
  <c r="A31" i="102"/>
  <c r="AX28" i="102"/>
  <c r="Y28" i="102"/>
  <c r="AY50" i="102"/>
  <c r="AM50" i="102"/>
  <c r="AM10" i="103"/>
  <c r="AY10" i="103"/>
  <c r="AY54" i="103"/>
  <c r="AM54" i="103"/>
  <c r="Z54" i="103"/>
  <c r="AX57" i="103"/>
  <c r="Y57" i="103"/>
  <c r="A38" i="105"/>
  <c r="AL35" i="105"/>
  <c r="AY67" i="105"/>
  <c r="Z67" i="105"/>
  <c r="Z3" i="101"/>
  <c r="AX27" i="101"/>
  <c r="AX36" i="101"/>
  <c r="Z55" i="101"/>
  <c r="AL67" i="101"/>
  <c r="AX46" i="103"/>
  <c r="Y20" i="106"/>
  <c r="AL20" i="106"/>
  <c r="AX59" i="107"/>
  <c r="AU3" i="108"/>
  <c r="A41" i="108"/>
  <c r="Y38" i="108"/>
  <c r="Z46" i="108"/>
  <c r="AM46" i="108"/>
  <c r="AL25" i="110"/>
  <c r="AX25" i="110"/>
  <c r="AX27" i="110"/>
  <c r="Y27" i="110"/>
  <c r="AL54" i="110"/>
  <c r="AX54" i="110"/>
  <c r="Z24" i="111"/>
  <c r="AY24" i="111"/>
  <c r="AM24" i="111"/>
  <c r="AM55" i="114"/>
  <c r="AY55" i="114"/>
  <c r="AA19" i="100"/>
  <c r="AM3" i="101"/>
  <c r="G79" i="101"/>
  <c r="G77" i="101" s="1"/>
  <c r="G8" i="101" s="1"/>
  <c r="AY8" i="102"/>
  <c r="AL30" i="102"/>
  <c r="AM41" i="102"/>
  <c r="AM45" i="102"/>
  <c r="AL71" i="102"/>
  <c r="Y9" i="103"/>
  <c r="AP9" i="103"/>
  <c r="AX40" i="103"/>
  <c r="Z44" i="103"/>
  <c r="AM19" i="105"/>
  <c r="AM24" i="106"/>
  <c r="AQ24" i="106" s="1"/>
  <c r="AY24" i="106"/>
  <c r="Z24" i="106"/>
  <c r="AX49" i="106"/>
  <c r="AL49" i="106"/>
  <c r="AY53" i="106"/>
  <c r="AM53" i="106"/>
  <c r="AX58" i="106"/>
  <c r="Y26" i="107"/>
  <c r="Y17" i="108"/>
  <c r="A20" i="108"/>
  <c r="AM66" i="108"/>
  <c r="AY66" i="108"/>
  <c r="AM48" i="110"/>
  <c r="Z48" i="110"/>
  <c r="AM55" i="472"/>
  <c r="AY55" i="472"/>
  <c r="Z55" i="472"/>
  <c r="AM3" i="124"/>
  <c r="Z3" i="124"/>
  <c r="AY3" i="124"/>
  <c r="G79" i="105"/>
  <c r="G77" i="105" s="1"/>
  <c r="G8" i="105" s="1"/>
  <c r="Z3" i="106"/>
  <c r="AM3" i="106"/>
  <c r="AM17" i="106"/>
  <c r="AY17" i="106"/>
  <c r="AX30" i="106"/>
  <c r="Z66" i="106"/>
  <c r="AY66" i="106"/>
  <c r="Y4" i="107"/>
  <c r="AL26" i="107"/>
  <c r="AY36" i="107"/>
  <c r="Z36" i="107"/>
  <c r="Y4" i="108"/>
  <c r="AD4" i="108" s="1"/>
  <c r="AM27" i="108"/>
  <c r="Z27" i="108"/>
  <c r="AM34" i="108"/>
  <c r="AY34" i="108"/>
  <c r="Z66" i="108"/>
  <c r="AM12" i="110"/>
  <c r="Z12" i="110"/>
  <c r="Y42" i="111"/>
  <c r="A44" i="111"/>
  <c r="AL42" i="111"/>
  <c r="AU42" i="111" s="1"/>
  <c r="AY30" i="106"/>
  <c r="AM30" i="106"/>
  <c r="Z65" i="106"/>
  <c r="AX18" i="107"/>
  <c r="AM58" i="108"/>
  <c r="AY58" i="108"/>
  <c r="A71" i="111"/>
  <c r="AX10" i="115"/>
  <c r="A10" i="118"/>
  <c r="AY28" i="121"/>
  <c r="AM28" i="121"/>
  <c r="Z28" i="121"/>
  <c r="Y56" i="110"/>
  <c r="AX43" i="112"/>
  <c r="AL43" i="112"/>
  <c r="Y20" i="117"/>
  <c r="AY38" i="104"/>
  <c r="AY42" i="105"/>
  <c r="AM42" i="105"/>
  <c r="A32" i="106"/>
  <c r="Y29" i="106"/>
  <c r="Z23" i="107"/>
  <c r="AE23" i="107" s="1"/>
  <c r="AY23" i="107"/>
  <c r="AX10" i="108"/>
  <c r="AL16" i="108"/>
  <c r="A31" i="108"/>
  <c r="AL37" i="108"/>
  <c r="Z22" i="110"/>
  <c r="AY22" i="110"/>
  <c r="A73" i="111"/>
  <c r="AX71" i="111"/>
  <c r="AX56" i="112"/>
  <c r="AL56" i="112"/>
  <c r="AM69" i="472"/>
  <c r="AY69" i="472"/>
  <c r="Y61" i="115"/>
  <c r="A64" i="115"/>
  <c r="AX8" i="119"/>
  <c r="AL8" i="119"/>
  <c r="Y8" i="119"/>
  <c r="A11" i="119"/>
  <c r="AY23" i="106"/>
  <c r="Z23" i="106"/>
  <c r="AG23" i="106" s="1"/>
  <c r="Z61" i="107"/>
  <c r="AY61" i="107"/>
  <c r="Z63" i="108"/>
  <c r="AY63" i="108"/>
  <c r="AM63" i="108"/>
  <c r="AM22" i="110"/>
  <c r="AM38" i="112"/>
  <c r="Z38" i="112"/>
  <c r="AY64" i="472"/>
  <c r="AM64" i="472"/>
  <c r="Z64" i="472"/>
  <c r="AY16" i="117"/>
  <c r="AY16" i="111"/>
  <c r="Z16" i="111"/>
  <c r="AB16" i="111" s="1"/>
  <c r="AL31" i="111"/>
  <c r="A34" i="111"/>
  <c r="Y31" i="111"/>
  <c r="A79" i="111"/>
  <c r="AY38" i="112"/>
  <c r="AM58" i="472"/>
  <c r="AY58" i="472"/>
  <c r="Z58" i="472"/>
  <c r="AL10" i="110"/>
  <c r="AY46" i="110"/>
  <c r="AY3" i="111"/>
  <c r="Z4" i="472"/>
  <c r="AM4" i="472"/>
  <c r="AY11" i="472"/>
  <c r="Z11" i="472"/>
  <c r="A20" i="472"/>
  <c r="AL17" i="472"/>
  <c r="Z31" i="472"/>
  <c r="AY31" i="472"/>
  <c r="AY60" i="472"/>
  <c r="AM60" i="472"/>
  <c r="Z22" i="114"/>
  <c r="AM22" i="114"/>
  <c r="AY70" i="115"/>
  <c r="Z70" i="115"/>
  <c r="A40" i="116"/>
  <c r="G79" i="116"/>
  <c r="G77" i="116" s="1"/>
  <c r="G8" i="116" s="1"/>
  <c r="Z12" i="117"/>
  <c r="AY12" i="117"/>
  <c r="AM12" i="117"/>
  <c r="AL41" i="118"/>
  <c r="AP41" i="118" s="1"/>
  <c r="AL64" i="118"/>
  <c r="Y64" i="118"/>
  <c r="AM16" i="120"/>
  <c r="AM71" i="120"/>
  <c r="AY71" i="120"/>
  <c r="AL4" i="121"/>
  <c r="Y4" i="121"/>
  <c r="AM70" i="123"/>
  <c r="AY70" i="123"/>
  <c r="Z70" i="125"/>
  <c r="AM70" i="125"/>
  <c r="AY48" i="123"/>
  <c r="AM48" i="123"/>
  <c r="Z48" i="123"/>
  <c r="AY63" i="106"/>
  <c r="Z64" i="108"/>
  <c r="AX42" i="110"/>
  <c r="AX53" i="111"/>
  <c r="Z56" i="111"/>
  <c r="Z65" i="111"/>
  <c r="AX48" i="112"/>
  <c r="AG73" i="112"/>
  <c r="AD73" i="112"/>
  <c r="AM27" i="472"/>
  <c r="AY27" i="472"/>
  <c r="AX29" i="472"/>
  <c r="AL29" i="472"/>
  <c r="G79" i="472"/>
  <c r="G77" i="472" s="1"/>
  <c r="G8" i="472" s="1"/>
  <c r="AX21" i="114"/>
  <c r="A31" i="114"/>
  <c r="AX28" i="114"/>
  <c r="Z58" i="114"/>
  <c r="AY58" i="114"/>
  <c r="AM30" i="115"/>
  <c r="AM41" i="115"/>
  <c r="Z41" i="115"/>
  <c r="AM63" i="124"/>
  <c r="AY63" i="124"/>
  <c r="A41" i="116"/>
  <c r="AX38" i="116"/>
  <c r="Y52" i="116"/>
  <c r="Y42" i="117"/>
  <c r="AY68" i="117"/>
  <c r="AY10" i="119"/>
  <c r="AM10" i="119"/>
  <c r="Z10" i="119"/>
  <c r="AL49" i="120"/>
  <c r="Y49" i="120"/>
  <c r="Z68" i="120"/>
  <c r="AM68" i="120"/>
  <c r="A71" i="122"/>
  <c r="Y69" i="122"/>
  <c r="Y32" i="123"/>
  <c r="AX32" i="123"/>
  <c r="AL34" i="107"/>
  <c r="Y45" i="107"/>
  <c r="Z8" i="108"/>
  <c r="Y30" i="108"/>
  <c r="AM64" i="108"/>
  <c r="AY18" i="111"/>
  <c r="AM33" i="111"/>
  <c r="Z35" i="111"/>
  <c r="AM65" i="111"/>
  <c r="AM67" i="111"/>
  <c r="Y27" i="112"/>
  <c r="AM65" i="112"/>
  <c r="AY9" i="472"/>
  <c r="AL32" i="472"/>
  <c r="AX32" i="472"/>
  <c r="AX39" i="472"/>
  <c r="Y39" i="472"/>
  <c r="AC39" i="472" s="1"/>
  <c r="AM43" i="472"/>
  <c r="AM13" i="114"/>
  <c r="AG21" i="114"/>
  <c r="AX56" i="114"/>
  <c r="AY16" i="124"/>
  <c r="Z16" i="124"/>
  <c r="AY56" i="124"/>
  <c r="Z56" i="124"/>
  <c r="AL46" i="116"/>
  <c r="Y46" i="116"/>
  <c r="AY58" i="116"/>
  <c r="Z58" i="116"/>
  <c r="AX66" i="116"/>
  <c r="Y34" i="117"/>
  <c r="AG34" i="117" s="1"/>
  <c r="A37" i="117"/>
  <c r="AY65" i="117"/>
  <c r="Z65" i="117"/>
  <c r="Y3" i="119"/>
  <c r="AM66" i="120"/>
  <c r="AY66" i="120"/>
  <c r="AY38" i="122"/>
  <c r="Z38" i="122"/>
  <c r="AY39" i="475"/>
  <c r="Z39" i="475"/>
  <c r="AN4" i="110"/>
  <c r="AX25" i="472"/>
  <c r="A41" i="114"/>
  <c r="AY4" i="115"/>
  <c r="G79" i="115"/>
  <c r="G77" i="115" s="1"/>
  <c r="G8" i="115" s="1"/>
  <c r="A79" i="115"/>
  <c r="Y24" i="124"/>
  <c r="AG24" i="124" s="1"/>
  <c r="A27" i="124"/>
  <c r="AY60" i="124"/>
  <c r="Z60" i="124"/>
  <c r="AM69" i="124"/>
  <c r="Z69" i="124"/>
  <c r="A28" i="116"/>
  <c r="AL52" i="116"/>
  <c r="Z4" i="117"/>
  <c r="AX9" i="117"/>
  <c r="AL9" i="117"/>
  <c r="AX34" i="117"/>
  <c r="AX3" i="118"/>
  <c r="Y3" i="118"/>
  <c r="Z4" i="118"/>
  <c r="AM4" i="118"/>
  <c r="AS4" i="118" s="1"/>
  <c r="AL16" i="118"/>
  <c r="AU16" i="118" s="1"/>
  <c r="A35" i="119"/>
  <c r="Z36" i="119"/>
  <c r="AB36" i="119" s="1"/>
  <c r="Z63" i="119"/>
  <c r="AG63" i="119" s="1"/>
  <c r="AM63" i="119"/>
  <c r="AU63" i="119" s="1"/>
  <c r="AX36" i="120"/>
  <c r="Y36" i="120"/>
  <c r="AL67" i="120"/>
  <c r="AX67" i="120"/>
  <c r="Y67" i="120"/>
  <c r="AY71" i="472"/>
  <c r="Z71" i="472"/>
  <c r="Z9" i="114"/>
  <c r="AC9" i="114" s="1"/>
  <c r="AM9" i="114"/>
  <c r="AX54" i="114"/>
  <c r="Y54" i="114"/>
  <c r="Y57" i="114"/>
  <c r="AL57" i="114"/>
  <c r="Y64" i="114"/>
  <c r="AX64" i="114"/>
  <c r="AY22" i="115"/>
  <c r="Z22" i="115"/>
  <c r="AS58" i="115"/>
  <c r="AR58" i="115"/>
  <c r="Y14" i="118"/>
  <c r="AL14" i="118"/>
  <c r="AY16" i="118"/>
  <c r="Z16" i="118"/>
  <c r="A31" i="118"/>
  <c r="AX28" i="118"/>
  <c r="AL28" i="118"/>
  <c r="Y28" i="118"/>
  <c r="A71" i="118"/>
  <c r="AX69" i="118"/>
  <c r="Y69" i="118"/>
  <c r="AG69" i="118" s="1"/>
  <c r="AG68" i="118" s="1"/>
  <c r="Z3" i="119"/>
  <c r="AM8" i="120"/>
  <c r="AY8" i="120"/>
  <c r="AY18" i="120"/>
  <c r="Z18" i="120"/>
  <c r="AM20" i="475"/>
  <c r="AS20" i="475" s="1"/>
  <c r="AY20" i="475"/>
  <c r="Y61" i="108"/>
  <c r="Y11" i="110"/>
  <c r="Z25" i="110"/>
  <c r="AM32" i="110"/>
  <c r="AL64" i="111"/>
  <c r="AM21" i="112"/>
  <c r="AM23" i="112"/>
  <c r="Z29" i="112"/>
  <c r="AY67" i="112"/>
  <c r="Z67" i="112"/>
  <c r="Y69" i="112"/>
  <c r="AG69" i="112" s="1"/>
  <c r="AG68" i="112" s="1"/>
  <c r="AX69" i="112"/>
  <c r="AM73" i="112"/>
  <c r="Z8" i="114"/>
  <c r="AY69" i="114"/>
  <c r="A12" i="115"/>
  <c r="AL9" i="115"/>
  <c r="Z19" i="115"/>
  <c r="AM19" i="115"/>
  <c r="AX36" i="115"/>
  <c r="A10" i="124"/>
  <c r="AM10" i="124"/>
  <c r="AY10" i="124"/>
  <c r="AL23" i="124"/>
  <c r="AQ23" i="124" s="1"/>
  <c r="A33" i="124"/>
  <c r="Y30" i="124"/>
  <c r="AM24" i="116"/>
  <c r="Z67" i="116"/>
  <c r="AY67" i="116"/>
  <c r="AX4" i="117"/>
  <c r="AM43" i="117"/>
  <c r="Z43" i="117"/>
  <c r="Y53" i="117"/>
  <c r="AX53" i="117"/>
  <c r="AY3" i="118"/>
  <c r="AX8" i="118"/>
  <c r="A11" i="118"/>
  <c r="Z40" i="118"/>
  <c r="AM40" i="118"/>
  <c r="AY66" i="118"/>
  <c r="AM66" i="118"/>
  <c r="AY3" i="119"/>
  <c r="AL21" i="119"/>
  <c r="Z39" i="119"/>
  <c r="Z42" i="119"/>
  <c r="AX23" i="120"/>
  <c r="Y23" i="120"/>
  <c r="AL4" i="125"/>
  <c r="AS4" i="125" s="1"/>
  <c r="Y4" i="125"/>
  <c r="A37" i="125"/>
  <c r="AX34" i="125"/>
  <c r="AL34" i="125"/>
  <c r="Y34" i="125"/>
  <c r="A28" i="475"/>
  <c r="AL25" i="475"/>
  <c r="Y25" i="475"/>
  <c r="AX4" i="110"/>
  <c r="A79" i="112"/>
  <c r="AX13" i="472"/>
  <c r="AL13" i="472"/>
  <c r="AQ13" i="472" s="1"/>
  <c r="Y13" i="472"/>
  <c r="AH13" i="472" s="1"/>
  <c r="AY22" i="472"/>
  <c r="AM22" i="472"/>
  <c r="Z35" i="472"/>
  <c r="AY35" i="472"/>
  <c r="AY40" i="472"/>
  <c r="Z40" i="472"/>
  <c r="AL66" i="472"/>
  <c r="AX66" i="472"/>
  <c r="AM8" i="114"/>
  <c r="AS8" i="114" s="1"/>
  <c r="AX57" i="114"/>
  <c r="AY36" i="115"/>
  <c r="AL3" i="124"/>
  <c r="AM35" i="124"/>
  <c r="Z35" i="124"/>
  <c r="AY39" i="116"/>
  <c r="AL45" i="116"/>
  <c r="A49" i="116"/>
  <c r="A79" i="116"/>
  <c r="A19" i="117"/>
  <c r="AX19" i="120"/>
  <c r="Y19" i="120"/>
  <c r="AM4" i="125"/>
  <c r="Z4" i="125"/>
  <c r="AY4" i="125"/>
  <c r="AM16" i="125"/>
  <c r="AY16" i="125"/>
  <c r="Z16" i="125"/>
  <c r="AX20" i="125"/>
  <c r="Y20" i="125"/>
  <c r="A78" i="125"/>
  <c r="AX40" i="125"/>
  <c r="AL40" i="125"/>
  <c r="Y40" i="125"/>
  <c r="Z35" i="121"/>
  <c r="AY35" i="121"/>
  <c r="AY73" i="121"/>
  <c r="AM73" i="121"/>
  <c r="Z73" i="121"/>
  <c r="AC73" i="121" s="1"/>
  <c r="AL28" i="123"/>
  <c r="AX28" i="123"/>
  <c r="Y38" i="125"/>
  <c r="AX38" i="125"/>
  <c r="AY48" i="475"/>
  <c r="AM48" i="475"/>
  <c r="AU48" i="475" s="1"/>
  <c r="AX34" i="114"/>
  <c r="AY31" i="117"/>
  <c r="Z38" i="117"/>
  <c r="AD38" i="117" s="1"/>
  <c r="Z17" i="118"/>
  <c r="AX26" i="119"/>
  <c r="A29" i="119"/>
  <c r="AM60" i="121"/>
  <c r="Z60" i="121"/>
  <c r="AL18" i="122"/>
  <c r="Y18" i="122"/>
  <c r="Y52" i="122"/>
  <c r="Y45" i="125"/>
  <c r="A49" i="125"/>
  <c r="AX45" i="125"/>
  <c r="AL45" i="125"/>
  <c r="AM59" i="125"/>
  <c r="AY59" i="125"/>
  <c r="Z59" i="125"/>
  <c r="AX9" i="120"/>
  <c r="A12" i="120"/>
  <c r="AM9" i="121"/>
  <c r="AO9" i="121" s="1"/>
  <c r="Z9" i="121"/>
  <c r="AM43" i="122"/>
  <c r="AY43" i="122"/>
  <c r="Y4" i="123"/>
  <c r="AY23" i="123"/>
  <c r="Z23" i="123"/>
  <c r="AY45" i="125"/>
  <c r="Z45" i="125"/>
  <c r="AX40" i="472"/>
  <c r="A33" i="115"/>
  <c r="AA73" i="124"/>
  <c r="G79" i="124"/>
  <c r="G77" i="124" s="1"/>
  <c r="G8" i="124" s="1"/>
  <c r="AX10" i="116"/>
  <c r="Y18" i="117"/>
  <c r="Y41" i="117"/>
  <c r="A46" i="117"/>
  <c r="AM56" i="117"/>
  <c r="A32" i="118"/>
  <c r="AM46" i="118"/>
  <c r="AM71" i="118"/>
  <c r="Z4" i="119"/>
  <c r="A41" i="119"/>
  <c r="AX45" i="119"/>
  <c r="A49" i="119"/>
  <c r="Z64" i="119"/>
  <c r="AY64" i="119"/>
  <c r="AL38" i="120"/>
  <c r="Y38" i="120"/>
  <c r="A41" i="120"/>
  <c r="Z65" i="120"/>
  <c r="AY65" i="120"/>
  <c r="AY3" i="122"/>
  <c r="AY4" i="123"/>
  <c r="AM4" i="123"/>
  <c r="Z4" i="123"/>
  <c r="A55" i="123"/>
  <c r="AL52" i="123"/>
  <c r="Z57" i="123"/>
  <c r="AY49" i="114"/>
  <c r="AX59" i="114"/>
  <c r="AX41" i="117"/>
  <c r="AL21" i="121"/>
  <c r="AM25" i="121"/>
  <c r="AQ25" i="121" s="1"/>
  <c r="Z25" i="121"/>
  <c r="AL54" i="121"/>
  <c r="Y58" i="121"/>
  <c r="AX58" i="121"/>
  <c r="AY3" i="475"/>
  <c r="AM3" i="475"/>
  <c r="Z3" i="475"/>
  <c r="AY15" i="475"/>
  <c r="Z65" i="119"/>
  <c r="Z3" i="120"/>
  <c r="AC4" i="122"/>
  <c r="Z21" i="122"/>
  <c r="AM41" i="122"/>
  <c r="AQ41" i="122" s="1"/>
  <c r="Z52" i="122"/>
  <c r="AY51" i="123"/>
  <c r="AY65" i="123"/>
  <c r="Y67" i="123"/>
  <c r="AM15" i="125"/>
  <c r="Z26" i="125"/>
  <c r="Y4" i="475"/>
  <c r="Z21" i="475"/>
  <c r="AM51" i="475"/>
  <c r="AM53" i="475"/>
  <c r="AG43" i="122"/>
  <c r="AX9" i="123"/>
  <c r="AY26" i="125"/>
  <c r="Y19" i="475"/>
  <c r="AM3" i="120"/>
  <c r="AR3" i="120" s="1"/>
  <c r="AL25" i="120"/>
  <c r="AM54" i="122"/>
  <c r="Z15" i="123"/>
  <c r="A38" i="123"/>
  <c r="AY53" i="123"/>
  <c r="Z49" i="125"/>
  <c r="AL19" i="475"/>
  <c r="Z50" i="475"/>
  <c r="Z43" i="121"/>
  <c r="AM68" i="121"/>
  <c r="AY60" i="122"/>
  <c r="G79" i="122"/>
  <c r="G77" i="122" s="1"/>
  <c r="G8" i="122" s="1"/>
  <c r="AL24" i="123"/>
  <c r="AM59" i="123"/>
  <c r="AY49" i="125"/>
  <c r="AT4" i="475"/>
  <c r="AY27" i="475"/>
  <c r="Z36" i="475"/>
  <c r="Y48" i="475"/>
  <c r="A51" i="475"/>
  <c r="Y57" i="475"/>
  <c r="AI57" i="475" s="1"/>
  <c r="AM67" i="475"/>
  <c r="AY71" i="475"/>
  <c r="AL43" i="120"/>
  <c r="AX38" i="123"/>
  <c r="AY14" i="120"/>
  <c r="Z14" i="124"/>
  <c r="Z14" i="106"/>
  <c r="Z14" i="472"/>
  <c r="AY14" i="124"/>
  <c r="AX14" i="118"/>
  <c r="AM14" i="100"/>
  <c r="Z14" i="108"/>
  <c r="Z13" i="120"/>
  <c r="Z13" i="111"/>
  <c r="AY13" i="120"/>
  <c r="AM13" i="108"/>
  <c r="AM12" i="100"/>
  <c r="AY12" i="110"/>
  <c r="AY12" i="124"/>
  <c r="Z12" i="107"/>
  <c r="AM12" i="107"/>
  <c r="AL10" i="472"/>
  <c r="AM11" i="472"/>
  <c r="AQ11" i="472" s="1"/>
  <c r="AM11" i="118"/>
  <c r="Y11" i="106"/>
  <c r="AY10" i="472"/>
  <c r="Z11" i="120"/>
  <c r="Z10" i="103"/>
  <c r="AX11" i="106"/>
  <c r="AY10" i="120"/>
  <c r="AL11" i="108"/>
  <c r="Z11" i="125"/>
  <c r="A13" i="472"/>
  <c r="AM11" i="125"/>
  <c r="Z10" i="107"/>
  <c r="AD10" i="107" s="1"/>
  <c r="A14" i="108"/>
  <c r="AM8" i="102"/>
  <c r="AM9" i="106"/>
  <c r="AM9" i="118"/>
  <c r="AY9" i="118"/>
  <c r="AY64" i="100"/>
  <c r="Z64" i="100"/>
  <c r="AM69" i="100"/>
  <c r="AR69" i="100" s="1"/>
  <c r="AY69" i="100"/>
  <c r="AL78" i="101"/>
  <c r="A45" i="101"/>
  <c r="AM67" i="102"/>
  <c r="AY67" i="102"/>
  <c r="A43" i="103"/>
  <c r="Y41" i="103"/>
  <c r="Z24" i="104"/>
  <c r="AE24" i="104" s="1"/>
  <c r="AM11" i="105"/>
  <c r="Z11" i="105"/>
  <c r="AM30" i="105"/>
  <c r="AM33" i="105"/>
  <c r="Z33" i="105"/>
  <c r="AY48" i="105"/>
  <c r="AM48" i="105"/>
  <c r="AY11" i="106"/>
  <c r="Z11" i="106"/>
  <c r="AM69" i="106"/>
  <c r="Z69" i="106"/>
  <c r="AY22" i="107"/>
  <c r="Z22" i="107"/>
  <c r="AM26" i="107"/>
  <c r="AU26" i="107" s="1"/>
  <c r="Z26" i="107"/>
  <c r="AY67" i="107"/>
  <c r="AY31" i="108"/>
  <c r="Z31" i="108"/>
  <c r="AM31" i="108"/>
  <c r="AY29" i="100"/>
  <c r="AL78" i="100"/>
  <c r="AT78" i="100" s="1"/>
  <c r="Y44" i="100"/>
  <c r="AX48" i="100"/>
  <c r="AM55" i="100"/>
  <c r="AO55" i="100" s="1"/>
  <c r="Z57" i="100"/>
  <c r="AE66" i="100"/>
  <c r="AL10" i="101"/>
  <c r="AY17" i="101"/>
  <c r="Y46" i="101"/>
  <c r="AC46" i="101" s="1"/>
  <c r="AL63" i="101"/>
  <c r="AM73" i="101"/>
  <c r="Z11" i="102"/>
  <c r="AY11" i="102"/>
  <c r="Z15" i="102"/>
  <c r="AM15" i="102"/>
  <c r="A27" i="102"/>
  <c r="AM57" i="102"/>
  <c r="AM14" i="103"/>
  <c r="AY14" i="103"/>
  <c r="AM31" i="103"/>
  <c r="Z31" i="103"/>
  <c r="AL42" i="103"/>
  <c r="AY58" i="103"/>
  <c r="AX10" i="105"/>
  <c r="AM9" i="105"/>
  <c r="Z9" i="105"/>
  <c r="AF9" i="105" s="1"/>
  <c r="AX66" i="105"/>
  <c r="AL66" i="105"/>
  <c r="AY16" i="106"/>
  <c r="AM16" i="106"/>
  <c r="Z18" i="106"/>
  <c r="AM18" i="106"/>
  <c r="Y32" i="106"/>
  <c r="AL32" i="106"/>
  <c r="A35" i="106"/>
  <c r="AY69" i="106"/>
  <c r="AL36" i="107"/>
  <c r="AU36" i="107" s="1"/>
  <c r="Z45" i="107"/>
  <c r="AY45" i="107"/>
  <c r="Z15" i="100"/>
  <c r="Z31" i="100"/>
  <c r="AX78" i="100"/>
  <c r="AL44" i="100"/>
  <c r="A39" i="101"/>
  <c r="Z43" i="101"/>
  <c r="AG43" i="101" s="1"/>
  <c r="A48" i="101"/>
  <c r="AY53" i="101"/>
  <c r="AX63" i="101"/>
  <c r="AY64" i="101"/>
  <c r="Z64" i="101"/>
  <c r="AY73" i="101"/>
  <c r="Z55" i="102"/>
  <c r="AM68" i="102"/>
  <c r="AY68" i="102"/>
  <c r="A32" i="103"/>
  <c r="AX29" i="103"/>
  <c r="AL29" i="103"/>
  <c r="AY56" i="103"/>
  <c r="AY69" i="103"/>
  <c r="Z69" i="103"/>
  <c r="Z30" i="104"/>
  <c r="AM30" i="104"/>
  <c r="AX36" i="104"/>
  <c r="Y36" i="104"/>
  <c r="AM38" i="105"/>
  <c r="AY38" i="105"/>
  <c r="AY32" i="106"/>
  <c r="AM32" i="106"/>
  <c r="Z32" i="106"/>
  <c r="AX35" i="107"/>
  <c r="Z58" i="107"/>
  <c r="AM58" i="107"/>
  <c r="Z21" i="110"/>
  <c r="AY21" i="110"/>
  <c r="AM21" i="110"/>
  <c r="AM8" i="100"/>
  <c r="AM31" i="100"/>
  <c r="Y39" i="100"/>
  <c r="AX44" i="100"/>
  <c r="Y32" i="101"/>
  <c r="AA32" i="101" s="1"/>
  <c r="AL34" i="101"/>
  <c r="Y78" i="101"/>
  <c r="AL52" i="101"/>
  <c r="Y21" i="102"/>
  <c r="A34" i="102"/>
  <c r="AX31" i="102"/>
  <c r="Z35" i="102"/>
  <c r="AL53" i="102"/>
  <c r="Y53" i="102"/>
  <c r="Z67" i="102"/>
  <c r="AL8" i="103"/>
  <c r="AX8" i="103"/>
  <c r="Y54" i="103"/>
  <c r="A73" i="103"/>
  <c r="Y71" i="103"/>
  <c r="AE71" i="103" s="1"/>
  <c r="AE70" i="103" s="1"/>
  <c r="A29" i="104"/>
  <c r="Y26" i="104"/>
  <c r="AH26" i="104" s="1"/>
  <c r="AX26" i="104"/>
  <c r="A31" i="104"/>
  <c r="AX28" i="104"/>
  <c r="A42" i="105"/>
  <c r="AX39" i="105"/>
  <c r="Y39" i="105"/>
  <c r="AY57" i="105"/>
  <c r="A65" i="105"/>
  <c r="Y63" i="105"/>
  <c r="AY68" i="105"/>
  <c r="AY19" i="106"/>
  <c r="Z19" i="106"/>
  <c r="AM19" i="106"/>
  <c r="AY49" i="106"/>
  <c r="AM49" i="106"/>
  <c r="AT49" i="106" s="1"/>
  <c r="Z49" i="106"/>
  <c r="AM68" i="106"/>
  <c r="Z68" i="106"/>
  <c r="Z70" i="106"/>
  <c r="AY70" i="106"/>
  <c r="AM25" i="107"/>
  <c r="AY25" i="107"/>
  <c r="Z25" i="107"/>
  <c r="AL20" i="108"/>
  <c r="A71" i="110"/>
  <c r="AL69" i="110"/>
  <c r="AX69" i="110"/>
  <c r="A10" i="100"/>
  <c r="Z23" i="100"/>
  <c r="AM28" i="100"/>
  <c r="AL39" i="100"/>
  <c r="A45" i="100"/>
  <c r="Y56" i="100"/>
  <c r="AY73" i="100"/>
  <c r="Y14" i="101"/>
  <c r="Z18" i="101"/>
  <c r="AX34" i="101"/>
  <c r="Y42" i="101"/>
  <c r="AX52" i="101"/>
  <c r="A29" i="102"/>
  <c r="AL26" i="102"/>
  <c r="AY35" i="102"/>
  <c r="AM40" i="102"/>
  <c r="Y43" i="102"/>
  <c r="Y13" i="103"/>
  <c r="AY32" i="103"/>
  <c r="AM32" i="103"/>
  <c r="AL45" i="103"/>
  <c r="AO45" i="103" s="1"/>
  <c r="Y45" i="103"/>
  <c r="Y51" i="103"/>
  <c r="A64" i="103"/>
  <c r="AM69" i="103"/>
  <c r="A27" i="104"/>
  <c r="Y24" i="104"/>
  <c r="AM26" i="104"/>
  <c r="Z26" i="104"/>
  <c r="Z55" i="105"/>
  <c r="AM55" i="105"/>
  <c r="AX53" i="106"/>
  <c r="AY26" i="107"/>
  <c r="AL27" i="107"/>
  <c r="A30" i="107"/>
  <c r="AX27" i="107"/>
  <c r="Y39" i="107"/>
  <c r="A42" i="107"/>
  <c r="AX39" i="107"/>
  <c r="AM15" i="108"/>
  <c r="Z15" i="108"/>
  <c r="Y20" i="108"/>
  <c r="AL58" i="108"/>
  <c r="AO58" i="108" s="1"/>
  <c r="AM64" i="110"/>
  <c r="Z64" i="110"/>
  <c r="AY64" i="110"/>
  <c r="AY28" i="100"/>
  <c r="AX39" i="100"/>
  <c r="Y61" i="100"/>
  <c r="Z67" i="100"/>
  <c r="AI67" i="100" s="1"/>
  <c r="AY67" i="100"/>
  <c r="AL14" i="101"/>
  <c r="AX14" i="101"/>
  <c r="A41" i="101"/>
  <c r="Y38" i="101"/>
  <c r="AX78" i="101"/>
  <c r="AM43" i="102"/>
  <c r="AY43" i="102"/>
  <c r="AX66" i="102"/>
  <c r="AL66" i="102"/>
  <c r="AN66" i="102" s="1"/>
  <c r="A14" i="103"/>
  <c r="AY34" i="104"/>
  <c r="AM34" i="104"/>
  <c r="AX27" i="105"/>
  <c r="AX71" i="105"/>
  <c r="AL71" i="105"/>
  <c r="AM20" i="106"/>
  <c r="Z20" i="106"/>
  <c r="AX51" i="106"/>
  <c r="AL51" i="106"/>
  <c r="Y51" i="106"/>
  <c r="A54" i="106"/>
  <c r="AY42" i="107"/>
  <c r="Y35" i="100"/>
  <c r="Y78" i="100"/>
  <c r="AL61" i="100"/>
  <c r="AY65" i="100"/>
  <c r="AL26" i="101"/>
  <c r="AX42" i="101"/>
  <c r="AL54" i="101"/>
  <c r="Z70" i="101"/>
  <c r="Z12" i="102"/>
  <c r="AM12" i="102"/>
  <c r="AY14" i="102"/>
  <c r="AM14" i="102"/>
  <c r="Y46" i="102"/>
  <c r="Z54" i="102"/>
  <c r="AX56" i="102"/>
  <c r="Y19" i="103"/>
  <c r="AD19" i="103" s="1"/>
  <c r="AL19" i="103"/>
  <c r="Z78" i="103"/>
  <c r="AM63" i="104"/>
  <c r="AY63" i="104"/>
  <c r="AX19" i="105"/>
  <c r="A28" i="105"/>
  <c r="AX25" i="105"/>
  <c r="Y25" i="105"/>
  <c r="AY27" i="105"/>
  <c r="Z27" i="105"/>
  <c r="AY33" i="105"/>
  <c r="AY70" i="105"/>
  <c r="Z70" i="105"/>
  <c r="AX23" i="106"/>
  <c r="Z25" i="106"/>
  <c r="AD25" i="106" s="1"/>
  <c r="AM25" i="106"/>
  <c r="Z29" i="106"/>
  <c r="Z24" i="107"/>
  <c r="AM24" i="107"/>
  <c r="AM59" i="107"/>
  <c r="AY59" i="107"/>
  <c r="Z59" i="107"/>
  <c r="Z70" i="108"/>
  <c r="AY70" i="108"/>
  <c r="AM70" i="108"/>
  <c r="AL71" i="108"/>
  <c r="AU71" i="108" s="1"/>
  <c r="AU70" i="108" s="1"/>
  <c r="AX71" i="108"/>
  <c r="Y13" i="100"/>
  <c r="AM35" i="100"/>
  <c r="AX41" i="100"/>
  <c r="Z78" i="100"/>
  <c r="Y48" i="100"/>
  <c r="A64" i="100"/>
  <c r="Z13" i="101"/>
  <c r="Z17" i="101"/>
  <c r="AL25" i="101"/>
  <c r="AX26" i="101"/>
  <c r="A28" i="101"/>
  <c r="AX28" i="101"/>
  <c r="Y30" i="101"/>
  <c r="AX30" i="101"/>
  <c r="A40" i="101"/>
  <c r="Y44" i="101"/>
  <c r="AG44" i="101" s="1"/>
  <c r="A55" i="101"/>
  <c r="AM70" i="101"/>
  <c r="Y32" i="102"/>
  <c r="AM78" i="102"/>
  <c r="Z46" i="102"/>
  <c r="A50" i="102"/>
  <c r="AY66" i="102"/>
  <c r="AX19" i="103"/>
  <c r="AY19" i="103"/>
  <c r="Z19" i="103"/>
  <c r="AM78" i="103"/>
  <c r="A65" i="103"/>
  <c r="AX63" i="103"/>
  <c r="Y53" i="104"/>
  <c r="AY11" i="105"/>
  <c r="AL52" i="105"/>
  <c r="Y52" i="105"/>
  <c r="AX61" i="105"/>
  <c r="AX64" i="105"/>
  <c r="A66" i="105"/>
  <c r="Y64" i="105"/>
  <c r="AY20" i="106"/>
  <c r="Y23" i="106"/>
  <c r="AM29" i="106"/>
  <c r="AX57" i="107"/>
  <c r="Y57" i="107"/>
  <c r="A17" i="108"/>
  <c r="AX14" i="108"/>
  <c r="Z56" i="108"/>
  <c r="AY56" i="108"/>
  <c r="AM56" i="108"/>
  <c r="AL57" i="110"/>
  <c r="AX9" i="111"/>
  <c r="A14" i="111"/>
  <c r="AL11" i="111"/>
  <c r="AO11" i="111" s="1"/>
  <c r="Y14" i="111"/>
  <c r="Y24" i="111"/>
  <c r="AB24" i="111" s="1"/>
  <c r="AM43" i="111"/>
  <c r="AY43" i="111"/>
  <c r="AX57" i="111"/>
  <c r="Z63" i="112"/>
  <c r="AY63" i="112"/>
  <c r="A11" i="472"/>
  <c r="AX8" i="472"/>
  <c r="AM13" i="472"/>
  <c r="Z13" i="472"/>
  <c r="Z44" i="102"/>
  <c r="Z13" i="104"/>
  <c r="AL25" i="104"/>
  <c r="AX55" i="104"/>
  <c r="AM67" i="105"/>
  <c r="AX69" i="105"/>
  <c r="AY9" i="106"/>
  <c r="Z26" i="106"/>
  <c r="AL29" i="106"/>
  <c r="AL30" i="106"/>
  <c r="A33" i="106"/>
  <c r="AM41" i="106"/>
  <c r="Z41" i="106"/>
  <c r="AX54" i="106"/>
  <c r="AL54" i="106"/>
  <c r="AY54" i="107"/>
  <c r="AM54" i="107"/>
  <c r="AX11" i="108"/>
  <c r="AY17" i="108"/>
  <c r="AY19" i="108"/>
  <c r="Z19" i="108"/>
  <c r="AL25" i="108"/>
  <c r="Z37" i="108"/>
  <c r="Y16" i="110"/>
  <c r="AL19" i="110"/>
  <c r="AT19" i="110" s="1"/>
  <c r="AY41" i="110"/>
  <c r="Z63" i="110"/>
  <c r="AM63" i="110"/>
  <c r="AY63" i="110"/>
  <c r="AX66" i="110"/>
  <c r="Y66" i="110"/>
  <c r="AH66" i="110" s="1"/>
  <c r="AL8" i="111"/>
  <c r="Y8" i="111"/>
  <c r="AY14" i="111"/>
  <c r="Z14" i="111"/>
  <c r="AF14" i="111" s="1"/>
  <c r="AL30" i="112"/>
  <c r="Y30" i="112"/>
  <c r="A39" i="112"/>
  <c r="AX36" i="112"/>
  <c r="A42" i="112"/>
  <c r="Y9" i="472"/>
  <c r="A12" i="472"/>
  <c r="AX9" i="472"/>
  <c r="AY19" i="472"/>
  <c r="AM19" i="472"/>
  <c r="Z23" i="472"/>
  <c r="AY23" i="472"/>
  <c r="Y57" i="472"/>
  <c r="AC57" i="472" s="1"/>
  <c r="AL57" i="472"/>
  <c r="Z28" i="107"/>
  <c r="AM28" i="107"/>
  <c r="AM68" i="107"/>
  <c r="AY68" i="107"/>
  <c r="Z24" i="108"/>
  <c r="AM24" i="108"/>
  <c r="AY59" i="108"/>
  <c r="Z59" i="108"/>
  <c r="AX19" i="110"/>
  <c r="Y19" i="110"/>
  <c r="Z30" i="110"/>
  <c r="AM30" i="110"/>
  <c r="Z38" i="110"/>
  <c r="AM38" i="110"/>
  <c r="AX64" i="110"/>
  <c r="AL64" i="110"/>
  <c r="AX24" i="111"/>
  <c r="Y25" i="111"/>
  <c r="AE25" i="111" s="1"/>
  <c r="Y41" i="111"/>
  <c r="AL41" i="111"/>
  <c r="AM44" i="111"/>
  <c r="Z44" i="111"/>
  <c r="AY64" i="111"/>
  <c r="Z64" i="111"/>
  <c r="AG64" i="111" s="1"/>
  <c r="AY14" i="112"/>
  <c r="AM14" i="112"/>
  <c r="AN14" i="112" s="1"/>
  <c r="Z24" i="112"/>
  <c r="A30" i="112"/>
  <c r="AL27" i="112"/>
  <c r="Z30" i="112"/>
  <c r="AI30" i="112" s="1"/>
  <c r="AM30" i="112"/>
  <c r="AO30" i="112" s="1"/>
  <c r="Y53" i="112"/>
  <c r="AG53" i="112" s="1"/>
  <c r="AX53" i="112"/>
  <c r="AL53" i="112"/>
  <c r="Y67" i="112"/>
  <c r="Y52" i="472"/>
  <c r="AL52" i="472"/>
  <c r="AM17" i="111"/>
  <c r="Z17" i="111"/>
  <c r="Y20" i="111"/>
  <c r="Y27" i="111"/>
  <c r="A51" i="111"/>
  <c r="AY66" i="111"/>
  <c r="Z66" i="111"/>
  <c r="AI66" i="111" s="1"/>
  <c r="AX20" i="112"/>
  <c r="AL20" i="112"/>
  <c r="A78" i="112"/>
  <c r="AX40" i="112"/>
  <c r="Y40" i="112"/>
  <c r="AI40" i="112" s="1"/>
  <c r="Y58" i="112"/>
  <c r="AL58" i="112"/>
  <c r="AM17" i="472"/>
  <c r="Z17" i="472"/>
  <c r="AM27" i="106"/>
  <c r="Z27" i="106"/>
  <c r="AX34" i="106"/>
  <c r="AL34" i="106"/>
  <c r="AL40" i="106"/>
  <c r="AT40" i="106" s="1"/>
  <c r="A78" i="106"/>
  <c r="AM38" i="107"/>
  <c r="AY38" i="107"/>
  <c r="AM43" i="107"/>
  <c r="Z43" i="107"/>
  <c r="Z52" i="107"/>
  <c r="AY52" i="107"/>
  <c r="AM22" i="108"/>
  <c r="Z22" i="108"/>
  <c r="Y44" i="108"/>
  <c r="Y67" i="108"/>
  <c r="AL67" i="108"/>
  <c r="AM24" i="110"/>
  <c r="AX24" i="110"/>
  <c r="AL24" i="110"/>
  <c r="A27" i="110"/>
  <c r="AY30" i="110"/>
  <c r="AY38" i="110"/>
  <c r="AL61" i="110"/>
  <c r="Z73" i="110"/>
  <c r="AA73" i="110" s="1"/>
  <c r="AM73" i="110"/>
  <c r="AL13" i="111"/>
  <c r="AL20" i="111"/>
  <c r="Z27" i="111"/>
  <c r="AH27" i="111" s="1"/>
  <c r="AY27" i="111"/>
  <c r="A29" i="112"/>
  <c r="AL26" i="112"/>
  <c r="A40" i="112"/>
  <c r="AL37" i="112"/>
  <c r="A31" i="110"/>
  <c r="AX28" i="110"/>
  <c r="A48" i="110"/>
  <c r="AL44" i="110"/>
  <c r="Y44" i="110"/>
  <c r="AX20" i="111"/>
  <c r="AY25" i="111"/>
  <c r="Z25" i="111"/>
  <c r="AM66" i="111"/>
  <c r="AY35" i="112"/>
  <c r="AM35" i="112"/>
  <c r="AY55" i="112"/>
  <c r="AM55" i="112"/>
  <c r="Y66" i="112"/>
  <c r="AA66" i="112" s="1"/>
  <c r="AX66" i="112"/>
  <c r="AS9" i="472"/>
  <c r="AN9" i="472"/>
  <c r="AY17" i="472"/>
  <c r="AL41" i="105"/>
  <c r="AY27" i="106"/>
  <c r="AM45" i="106"/>
  <c r="Z45" i="106"/>
  <c r="AY65" i="106"/>
  <c r="Z16" i="107"/>
  <c r="AL49" i="107"/>
  <c r="AO49" i="107" s="1"/>
  <c r="Y49" i="107"/>
  <c r="AL8" i="108"/>
  <c r="Y23" i="108"/>
  <c r="AC23" i="108" s="1"/>
  <c r="AY26" i="108"/>
  <c r="Y39" i="108"/>
  <c r="AL39" i="108"/>
  <c r="AL69" i="108"/>
  <c r="AY24" i="110"/>
  <c r="AY36" i="110"/>
  <c r="AM36" i="110"/>
  <c r="AX44" i="110"/>
  <c r="Y57" i="110"/>
  <c r="AX57" i="110"/>
  <c r="A38" i="111"/>
  <c r="AX35" i="111"/>
  <c r="AL66" i="112"/>
  <c r="AR66" i="112" s="1"/>
  <c r="A14" i="472"/>
  <c r="Y11" i="472"/>
  <c r="AL11" i="472"/>
  <c r="AL27" i="472"/>
  <c r="AL34" i="472"/>
  <c r="AN34" i="472" s="1"/>
  <c r="AX34" i="472"/>
  <c r="AY48" i="472"/>
  <c r="Y9" i="106"/>
  <c r="Y34" i="106"/>
  <c r="AY16" i="107"/>
  <c r="AY46" i="107"/>
  <c r="AM46" i="107"/>
  <c r="AT46" i="107" s="1"/>
  <c r="Z46" i="107"/>
  <c r="AL56" i="107"/>
  <c r="AL23" i="108"/>
  <c r="A35" i="108"/>
  <c r="AL32" i="108"/>
  <c r="AR32" i="108" s="1"/>
  <c r="AX20" i="110"/>
  <c r="AL20" i="110"/>
  <c r="Y37" i="110"/>
  <c r="A40" i="110"/>
  <c r="AX37" i="110"/>
  <c r="AL49" i="110"/>
  <c r="AL16" i="111"/>
  <c r="AL40" i="111"/>
  <c r="Y43" i="111"/>
  <c r="AL43" i="111"/>
  <c r="AL57" i="111"/>
  <c r="AM73" i="111"/>
  <c r="AY73" i="111"/>
  <c r="Z73" i="111"/>
  <c r="AA73" i="111" s="1"/>
  <c r="AM16" i="112"/>
  <c r="AY16" i="112"/>
  <c r="AM56" i="112"/>
  <c r="Z56" i="112"/>
  <c r="AY15" i="472"/>
  <c r="AM15" i="472"/>
  <c r="Z15" i="472"/>
  <c r="AL45" i="472"/>
  <c r="AP45" i="472" s="1"/>
  <c r="AX45" i="472"/>
  <c r="A64" i="472"/>
  <c r="AX15" i="114"/>
  <c r="AL15" i="114"/>
  <c r="AO28" i="114"/>
  <c r="AY57" i="115"/>
  <c r="AM57" i="115"/>
  <c r="AM61" i="115"/>
  <c r="Z61" i="115"/>
  <c r="Y27" i="124"/>
  <c r="AX27" i="124"/>
  <c r="AL27" i="124"/>
  <c r="AX52" i="124"/>
  <c r="A55" i="124"/>
  <c r="AL52" i="124"/>
  <c r="AM45" i="110"/>
  <c r="AM9" i="111"/>
  <c r="AY45" i="111"/>
  <c r="AO25" i="112"/>
  <c r="AY20" i="472"/>
  <c r="A35" i="472"/>
  <c r="AX35" i="472"/>
  <c r="AX38" i="472"/>
  <c r="AX42" i="472"/>
  <c r="Y43" i="472"/>
  <c r="A50" i="472"/>
  <c r="AY10" i="114"/>
  <c r="AL9" i="114"/>
  <c r="AL17" i="114"/>
  <c r="Y17" i="114"/>
  <c r="AM30" i="114"/>
  <c r="A54" i="114"/>
  <c r="AX51" i="114"/>
  <c r="AM65" i="114"/>
  <c r="AY66" i="114"/>
  <c r="AM66" i="114"/>
  <c r="Z66" i="114"/>
  <c r="AM29" i="115"/>
  <c r="AY39" i="115"/>
  <c r="AM39" i="115"/>
  <c r="Z39" i="115"/>
  <c r="AX48" i="115"/>
  <c r="Y48" i="115"/>
  <c r="A54" i="115"/>
  <c r="AL51" i="115"/>
  <c r="Y51" i="115"/>
  <c r="Z29" i="124"/>
  <c r="AM29" i="124"/>
  <c r="AG26" i="116"/>
  <c r="AB26" i="116"/>
  <c r="A39" i="472"/>
  <c r="Y64" i="472"/>
  <c r="AY30" i="114"/>
  <c r="A32" i="114"/>
  <c r="AL29" i="114"/>
  <c r="Y29" i="114"/>
  <c r="Y9" i="115"/>
  <c r="AX9" i="115"/>
  <c r="AL27" i="115"/>
  <c r="Y27" i="115"/>
  <c r="AM38" i="124"/>
  <c r="AY38" i="124"/>
  <c r="AX43" i="124"/>
  <c r="A46" i="124"/>
  <c r="Y43" i="124"/>
  <c r="AF43" i="124" s="1"/>
  <c r="AY64" i="114"/>
  <c r="AM64" i="114"/>
  <c r="Z64" i="114"/>
  <c r="Z70" i="114"/>
  <c r="AL38" i="115"/>
  <c r="AU38" i="115" s="1"/>
  <c r="AY43" i="115"/>
  <c r="AM43" i="115"/>
  <c r="AO43" i="115" s="1"/>
  <c r="AM48" i="115"/>
  <c r="A73" i="115"/>
  <c r="AX71" i="115"/>
  <c r="AY49" i="124"/>
  <c r="Z49" i="124"/>
  <c r="AM67" i="124"/>
  <c r="AY67" i="124"/>
  <c r="Z67" i="124"/>
  <c r="AY15" i="116"/>
  <c r="AM15" i="116"/>
  <c r="AM30" i="116"/>
  <c r="Z30" i="116"/>
  <c r="AM14" i="472"/>
  <c r="Y35" i="472"/>
  <c r="AC35" i="472" s="1"/>
  <c r="AX36" i="472"/>
  <c r="AM40" i="472"/>
  <c r="AL23" i="114"/>
  <c r="AM54" i="114"/>
  <c r="Z54" i="114"/>
  <c r="AC54" i="114" s="1"/>
  <c r="AY54" i="114"/>
  <c r="Y69" i="114"/>
  <c r="AY70" i="114"/>
  <c r="Y18" i="115"/>
  <c r="AX18" i="124"/>
  <c r="Y28" i="124"/>
  <c r="A31" i="124"/>
  <c r="AX28" i="124"/>
  <c r="AL28" i="124"/>
  <c r="AX34" i="124"/>
  <c r="A37" i="124"/>
  <c r="AL55" i="106"/>
  <c r="AL40" i="107"/>
  <c r="AM50" i="107"/>
  <c r="Z20" i="108"/>
  <c r="AX28" i="108"/>
  <c r="Y17" i="110"/>
  <c r="Z19" i="110"/>
  <c r="Y31" i="110"/>
  <c r="Z46" i="110"/>
  <c r="AY49" i="110"/>
  <c r="Z66" i="110"/>
  <c r="Z70" i="110"/>
  <c r="AX31" i="111"/>
  <c r="Z33" i="111"/>
  <c r="AX39" i="111"/>
  <c r="AX51" i="111"/>
  <c r="AL53" i="111"/>
  <c r="AL69" i="111"/>
  <c r="AL15" i="112"/>
  <c r="Z28" i="112"/>
  <c r="Z61" i="112"/>
  <c r="AY73" i="112"/>
  <c r="Y29" i="472"/>
  <c r="Z30" i="472"/>
  <c r="Y42" i="472"/>
  <c r="AX43" i="472"/>
  <c r="Z69" i="472"/>
  <c r="Y71" i="472"/>
  <c r="AX73" i="472"/>
  <c r="Z32" i="114"/>
  <c r="Z56" i="114"/>
  <c r="AM56" i="114"/>
  <c r="AY56" i="114"/>
  <c r="AX69" i="114"/>
  <c r="Z8" i="115"/>
  <c r="AL36" i="115"/>
  <c r="Y36" i="115"/>
  <c r="AL44" i="115"/>
  <c r="Y55" i="115"/>
  <c r="AX55" i="115"/>
  <c r="AY21" i="124"/>
  <c r="Z21" i="124"/>
  <c r="AY65" i="124"/>
  <c r="AM65" i="124"/>
  <c r="AY32" i="114"/>
  <c r="Z12" i="115"/>
  <c r="AM12" i="115"/>
  <c r="AM32" i="115"/>
  <c r="Z32" i="115"/>
  <c r="AM50" i="115"/>
  <c r="AY50" i="115"/>
  <c r="Z50" i="115"/>
  <c r="AY44" i="124"/>
  <c r="AX73" i="124"/>
  <c r="AM19" i="116"/>
  <c r="Z19" i="116"/>
  <c r="AL61" i="108"/>
  <c r="AL71" i="111"/>
  <c r="AY22" i="112"/>
  <c r="AM61" i="112"/>
  <c r="AX24" i="472"/>
  <c r="Y36" i="472"/>
  <c r="AL46" i="472"/>
  <c r="Z59" i="472"/>
  <c r="AX67" i="472"/>
  <c r="AY19" i="114"/>
  <c r="Y19" i="114"/>
  <c r="AY26" i="114"/>
  <c r="A39" i="114"/>
  <c r="A10" i="115"/>
  <c r="A20" i="115"/>
  <c r="Y17" i="115"/>
  <c r="AE17" i="115" s="1"/>
  <c r="AX69" i="115"/>
  <c r="Y71" i="115"/>
  <c r="AX9" i="124"/>
  <c r="A12" i="124"/>
  <c r="AL35" i="124"/>
  <c r="Y35" i="124"/>
  <c r="AL57" i="124"/>
  <c r="AX57" i="124"/>
  <c r="Y57" i="124"/>
  <c r="AM70" i="124"/>
  <c r="Z70" i="124"/>
  <c r="AX20" i="116"/>
  <c r="AL20" i="116"/>
  <c r="AY22" i="116"/>
  <c r="AM22" i="116"/>
  <c r="Z22" i="116"/>
  <c r="AM57" i="116"/>
  <c r="Y66" i="116"/>
  <c r="AC66" i="116" s="1"/>
  <c r="AL10" i="119"/>
  <c r="AL8" i="114"/>
  <c r="AY28" i="114"/>
  <c r="AL34" i="114"/>
  <c r="Z53" i="114"/>
  <c r="AU35" i="115"/>
  <c r="A46" i="115"/>
  <c r="Z12" i="124"/>
  <c r="Y26" i="124"/>
  <c r="AX32" i="124"/>
  <c r="AX39" i="124"/>
  <c r="AY48" i="124"/>
  <c r="AM50" i="124"/>
  <c r="AY53" i="124"/>
  <c r="Y63" i="124"/>
  <c r="A13" i="116"/>
  <c r="AX23" i="116"/>
  <c r="AM26" i="116"/>
  <c r="AX36" i="116"/>
  <c r="AY57" i="116"/>
  <c r="AL66" i="116"/>
  <c r="AO66" i="116" s="1"/>
  <c r="Y71" i="116"/>
  <c r="A73" i="116"/>
  <c r="AL20" i="117"/>
  <c r="AL56" i="117"/>
  <c r="Y56" i="117"/>
  <c r="AX23" i="118"/>
  <c r="AL23" i="118"/>
  <c r="A34" i="118"/>
  <c r="AX31" i="118"/>
  <c r="AY54" i="118"/>
  <c r="AM54" i="118"/>
  <c r="Y66" i="119"/>
  <c r="AX66" i="119"/>
  <c r="AL66" i="119"/>
  <c r="Z24" i="120"/>
  <c r="AY24" i="120"/>
  <c r="Z46" i="124"/>
  <c r="Z63" i="124"/>
  <c r="AM23" i="117"/>
  <c r="Z23" i="117"/>
  <c r="AY30" i="117"/>
  <c r="AM30" i="117"/>
  <c r="Y35" i="117"/>
  <c r="AY25" i="118"/>
  <c r="AM25" i="118"/>
  <c r="Z69" i="119"/>
  <c r="AM69" i="119"/>
  <c r="Y16" i="117"/>
  <c r="A31" i="117"/>
  <c r="AX28" i="117"/>
  <c r="A32" i="117"/>
  <c r="AX29" i="117"/>
  <c r="AY51" i="117"/>
  <c r="AM51" i="117"/>
  <c r="AO51" i="117" s="1"/>
  <c r="A16" i="118"/>
  <c r="AX13" i="118"/>
  <c r="AM44" i="118"/>
  <c r="Z44" i="118"/>
  <c r="AF44" i="118" s="1"/>
  <c r="AM15" i="119"/>
  <c r="AY15" i="119"/>
  <c r="AY34" i="119"/>
  <c r="AM34" i="119"/>
  <c r="Z34" i="119"/>
  <c r="AC34" i="119" s="1"/>
  <c r="AT69" i="115"/>
  <c r="AM8" i="124"/>
  <c r="AL16" i="124"/>
  <c r="Z42" i="124"/>
  <c r="Y51" i="124"/>
  <c r="AX59" i="124"/>
  <c r="AX34" i="116"/>
  <c r="AM52" i="116"/>
  <c r="A13" i="117"/>
  <c r="AL10" i="117"/>
  <c r="Z28" i="117"/>
  <c r="AB28" i="117" s="1"/>
  <c r="AY28" i="117"/>
  <c r="Z29" i="117"/>
  <c r="AM29" i="117"/>
  <c r="Z57" i="117"/>
  <c r="AM57" i="117"/>
  <c r="Z60" i="117"/>
  <c r="AM60" i="117"/>
  <c r="Y69" i="117"/>
  <c r="AL8" i="118"/>
  <c r="AX27" i="118"/>
  <c r="Y27" i="118"/>
  <c r="AL27" i="118"/>
  <c r="AY55" i="118"/>
  <c r="Z55" i="118"/>
  <c r="AM55" i="118"/>
  <c r="AL9" i="119"/>
  <c r="AP9" i="119" s="1"/>
  <c r="A12" i="119"/>
  <c r="AX9" i="119"/>
  <c r="AY13" i="119"/>
  <c r="AM13" i="119"/>
  <c r="Z13" i="119"/>
  <c r="Y40" i="119"/>
  <c r="A78" i="119"/>
  <c r="AY78" i="119"/>
  <c r="AM78" i="119"/>
  <c r="AY67" i="119"/>
  <c r="Z67" i="119"/>
  <c r="A29" i="120"/>
  <c r="AX26" i="120"/>
  <c r="AL26" i="120"/>
  <c r="AM33" i="120"/>
  <c r="Z33" i="120"/>
  <c r="AL58" i="116"/>
  <c r="AY65" i="116"/>
  <c r="Z68" i="116"/>
  <c r="AM14" i="117"/>
  <c r="Z14" i="117"/>
  <c r="AY60" i="117"/>
  <c r="AX55" i="118"/>
  <c r="Y9" i="119"/>
  <c r="AL40" i="119"/>
  <c r="AM12" i="120"/>
  <c r="Z12" i="120"/>
  <c r="Z71" i="115"/>
  <c r="AX16" i="124"/>
  <c r="AX30" i="124"/>
  <c r="A35" i="124"/>
  <c r="A41" i="124"/>
  <c r="Z45" i="124"/>
  <c r="AC45" i="124" s="1"/>
  <c r="AM56" i="124"/>
  <c r="AL15" i="116"/>
  <c r="AX24" i="116"/>
  <c r="AL25" i="116"/>
  <c r="AS25" i="116" s="1"/>
  <c r="AM37" i="116"/>
  <c r="AX41" i="116"/>
  <c r="AY78" i="116"/>
  <c r="Z49" i="116"/>
  <c r="AY52" i="116"/>
  <c r="AM68" i="116"/>
  <c r="AY19" i="117"/>
  <c r="AM19" i="117"/>
  <c r="AX78" i="117"/>
  <c r="AL58" i="117"/>
  <c r="AM15" i="118"/>
  <c r="AY15" i="118"/>
  <c r="Z15" i="118"/>
  <c r="AL31" i="118"/>
  <c r="Y30" i="118"/>
  <c r="AC30" i="118" s="1"/>
  <c r="A33" i="118"/>
  <c r="AX30" i="118"/>
  <c r="AM36" i="118"/>
  <c r="AY36" i="118"/>
  <c r="Z36" i="118"/>
  <c r="AY41" i="118"/>
  <c r="Z41" i="118"/>
  <c r="Z61" i="118"/>
  <c r="A51" i="119"/>
  <c r="Y48" i="119"/>
  <c r="AI48" i="119" s="1"/>
  <c r="AY33" i="120"/>
  <c r="AX57" i="115"/>
  <c r="Z13" i="124"/>
  <c r="Z78" i="124"/>
  <c r="AX25" i="116"/>
  <c r="Y29" i="116"/>
  <c r="Z35" i="116"/>
  <c r="Y36" i="116"/>
  <c r="Z13" i="117"/>
  <c r="A16" i="117"/>
  <c r="Y13" i="117"/>
  <c r="Z22" i="117"/>
  <c r="Z51" i="117"/>
  <c r="AB51" i="117" s="1"/>
  <c r="Y13" i="118"/>
  <c r="AH13" i="118" s="1"/>
  <c r="AM37" i="118"/>
  <c r="AM39" i="118"/>
  <c r="AY39" i="118"/>
  <c r="Z39" i="118"/>
  <c r="AL56" i="118"/>
  <c r="AR56" i="118" s="1"/>
  <c r="AX56" i="118"/>
  <c r="AX20" i="119"/>
  <c r="Y29" i="119"/>
  <c r="A32" i="119"/>
  <c r="AM33" i="119"/>
  <c r="AX42" i="119"/>
  <c r="A44" i="119"/>
  <c r="Z44" i="119"/>
  <c r="AM44" i="119"/>
  <c r="AU44" i="119" s="1"/>
  <c r="AM49" i="119"/>
  <c r="AY49" i="119"/>
  <c r="AL17" i="120"/>
  <c r="Y17" i="120"/>
  <c r="AM53" i="120"/>
  <c r="AT53" i="120" s="1"/>
  <c r="Z53" i="120"/>
  <c r="AM73" i="120"/>
  <c r="AM11" i="121"/>
  <c r="AS11" i="121" s="1"/>
  <c r="AY11" i="121"/>
  <c r="Z35" i="122"/>
  <c r="AB35" i="122" s="1"/>
  <c r="Z40" i="122"/>
  <c r="AM53" i="122"/>
  <c r="A65" i="122"/>
  <c r="AX63" i="122"/>
  <c r="Z8" i="123"/>
  <c r="AE8" i="123" s="1"/>
  <c r="AY8" i="123"/>
  <c r="Y45" i="123"/>
  <c r="A44" i="125"/>
  <c r="Y42" i="125"/>
  <c r="AM66" i="125"/>
  <c r="AO66" i="125" s="1"/>
  <c r="AY66" i="125"/>
  <c r="AL21" i="475"/>
  <c r="AL37" i="475"/>
  <c r="AX37" i="475"/>
  <c r="AX51" i="119"/>
  <c r="A54" i="119"/>
  <c r="AL51" i="119"/>
  <c r="AQ51" i="119" s="1"/>
  <c r="A34" i="121"/>
  <c r="AX31" i="121"/>
  <c r="Z37" i="121"/>
  <c r="AM8" i="122"/>
  <c r="AY8" i="122"/>
  <c r="AY16" i="122"/>
  <c r="Z16" i="122"/>
  <c r="AM35" i="122"/>
  <c r="AY40" i="122"/>
  <c r="AM19" i="123"/>
  <c r="AL48" i="123"/>
  <c r="Y37" i="475"/>
  <c r="AM46" i="475"/>
  <c r="AT46" i="475" s="1"/>
  <c r="AY46" i="475"/>
  <c r="A44" i="121"/>
  <c r="AX42" i="121"/>
  <c r="Y42" i="121"/>
  <c r="Z63" i="121"/>
  <c r="AI63" i="121" s="1"/>
  <c r="AM63" i="121"/>
  <c r="AX67" i="122"/>
  <c r="AY68" i="122"/>
  <c r="Z68" i="122"/>
  <c r="Z24" i="123"/>
  <c r="AX39" i="123"/>
  <c r="Y39" i="123"/>
  <c r="A42" i="123"/>
  <c r="AL9" i="125"/>
  <c r="Y9" i="125"/>
  <c r="AM23" i="125"/>
  <c r="Z23" i="125"/>
  <c r="AM32" i="125"/>
  <c r="AY32" i="125"/>
  <c r="AL71" i="125"/>
  <c r="A73" i="125"/>
  <c r="Y71" i="125"/>
  <c r="A13" i="475"/>
  <c r="AL10" i="475"/>
  <c r="Y10" i="475"/>
  <c r="AX41" i="475"/>
  <c r="A43" i="475"/>
  <c r="AL41" i="475"/>
  <c r="Y39" i="119"/>
  <c r="AA39" i="119" s="1"/>
  <c r="AX39" i="119"/>
  <c r="AM40" i="119"/>
  <c r="AY40" i="119"/>
  <c r="AM48" i="119"/>
  <c r="AY48" i="119"/>
  <c r="A10" i="122"/>
  <c r="A27" i="122"/>
  <c r="AX24" i="122"/>
  <c r="Y24" i="122"/>
  <c r="AM33" i="122"/>
  <c r="AY33" i="122"/>
  <c r="AL42" i="122"/>
  <c r="A44" i="122"/>
  <c r="Z51" i="122"/>
  <c r="A14" i="123"/>
  <c r="AX11" i="123"/>
  <c r="Y11" i="123"/>
  <c r="Z17" i="123"/>
  <c r="AY17" i="123"/>
  <c r="Y20" i="123"/>
  <c r="AL23" i="123"/>
  <c r="A49" i="123"/>
  <c r="AL45" i="123"/>
  <c r="AM54" i="123"/>
  <c r="Z54" i="123"/>
  <c r="AY54" i="123"/>
  <c r="AX57" i="123"/>
  <c r="AL57" i="123"/>
  <c r="Y57" i="123"/>
  <c r="AX8" i="125"/>
  <c r="Y8" i="125"/>
  <c r="AM17" i="125"/>
  <c r="AY17" i="125"/>
  <c r="Z15" i="117"/>
  <c r="AL30" i="117"/>
  <c r="AU30" i="117" s="1"/>
  <c r="AX51" i="117"/>
  <c r="AL67" i="117"/>
  <c r="AL18" i="118"/>
  <c r="AL29" i="118"/>
  <c r="AY30" i="118"/>
  <c r="Y41" i="118"/>
  <c r="AX48" i="118"/>
  <c r="Y21" i="119"/>
  <c r="A43" i="119"/>
  <c r="AL41" i="119"/>
  <c r="AY44" i="119"/>
  <c r="AL59" i="119"/>
  <c r="AM61" i="119"/>
  <c r="Z61" i="119"/>
  <c r="AM20" i="120"/>
  <c r="Z20" i="120"/>
  <c r="AY20" i="120"/>
  <c r="AM22" i="120"/>
  <c r="Z22" i="120"/>
  <c r="Y41" i="120"/>
  <c r="AL40" i="121"/>
  <c r="Z46" i="121"/>
  <c r="A12" i="122"/>
  <c r="Y9" i="122"/>
  <c r="AC9" i="122" s="1"/>
  <c r="AL24" i="122"/>
  <c r="AM32" i="122"/>
  <c r="AY34" i="122"/>
  <c r="Z41" i="122"/>
  <c r="A66" i="122"/>
  <c r="AL64" i="122"/>
  <c r="AM8" i="123"/>
  <c r="AX20" i="123"/>
  <c r="AY26" i="123"/>
  <c r="Z26" i="123"/>
  <c r="AY69" i="123"/>
  <c r="Z69" i="123"/>
  <c r="AY23" i="125"/>
  <c r="AX35" i="125"/>
  <c r="A38" i="125"/>
  <c r="AL35" i="125"/>
  <c r="Y35" i="125"/>
  <c r="Y52" i="475"/>
  <c r="AL52" i="475"/>
  <c r="Z16" i="117"/>
  <c r="AE16" i="117" s="1"/>
  <c r="AL46" i="117"/>
  <c r="AM61" i="117"/>
  <c r="AM67" i="117"/>
  <c r="AU67" i="117" s="1"/>
  <c r="Y20" i="118"/>
  <c r="AY31" i="118"/>
  <c r="Y61" i="118"/>
  <c r="Y15" i="119"/>
  <c r="AH15" i="119" s="1"/>
  <c r="Y42" i="119"/>
  <c r="Z41" i="120"/>
  <c r="AG41" i="120" s="1"/>
  <c r="Y9" i="121"/>
  <c r="Z24" i="121"/>
  <c r="AM24" i="121"/>
  <c r="AM36" i="121"/>
  <c r="AQ36" i="121" s="1"/>
  <c r="Y38" i="121"/>
  <c r="A41" i="121"/>
  <c r="AX38" i="121"/>
  <c r="AM36" i="122"/>
  <c r="Z36" i="122"/>
  <c r="AL44" i="122"/>
  <c r="AT44" i="122" s="1"/>
  <c r="AX52" i="122"/>
  <c r="A55" i="122"/>
  <c r="AL59" i="122"/>
  <c r="AT59" i="122" s="1"/>
  <c r="Y64" i="122"/>
  <c r="AM68" i="122"/>
  <c r="Z34" i="123"/>
  <c r="Y40" i="123"/>
  <c r="A78" i="123"/>
  <c r="AX40" i="123"/>
  <c r="AL40" i="123"/>
  <c r="AM69" i="123"/>
  <c r="A73" i="120"/>
  <c r="Y71" i="120"/>
  <c r="A16" i="121"/>
  <c r="Y13" i="121"/>
  <c r="AL34" i="121"/>
  <c r="A37" i="121"/>
  <c r="AX34" i="121"/>
  <c r="A54" i="121"/>
  <c r="AX51" i="121"/>
  <c r="AL51" i="121"/>
  <c r="AO51" i="121" s="1"/>
  <c r="A73" i="121"/>
  <c r="AX71" i="121"/>
  <c r="AM18" i="123"/>
  <c r="AY18" i="123"/>
  <c r="A45" i="123"/>
  <c r="AL78" i="123"/>
  <c r="A50" i="123"/>
  <c r="AX46" i="123"/>
  <c r="Y46" i="123"/>
  <c r="Z44" i="125"/>
  <c r="AM44" i="125"/>
  <c r="AP44" i="125" s="1"/>
  <c r="AY44" i="125"/>
  <c r="AY58" i="475"/>
  <c r="AM58" i="475"/>
  <c r="AA54" i="118"/>
  <c r="AY27" i="119"/>
  <c r="AL36" i="119"/>
  <c r="Y36" i="119"/>
  <c r="AL42" i="119"/>
  <c r="AX43" i="119"/>
  <c r="AL45" i="119"/>
  <c r="AO45" i="119" s="1"/>
  <c r="Z46" i="119"/>
  <c r="AF46" i="119" s="1"/>
  <c r="AX17" i="120"/>
  <c r="A20" i="120"/>
  <c r="AM30" i="120"/>
  <c r="Y30" i="120"/>
  <c r="AG30" i="120" s="1"/>
  <c r="A40" i="120"/>
  <c r="AX37" i="120"/>
  <c r="AY68" i="120"/>
  <c r="AX8" i="121"/>
  <c r="A11" i="121"/>
  <c r="Y11" i="121"/>
  <c r="Y26" i="122"/>
  <c r="AY25" i="122"/>
  <c r="Z25" i="122"/>
  <c r="AB25" i="122" s="1"/>
  <c r="Z33" i="122"/>
  <c r="Z55" i="122"/>
  <c r="Z65" i="122"/>
  <c r="AM65" i="122"/>
  <c r="Y14" i="123"/>
  <c r="AG14" i="123" s="1"/>
  <c r="Y78" i="123"/>
  <c r="Y48" i="123"/>
  <c r="AX52" i="123"/>
  <c r="AX26" i="125"/>
  <c r="Y49" i="125"/>
  <c r="AX49" i="125"/>
  <c r="A12" i="475"/>
  <c r="AX9" i="475"/>
  <c r="Y9" i="475"/>
  <c r="Z58" i="475"/>
  <c r="AM42" i="119"/>
  <c r="Z14" i="120"/>
  <c r="Z29" i="121"/>
  <c r="AM14" i="123"/>
  <c r="AY15" i="123"/>
  <c r="AX35" i="123"/>
  <c r="AM52" i="123"/>
  <c r="AL53" i="123"/>
  <c r="AU53" i="123" s="1"/>
  <c r="AY33" i="125"/>
  <c r="AL36" i="125"/>
  <c r="A42" i="125"/>
  <c r="AX39" i="125"/>
  <c r="AL46" i="125"/>
  <c r="A50" i="125"/>
  <c r="AP49" i="125"/>
  <c r="Z27" i="475"/>
  <c r="AX53" i="475"/>
  <c r="AL78" i="125"/>
  <c r="A45" i="125"/>
  <c r="Z28" i="475"/>
  <c r="AL38" i="119"/>
  <c r="AL19" i="120"/>
  <c r="Z51" i="120"/>
  <c r="AG51" i="120" s="1"/>
  <c r="AY66" i="121"/>
  <c r="AY68" i="121"/>
  <c r="Y11" i="122"/>
  <c r="Y13" i="122"/>
  <c r="Z59" i="122"/>
  <c r="AY14" i="123"/>
  <c r="AX53" i="123"/>
  <c r="AY15" i="125"/>
  <c r="Z31" i="125"/>
  <c r="AM31" i="125"/>
  <c r="AP31" i="125" s="1"/>
  <c r="Z64" i="125"/>
  <c r="AY64" i="125"/>
  <c r="A65" i="475"/>
  <c r="AX63" i="475"/>
  <c r="AY66" i="475"/>
  <c r="AE43" i="122"/>
  <c r="AX10" i="125"/>
  <c r="AL10" i="125"/>
  <c r="AM25" i="475"/>
  <c r="Z25" i="475"/>
  <c r="Y40" i="475"/>
  <c r="Y78" i="475"/>
  <c r="AH78" i="475" s="1"/>
  <c r="AM28" i="475"/>
  <c r="Y55" i="475"/>
  <c r="AB55" i="475" s="1"/>
  <c r="AX55" i="475"/>
  <c r="AL64" i="475"/>
  <c r="Y64" i="475"/>
  <c r="A66" i="475"/>
  <c r="AX64" i="475"/>
  <c r="AY69" i="475"/>
  <c r="AM69" i="475"/>
  <c r="AY60" i="121"/>
  <c r="AM67" i="121"/>
  <c r="Z54" i="122"/>
  <c r="AL35" i="123"/>
  <c r="Y36" i="123"/>
  <c r="Y41" i="123"/>
  <c r="Z52" i="123"/>
  <c r="AM29" i="125"/>
  <c r="Y78" i="125"/>
  <c r="AL51" i="125"/>
  <c r="AY25" i="475"/>
  <c r="AM35" i="475"/>
  <c r="Z35" i="475"/>
  <c r="AB35" i="475" s="1"/>
  <c r="A46" i="475"/>
  <c r="Y43" i="475"/>
  <c r="Z51" i="475"/>
  <c r="Z20" i="475"/>
  <c r="Z24" i="475"/>
  <c r="Y42" i="475"/>
  <c r="AY55" i="475"/>
  <c r="AM34" i="475"/>
  <c r="AT55" i="475"/>
  <c r="Z52" i="475"/>
  <c r="AG51" i="100"/>
  <c r="AF51" i="100"/>
  <c r="AL8" i="101"/>
  <c r="Y8" i="101"/>
  <c r="A11" i="101"/>
  <c r="AM19" i="101"/>
  <c r="Z19" i="101"/>
  <c r="Y24" i="101"/>
  <c r="A27" i="101"/>
  <c r="AY38" i="101"/>
  <c r="Z38" i="101"/>
  <c r="AY18" i="102"/>
  <c r="Z18" i="102"/>
  <c r="AM60" i="102"/>
  <c r="Z60" i="102"/>
  <c r="AL16" i="106"/>
  <c r="A19" i="106"/>
  <c r="AX16" i="106"/>
  <c r="Y16" i="106"/>
  <c r="AM22" i="106"/>
  <c r="Z22" i="106"/>
  <c r="AL26" i="106"/>
  <c r="AX26" i="106"/>
  <c r="A29" i="106"/>
  <c r="Y26" i="106"/>
  <c r="AM32" i="108"/>
  <c r="Z32" i="108"/>
  <c r="AY32" i="108"/>
  <c r="A35" i="115"/>
  <c r="Y32" i="115"/>
  <c r="AX10" i="100"/>
  <c r="Y10" i="100"/>
  <c r="A13" i="100"/>
  <c r="AY18" i="100"/>
  <c r="Z18" i="100"/>
  <c r="Y20" i="100"/>
  <c r="Y31" i="100"/>
  <c r="Z42" i="100"/>
  <c r="Y45" i="100"/>
  <c r="AB45" i="100" s="1"/>
  <c r="A49" i="100"/>
  <c r="AL45" i="100"/>
  <c r="Z48" i="100"/>
  <c r="AC48" i="100" s="1"/>
  <c r="AX59" i="100"/>
  <c r="AL59" i="100"/>
  <c r="AX8" i="101"/>
  <c r="AM36" i="101"/>
  <c r="AM68" i="101"/>
  <c r="AY68" i="101"/>
  <c r="AY16" i="102"/>
  <c r="AB23" i="102"/>
  <c r="AC23" i="102"/>
  <c r="AY64" i="102"/>
  <c r="Z64" i="102"/>
  <c r="Y21" i="103"/>
  <c r="AX21" i="103"/>
  <c r="AM43" i="103"/>
  <c r="Z43" i="103"/>
  <c r="A18" i="104"/>
  <c r="Y15" i="104"/>
  <c r="AM21" i="105"/>
  <c r="AY21" i="105"/>
  <c r="AY24" i="105"/>
  <c r="AM24" i="105"/>
  <c r="AQ24" i="105" s="1"/>
  <c r="Z24" i="105"/>
  <c r="A32" i="105"/>
  <c r="AX29" i="105"/>
  <c r="AM10" i="106"/>
  <c r="AY10" i="106"/>
  <c r="AX14" i="106"/>
  <c r="A17" i="106"/>
  <c r="AM61" i="106"/>
  <c r="Z61" i="106"/>
  <c r="AY61" i="106"/>
  <c r="A16" i="107"/>
  <c r="Y13" i="107"/>
  <c r="A78" i="100"/>
  <c r="Y40" i="100"/>
  <c r="AL40" i="100"/>
  <c r="AL64" i="100"/>
  <c r="Z71" i="100"/>
  <c r="AY11" i="101"/>
  <c r="AM11" i="101"/>
  <c r="Z20" i="101"/>
  <c r="AY20" i="101"/>
  <c r="AY42" i="101"/>
  <c r="AL8" i="102"/>
  <c r="AO8" i="102" s="1"/>
  <c r="A11" i="102"/>
  <c r="AL11" i="102"/>
  <c r="AX11" i="102"/>
  <c r="AY22" i="102"/>
  <c r="AM22" i="102"/>
  <c r="AM15" i="103"/>
  <c r="Z15" i="103"/>
  <c r="AX35" i="103"/>
  <c r="A38" i="103"/>
  <c r="AL35" i="103"/>
  <c r="Y35" i="103"/>
  <c r="A78" i="104"/>
  <c r="AX40" i="104"/>
  <c r="Y40" i="104"/>
  <c r="Y46" i="104"/>
  <c r="AX46" i="104"/>
  <c r="AL46" i="104"/>
  <c r="A50" i="104"/>
  <c r="AM12" i="105"/>
  <c r="AY12" i="105"/>
  <c r="Z12" i="105"/>
  <c r="Z14" i="105"/>
  <c r="AY14" i="105"/>
  <c r="AM14" i="105"/>
  <c r="AY26" i="100"/>
  <c r="AM26" i="100"/>
  <c r="Z26" i="100"/>
  <c r="AY24" i="103"/>
  <c r="AM24" i="103"/>
  <c r="Z24" i="103"/>
  <c r="AM34" i="103"/>
  <c r="A40" i="104"/>
  <c r="AL37" i="104"/>
  <c r="Y37" i="104"/>
  <c r="Z25" i="105"/>
  <c r="AC25" i="105" s="1"/>
  <c r="AY25" i="105"/>
  <c r="A51" i="105"/>
  <c r="AL48" i="105"/>
  <c r="Z25" i="100"/>
  <c r="AY25" i="100"/>
  <c r="AM25" i="100"/>
  <c r="Z53" i="100"/>
  <c r="Y73" i="100"/>
  <c r="Z29" i="101"/>
  <c r="AY32" i="101"/>
  <c r="AY49" i="101"/>
  <c r="AM49" i="101"/>
  <c r="Z49" i="101"/>
  <c r="Z58" i="101"/>
  <c r="AY58" i="101"/>
  <c r="AX73" i="101"/>
  <c r="AL73" i="101"/>
  <c r="A28" i="102"/>
  <c r="AX25" i="102"/>
  <c r="AL25" i="102"/>
  <c r="Y25" i="102"/>
  <c r="AY38" i="102"/>
  <c r="AM38" i="102"/>
  <c r="Z38" i="102"/>
  <c r="AD38" i="102" s="1"/>
  <c r="AY23" i="103"/>
  <c r="Z23" i="103"/>
  <c r="AY41" i="103"/>
  <c r="Z41" i="103"/>
  <c r="AX78" i="103"/>
  <c r="Z71" i="103"/>
  <c r="AY71" i="103"/>
  <c r="AM71" i="103"/>
  <c r="AX31" i="104"/>
  <c r="Y31" i="104"/>
  <c r="Z33" i="104"/>
  <c r="AM33" i="104"/>
  <c r="Z22" i="105"/>
  <c r="AY22" i="105"/>
  <c r="Y28" i="105"/>
  <c r="A31" i="105"/>
  <c r="A49" i="105"/>
  <c r="AX45" i="105"/>
  <c r="Z38" i="106"/>
  <c r="AM38" i="106"/>
  <c r="AY44" i="106"/>
  <c r="Z44" i="106"/>
  <c r="AD44" i="106" s="1"/>
  <c r="AM44" i="106"/>
  <c r="Z30" i="107"/>
  <c r="AY30" i="107"/>
  <c r="AM30" i="107"/>
  <c r="Y52" i="111"/>
  <c r="AX36" i="100"/>
  <c r="AL36" i="100"/>
  <c r="A39" i="100"/>
  <c r="Y36" i="100"/>
  <c r="AG36" i="100" s="1"/>
  <c r="AM44" i="100"/>
  <c r="Z44" i="100"/>
  <c r="AX49" i="100"/>
  <c r="AL49" i="100"/>
  <c r="AY58" i="100"/>
  <c r="AB66" i="100"/>
  <c r="AI66" i="100"/>
  <c r="AA66" i="100"/>
  <c r="A16" i="101"/>
  <c r="AX13" i="101"/>
  <c r="Y13" i="101"/>
  <c r="AL13" i="101"/>
  <c r="AO13" i="101" s="1"/>
  <c r="A34" i="101"/>
  <c r="AL31" i="101"/>
  <c r="Z35" i="101"/>
  <c r="Y51" i="101"/>
  <c r="AX51" i="101"/>
  <c r="A54" i="101"/>
  <c r="AX56" i="101"/>
  <c r="AL56" i="101"/>
  <c r="AB69" i="101"/>
  <c r="AB68" i="101" s="1"/>
  <c r="A32" i="102"/>
  <c r="Y29" i="102"/>
  <c r="AX29" i="102"/>
  <c r="AX51" i="102"/>
  <c r="A54" i="102"/>
  <c r="AL51" i="102"/>
  <c r="Y51" i="102"/>
  <c r="A64" i="102"/>
  <c r="AX61" i="102"/>
  <c r="AL61" i="102"/>
  <c r="A19" i="103"/>
  <c r="AX16" i="103"/>
  <c r="Y16" i="103"/>
  <c r="AY17" i="103"/>
  <c r="Z17" i="103"/>
  <c r="AM33" i="103"/>
  <c r="AY33" i="103"/>
  <c r="Z33" i="103"/>
  <c r="AY38" i="103"/>
  <c r="AM38" i="103"/>
  <c r="Z38" i="103"/>
  <c r="AX44" i="103"/>
  <c r="AX66" i="103"/>
  <c r="Y66" i="103"/>
  <c r="AM68" i="103"/>
  <c r="AY68" i="103"/>
  <c r="Z68" i="103"/>
  <c r="AL78" i="104"/>
  <c r="AY78" i="105"/>
  <c r="AM78" i="105"/>
  <c r="Z57" i="106"/>
  <c r="AY17" i="107"/>
  <c r="AM17" i="107"/>
  <c r="AS17" i="107" s="1"/>
  <c r="Y46" i="100"/>
  <c r="AI46" i="100" s="1"/>
  <c r="AL46" i="100"/>
  <c r="A50" i="100"/>
  <c r="Y52" i="100"/>
  <c r="A55" i="100"/>
  <c r="AM16" i="101"/>
  <c r="Z16" i="101"/>
  <c r="AY16" i="101"/>
  <c r="A42" i="101"/>
  <c r="Y39" i="101"/>
  <c r="AX39" i="101"/>
  <c r="AL43" i="101"/>
  <c r="A46" i="101"/>
  <c r="AL10" i="102"/>
  <c r="AS10" i="102" s="1"/>
  <c r="Y10" i="102"/>
  <c r="A13" i="102"/>
  <c r="Y15" i="102"/>
  <c r="AD15" i="102" s="1"/>
  <c r="Z17" i="102"/>
  <c r="AM17" i="102"/>
  <c r="AP17" i="102" s="1"/>
  <c r="AY19" i="102"/>
  <c r="Z19" i="102"/>
  <c r="Z21" i="102"/>
  <c r="AM21" i="102"/>
  <c r="AY49" i="102"/>
  <c r="Z49" i="102"/>
  <c r="AL20" i="103"/>
  <c r="A28" i="103"/>
  <c r="AL25" i="103"/>
  <c r="Y25" i="103"/>
  <c r="AM43" i="104"/>
  <c r="Z43" i="104"/>
  <c r="AY43" i="104"/>
  <c r="Z48" i="104"/>
  <c r="AM48" i="104"/>
  <c r="AX51" i="104"/>
  <c r="AL51" i="104"/>
  <c r="AU51" i="104" s="1"/>
  <c r="AY53" i="104"/>
  <c r="Z53" i="104"/>
  <c r="AC53" i="104" s="1"/>
  <c r="Y11" i="105"/>
  <c r="AL11" i="105"/>
  <c r="AX11" i="105"/>
  <c r="AM18" i="105"/>
  <c r="Z18" i="105"/>
  <c r="AM35" i="105"/>
  <c r="AQ35" i="105" s="1"/>
  <c r="Z35" i="105"/>
  <c r="AY35" i="105"/>
  <c r="AX43" i="105"/>
  <c r="AL43" i="105"/>
  <c r="Y43" i="105"/>
  <c r="A46" i="105"/>
  <c r="AY10" i="108"/>
  <c r="Z10" i="108"/>
  <c r="AO48" i="108"/>
  <c r="AH43" i="100"/>
  <c r="AB43" i="100"/>
  <c r="AL54" i="100"/>
  <c r="Y54" i="100"/>
  <c r="A65" i="100"/>
  <c r="Y63" i="100"/>
  <c r="AX63" i="100"/>
  <c r="AM21" i="101"/>
  <c r="Z21" i="101"/>
  <c r="AG21" i="101" s="1"/>
  <c r="AY28" i="101"/>
  <c r="Z28" i="101"/>
  <c r="AA28" i="101" s="1"/>
  <c r="AX39" i="102"/>
  <c r="A42" i="102"/>
  <c r="AL39" i="102"/>
  <c r="AP39" i="102" s="1"/>
  <c r="Y39" i="102"/>
  <c r="AX18" i="103"/>
  <c r="Y18" i="103"/>
  <c r="AM36" i="103"/>
  <c r="AS36" i="103" s="1"/>
  <c r="AY36" i="103"/>
  <c r="Z36" i="103"/>
  <c r="AX67" i="103"/>
  <c r="Y67" i="103"/>
  <c r="AB67" i="103" s="1"/>
  <c r="AL13" i="105"/>
  <c r="A16" i="105"/>
  <c r="AX13" i="105"/>
  <c r="Y13" i="105"/>
  <c r="AX46" i="105"/>
  <c r="Y46" i="105"/>
  <c r="A50" i="105"/>
  <c r="AL13" i="106"/>
  <c r="Y13" i="106"/>
  <c r="Z34" i="107"/>
  <c r="AY34" i="107"/>
  <c r="AM34" i="107"/>
  <c r="AP34" i="107" s="1"/>
  <c r="AY65" i="107"/>
  <c r="Z65" i="107"/>
  <c r="AL34" i="110"/>
  <c r="AX34" i="110"/>
  <c r="A37" i="110"/>
  <c r="Y34" i="110"/>
  <c r="AD34" i="110" s="1"/>
  <c r="AX14" i="100"/>
  <c r="AL14" i="100"/>
  <c r="A17" i="100"/>
  <c r="AM16" i="100"/>
  <c r="Z16" i="100"/>
  <c r="AM39" i="100"/>
  <c r="Z39" i="100"/>
  <c r="A54" i="100"/>
  <c r="AX51" i="100"/>
  <c r="AL51" i="100"/>
  <c r="Z9" i="101"/>
  <c r="AB9" i="101" s="1"/>
  <c r="AY9" i="101"/>
  <c r="AY19" i="101"/>
  <c r="AL24" i="101"/>
  <c r="AS24" i="101" s="1"/>
  <c r="Y61" i="101"/>
  <c r="A64" i="101"/>
  <c r="Y64" i="101"/>
  <c r="AX64" i="101"/>
  <c r="AL64" i="101"/>
  <c r="A66" i="101"/>
  <c r="AL20" i="102"/>
  <c r="Y20" i="102"/>
  <c r="A38" i="102"/>
  <c r="AL35" i="102"/>
  <c r="AX35" i="102"/>
  <c r="Y48" i="102"/>
  <c r="AD48" i="102" s="1"/>
  <c r="AX48" i="102"/>
  <c r="AY63" i="102"/>
  <c r="Z63" i="102"/>
  <c r="A35" i="103"/>
  <c r="AL32" i="103"/>
  <c r="AY39" i="103"/>
  <c r="AM50" i="103"/>
  <c r="Z50" i="103"/>
  <c r="Y55" i="103"/>
  <c r="AX55" i="103"/>
  <c r="Z70" i="104"/>
  <c r="AY70" i="104"/>
  <c r="AB21" i="105"/>
  <c r="AL46" i="105"/>
  <c r="AM69" i="105"/>
  <c r="AX49" i="108"/>
  <c r="AL49" i="108"/>
  <c r="Y49" i="108"/>
  <c r="AM23" i="110"/>
  <c r="AT23" i="110" s="1"/>
  <c r="Z23" i="110"/>
  <c r="AY23" i="110"/>
  <c r="Z30" i="100"/>
  <c r="AB30" i="100" s="1"/>
  <c r="AL35" i="100"/>
  <c r="AM10" i="101"/>
  <c r="AM34" i="101"/>
  <c r="Y26" i="102"/>
  <c r="AL31" i="102"/>
  <c r="AP29" i="102"/>
  <c r="Z33" i="102"/>
  <c r="A45" i="102"/>
  <c r="AX57" i="102"/>
  <c r="AY59" i="102"/>
  <c r="AY11" i="103"/>
  <c r="A16" i="103"/>
  <c r="AM19" i="103"/>
  <c r="AL28" i="103"/>
  <c r="AR28" i="103" s="1"/>
  <c r="A31" i="103"/>
  <c r="Y42" i="103"/>
  <c r="A44" i="103"/>
  <c r="A54" i="103"/>
  <c r="A66" i="103"/>
  <c r="Z12" i="104"/>
  <c r="Y18" i="105"/>
  <c r="A39" i="105"/>
  <c r="Y40" i="105"/>
  <c r="AE40" i="105" s="1"/>
  <c r="AM45" i="105"/>
  <c r="Z45" i="105"/>
  <c r="Z68" i="105"/>
  <c r="AY8" i="106"/>
  <c r="AM8" i="106"/>
  <c r="AY25" i="106"/>
  <c r="AY36" i="106"/>
  <c r="AL43" i="106"/>
  <c r="A13" i="107"/>
  <c r="AL10" i="107"/>
  <c r="Y10" i="107"/>
  <c r="AX25" i="107"/>
  <c r="AY32" i="107"/>
  <c r="Y52" i="107"/>
  <c r="AL52" i="107"/>
  <c r="A78" i="108"/>
  <c r="AL42" i="108"/>
  <c r="A49" i="104"/>
  <c r="Y45" i="104"/>
  <c r="Y20" i="105"/>
  <c r="AC20" i="105" s="1"/>
  <c r="Y19" i="106"/>
  <c r="AL24" i="106"/>
  <c r="A42" i="106"/>
  <c r="AL39" i="106"/>
  <c r="Y58" i="106"/>
  <c r="A65" i="106"/>
  <c r="Z8" i="107"/>
  <c r="AI8" i="107" s="1"/>
  <c r="AX10" i="107"/>
  <c r="A12" i="107"/>
  <c r="AX9" i="107"/>
  <c r="AL9" i="107"/>
  <c r="Y9" i="107"/>
  <c r="AM18" i="107"/>
  <c r="Z18" i="107"/>
  <c r="A27" i="107"/>
  <c r="Z35" i="107"/>
  <c r="AX52" i="107"/>
  <c r="AL64" i="107"/>
  <c r="AQ64" i="107" s="1"/>
  <c r="AX64" i="107"/>
  <c r="A71" i="107"/>
  <c r="Y69" i="107"/>
  <c r="AF69" i="107" s="1"/>
  <c r="AF68" i="107" s="1"/>
  <c r="A34" i="108"/>
  <c r="AY40" i="108"/>
  <c r="AM40" i="108"/>
  <c r="Z40" i="108"/>
  <c r="A50" i="108"/>
  <c r="AL46" i="108"/>
  <c r="Y46" i="108"/>
  <c r="AB46" i="108" s="1"/>
  <c r="AX54" i="108"/>
  <c r="Z57" i="108"/>
  <c r="AY57" i="108"/>
  <c r="Y59" i="108"/>
  <c r="AL59" i="108"/>
  <c r="AU59" i="108" s="1"/>
  <c r="A43" i="472"/>
  <c r="Y41" i="472"/>
  <c r="AL41" i="472"/>
  <c r="AC66" i="100"/>
  <c r="AL9" i="100"/>
  <c r="AM24" i="100"/>
  <c r="AM29" i="100"/>
  <c r="Y34" i="100"/>
  <c r="AX35" i="100"/>
  <c r="A38" i="100"/>
  <c r="AX38" i="100"/>
  <c r="A41" i="100"/>
  <c r="A43" i="100"/>
  <c r="A46" i="100"/>
  <c r="AM61" i="100"/>
  <c r="AY10" i="101"/>
  <c r="Y11" i="101"/>
  <c r="AM33" i="101"/>
  <c r="AL42" i="101"/>
  <c r="AL48" i="101"/>
  <c r="A51" i="101"/>
  <c r="Z60" i="101"/>
  <c r="Z37" i="102"/>
  <c r="AH37" i="102" s="1"/>
  <c r="Z39" i="102"/>
  <c r="Z41" i="102"/>
  <c r="Z50" i="102"/>
  <c r="Y55" i="102"/>
  <c r="Y63" i="102"/>
  <c r="A65" i="102"/>
  <c r="Z68" i="102"/>
  <c r="AN9" i="103"/>
  <c r="AY20" i="103"/>
  <c r="AL36" i="103"/>
  <c r="Y40" i="103"/>
  <c r="AL46" i="103"/>
  <c r="Z61" i="103"/>
  <c r="AL71" i="103"/>
  <c r="AM25" i="104"/>
  <c r="AL45" i="104"/>
  <c r="AL18" i="105"/>
  <c r="AX37" i="105"/>
  <c r="Y41" i="105"/>
  <c r="A43" i="105"/>
  <c r="AY45" i="105"/>
  <c r="Z48" i="105"/>
  <c r="AY53" i="105"/>
  <c r="AX67" i="105"/>
  <c r="Y67" i="105"/>
  <c r="AM73" i="105"/>
  <c r="AL9" i="106"/>
  <c r="Z16" i="106"/>
  <c r="Y17" i="106"/>
  <c r="A20" i="106"/>
  <c r="AL23" i="106"/>
  <c r="AX37" i="106"/>
  <c r="Y39" i="106"/>
  <c r="AX69" i="106"/>
  <c r="AX17" i="107"/>
  <c r="AL24" i="107"/>
  <c r="AP24" i="107" s="1"/>
  <c r="AY31" i="107"/>
  <c r="Z31" i="107"/>
  <c r="AM31" i="107"/>
  <c r="AM40" i="107"/>
  <c r="AY40" i="107"/>
  <c r="Z40" i="107"/>
  <c r="A51" i="107"/>
  <c r="AX48" i="107"/>
  <c r="AE67" i="107"/>
  <c r="AC67" i="107"/>
  <c r="AY16" i="108"/>
  <c r="Z16" i="108"/>
  <c r="AY33" i="108"/>
  <c r="AM33" i="108"/>
  <c r="AM50" i="108"/>
  <c r="Z50" i="108"/>
  <c r="Y56" i="108"/>
  <c r="AM61" i="108"/>
  <c r="AY61" i="108"/>
  <c r="AY78" i="110"/>
  <c r="AM78" i="110"/>
  <c r="AM37" i="102"/>
  <c r="AL78" i="102"/>
  <c r="AT25" i="105"/>
  <c r="AU25" i="105"/>
  <c r="AH31" i="105"/>
  <c r="Z17" i="106"/>
  <c r="A27" i="106"/>
  <c r="AL45" i="106"/>
  <c r="A49" i="106"/>
  <c r="AX56" i="106"/>
  <c r="Y56" i="106"/>
  <c r="Y69" i="106"/>
  <c r="AY35" i="107"/>
  <c r="AX37" i="107"/>
  <c r="A40" i="107"/>
  <c r="Y37" i="107"/>
  <c r="A54" i="107"/>
  <c r="AL51" i="107"/>
  <c r="AR51" i="107" s="1"/>
  <c r="Y51" i="107"/>
  <c r="AX53" i="107"/>
  <c r="AL53" i="107"/>
  <c r="Y53" i="107"/>
  <c r="AY9" i="108"/>
  <c r="Z9" i="108"/>
  <c r="Y29" i="108"/>
  <c r="AL29" i="108"/>
  <c r="AM36" i="108"/>
  <c r="Z36" i="108"/>
  <c r="AY50" i="108"/>
  <c r="AY33" i="106"/>
  <c r="Z33" i="106"/>
  <c r="AL37" i="106"/>
  <c r="Y37" i="106"/>
  <c r="A43" i="106"/>
  <c r="Y55" i="106"/>
  <c r="AG55" i="106" s="1"/>
  <c r="Z51" i="107"/>
  <c r="AY51" i="107"/>
  <c r="AM41" i="108"/>
  <c r="AQ41" i="108" s="1"/>
  <c r="AX48" i="108"/>
  <c r="Y48" i="108"/>
  <c r="AH48" i="108" s="1"/>
  <c r="A51" i="108"/>
  <c r="AY71" i="108"/>
  <c r="AY49" i="111"/>
  <c r="Z49" i="111"/>
  <c r="AL13" i="100"/>
  <c r="AU13" i="100" s="1"/>
  <c r="A16" i="100"/>
  <c r="AI19" i="100"/>
  <c r="AY20" i="100"/>
  <c r="AM23" i="100"/>
  <c r="AX42" i="100"/>
  <c r="AY66" i="100"/>
  <c r="AY15" i="101"/>
  <c r="AL16" i="101"/>
  <c r="AO16" i="101" s="1"/>
  <c r="A29" i="101"/>
  <c r="AL32" i="101"/>
  <c r="AL38" i="101"/>
  <c r="Z40" i="101"/>
  <c r="AL44" i="101"/>
  <c r="AL46" i="101"/>
  <c r="AL59" i="101"/>
  <c r="Y9" i="102"/>
  <c r="Y30" i="102"/>
  <c r="Y31" i="102"/>
  <c r="Y34" i="102"/>
  <c r="AY40" i="102"/>
  <c r="AM42" i="102"/>
  <c r="AL55" i="102"/>
  <c r="Y59" i="102"/>
  <c r="AX63" i="102"/>
  <c r="AY65" i="102"/>
  <c r="AY70" i="102"/>
  <c r="Y8" i="103"/>
  <c r="AL13" i="103"/>
  <c r="Z14" i="103"/>
  <c r="AL43" i="103"/>
  <c r="AL51" i="103"/>
  <c r="AL57" i="103"/>
  <c r="Z60" i="103"/>
  <c r="AL63" i="103"/>
  <c r="Y8" i="104"/>
  <c r="AM13" i="104"/>
  <c r="AL10" i="105"/>
  <c r="Y16" i="105"/>
  <c r="A19" i="105"/>
  <c r="AL20" i="105"/>
  <c r="Z26" i="105"/>
  <c r="AM26" i="105"/>
  <c r="AY30" i="105"/>
  <c r="Y53" i="105"/>
  <c r="AI53" i="105" s="1"/>
  <c r="AL53" i="105"/>
  <c r="AO53" i="105" s="1"/>
  <c r="Z73" i="105"/>
  <c r="A10" i="106"/>
  <c r="AM11" i="106"/>
  <c r="AL17" i="106"/>
  <c r="AY18" i="106"/>
  <c r="AY34" i="106"/>
  <c r="AM51" i="106"/>
  <c r="Z51" i="106"/>
  <c r="AL59" i="106"/>
  <c r="AX59" i="106"/>
  <c r="AX67" i="106"/>
  <c r="AL67" i="106"/>
  <c r="A73" i="106"/>
  <c r="Y71" i="106"/>
  <c r="AY28" i="107"/>
  <c r="Z55" i="107"/>
  <c r="AM55" i="107"/>
  <c r="AL63" i="107"/>
  <c r="A65" i="107"/>
  <c r="AX63" i="107"/>
  <c r="Y63" i="107"/>
  <c r="AM66" i="107"/>
  <c r="Z66" i="107"/>
  <c r="AY11" i="108"/>
  <c r="Z11" i="108"/>
  <c r="AX21" i="108"/>
  <c r="AL21" i="108"/>
  <c r="AL27" i="108"/>
  <c r="Y27" i="108"/>
  <c r="A30" i="108"/>
  <c r="AX27" i="108"/>
  <c r="AL45" i="108"/>
  <c r="Y45" i="108"/>
  <c r="AX53" i="108"/>
  <c r="AL53" i="108"/>
  <c r="A10" i="110"/>
  <c r="Z51" i="110"/>
  <c r="AY51" i="110"/>
  <c r="AM46" i="111"/>
  <c r="AY46" i="111"/>
  <c r="AY61" i="100"/>
  <c r="Z25" i="101"/>
  <c r="AX38" i="101"/>
  <c r="AX46" i="101"/>
  <c r="AX49" i="101"/>
  <c r="AL9" i="102"/>
  <c r="AM11" i="102"/>
  <c r="AM36" i="102"/>
  <c r="AX44" i="102"/>
  <c r="AM60" i="103"/>
  <c r="AL19" i="104"/>
  <c r="Z78" i="104"/>
  <c r="AY9" i="105"/>
  <c r="AM16" i="105"/>
  <c r="Z16" i="105"/>
  <c r="AL21" i="105"/>
  <c r="AR21" i="105" s="1"/>
  <c r="AR25" i="105"/>
  <c r="AX31" i="105"/>
  <c r="AY32" i="105"/>
  <c r="Z38" i="105"/>
  <c r="Y59" i="105"/>
  <c r="AL15" i="106"/>
  <c r="AL19" i="106"/>
  <c r="AO19" i="106" s="1"/>
  <c r="AL21" i="106"/>
  <c r="AP21" i="106" s="1"/>
  <c r="AX21" i="106"/>
  <c r="AM33" i="106"/>
  <c r="AL38" i="106"/>
  <c r="AR38" i="106" s="1"/>
  <c r="AM42" i="106"/>
  <c r="AY43" i="106"/>
  <c r="AY64" i="106"/>
  <c r="Z64" i="106"/>
  <c r="AX23" i="107"/>
  <c r="AL23" i="107"/>
  <c r="AX49" i="107"/>
  <c r="AX61" i="107"/>
  <c r="AY63" i="107"/>
  <c r="AY66" i="107"/>
  <c r="AM16" i="108"/>
  <c r="AY21" i="108"/>
  <c r="Z21" i="108"/>
  <c r="Y34" i="108"/>
  <c r="AX51" i="108"/>
  <c r="AM31" i="111"/>
  <c r="Z31" i="111"/>
  <c r="AY31" i="111"/>
  <c r="Y66" i="106"/>
  <c r="AX66" i="106"/>
  <c r="AL11" i="107"/>
  <c r="AX11" i="107"/>
  <c r="AL19" i="107"/>
  <c r="Z9" i="110"/>
  <c r="AY9" i="110"/>
  <c r="AM9" i="110"/>
  <c r="Y13" i="110"/>
  <c r="Y42" i="110"/>
  <c r="AL42" i="110"/>
  <c r="AM19" i="111"/>
  <c r="Z19" i="111"/>
  <c r="AY19" i="111"/>
  <c r="AL21" i="111"/>
  <c r="AX21" i="111"/>
  <c r="AX26" i="111"/>
  <c r="AX30" i="111"/>
  <c r="AX78" i="111"/>
  <c r="AL78" i="111"/>
  <c r="AM52" i="111"/>
  <c r="Z52" i="111"/>
  <c r="AC52" i="111" s="1"/>
  <c r="AY52" i="111"/>
  <c r="AM66" i="112"/>
  <c r="AU66" i="112" s="1"/>
  <c r="AY66" i="112"/>
  <c r="Z66" i="112"/>
  <c r="Y53" i="106"/>
  <c r="AM42" i="107"/>
  <c r="Z42" i="107"/>
  <c r="A49" i="107"/>
  <c r="AL45" i="107"/>
  <c r="AY56" i="107"/>
  <c r="Z56" i="107"/>
  <c r="Y18" i="108"/>
  <c r="AL18" i="108"/>
  <c r="AY30" i="108"/>
  <c r="AM30" i="108"/>
  <c r="AS30" i="108" s="1"/>
  <c r="Z30" i="108"/>
  <c r="AG30" i="108" s="1"/>
  <c r="Y57" i="108"/>
  <c r="AM8" i="110"/>
  <c r="Z8" i="110"/>
  <c r="AM16" i="110"/>
  <c r="AY16" i="110"/>
  <c r="Z16" i="110"/>
  <c r="AY25" i="110"/>
  <c r="AM25" i="110"/>
  <c r="AY21" i="111"/>
  <c r="AM21" i="111"/>
  <c r="Z21" i="111"/>
  <c r="AY26" i="111"/>
  <c r="AM26" i="111"/>
  <c r="AP26" i="111" s="1"/>
  <c r="Z26" i="111"/>
  <c r="AM36" i="111"/>
  <c r="Z36" i="111"/>
  <c r="AY36" i="111"/>
  <c r="AL59" i="111"/>
  <c r="AX59" i="111"/>
  <c r="Y59" i="111"/>
  <c r="AL63" i="111"/>
  <c r="AX63" i="111"/>
  <c r="A65" i="111"/>
  <c r="Y63" i="111"/>
  <c r="AY49" i="472"/>
  <c r="Z49" i="472"/>
  <c r="AB49" i="472" s="1"/>
  <c r="AM49" i="472"/>
  <c r="Z9" i="115"/>
  <c r="AM9" i="115"/>
  <c r="AY9" i="115"/>
  <c r="AM35" i="110"/>
  <c r="Z35" i="110"/>
  <c r="AY37" i="110"/>
  <c r="Z37" i="110"/>
  <c r="Z55" i="111"/>
  <c r="AM55" i="111"/>
  <c r="AL71" i="114"/>
  <c r="Y71" i="114"/>
  <c r="AL53" i="106"/>
  <c r="AO53" i="106" s="1"/>
  <c r="AL57" i="106"/>
  <c r="AY19" i="107"/>
  <c r="AL20" i="107"/>
  <c r="AX20" i="107"/>
  <c r="AM21" i="107"/>
  <c r="AY23" i="108"/>
  <c r="AX23" i="108"/>
  <c r="AX24" i="108"/>
  <c r="Z38" i="108"/>
  <c r="AF38" i="108" s="1"/>
  <c r="Z78" i="108"/>
  <c r="AM78" i="108"/>
  <c r="AX15" i="110"/>
  <c r="AX18" i="110"/>
  <c r="AL18" i="110"/>
  <c r="Y18" i="110"/>
  <c r="AY35" i="110"/>
  <c r="AY34" i="110"/>
  <c r="AM34" i="110"/>
  <c r="AQ34" i="110" s="1"/>
  <c r="AL53" i="110"/>
  <c r="AX67" i="110"/>
  <c r="AL67" i="110"/>
  <c r="AX16" i="111"/>
  <c r="Y16" i="111"/>
  <c r="A19" i="111"/>
  <c r="AL17" i="112"/>
  <c r="A20" i="112"/>
  <c r="AX17" i="112"/>
  <c r="Y17" i="112"/>
  <c r="AM28" i="108"/>
  <c r="AY28" i="108"/>
  <c r="AY44" i="108"/>
  <c r="AM44" i="108"/>
  <c r="AM60" i="108"/>
  <c r="Z60" i="108"/>
  <c r="AL21" i="110"/>
  <c r="AM49" i="110"/>
  <c r="AX49" i="110"/>
  <c r="Y49" i="110"/>
  <c r="AA49" i="110" s="1"/>
  <c r="AX53" i="110"/>
  <c r="Z67" i="110"/>
  <c r="AM67" i="110"/>
  <c r="AY67" i="110"/>
  <c r="Z54" i="111"/>
  <c r="AM54" i="111"/>
  <c r="AX63" i="472"/>
  <c r="AL63" i="472"/>
  <c r="A65" i="472"/>
  <c r="Y63" i="472"/>
  <c r="AU38" i="114"/>
  <c r="AT38" i="114"/>
  <c r="AO38" i="114"/>
  <c r="AY45" i="114"/>
  <c r="AM45" i="114"/>
  <c r="AX78" i="110"/>
  <c r="A45" i="110"/>
  <c r="Y45" i="111"/>
  <c r="AX45" i="111"/>
  <c r="Z15" i="112"/>
  <c r="AM15" i="112"/>
  <c r="A33" i="112"/>
  <c r="AX30" i="112"/>
  <c r="Z45" i="114"/>
  <c r="AH45" i="114" s="1"/>
  <c r="AM60" i="106"/>
  <c r="AM66" i="106"/>
  <c r="AM22" i="107"/>
  <c r="AM17" i="110"/>
  <c r="Z17" i="110"/>
  <c r="AY48" i="110"/>
  <c r="AL56" i="110"/>
  <c r="AM57" i="110"/>
  <c r="AY57" i="110"/>
  <c r="Z57" i="110"/>
  <c r="AX59" i="110"/>
  <c r="AM25" i="111"/>
  <c r="AS25" i="111" s="1"/>
  <c r="Y29" i="111"/>
  <c r="AL29" i="111"/>
  <c r="A48" i="111"/>
  <c r="AY63" i="111"/>
  <c r="Z63" i="111"/>
  <c r="AD63" i="111" s="1"/>
  <c r="AM63" i="111"/>
  <c r="Y10" i="112"/>
  <c r="AL18" i="112"/>
  <c r="AT18" i="112" s="1"/>
  <c r="AM28" i="112"/>
  <c r="AO28" i="112" s="1"/>
  <c r="AX29" i="112"/>
  <c r="A32" i="112"/>
  <c r="AX37" i="112"/>
  <c r="AY40" i="112"/>
  <c r="AM40" i="112"/>
  <c r="AX42" i="112"/>
  <c r="A44" i="112"/>
  <c r="AL42" i="112"/>
  <c r="Y43" i="112"/>
  <c r="A46" i="112"/>
  <c r="AM59" i="112"/>
  <c r="AX61" i="112"/>
  <c r="A64" i="112"/>
  <c r="AM24" i="114"/>
  <c r="Z24" i="114"/>
  <c r="AY29" i="114"/>
  <c r="AM29" i="114"/>
  <c r="Z29" i="114"/>
  <c r="AL32" i="114"/>
  <c r="AQ32" i="114" s="1"/>
  <c r="Y32" i="114"/>
  <c r="Y40" i="114"/>
  <c r="AX40" i="114"/>
  <c r="A78" i="114"/>
  <c r="AL40" i="114"/>
  <c r="AY15" i="115"/>
  <c r="AM15" i="115"/>
  <c r="Z15" i="115"/>
  <c r="AY27" i="115"/>
  <c r="AM27" i="115"/>
  <c r="AR27" i="115" s="1"/>
  <c r="Z27" i="115"/>
  <c r="AL39" i="115"/>
  <c r="AS39" i="115" s="1"/>
  <c r="Y39" i="115"/>
  <c r="Y55" i="110"/>
  <c r="AX55" i="110"/>
  <c r="AL63" i="110"/>
  <c r="AU63" i="110" s="1"/>
  <c r="A13" i="111"/>
  <c r="AX13" i="111"/>
  <c r="A16" i="111"/>
  <c r="Y13" i="111"/>
  <c r="AM15" i="111"/>
  <c r="AU15" i="111" s="1"/>
  <c r="Z15" i="111"/>
  <c r="AY28" i="111"/>
  <c r="AM28" i="111"/>
  <c r="AX48" i="111"/>
  <c r="AL48" i="111"/>
  <c r="AM60" i="111"/>
  <c r="Z60" i="111"/>
  <c r="Z9" i="112"/>
  <c r="AM9" i="112"/>
  <c r="A34" i="112"/>
  <c r="Y31" i="112"/>
  <c r="AX37" i="472"/>
  <c r="A40" i="472"/>
  <c r="Y37" i="472"/>
  <c r="AE37" i="472" s="1"/>
  <c r="AL37" i="472"/>
  <c r="Y43" i="114"/>
  <c r="AX43" i="114"/>
  <c r="A46" i="114"/>
  <c r="AM57" i="114"/>
  <c r="AY57" i="114"/>
  <c r="AY21" i="115"/>
  <c r="Z21" i="115"/>
  <c r="AM21" i="115"/>
  <c r="AO21" i="115" s="1"/>
  <c r="AX20" i="108"/>
  <c r="A43" i="108"/>
  <c r="AM42" i="108"/>
  <c r="Z42" i="108"/>
  <c r="AA42" i="108" s="1"/>
  <c r="AM28" i="110"/>
  <c r="Z32" i="110"/>
  <c r="AL32" i="110"/>
  <c r="Y32" i="110"/>
  <c r="AC32" i="110" s="1"/>
  <c r="AX56" i="110"/>
  <c r="AY12" i="111"/>
  <c r="Z12" i="111"/>
  <c r="AM13" i="111"/>
  <c r="AY13" i="111"/>
  <c r="AL24" i="111"/>
  <c r="A27" i="111"/>
  <c r="AX34" i="111"/>
  <c r="AL34" i="111"/>
  <c r="Y34" i="111"/>
  <c r="A37" i="111"/>
  <c r="AL35" i="111"/>
  <c r="Y35" i="111"/>
  <c r="AX37" i="111"/>
  <c r="Y37" i="111"/>
  <c r="AD37" i="111" s="1"/>
  <c r="A40" i="111"/>
  <c r="AD53" i="111"/>
  <c r="AL67" i="111"/>
  <c r="AX67" i="111"/>
  <c r="AY9" i="112"/>
  <c r="AX18" i="112"/>
  <c r="A37" i="112"/>
  <c r="Y34" i="112"/>
  <c r="Z44" i="112"/>
  <c r="AL18" i="472"/>
  <c r="AR18" i="472" s="1"/>
  <c r="Y18" i="472"/>
  <c r="AY42" i="472"/>
  <c r="Z42" i="472"/>
  <c r="AL54" i="472"/>
  <c r="Y27" i="114"/>
  <c r="AX27" i="114"/>
  <c r="AX38" i="114"/>
  <c r="Y38" i="114"/>
  <c r="AY43" i="114"/>
  <c r="AM43" i="114"/>
  <c r="Z43" i="114"/>
  <c r="AL49" i="114"/>
  <c r="Y49" i="114"/>
  <c r="AL25" i="115"/>
  <c r="Y25" i="115"/>
  <c r="AM38" i="115"/>
  <c r="AY10" i="110"/>
  <c r="AM10" i="110"/>
  <c r="AN10" i="110" s="1"/>
  <c r="Z10" i="110"/>
  <c r="AM11" i="110"/>
  <c r="Z11" i="110"/>
  <c r="AM31" i="110"/>
  <c r="AY31" i="110"/>
  <c r="A10" i="111"/>
  <c r="A35" i="111"/>
  <c r="AY37" i="111"/>
  <c r="AM37" i="111"/>
  <c r="AY40" i="111"/>
  <c r="AM40" i="111"/>
  <c r="Z40" i="111"/>
  <c r="AY51" i="111"/>
  <c r="AM51" i="111"/>
  <c r="AY53" i="111"/>
  <c r="AM53" i="111"/>
  <c r="Y18" i="112"/>
  <c r="AX24" i="112"/>
  <c r="Y24" i="112"/>
  <c r="AL24" i="112"/>
  <c r="A27" i="112"/>
  <c r="AM44" i="112"/>
  <c r="A48" i="112"/>
  <c r="Y44" i="112"/>
  <c r="AL44" i="112"/>
  <c r="AY48" i="112"/>
  <c r="AM48" i="112"/>
  <c r="AY56" i="112"/>
  <c r="AY71" i="112"/>
  <c r="Z71" i="112"/>
  <c r="AM71" i="112"/>
  <c r="AX73" i="112"/>
  <c r="AM54" i="472"/>
  <c r="AY54" i="472"/>
  <c r="AM68" i="472"/>
  <c r="AY68" i="472"/>
  <c r="AM14" i="114"/>
  <c r="AY14" i="114"/>
  <c r="Z14" i="114"/>
  <c r="A28" i="114"/>
  <c r="AL25" i="114"/>
  <c r="Z31" i="114"/>
  <c r="AE31" i="114" s="1"/>
  <c r="AY31" i="114"/>
  <c r="Z34" i="114"/>
  <c r="AY34" i="114"/>
  <c r="AM34" i="114"/>
  <c r="AO34" i="114" s="1"/>
  <c r="Z57" i="114"/>
  <c r="AM66" i="110"/>
  <c r="Y9" i="111"/>
  <c r="AH9" i="111" s="1"/>
  <c r="AL9" i="111"/>
  <c r="A12" i="111"/>
  <c r="Y69" i="111"/>
  <c r="AX69" i="111"/>
  <c r="AX10" i="112"/>
  <c r="AL10" i="112"/>
  <c r="AL13" i="112"/>
  <c r="AX13" i="112"/>
  <c r="Y37" i="112"/>
  <c r="Z12" i="472"/>
  <c r="AY12" i="472"/>
  <c r="Y21" i="472"/>
  <c r="AY38" i="472"/>
  <c r="Z38" i="472"/>
  <c r="AB38" i="472" s="1"/>
  <c r="AL26" i="114"/>
  <c r="A29" i="114"/>
  <c r="Z13" i="112"/>
  <c r="AM13" i="112"/>
  <c r="Y78" i="112"/>
  <c r="AB78" i="112" s="1"/>
  <c r="Z69" i="112"/>
  <c r="Y8" i="472"/>
  <c r="Z78" i="472"/>
  <c r="Z68" i="472"/>
  <c r="AY11" i="114"/>
  <c r="AM11" i="114"/>
  <c r="Y45" i="114"/>
  <c r="AX45" i="114"/>
  <c r="AL45" i="114"/>
  <c r="A49" i="114"/>
  <c r="AL58" i="472"/>
  <c r="AX64" i="472"/>
  <c r="AX58" i="114"/>
  <c r="AL11" i="115"/>
  <c r="Y11" i="115"/>
  <c r="AX53" i="115"/>
  <c r="Y53" i="115"/>
  <c r="AI53" i="115" s="1"/>
  <c r="Z23" i="124"/>
  <c r="AY23" i="124"/>
  <c r="AM8" i="117"/>
  <c r="AY8" i="117"/>
  <c r="AY30" i="111"/>
  <c r="Z30" i="111"/>
  <c r="Z32" i="111"/>
  <c r="AC32" i="111" s="1"/>
  <c r="AY32" i="111"/>
  <c r="A39" i="111"/>
  <c r="AY78" i="111"/>
  <c r="Z78" i="111"/>
  <c r="AP25" i="112"/>
  <c r="AX25" i="112"/>
  <c r="Y25" i="112"/>
  <c r="Y39" i="112"/>
  <c r="Z45" i="112"/>
  <c r="AX46" i="112"/>
  <c r="AL46" i="112"/>
  <c r="AX49" i="112"/>
  <c r="Y57" i="112"/>
  <c r="Y49" i="472"/>
  <c r="Y53" i="472"/>
  <c r="AM56" i="472"/>
  <c r="Z56" i="472"/>
  <c r="Z13" i="114"/>
  <c r="AY12" i="114"/>
  <c r="Z12" i="114"/>
  <c r="Z16" i="114"/>
  <c r="AG16" i="114" s="1"/>
  <c r="Z19" i="114"/>
  <c r="AY22" i="114"/>
  <c r="AX30" i="114"/>
  <c r="AY36" i="114"/>
  <c r="Z36" i="114"/>
  <c r="AM40" i="114"/>
  <c r="AX53" i="114"/>
  <c r="Y58" i="114"/>
  <c r="AE58" i="114" s="1"/>
  <c r="AX11" i="115"/>
  <c r="AY12" i="115"/>
  <c r="AY63" i="114"/>
  <c r="AM63" i="114"/>
  <c r="Y26" i="115"/>
  <c r="AX34" i="115"/>
  <c r="Y34" i="115"/>
  <c r="AL34" i="115"/>
  <c r="AM13" i="110"/>
  <c r="AY13" i="110"/>
  <c r="Y24" i="110"/>
  <c r="A28" i="110"/>
  <c r="Y25" i="110"/>
  <c r="AX25" i="111"/>
  <c r="Z8" i="112"/>
  <c r="AY8" i="112"/>
  <c r="AX39" i="112"/>
  <c r="AL49" i="112"/>
  <c r="AL71" i="112"/>
  <c r="Z19" i="472"/>
  <c r="AY18" i="472"/>
  <c r="Z18" i="472"/>
  <c r="AM23" i="472"/>
  <c r="Y25" i="472"/>
  <c r="Z28" i="472"/>
  <c r="Y32" i="472"/>
  <c r="AI32" i="472" s="1"/>
  <c r="Z46" i="472"/>
  <c r="AL49" i="472"/>
  <c r="AY56" i="472"/>
  <c r="AM59" i="472"/>
  <c r="AL71" i="472"/>
  <c r="AX9" i="114"/>
  <c r="AM10" i="114"/>
  <c r="AY20" i="114"/>
  <c r="Z20" i="114"/>
  <c r="AY25" i="114"/>
  <c r="AM25" i="114"/>
  <c r="AR25" i="114" s="1"/>
  <c r="Z42" i="114"/>
  <c r="AL56" i="114"/>
  <c r="Z65" i="114"/>
  <c r="A16" i="115"/>
  <c r="AL13" i="115"/>
  <c r="Y21" i="115"/>
  <c r="AL26" i="115"/>
  <c r="A30" i="115"/>
  <c r="AX27" i="115"/>
  <c r="A41" i="115"/>
  <c r="AX38" i="115"/>
  <c r="AY42" i="115"/>
  <c r="Z42" i="115"/>
  <c r="A49" i="115"/>
  <c r="AL45" i="115"/>
  <c r="Y45" i="115"/>
  <c r="AU69" i="115"/>
  <c r="AN69" i="115"/>
  <c r="Z11" i="116"/>
  <c r="AY11" i="116"/>
  <c r="AM11" i="116"/>
  <c r="AX10" i="124"/>
  <c r="A13" i="124"/>
  <c r="Y10" i="124"/>
  <c r="AX56" i="124"/>
  <c r="AL56" i="124"/>
  <c r="Y56" i="124"/>
  <c r="AH56" i="124" s="1"/>
  <c r="A65" i="115"/>
  <c r="Y63" i="115"/>
  <c r="AC63" i="115" s="1"/>
  <c r="AX63" i="115"/>
  <c r="AL63" i="115"/>
  <c r="AL16" i="116"/>
  <c r="Y16" i="116"/>
  <c r="AX16" i="116"/>
  <c r="A19" i="116"/>
  <c r="A34" i="116"/>
  <c r="AL31" i="116"/>
  <c r="Y31" i="116"/>
  <c r="AM32" i="111"/>
  <c r="AX49" i="111"/>
  <c r="AL49" i="111"/>
  <c r="Z18" i="112"/>
  <c r="AY18" i="112"/>
  <c r="Z37" i="112"/>
  <c r="AY37" i="112"/>
  <c r="AX67" i="112"/>
  <c r="A30" i="472"/>
  <c r="Y28" i="472"/>
  <c r="Z60" i="472"/>
  <c r="A12" i="114"/>
  <c r="A19" i="114"/>
  <c r="AL16" i="114"/>
  <c r="AQ16" i="114" s="1"/>
  <c r="AM21" i="114"/>
  <c r="AY21" i="114"/>
  <c r="AY38" i="114"/>
  <c r="Z38" i="114"/>
  <c r="AM42" i="114"/>
  <c r="A55" i="114"/>
  <c r="AL52" i="114"/>
  <c r="Y52" i="114"/>
  <c r="Z14" i="115"/>
  <c r="AY14" i="115"/>
  <c r="AL18" i="115"/>
  <c r="AL31" i="115"/>
  <c r="AY46" i="115"/>
  <c r="AM46" i="115"/>
  <c r="AY51" i="115"/>
  <c r="AM66" i="115"/>
  <c r="AX31" i="116"/>
  <c r="AL57" i="116"/>
  <c r="AX57" i="116"/>
  <c r="Y57" i="116"/>
  <c r="AL25" i="472"/>
  <c r="A46" i="472"/>
  <c r="AX44" i="472"/>
  <c r="A48" i="472"/>
  <c r="A66" i="472"/>
  <c r="AM67" i="472"/>
  <c r="Z67" i="472"/>
  <c r="AL30" i="114"/>
  <c r="A33" i="114"/>
  <c r="Y42" i="114"/>
  <c r="AX42" i="114"/>
  <c r="AL54" i="114"/>
  <c r="AX13" i="115"/>
  <c r="Z23" i="115"/>
  <c r="AM23" i="115"/>
  <c r="AX31" i="115"/>
  <c r="AY32" i="115"/>
  <c r="AM31" i="115"/>
  <c r="Z31" i="115"/>
  <c r="A66" i="115"/>
  <c r="AL64" i="115"/>
  <c r="AY34" i="124"/>
  <c r="Z34" i="124"/>
  <c r="A46" i="116"/>
  <c r="Y43" i="116"/>
  <c r="AL43" i="116"/>
  <c r="AQ43" i="116" s="1"/>
  <c r="AX43" i="116"/>
  <c r="AY73" i="115"/>
  <c r="AM73" i="115"/>
  <c r="AM26" i="124"/>
  <c r="AY26" i="124"/>
  <c r="Y31" i="124"/>
  <c r="AY33" i="124"/>
  <c r="AM33" i="124"/>
  <c r="A44" i="124"/>
  <c r="AX42" i="124"/>
  <c r="Y55" i="124"/>
  <c r="AX55" i="124"/>
  <c r="AL55" i="124"/>
  <c r="AO55" i="124" s="1"/>
  <c r="Z58" i="124"/>
  <c r="AI58" i="124" s="1"/>
  <c r="AL64" i="124"/>
  <c r="AM14" i="116"/>
  <c r="Z14" i="116"/>
  <c r="AY31" i="116"/>
  <c r="AM31" i="116"/>
  <c r="AX49" i="116"/>
  <c r="Y49" i="116"/>
  <c r="A66" i="116"/>
  <c r="AX64" i="116"/>
  <c r="AL64" i="116"/>
  <c r="Y64" i="116"/>
  <c r="AL38" i="117"/>
  <c r="A41" i="117"/>
  <c r="Y38" i="117"/>
  <c r="AX38" i="117"/>
  <c r="AM52" i="117"/>
  <c r="Z52" i="117"/>
  <c r="AY52" i="117"/>
  <c r="Z54" i="117"/>
  <c r="AY54" i="117"/>
  <c r="AM54" i="117"/>
  <c r="Y11" i="118"/>
  <c r="A14" i="118"/>
  <c r="AX27" i="121"/>
  <c r="Y27" i="121"/>
  <c r="Z14" i="112"/>
  <c r="Y20" i="112"/>
  <c r="Y63" i="112"/>
  <c r="AL24" i="472"/>
  <c r="AL39" i="472"/>
  <c r="A42" i="472"/>
  <c r="AL78" i="472"/>
  <c r="A45" i="472"/>
  <c r="Y67" i="472"/>
  <c r="Z28" i="114"/>
  <c r="AH28" i="114" s="1"/>
  <c r="AM17" i="115"/>
  <c r="AT17" i="115" s="1"/>
  <c r="Z37" i="115"/>
  <c r="Y42" i="115"/>
  <c r="Z53" i="115"/>
  <c r="Y21" i="124"/>
  <c r="AL31" i="124"/>
  <c r="AY32" i="124"/>
  <c r="Z32" i="124"/>
  <c r="AX64" i="124"/>
  <c r="AY64" i="124"/>
  <c r="Z64" i="124"/>
  <c r="AM64" i="124"/>
  <c r="AX21" i="116"/>
  <c r="Z9" i="119"/>
  <c r="AM9" i="119"/>
  <c r="AM12" i="119"/>
  <c r="Z12" i="119"/>
  <c r="AY12" i="119"/>
  <c r="AX31" i="119"/>
  <c r="AP28" i="114"/>
  <c r="AM37" i="115"/>
  <c r="AL41" i="115"/>
  <c r="AM53" i="115"/>
  <c r="Y58" i="115"/>
  <c r="Z65" i="115"/>
  <c r="Z28" i="124"/>
  <c r="AY39" i="124"/>
  <c r="Z39" i="124"/>
  <c r="Y59" i="124"/>
  <c r="Z66" i="124"/>
  <c r="AY69" i="124"/>
  <c r="A71" i="124"/>
  <c r="AX69" i="124"/>
  <c r="AL69" i="124"/>
  <c r="AT69" i="124" s="1"/>
  <c r="AQ10" i="116"/>
  <c r="AM17" i="116"/>
  <c r="AP17" i="116" s="1"/>
  <c r="AL69" i="116"/>
  <c r="AS69" i="116" s="1"/>
  <c r="Y69" i="116"/>
  <c r="A35" i="117"/>
  <c r="AX32" i="117"/>
  <c r="AL32" i="117"/>
  <c r="AY46" i="117"/>
  <c r="Z46" i="117"/>
  <c r="AF46" i="117" s="1"/>
  <c r="AM46" i="117"/>
  <c r="AX28" i="115"/>
  <c r="Y28" i="115"/>
  <c r="AE28" i="115" s="1"/>
  <c r="AL42" i="115"/>
  <c r="AL48" i="115"/>
  <c r="AR48" i="115" s="1"/>
  <c r="AM65" i="115"/>
  <c r="AY71" i="115"/>
  <c r="Z73" i="115"/>
  <c r="AI73" i="115" s="1"/>
  <c r="Y13" i="124"/>
  <c r="AH13" i="124" s="1"/>
  <c r="AX14" i="124"/>
  <c r="A17" i="124"/>
  <c r="Y14" i="124"/>
  <c r="AL14" i="124"/>
  <c r="Z33" i="124"/>
  <c r="Y42" i="124"/>
  <c r="A43" i="124"/>
  <c r="Y41" i="124"/>
  <c r="AX41" i="124"/>
  <c r="AL41" i="124"/>
  <c r="AM51" i="124"/>
  <c r="Z51" i="124"/>
  <c r="AX54" i="124"/>
  <c r="Y54" i="124"/>
  <c r="AY59" i="124"/>
  <c r="AM59" i="124"/>
  <c r="AQ59" i="124" s="1"/>
  <c r="Z59" i="124"/>
  <c r="AB59" i="124" s="1"/>
  <c r="AX63" i="124"/>
  <c r="AL63" i="124"/>
  <c r="Y66" i="124"/>
  <c r="AY14" i="116"/>
  <c r="AY17" i="116"/>
  <c r="Z18" i="116"/>
  <c r="AM18" i="116"/>
  <c r="Z24" i="116"/>
  <c r="Z31" i="116"/>
  <c r="Y55" i="116"/>
  <c r="AB55" i="116" s="1"/>
  <c r="AM43" i="124"/>
  <c r="AY43" i="124"/>
  <c r="A50" i="124"/>
  <c r="AL46" i="124"/>
  <c r="AM68" i="124"/>
  <c r="AY68" i="124"/>
  <c r="Z68" i="124"/>
  <c r="Y8" i="116"/>
  <c r="A11" i="116"/>
  <c r="AL8" i="116"/>
  <c r="Z13" i="116"/>
  <c r="AB13" i="116" s="1"/>
  <c r="AM13" i="116"/>
  <c r="AQ13" i="116" s="1"/>
  <c r="AX63" i="116"/>
  <c r="AL63" i="116"/>
  <c r="AY73" i="116"/>
  <c r="Z73" i="116"/>
  <c r="AY78" i="117"/>
  <c r="Z78" i="117"/>
  <c r="AM45" i="118"/>
  <c r="AY45" i="118"/>
  <c r="Z45" i="118"/>
  <c r="Z52" i="118"/>
  <c r="AM52" i="118"/>
  <c r="AU58" i="115"/>
  <c r="AL24" i="124"/>
  <c r="A45" i="124"/>
  <c r="AX78" i="124"/>
  <c r="AL78" i="124"/>
  <c r="Y46" i="124"/>
  <c r="AD46" i="124" s="1"/>
  <c r="AL56" i="116"/>
  <c r="AR56" i="116" s="1"/>
  <c r="AX56" i="116"/>
  <c r="Y56" i="116"/>
  <c r="Y49" i="118"/>
  <c r="AL49" i="118"/>
  <c r="AX23" i="124"/>
  <c r="AY24" i="124"/>
  <c r="AM24" i="124"/>
  <c r="AN24" i="124" s="1"/>
  <c r="Y40" i="124"/>
  <c r="AI40" i="124" s="1"/>
  <c r="A78" i="124"/>
  <c r="A49" i="124"/>
  <c r="AX45" i="124"/>
  <c r="Y49" i="124"/>
  <c r="AL49" i="124"/>
  <c r="AY58" i="124"/>
  <c r="Y64" i="124"/>
  <c r="A10" i="116"/>
  <c r="AM16" i="116"/>
  <c r="AX19" i="116"/>
  <c r="AM25" i="116"/>
  <c r="Z25" i="116"/>
  <c r="AY38" i="116"/>
  <c r="AM40" i="116"/>
  <c r="AY40" i="116"/>
  <c r="Z40" i="116"/>
  <c r="AM48" i="116"/>
  <c r="AY48" i="116"/>
  <c r="Y63" i="116"/>
  <c r="AY71" i="116"/>
  <c r="AM71" i="116"/>
  <c r="A11" i="117"/>
  <c r="AL71" i="115"/>
  <c r="A30" i="124"/>
  <c r="AY30" i="124"/>
  <c r="AL37" i="124"/>
  <c r="A39" i="124"/>
  <c r="AY40" i="124"/>
  <c r="AM78" i="116"/>
  <c r="AS78" i="116" s="1"/>
  <c r="AM46" i="116"/>
  <c r="AY46" i="116"/>
  <c r="Z60" i="116"/>
  <c r="AL23" i="117"/>
  <c r="AY40" i="117"/>
  <c r="AM40" i="117"/>
  <c r="AR40" i="117" s="1"/>
  <c r="A49" i="117"/>
  <c r="Y45" i="117"/>
  <c r="AM48" i="117"/>
  <c r="AO48" i="117" s="1"/>
  <c r="AY48" i="117"/>
  <c r="AY49" i="117"/>
  <c r="AM49" i="117"/>
  <c r="AL57" i="117"/>
  <c r="AX57" i="117"/>
  <c r="Z8" i="118"/>
  <c r="AM8" i="118"/>
  <c r="AX10" i="118"/>
  <c r="Z78" i="118"/>
  <c r="AG78" i="118" s="1"/>
  <c r="AY78" i="118"/>
  <c r="AM78" i="118"/>
  <c r="AX57" i="118"/>
  <c r="Y57" i="118"/>
  <c r="A54" i="120"/>
  <c r="AX51" i="120"/>
  <c r="Y51" i="120"/>
  <c r="AL51" i="120"/>
  <c r="AY42" i="124"/>
  <c r="AL44" i="124"/>
  <c r="A44" i="116"/>
  <c r="AX42" i="116"/>
  <c r="AL44" i="116"/>
  <c r="A48" i="116"/>
  <c r="Y44" i="116"/>
  <c r="AM60" i="116"/>
  <c r="Y59" i="116"/>
  <c r="AL59" i="116"/>
  <c r="A14" i="117"/>
  <c r="AX11" i="117"/>
  <c r="Y11" i="117"/>
  <c r="AE10" i="119"/>
  <c r="AB10" i="119"/>
  <c r="AO66" i="124"/>
  <c r="Y18" i="124"/>
  <c r="Y36" i="124"/>
  <c r="AX44" i="124"/>
  <c r="AY45" i="124"/>
  <c r="AM52" i="124"/>
  <c r="AT52" i="124" s="1"/>
  <c r="Y10" i="116"/>
  <c r="A17" i="116"/>
  <c r="Y14" i="116"/>
  <c r="AY19" i="116"/>
  <c r="Y42" i="116"/>
  <c r="AG42" i="116" s="1"/>
  <c r="AY42" i="116"/>
  <c r="AM42" i="116"/>
  <c r="AX45" i="116"/>
  <c r="Y45" i="116"/>
  <c r="A51" i="116"/>
  <c r="AX48" i="116"/>
  <c r="AM61" i="116"/>
  <c r="Z61" i="116"/>
  <c r="AX59" i="117"/>
  <c r="Y59" i="117"/>
  <c r="AF59" i="117" s="1"/>
  <c r="AM53" i="118"/>
  <c r="Z53" i="118"/>
  <c r="AY10" i="117"/>
  <c r="Z10" i="117"/>
  <c r="AM10" i="117"/>
  <c r="AS10" i="117" s="1"/>
  <c r="A40" i="117"/>
  <c r="AL37" i="117"/>
  <c r="AM73" i="117"/>
  <c r="AY73" i="117"/>
  <c r="AH24" i="120"/>
  <c r="AX11" i="116"/>
  <c r="A14" i="116"/>
  <c r="A16" i="116"/>
  <c r="AX13" i="116"/>
  <c r="Z21" i="116"/>
  <c r="AY21" i="116"/>
  <c r="AL42" i="116"/>
  <c r="Z43" i="116"/>
  <c r="AY43" i="116"/>
  <c r="AG48" i="116"/>
  <c r="AB48" i="116"/>
  <c r="AY56" i="116"/>
  <c r="Z56" i="116"/>
  <c r="AY70" i="116"/>
  <c r="AM70" i="116"/>
  <c r="AX71" i="116"/>
  <c r="AL71" i="116"/>
  <c r="AY22" i="117"/>
  <c r="AM35" i="117"/>
  <c r="AN35" i="117" s="1"/>
  <c r="Z35" i="117"/>
  <c r="AY35" i="117"/>
  <c r="Z39" i="117"/>
  <c r="AY39" i="117"/>
  <c r="AM39" i="117"/>
  <c r="AM34" i="118"/>
  <c r="AY34" i="118"/>
  <c r="Z34" i="118"/>
  <c r="AX46" i="116"/>
  <c r="AY54" i="116"/>
  <c r="AM54" i="116"/>
  <c r="AY21" i="117"/>
  <c r="AM21" i="117"/>
  <c r="AX64" i="117"/>
  <c r="AY10" i="118"/>
  <c r="AM10" i="118"/>
  <c r="A30" i="118"/>
  <c r="AY42" i="118"/>
  <c r="AM42" i="118"/>
  <c r="Z49" i="118"/>
  <c r="AB49" i="118" s="1"/>
  <c r="AY49" i="118"/>
  <c r="AX51" i="118"/>
  <c r="A54" i="118"/>
  <c r="Y51" i="118"/>
  <c r="A64" i="118"/>
  <c r="AL73" i="118"/>
  <c r="AX18" i="119"/>
  <c r="Y18" i="119"/>
  <c r="AG18" i="119" s="1"/>
  <c r="AL18" i="119"/>
  <c r="AL54" i="119"/>
  <c r="AM73" i="119"/>
  <c r="AY73" i="119"/>
  <c r="Z73" i="119"/>
  <c r="AF73" i="119" s="1"/>
  <c r="AM18" i="120"/>
  <c r="AY46" i="120"/>
  <c r="Z46" i="120"/>
  <c r="AH46" i="120" s="1"/>
  <c r="A64" i="121"/>
  <c r="AL61" i="121"/>
  <c r="AX61" i="121"/>
  <c r="Y61" i="121"/>
  <c r="A45" i="117"/>
  <c r="Y46" i="117"/>
  <c r="Y51" i="117"/>
  <c r="AY53" i="117"/>
  <c r="Z53" i="117"/>
  <c r="AL55" i="117"/>
  <c r="AX55" i="117"/>
  <c r="Y55" i="117"/>
  <c r="AM21" i="118"/>
  <c r="Z21" i="118"/>
  <c r="AX35" i="118"/>
  <c r="Y35" i="118"/>
  <c r="AX54" i="118"/>
  <c r="AL54" i="118"/>
  <c r="AX59" i="118"/>
  <c r="AL59" i="118"/>
  <c r="AM64" i="118"/>
  <c r="Z64" i="118"/>
  <c r="AX67" i="118"/>
  <c r="AL67" i="118"/>
  <c r="A13" i="119"/>
  <c r="AX10" i="119"/>
  <c r="AM30" i="119"/>
  <c r="AY30" i="119"/>
  <c r="A13" i="120"/>
  <c r="AX10" i="120"/>
  <c r="Y21" i="120"/>
  <c r="AB21" i="120" s="1"/>
  <c r="Z25" i="120"/>
  <c r="AB25" i="120" s="1"/>
  <c r="AM25" i="120"/>
  <c r="AL54" i="120"/>
  <c r="AU54" i="120" s="1"/>
  <c r="Y54" i="120"/>
  <c r="AL17" i="118"/>
  <c r="Y18" i="118"/>
  <c r="AH18" i="118" s="1"/>
  <c r="A35" i="118"/>
  <c r="Y32" i="118"/>
  <c r="AB32" i="118" s="1"/>
  <c r="AX32" i="118"/>
  <c r="AL32" i="118"/>
  <c r="AI54" i="118"/>
  <c r="AG54" i="118"/>
  <c r="Y52" i="119"/>
  <c r="AX14" i="120"/>
  <c r="A17" i="120"/>
  <c r="AL14" i="120"/>
  <c r="Y14" i="120"/>
  <c r="A51" i="120"/>
  <c r="Y48" i="120"/>
  <c r="AX48" i="120"/>
  <c r="AX54" i="120"/>
  <c r="AY34" i="117"/>
  <c r="Z34" i="117"/>
  <c r="A51" i="117"/>
  <c r="Y48" i="117"/>
  <c r="AM58" i="117"/>
  <c r="AQ58" i="117" s="1"/>
  <c r="AY58" i="117"/>
  <c r="AX9" i="118"/>
  <c r="A12" i="118"/>
  <c r="AL13" i="118"/>
  <c r="AN13" i="118" s="1"/>
  <c r="AM43" i="118"/>
  <c r="Z43" i="118"/>
  <c r="AX58" i="118"/>
  <c r="AL58" i="118"/>
  <c r="Z65" i="118"/>
  <c r="AY65" i="118"/>
  <c r="AY69" i="118"/>
  <c r="AM69" i="118"/>
  <c r="AM35" i="120"/>
  <c r="AN35" i="120" s="1"/>
  <c r="AY35" i="120"/>
  <c r="Z35" i="120"/>
  <c r="Y42" i="120"/>
  <c r="AI42" i="120" s="1"/>
  <c r="AL42" i="120"/>
  <c r="AL45" i="120"/>
  <c r="Y45" i="120"/>
  <c r="Y52" i="120"/>
  <c r="AG52" i="120" s="1"/>
  <c r="A55" i="120"/>
  <c r="AX52" i="120"/>
  <c r="AL69" i="117"/>
  <c r="AN69" i="117" s="1"/>
  <c r="AX69" i="117"/>
  <c r="Y17" i="118"/>
  <c r="AC17" i="118" s="1"/>
  <c r="AX18" i="118"/>
  <c r="A49" i="118"/>
  <c r="Y45" i="118"/>
  <c r="AX45" i="118"/>
  <c r="AM69" i="120"/>
  <c r="AY42" i="121"/>
  <c r="AM42" i="121"/>
  <c r="Z42" i="121"/>
  <c r="AM31" i="122"/>
  <c r="AY31" i="122"/>
  <c r="Z31" i="122"/>
  <c r="A10" i="120"/>
  <c r="AM38" i="120"/>
  <c r="Z38" i="120"/>
  <c r="AM40" i="120"/>
  <c r="AY40" i="120"/>
  <c r="AU9" i="121"/>
  <c r="AX20" i="121"/>
  <c r="AL20" i="121"/>
  <c r="Y20" i="121"/>
  <c r="A43" i="121"/>
  <c r="AX41" i="121"/>
  <c r="Y41" i="121"/>
  <c r="AL19" i="117"/>
  <c r="AN19" i="117" s="1"/>
  <c r="Y19" i="117"/>
  <c r="AC19" i="117" s="1"/>
  <c r="AX19" i="117"/>
  <c r="AX24" i="117"/>
  <c r="AL24" i="117"/>
  <c r="AY25" i="117"/>
  <c r="AM25" i="117"/>
  <c r="AX35" i="117"/>
  <c r="AL35" i="117"/>
  <c r="Z42" i="117"/>
  <c r="AY42" i="117"/>
  <c r="AL43" i="117"/>
  <c r="AQ53" i="117"/>
  <c r="Y52" i="117"/>
  <c r="AL52" i="117"/>
  <c r="AM65" i="117"/>
  <c r="Z25" i="118"/>
  <c r="Y24" i="118"/>
  <c r="AA24" i="118" s="1"/>
  <c r="AY37" i="118"/>
  <c r="Z37" i="118"/>
  <c r="AY43" i="118"/>
  <c r="Y59" i="118"/>
  <c r="AY63" i="118"/>
  <c r="AM63" i="118"/>
  <c r="Y67" i="118"/>
  <c r="A16" i="119"/>
  <c r="AL13" i="119"/>
  <c r="AX13" i="119"/>
  <c r="Y13" i="119"/>
  <c r="AM16" i="119"/>
  <c r="Z16" i="119"/>
  <c r="AY16" i="119"/>
  <c r="Z27" i="119"/>
  <c r="Z30" i="119"/>
  <c r="Z32" i="119"/>
  <c r="AL78" i="119"/>
  <c r="AP78" i="119" s="1"/>
  <c r="Y78" i="119"/>
  <c r="AY29" i="120"/>
  <c r="AX32" i="120"/>
  <c r="AY38" i="120"/>
  <c r="AY64" i="121"/>
  <c r="AM64" i="121"/>
  <c r="AQ64" i="121" s="1"/>
  <c r="Z64" i="121"/>
  <c r="AM32" i="120"/>
  <c r="Z32" i="120"/>
  <c r="Y78" i="120"/>
  <c r="AX44" i="120"/>
  <c r="A48" i="120"/>
  <c r="AY48" i="120"/>
  <c r="AM52" i="120"/>
  <c r="AY52" i="120"/>
  <c r="A64" i="120"/>
  <c r="AL61" i="120"/>
  <c r="AT61" i="120" s="1"/>
  <c r="AY64" i="120"/>
  <c r="Z64" i="120"/>
  <c r="AL49" i="121"/>
  <c r="AM61" i="121"/>
  <c r="AY61" i="121"/>
  <c r="A40" i="122"/>
  <c r="AX37" i="122"/>
  <c r="AL37" i="122"/>
  <c r="Y37" i="122"/>
  <c r="AY46" i="122"/>
  <c r="AM46" i="122"/>
  <c r="Z49" i="122"/>
  <c r="AY49" i="122"/>
  <c r="AM49" i="122"/>
  <c r="AT49" i="122" s="1"/>
  <c r="Y55" i="122"/>
  <c r="AX73" i="122"/>
  <c r="AL73" i="122"/>
  <c r="AM33" i="123"/>
  <c r="Z33" i="123"/>
  <c r="AY33" i="123"/>
  <c r="A64" i="123"/>
  <c r="AL61" i="123"/>
  <c r="Y61" i="123"/>
  <c r="AM46" i="125"/>
  <c r="Z46" i="125"/>
  <c r="AY46" i="125"/>
  <c r="Y26" i="117"/>
  <c r="AL41" i="117"/>
  <c r="AY43" i="117"/>
  <c r="AY50" i="117"/>
  <c r="A17" i="118"/>
  <c r="AL39" i="118"/>
  <c r="AY44" i="118"/>
  <c r="Z57" i="118"/>
  <c r="AL69" i="118"/>
  <c r="AY71" i="118"/>
  <c r="AL11" i="119"/>
  <c r="AM22" i="119"/>
  <c r="AM35" i="119"/>
  <c r="AY41" i="119"/>
  <c r="AY46" i="119"/>
  <c r="Y51" i="119"/>
  <c r="AE51" i="119" s="1"/>
  <c r="AY21" i="120"/>
  <c r="AL24" i="120"/>
  <c r="AY27" i="120"/>
  <c r="AM27" i="120"/>
  <c r="AX30" i="120"/>
  <c r="AL78" i="120"/>
  <c r="Z60" i="120"/>
  <c r="AY61" i="120"/>
  <c r="Z61" i="120"/>
  <c r="Z66" i="120"/>
  <c r="Y10" i="121"/>
  <c r="A13" i="121"/>
  <c r="AL10" i="121"/>
  <c r="Y18" i="121"/>
  <c r="A45" i="121"/>
  <c r="AX78" i="121"/>
  <c r="AM46" i="121"/>
  <c r="AX28" i="122"/>
  <c r="AL28" i="122"/>
  <c r="Z67" i="122"/>
  <c r="AB67" i="122" s="1"/>
  <c r="AM67" i="122"/>
  <c r="AY67" i="122"/>
  <c r="A29" i="123"/>
  <c r="AX26" i="123"/>
  <c r="Y29" i="117"/>
  <c r="Y58" i="117"/>
  <c r="AL30" i="118"/>
  <c r="AY22" i="119"/>
  <c r="AY35" i="119"/>
  <c r="AM36" i="119"/>
  <c r="AS36" i="119" s="1"/>
  <c r="A42" i="119"/>
  <c r="Z78" i="119"/>
  <c r="Z55" i="119"/>
  <c r="AL28" i="120"/>
  <c r="AY32" i="120"/>
  <c r="AX34" i="120"/>
  <c r="A37" i="120"/>
  <c r="Y34" i="120"/>
  <c r="Y53" i="120"/>
  <c r="AX53" i="120"/>
  <c r="AY60" i="120"/>
  <c r="AL71" i="120"/>
  <c r="AX71" i="120"/>
  <c r="AY10" i="121"/>
  <c r="AM10" i="121"/>
  <c r="AP10" i="121" s="1"/>
  <c r="AL18" i="121"/>
  <c r="AM27" i="121"/>
  <c r="A29" i="121"/>
  <c r="AY32" i="121"/>
  <c r="AM32" i="121"/>
  <c r="Y36" i="121"/>
  <c r="Z38" i="121"/>
  <c r="A48" i="121"/>
  <c r="AX44" i="121"/>
  <c r="AM53" i="121"/>
  <c r="AL58" i="121"/>
  <c r="AY15" i="122"/>
  <c r="AM14" i="122"/>
  <c r="AY14" i="122"/>
  <c r="A51" i="122"/>
  <c r="AL48" i="122"/>
  <c r="Y48" i="122"/>
  <c r="AM58" i="122"/>
  <c r="AY58" i="122"/>
  <c r="Z58" i="122"/>
  <c r="A73" i="122"/>
  <c r="Z16" i="123"/>
  <c r="AY16" i="123"/>
  <c r="AM16" i="123"/>
  <c r="AL30" i="123"/>
  <c r="AX30" i="123"/>
  <c r="A33" i="120"/>
  <c r="AY37" i="120"/>
  <c r="Z37" i="120"/>
  <c r="AY43" i="120"/>
  <c r="Z43" i="120"/>
  <c r="AM43" i="120"/>
  <c r="AL58" i="120"/>
  <c r="A12" i="121"/>
  <c r="AX9" i="121"/>
  <c r="AY13" i="121"/>
  <c r="AM13" i="121"/>
  <c r="AM21" i="121"/>
  <c r="Z21" i="121"/>
  <c r="AH21" i="121" s="1"/>
  <c r="AY21" i="121"/>
  <c r="AY23" i="121"/>
  <c r="AM23" i="121"/>
  <c r="AY27" i="121"/>
  <c r="AL36" i="121"/>
  <c r="AY54" i="121"/>
  <c r="AM54" i="121"/>
  <c r="AL56" i="121"/>
  <c r="AR56" i="121" s="1"/>
  <c r="Y56" i="121"/>
  <c r="AX63" i="121"/>
  <c r="AX15" i="122"/>
  <c r="Y15" i="122"/>
  <c r="Z18" i="122"/>
  <c r="AG18" i="122" s="1"/>
  <c r="AY18" i="122"/>
  <c r="AX27" i="122"/>
  <c r="Y27" i="122"/>
  <c r="Z23" i="119"/>
  <c r="AY23" i="119"/>
  <c r="AY15" i="120"/>
  <c r="AM15" i="120"/>
  <c r="AM39" i="120"/>
  <c r="Z39" i="120"/>
  <c r="AM49" i="120"/>
  <c r="Z49" i="120"/>
  <c r="AM58" i="120"/>
  <c r="AY58" i="120"/>
  <c r="Z58" i="120"/>
  <c r="Z31" i="121"/>
  <c r="AY31" i="121"/>
  <c r="A78" i="121"/>
  <c r="Z56" i="121"/>
  <c r="AM56" i="121"/>
  <c r="A71" i="121"/>
  <c r="AL69" i="121"/>
  <c r="AN69" i="121" s="1"/>
  <c r="A28" i="123"/>
  <c r="AM37" i="125"/>
  <c r="AY37" i="125"/>
  <c r="Z37" i="125"/>
  <c r="Z40" i="125"/>
  <c r="Z19" i="121"/>
  <c r="AY19" i="121"/>
  <c r="A42" i="121"/>
  <c r="AX39" i="121"/>
  <c r="Y39" i="121"/>
  <c r="AI39" i="121" s="1"/>
  <c r="AL45" i="121"/>
  <c r="AO45" i="121" s="1"/>
  <c r="AX45" i="121"/>
  <c r="AX48" i="121"/>
  <c r="Y48" i="121"/>
  <c r="AY49" i="121"/>
  <c r="AM49" i="121"/>
  <c r="AT49" i="121" s="1"/>
  <c r="AM12" i="122"/>
  <c r="Z12" i="122"/>
  <c r="AL17" i="122"/>
  <c r="AX17" i="122"/>
  <c r="Y17" i="122"/>
  <c r="Z22" i="118"/>
  <c r="Y39" i="118"/>
  <c r="AA39" i="118" s="1"/>
  <c r="Z60" i="118"/>
  <c r="AX15" i="119"/>
  <c r="Y26" i="119"/>
  <c r="AL63" i="119"/>
  <c r="AX63" i="119"/>
  <c r="Y63" i="119"/>
  <c r="A11" i="120"/>
  <c r="AL8" i="120"/>
  <c r="AL23" i="120"/>
  <c r="AS23" i="120" s="1"/>
  <c r="A28" i="120"/>
  <c r="AL30" i="120"/>
  <c r="AM34" i="120"/>
  <c r="AL36" i="120"/>
  <c r="A39" i="120"/>
  <c r="AY56" i="120"/>
  <c r="AL57" i="120"/>
  <c r="Y57" i="120"/>
  <c r="Z63" i="120"/>
  <c r="AY73" i="120"/>
  <c r="Y8" i="121"/>
  <c r="Z11" i="121"/>
  <c r="AG11" i="121" s="1"/>
  <c r="Z13" i="121"/>
  <c r="AY12" i="121"/>
  <c r="AM12" i="121"/>
  <c r="AM19" i="121"/>
  <c r="AM22" i="121"/>
  <c r="Z32" i="121"/>
  <c r="AA32" i="121" s="1"/>
  <c r="Y49" i="121"/>
  <c r="Z48" i="121"/>
  <c r="AB48" i="121" s="1"/>
  <c r="AM48" i="121"/>
  <c r="A66" i="121"/>
  <c r="Y64" i="121"/>
  <c r="AX64" i="121"/>
  <c r="AM9" i="122"/>
  <c r="AY9" i="122"/>
  <c r="AM24" i="122"/>
  <c r="Z24" i="122"/>
  <c r="AY24" i="122"/>
  <c r="Y31" i="122"/>
  <c r="AX31" i="122"/>
  <c r="AT78" i="122"/>
  <c r="Z46" i="122"/>
  <c r="AY13" i="123"/>
  <c r="AM13" i="123"/>
  <c r="Z13" i="123"/>
  <c r="AF13" i="123" s="1"/>
  <c r="AY34" i="123"/>
  <c r="AM34" i="123"/>
  <c r="AT34" i="123" s="1"/>
  <c r="Z58" i="125"/>
  <c r="AM58" i="125"/>
  <c r="AM61" i="123"/>
  <c r="Z61" i="123"/>
  <c r="Z9" i="475"/>
  <c r="AM9" i="475"/>
  <c r="AX17" i="475"/>
  <c r="Y17" i="475"/>
  <c r="AA17" i="475" s="1"/>
  <c r="AL17" i="475"/>
  <c r="A20" i="475"/>
  <c r="AL31" i="125"/>
  <c r="Y31" i="125"/>
  <c r="Z36" i="125"/>
  <c r="AM78" i="125"/>
  <c r="AT78" i="125" s="1"/>
  <c r="Z78" i="125"/>
  <c r="AY78" i="125"/>
  <c r="Z68" i="125"/>
  <c r="AM68" i="125"/>
  <c r="AY68" i="125"/>
  <c r="Z73" i="125"/>
  <c r="AM73" i="125"/>
  <c r="AY73" i="125"/>
  <c r="AY9" i="475"/>
  <c r="AY13" i="475"/>
  <c r="AM13" i="475"/>
  <c r="Z13" i="475"/>
  <c r="AA13" i="475" s="1"/>
  <c r="AL26" i="475"/>
  <c r="A29" i="475"/>
  <c r="AX26" i="475"/>
  <c r="Y26" i="475"/>
  <c r="AM78" i="475"/>
  <c r="AY78" i="475"/>
  <c r="Z78" i="475"/>
  <c r="AL39" i="120"/>
  <c r="AY20" i="121"/>
  <c r="Z20" i="121"/>
  <c r="A28" i="121"/>
  <c r="AL25" i="121"/>
  <c r="AM40" i="121"/>
  <c r="Y8" i="122"/>
  <c r="AC8" i="122" s="1"/>
  <c r="AY21" i="122"/>
  <c r="AY32" i="122"/>
  <c r="AX43" i="122"/>
  <c r="AY59" i="122"/>
  <c r="Z66" i="122"/>
  <c r="AM66" i="122"/>
  <c r="AP66" i="122" s="1"/>
  <c r="AM71" i="122"/>
  <c r="AT71" i="122" s="1"/>
  <c r="AT70" i="122" s="1"/>
  <c r="Z71" i="122"/>
  <c r="AL15" i="123"/>
  <c r="Z64" i="123"/>
  <c r="AY64" i="123"/>
  <c r="AM64" i="123"/>
  <c r="AX66" i="123"/>
  <c r="AL66" i="125"/>
  <c r="A27" i="121"/>
  <c r="AL24" i="121"/>
  <c r="AX24" i="121"/>
  <c r="AM33" i="121"/>
  <c r="Z33" i="121"/>
  <c r="AY40" i="121"/>
  <c r="Y59" i="121"/>
  <c r="AX59" i="121"/>
  <c r="AX73" i="121"/>
  <c r="AM17" i="122"/>
  <c r="AX30" i="122"/>
  <c r="A64" i="122"/>
  <c r="A11" i="123"/>
  <c r="AL8" i="123"/>
  <c r="AX8" i="123"/>
  <c r="AM12" i="123"/>
  <c r="Z12" i="123"/>
  <c r="AY12" i="123"/>
  <c r="Z22" i="123"/>
  <c r="AY22" i="123"/>
  <c r="AM22" i="123"/>
  <c r="AY24" i="123"/>
  <c r="AM24" i="123"/>
  <c r="AO24" i="123" s="1"/>
  <c r="AY32" i="123"/>
  <c r="AM32" i="123"/>
  <c r="AY45" i="123"/>
  <c r="AM45" i="123"/>
  <c r="Z45" i="123"/>
  <c r="AA45" i="123" s="1"/>
  <c r="Y66" i="123"/>
  <c r="AY68" i="123"/>
  <c r="Z68" i="123"/>
  <c r="Z73" i="123"/>
  <c r="AG73" i="123" s="1"/>
  <c r="AM39" i="125"/>
  <c r="AT39" i="125" s="1"/>
  <c r="Z39" i="125"/>
  <c r="AY39" i="125"/>
  <c r="Y23" i="122"/>
  <c r="AG23" i="122" s="1"/>
  <c r="AX23" i="122"/>
  <c r="AL36" i="122"/>
  <c r="Y38" i="122"/>
  <c r="A41" i="122"/>
  <c r="AL38" i="122"/>
  <c r="Y21" i="123"/>
  <c r="A40" i="123"/>
  <c r="AX37" i="123"/>
  <c r="AL37" i="123"/>
  <c r="Y37" i="123"/>
  <c r="AY38" i="123"/>
  <c r="AM38" i="123"/>
  <c r="AR38" i="123" s="1"/>
  <c r="Z38" i="123"/>
  <c r="A48" i="123"/>
  <c r="AX44" i="123"/>
  <c r="Y44" i="123"/>
  <c r="AM50" i="123"/>
  <c r="AY50" i="123"/>
  <c r="Z50" i="123"/>
  <c r="Y54" i="123"/>
  <c r="AX56" i="123"/>
  <c r="Y56" i="123"/>
  <c r="AX58" i="123"/>
  <c r="Y58" i="123"/>
  <c r="AY73" i="123"/>
  <c r="Y54" i="125"/>
  <c r="AX54" i="125"/>
  <c r="AL54" i="125"/>
  <c r="AX66" i="125"/>
  <c r="AM71" i="125"/>
  <c r="AY12" i="475"/>
  <c r="AM12" i="475"/>
  <c r="Z12" i="475"/>
  <c r="AM54" i="120"/>
  <c r="AL69" i="120"/>
  <c r="AS69" i="120" s="1"/>
  <c r="AL29" i="121"/>
  <c r="AL38" i="121"/>
  <c r="AQ38" i="121" s="1"/>
  <c r="AL67" i="121"/>
  <c r="AX67" i="121"/>
  <c r="AL11" i="122"/>
  <c r="A14" i="122"/>
  <c r="Y25" i="122"/>
  <c r="A28" i="122"/>
  <c r="A32" i="122"/>
  <c r="Y29" i="122"/>
  <c r="Y42" i="122"/>
  <c r="AY51" i="122"/>
  <c r="AM51" i="122"/>
  <c r="Z60" i="122"/>
  <c r="AY28" i="123"/>
  <c r="AM28" i="123"/>
  <c r="Z28" i="123"/>
  <c r="A34" i="123"/>
  <c r="AL31" i="123"/>
  <c r="Y42" i="123"/>
  <c r="AC42" i="123" s="1"/>
  <c r="AX42" i="123"/>
  <c r="AL42" i="123"/>
  <c r="AX49" i="123"/>
  <c r="Y49" i="123"/>
  <c r="AL49" i="123"/>
  <c r="AX51" i="123"/>
  <c r="Z55" i="123"/>
  <c r="AM30" i="125"/>
  <c r="Z30" i="125"/>
  <c r="AM41" i="125"/>
  <c r="Z41" i="125"/>
  <c r="AX63" i="125"/>
  <c r="Y63" i="125"/>
  <c r="AY70" i="125"/>
  <c r="Z18" i="475"/>
  <c r="AM18" i="475"/>
  <c r="AL38" i="475"/>
  <c r="Y38" i="475"/>
  <c r="AX38" i="475"/>
  <c r="A41" i="475"/>
  <c r="AM42" i="122"/>
  <c r="Z42" i="122"/>
  <c r="AX46" i="122"/>
  <c r="AL67" i="122"/>
  <c r="AL69" i="122"/>
  <c r="AX69" i="122"/>
  <c r="A13" i="123"/>
  <c r="AL10" i="123"/>
  <c r="Y10" i="123"/>
  <c r="AX10" i="123"/>
  <c r="Z27" i="123"/>
  <c r="AY27" i="123"/>
  <c r="AI53" i="123"/>
  <c r="AY24" i="125"/>
  <c r="Z24" i="125"/>
  <c r="AX37" i="125"/>
  <c r="A40" i="125"/>
  <c r="Y37" i="125"/>
  <c r="A46" i="125"/>
  <c r="Y43" i="125"/>
  <c r="AX43" i="125"/>
  <c r="AX46" i="120"/>
  <c r="Z17" i="121"/>
  <c r="AY17" i="121"/>
  <c r="A17" i="122"/>
  <c r="AX14" i="122"/>
  <c r="AL14" i="122"/>
  <c r="AY30" i="122"/>
  <c r="Z30" i="122"/>
  <c r="AG30" i="122" s="1"/>
  <c r="AX57" i="122"/>
  <c r="Y57" i="122"/>
  <c r="AY63" i="122"/>
  <c r="AM63" i="122"/>
  <c r="A10" i="123"/>
  <c r="AM63" i="123"/>
  <c r="Z63" i="123"/>
  <c r="AX14" i="125"/>
  <c r="Y14" i="125"/>
  <c r="AY25" i="125"/>
  <c r="Z25" i="125"/>
  <c r="AY35" i="125"/>
  <c r="AM35" i="125"/>
  <c r="A35" i="475"/>
  <c r="AL32" i="475"/>
  <c r="Y32" i="475"/>
  <c r="AY33" i="475"/>
  <c r="AM33" i="475"/>
  <c r="Y45" i="475"/>
  <c r="AX45" i="475"/>
  <c r="A49" i="475"/>
  <c r="AL45" i="475"/>
  <c r="AX71" i="475"/>
  <c r="AL71" i="475"/>
  <c r="AN71" i="475" s="1"/>
  <c r="Y71" i="475"/>
  <c r="AY45" i="475"/>
  <c r="Z45" i="475"/>
  <c r="AG45" i="475" s="1"/>
  <c r="AX17" i="125"/>
  <c r="AM34" i="125"/>
  <c r="AS34" i="125" s="1"/>
  <c r="AY34" i="125"/>
  <c r="Y53" i="125"/>
  <c r="Z67" i="125"/>
  <c r="AY67" i="125"/>
  <c r="AM19" i="475"/>
  <c r="AY19" i="475"/>
  <c r="Z19" i="475"/>
  <c r="AC19" i="475" s="1"/>
  <c r="Z26" i="475"/>
  <c r="AM26" i="475"/>
  <c r="AQ26" i="475" s="1"/>
  <c r="Z33" i="475"/>
  <c r="A12" i="123"/>
  <c r="AL9" i="123"/>
  <c r="Z29" i="123"/>
  <c r="AM29" i="123"/>
  <c r="A39" i="123"/>
  <c r="AL36" i="123"/>
  <c r="AR36" i="123" s="1"/>
  <c r="Y15" i="125"/>
  <c r="AX15" i="125"/>
  <c r="AL15" i="125"/>
  <c r="AT15" i="125" s="1"/>
  <c r="AY22" i="125"/>
  <c r="AM22" i="125"/>
  <c r="Z22" i="125"/>
  <c r="A43" i="125"/>
  <c r="AX41" i="125"/>
  <c r="AL41" i="125"/>
  <c r="AM48" i="125"/>
  <c r="Z48" i="125"/>
  <c r="AY51" i="125"/>
  <c r="Z51" i="125"/>
  <c r="A66" i="125"/>
  <c r="Y64" i="125"/>
  <c r="AM68" i="475"/>
  <c r="Z68" i="475"/>
  <c r="AL57" i="125"/>
  <c r="AX57" i="125"/>
  <c r="Y18" i="475"/>
  <c r="AC18" i="475" s="1"/>
  <c r="AX18" i="475"/>
  <c r="AL20" i="475"/>
  <c r="AM57" i="475"/>
  <c r="Z57" i="475"/>
  <c r="AX41" i="123"/>
  <c r="A43" i="123"/>
  <c r="AM60" i="123"/>
  <c r="Z60" i="123"/>
  <c r="Y10" i="125"/>
  <c r="A13" i="125"/>
  <c r="AX11" i="125"/>
  <c r="Y44" i="125"/>
  <c r="AY40" i="475"/>
  <c r="Z40" i="475"/>
  <c r="A48" i="475"/>
  <c r="Y44" i="475"/>
  <c r="Y46" i="475"/>
  <c r="Z53" i="125"/>
  <c r="AX56" i="125"/>
  <c r="AT29" i="475"/>
  <c r="AO29" i="475"/>
  <c r="A32" i="475"/>
  <c r="Y29" i="475"/>
  <c r="AL35" i="475"/>
  <c r="AU35" i="475" s="1"/>
  <c r="A71" i="475"/>
  <c r="Y59" i="475"/>
  <c r="AX59" i="475"/>
  <c r="AL11" i="125"/>
  <c r="AX24" i="125"/>
  <c r="AL24" i="125"/>
  <c r="AX44" i="125"/>
  <c r="AM53" i="125"/>
  <c r="AM61" i="125"/>
  <c r="Z61" i="125"/>
  <c r="AM11" i="475"/>
  <c r="Z11" i="475"/>
  <c r="AX29" i="475"/>
  <c r="Y39" i="475"/>
  <c r="AX39" i="475"/>
  <c r="AL39" i="475"/>
  <c r="AL59" i="475"/>
  <c r="AL27" i="475"/>
  <c r="Y27" i="475"/>
  <c r="A39" i="475"/>
  <c r="Y36" i="475"/>
  <c r="Z42" i="475"/>
  <c r="AA42" i="475" s="1"/>
  <c r="AY42" i="475"/>
  <c r="AM42" i="475"/>
  <c r="AC43" i="122"/>
  <c r="Z8" i="122"/>
  <c r="AX19" i="122"/>
  <c r="Y23" i="123"/>
  <c r="AH23" i="123" s="1"/>
  <c r="AX24" i="123"/>
  <c r="Y38" i="123"/>
  <c r="AY60" i="123"/>
  <c r="Z70" i="123"/>
  <c r="AL73" i="123"/>
  <c r="Y13" i="125"/>
  <c r="Z17" i="125"/>
  <c r="AL38" i="125"/>
  <c r="AX42" i="125"/>
  <c r="AX46" i="125"/>
  <c r="AL58" i="125"/>
  <c r="AP58" i="125" s="1"/>
  <c r="AM64" i="125"/>
  <c r="AU64" i="125" s="1"/>
  <c r="AX73" i="125"/>
  <c r="AL73" i="125"/>
  <c r="AX19" i="475"/>
  <c r="A45" i="475"/>
  <c r="Z46" i="475"/>
  <c r="AB46" i="475" s="1"/>
  <c r="AX49" i="475"/>
  <c r="AL49" i="475"/>
  <c r="AL57" i="475"/>
  <c r="AY64" i="475"/>
  <c r="AM64" i="475"/>
  <c r="AX73" i="475"/>
  <c r="AM65" i="475"/>
  <c r="Z65" i="475"/>
  <c r="Y26" i="125"/>
  <c r="AY56" i="125"/>
  <c r="AX25" i="475"/>
  <c r="Y41" i="475"/>
  <c r="Z41" i="475"/>
  <c r="D22" i="418"/>
  <c r="D12" i="418"/>
  <c r="AT55" i="100"/>
  <c r="Y23" i="100"/>
  <c r="Z52" i="100"/>
  <c r="Y57" i="100"/>
  <c r="G79" i="100"/>
  <c r="G77" i="100" s="1"/>
  <c r="G8" i="100" s="1"/>
  <c r="AX19" i="101"/>
  <c r="AL19" i="101"/>
  <c r="Z23" i="101"/>
  <c r="AH23" i="101" s="1"/>
  <c r="AY23" i="101"/>
  <c r="AY52" i="101"/>
  <c r="AM52" i="101"/>
  <c r="Z52" i="101"/>
  <c r="Z20" i="102"/>
  <c r="AY20" i="102"/>
  <c r="AM20" i="102"/>
  <c r="S12" i="105"/>
  <c r="Y18" i="100"/>
  <c r="AG19" i="100"/>
  <c r="AX19" i="100"/>
  <c r="AL19" i="100"/>
  <c r="AX25" i="100"/>
  <c r="A28" i="100"/>
  <c r="AL25" i="100"/>
  <c r="A31" i="100"/>
  <c r="AL28" i="100"/>
  <c r="Y28" i="100"/>
  <c r="AX28" i="100"/>
  <c r="AY52" i="100"/>
  <c r="AL57" i="100"/>
  <c r="AM63" i="100"/>
  <c r="Z63" i="100"/>
  <c r="AY63" i="100"/>
  <c r="A73" i="100"/>
  <c r="Y71" i="100"/>
  <c r="AX71" i="100"/>
  <c r="AX3" i="101"/>
  <c r="Z30" i="101"/>
  <c r="AY30" i="101"/>
  <c r="AM30" i="101"/>
  <c r="AY46" i="101"/>
  <c r="AM46" i="101"/>
  <c r="AY50" i="101"/>
  <c r="AM50" i="101"/>
  <c r="Z50" i="101"/>
  <c r="Y3" i="102"/>
  <c r="AX3" i="102"/>
  <c r="AL3" i="102"/>
  <c r="AU28" i="102"/>
  <c r="A39" i="102"/>
  <c r="AX36" i="102"/>
  <c r="AL36" i="102"/>
  <c r="Y36" i="102"/>
  <c r="AC19" i="100"/>
  <c r="Y17" i="100"/>
  <c r="A20" i="100"/>
  <c r="AX17" i="100"/>
  <c r="D4" i="418"/>
  <c r="AL17" i="100"/>
  <c r="AX21" i="100"/>
  <c r="AL21" i="100"/>
  <c r="A27" i="100"/>
  <c r="AX24" i="100"/>
  <c r="AL24" i="100"/>
  <c r="Y29" i="100"/>
  <c r="AY36" i="100"/>
  <c r="AM36" i="100"/>
  <c r="AY40" i="100"/>
  <c r="AM40" i="100"/>
  <c r="AG43" i="100"/>
  <c r="AY43" i="100"/>
  <c r="AM43" i="100"/>
  <c r="AY51" i="100"/>
  <c r="AM51" i="100"/>
  <c r="AX55" i="100"/>
  <c r="AM23" i="101"/>
  <c r="AM22" i="101"/>
  <c r="Z22" i="101"/>
  <c r="Z46" i="101"/>
  <c r="AN28" i="102"/>
  <c r="AU29" i="102"/>
  <c r="AX29" i="100"/>
  <c r="A32" i="100"/>
  <c r="AL29" i="100"/>
  <c r="AN35" i="100"/>
  <c r="AM10" i="100"/>
  <c r="Z10" i="100"/>
  <c r="AG10" i="100" s="1"/>
  <c r="Y16" i="100"/>
  <c r="A19" i="100"/>
  <c r="AX27" i="100"/>
  <c r="A30" i="100"/>
  <c r="AL27" i="100"/>
  <c r="AU35" i="100"/>
  <c r="AE43" i="100"/>
  <c r="AD43" i="100"/>
  <c r="AI43" i="100"/>
  <c r="AA43" i="100"/>
  <c r="Z50" i="100"/>
  <c r="AY50" i="100"/>
  <c r="AY54" i="100"/>
  <c r="AM54" i="100"/>
  <c r="Y20" i="101"/>
  <c r="AX20" i="101"/>
  <c r="AL20" i="101"/>
  <c r="AM27" i="101"/>
  <c r="Z27" i="101"/>
  <c r="AY27" i="101"/>
  <c r="AY44" i="101"/>
  <c r="AM44" i="101"/>
  <c r="AL55" i="101"/>
  <c r="Y55" i="101"/>
  <c r="AC72" i="101"/>
  <c r="AI73" i="101"/>
  <c r="AA72" i="102"/>
  <c r="AO4" i="102"/>
  <c r="AI23" i="102"/>
  <c r="AA23" i="102"/>
  <c r="AE23" i="102"/>
  <c r="AN29" i="102"/>
  <c r="Z4" i="100"/>
  <c r="AY9" i="100"/>
  <c r="AM9" i="100"/>
  <c r="AH24" i="100"/>
  <c r="AF24" i="100"/>
  <c r="AE24" i="100"/>
  <c r="AD24" i="100"/>
  <c r="AB24" i="100"/>
  <c r="AM56" i="100"/>
  <c r="Z56" i="100"/>
  <c r="AX58" i="100"/>
  <c r="AL58" i="100"/>
  <c r="AE72" i="100"/>
  <c r="AD72" i="100"/>
  <c r="AC72" i="100"/>
  <c r="AB72" i="100"/>
  <c r="AI72" i="100"/>
  <c r="AA72" i="100"/>
  <c r="AG72" i="100"/>
  <c r="AL17" i="101"/>
  <c r="Y17" i="101"/>
  <c r="A20" i="101"/>
  <c r="AY78" i="101"/>
  <c r="AM78" i="101"/>
  <c r="Z48" i="101"/>
  <c r="AY48" i="101"/>
  <c r="AM48" i="101"/>
  <c r="AX18" i="100"/>
  <c r="AL18" i="100"/>
  <c r="AX23" i="100"/>
  <c r="AL23" i="100"/>
  <c r="Z9" i="100"/>
  <c r="A11" i="100"/>
  <c r="AL8" i="100"/>
  <c r="Y8" i="100"/>
  <c r="AX8" i="100"/>
  <c r="Z13" i="100"/>
  <c r="AY13" i="100"/>
  <c r="AH19" i="100"/>
  <c r="AF19" i="100"/>
  <c r="AE19" i="100"/>
  <c r="AD19" i="100"/>
  <c r="AB19" i="100"/>
  <c r="AX20" i="100"/>
  <c r="AL20" i="100"/>
  <c r="AA24" i="100"/>
  <c r="AE51" i="100"/>
  <c r="AD51" i="100"/>
  <c r="AI51" i="100"/>
  <c r="AA51" i="100"/>
  <c r="AM52" i="100"/>
  <c r="AX57" i="100"/>
  <c r="AY68" i="100"/>
  <c r="Z68" i="100"/>
  <c r="AF72" i="100"/>
  <c r="D5" i="418"/>
  <c r="AY12" i="101"/>
  <c r="AM12" i="101"/>
  <c r="AY14" i="101"/>
  <c r="AM14" i="101"/>
  <c r="Z14" i="101"/>
  <c r="AM31" i="101"/>
  <c r="Z31" i="101"/>
  <c r="AY31" i="101"/>
  <c r="A38" i="101"/>
  <c r="AX35" i="101"/>
  <c r="AL35" i="101"/>
  <c r="Y35" i="101"/>
  <c r="AY41" i="101"/>
  <c r="AM41" i="101"/>
  <c r="A16" i="102"/>
  <c r="AX13" i="102"/>
  <c r="AL13" i="102"/>
  <c r="Y13" i="102"/>
  <c r="AG15" i="102"/>
  <c r="A20" i="102"/>
  <c r="Y17" i="102"/>
  <c r="AX17" i="102"/>
  <c r="Y15" i="100"/>
  <c r="AX15" i="100"/>
  <c r="AC24" i="100"/>
  <c r="AM34" i="100"/>
  <c r="Z34" i="100"/>
  <c r="AC34" i="100" s="1"/>
  <c r="AY38" i="100"/>
  <c r="AM38" i="100"/>
  <c r="AY42" i="100"/>
  <c r="AM42" i="100"/>
  <c r="AY45" i="100"/>
  <c r="AM45" i="100"/>
  <c r="AB51" i="100"/>
  <c r="Y49" i="100"/>
  <c r="A66" i="100"/>
  <c r="Y64" i="100"/>
  <c r="AX64" i="100"/>
  <c r="AH72" i="100"/>
  <c r="AL15" i="101"/>
  <c r="Y15" i="101"/>
  <c r="AY39" i="101"/>
  <c r="AM39" i="101"/>
  <c r="AQ39" i="101" s="1"/>
  <c r="AY65" i="101"/>
  <c r="AM65" i="101"/>
  <c r="Z65" i="101"/>
  <c r="AI57" i="102"/>
  <c r="Y11" i="100"/>
  <c r="A14" i="100"/>
  <c r="AX11" i="100"/>
  <c r="AG24" i="100"/>
  <c r="AY22" i="100"/>
  <c r="AM22" i="100"/>
  <c r="A35" i="100"/>
  <c r="AL32" i="100"/>
  <c r="Y32" i="100"/>
  <c r="AX32" i="100"/>
  <c r="Y55" i="100"/>
  <c r="AY60" i="100"/>
  <c r="AM60" i="100"/>
  <c r="Z60" i="100"/>
  <c r="AE67" i="100"/>
  <c r="Y3" i="101"/>
  <c r="Z26" i="101"/>
  <c r="AY26" i="101"/>
  <c r="AM26" i="101"/>
  <c r="AY37" i="101"/>
  <c r="AM37" i="101"/>
  <c r="Z37" i="101"/>
  <c r="AI37" i="101" s="1"/>
  <c r="S12" i="102"/>
  <c r="Y3" i="100"/>
  <c r="AQ3" i="100"/>
  <c r="AL31" i="100"/>
  <c r="AY37" i="100"/>
  <c r="AY39" i="100"/>
  <c r="AY41" i="100"/>
  <c r="AY78" i="100"/>
  <c r="AY44" i="100"/>
  <c r="AY46" i="100"/>
  <c r="AD66" i="100"/>
  <c r="AL67" i="100"/>
  <c r="Z69" i="100"/>
  <c r="Z4" i="101"/>
  <c r="AF4" i="101" s="1"/>
  <c r="AR4" i="101"/>
  <c r="Z8" i="101"/>
  <c r="AL9" i="101"/>
  <c r="AY13" i="101"/>
  <c r="AL18" i="101"/>
  <c r="AM38" i="101"/>
  <c r="AM40" i="101"/>
  <c r="AC42" i="101"/>
  <c r="AM42" i="101"/>
  <c r="AM43" i="101"/>
  <c r="AM45" i="101"/>
  <c r="Y49" i="101"/>
  <c r="AM51" i="101"/>
  <c r="AT51" i="101" s="1"/>
  <c r="Y57" i="101"/>
  <c r="AX58" i="101"/>
  <c r="AM64" i="101"/>
  <c r="Y66" i="101"/>
  <c r="AY67" i="101"/>
  <c r="AM69" i="101"/>
  <c r="Y71" i="101"/>
  <c r="AE72" i="101"/>
  <c r="A73" i="101"/>
  <c r="AC73" i="101"/>
  <c r="AX4" i="102"/>
  <c r="Z9" i="102"/>
  <c r="AF9" i="102" s="1"/>
  <c r="AY10" i="102"/>
  <c r="AY12" i="102"/>
  <c r="A14" i="102"/>
  <c r="Y14" i="102"/>
  <c r="AL16" i="102"/>
  <c r="Y18" i="102"/>
  <c r="A19" i="102"/>
  <c r="AD23" i="102"/>
  <c r="AM23" i="102"/>
  <c r="AY24" i="102"/>
  <c r="AY25" i="102"/>
  <c r="AY26" i="102"/>
  <c r="AY27" i="102"/>
  <c r="AO28" i="102"/>
  <c r="AY28" i="102"/>
  <c r="AO29" i="102"/>
  <c r="AY29" i="102"/>
  <c r="AY30" i="102"/>
  <c r="AY32" i="102"/>
  <c r="AY34" i="102"/>
  <c r="AL37" i="102"/>
  <c r="A40" i="102"/>
  <c r="AL40" i="102"/>
  <c r="Y41" i="102"/>
  <c r="A78" i="102"/>
  <c r="AX45" i="102"/>
  <c r="AM53" i="102"/>
  <c r="AY53" i="102"/>
  <c r="AY57" i="102"/>
  <c r="Z69" i="102"/>
  <c r="AY69" i="102"/>
  <c r="AA4" i="103"/>
  <c r="AM4" i="103"/>
  <c r="A13" i="103"/>
  <c r="AX15" i="103"/>
  <c r="AL15" i="103"/>
  <c r="Y15" i="103"/>
  <c r="AY21" i="103"/>
  <c r="AM21" i="103"/>
  <c r="Z21" i="103"/>
  <c r="Z25" i="103"/>
  <c r="AM25" i="103"/>
  <c r="AX32" i="103"/>
  <c r="Z37" i="103"/>
  <c r="Z39" i="103"/>
  <c r="AH39" i="103" s="1"/>
  <c r="AL38" i="103"/>
  <c r="Z40" i="103"/>
  <c r="AY40" i="103"/>
  <c r="Z45" i="103"/>
  <c r="A48" i="103"/>
  <c r="AY49" i="103"/>
  <c r="AL54" i="103"/>
  <c r="A55" i="103"/>
  <c r="AM64" i="103"/>
  <c r="AL69" i="103"/>
  <c r="AM12" i="104"/>
  <c r="AY19" i="104"/>
  <c r="Z19" i="104"/>
  <c r="AY49" i="104"/>
  <c r="Z49" i="104"/>
  <c r="AM56" i="104"/>
  <c r="AP3" i="105"/>
  <c r="AN3" i="105"/>
  <c r="AR3" i="105"/>
  <c r="A20" i="105"/>
  <c r="A30" i="105"/>
  <c r="Y27" i="105"/>
  <c r="AL27" i="105"/>
  <c r="AA31" i="105"/>
  <c r="AY39" i="105"/>
  <c r="AM39" i="105"/>
  <c r="Z39" i="105"/>
  <c r="AY49" i="105"/>
  <c r="AM49" i="105"/>
  <c r="AP49" i="105" s="1"/>
  <c r="AL55" i="105"/>
  <c r="AH66" i="105"/>
  <c r="AN3" i="106"/>
  <c r="AL8" i="106"/>
  <c r="A11" i="106"/>
  <c r="AX8" i="106"/>
  <c r="Y8" i="106"/>
  <c r="S33" i="106"/>
  <c r="AL54" i="102"/>
  <c r="Z61" i="102"/>
  <c r="AA61" i="102" s="1"/>
  <c r="AX64" i="102"/>
  <c r="Y67" i="102"/>
  <c r="AX67" i="102"/>
  <c r="AB4" i="103"/>
  <c r="AT9" i="103"/>
  <c r="AR9" i="103"/>
  <c r="AO9" i="103"/>
  <c r="AX17" i="103"/>
  <c r="AL17" i="103"/>
  <c r="Y17" i="103"/>
  <c r="A33" i="103"/>
  <c r="AL30" i="103"/>
  <c r="AY52" i="103"/>
  <c r="AM52" i="103"/>
  <c r="Z52" i="103"/>
  <c r="AY57" i="103"/>
  <c r="Z64" i="103"/>
  <c r="AY63" i="103"/>
  <c r="AM63" i="103"/>
  <c r="Z63" i="103"/>
  <c r="AY25" i="104"/>
  <c r="AM35" i="104"/>
  <c r="AX54" i="104"/>
  <c r="AL54" i="104"/>
  <c r="AU54" i="104" s="1"/>
  <c r="Y54" i="104"/>
  <c r="AM61" i="104"/>
  <c r="AH9" i="105"/>
  <c r="A12" i="105"/>
  <c r="AX9" i="105"/>
  <c r="AL9" i="105"/>
  <c r="Z17" i="105"/>
  <c r="AB17" i="105" s="1"/>
  <c r="AM17" i="105"/>
  <c r="A29" i="105"/>
  <c r="AX26" i="105"/>
  <c r="Y26" i="105"/>
  <c r="AC31" i="105"/>
  <c r="S33" i="105"/>
  <c r="AY56" i="105"/>
  <c r="Z56" i="105"/>
  <c r="AY21" i="106"/>
  <c r="AM21" i="106"/>
  <c r="Z21" i="106"/>
  <c r="AS3" i="100"/>
  <c r="AL10" i="100"/>
  <c r="AM11" i="100"/>
  <c r="AO11" i="100" s="1"/>
  <c r="AN13" i="100"/>
  <c r="AM15" i="100"/>
  <c r="AT15" i="100" s="1"/>
  <c r="AM17" i="100"/>
  <c r="AL26" i="100"/>
  <c r="A29" i="100"/>
  <c r="AL30" i="100"/>
  <c r="AX31" i="100"/>
  <c r="A33" i="100"/>
  <c r="A34" i="100"/>
  <c r="AL34" i="100"/>
  <c r="AC43" i="100"/>
  <c r="AM48" i="100"/>
  <c r="AP48" i="100" s="1"/>
  <c r="AC51" i="100"/>
  <c r="AY53" i="100"/>
  <c r="AM64" i="100"/>
  <c r="AF66" i="100"/>
  <c r="AX67" i="100"/>
  <c r="AM71" i="100"/>
  <c r="AT71" i="100" s="1"/>
  <c r="AT70" i="100" s="1"/>
  <c r="AX9" i="101"/>
  <c r="A12" i="101"/>
  <c r="AX18" i="101"/>
  <c r="Z24" i="101"/>
  <c r="AG24" i="101" s="1"/>
  <c r="AM25" i="101"/>
  <c r="AM29" i="101"/>
  <c r="AT29" i="101" s="1"/>
  <c r="Y31" i="101"/>
  <c r="A37" i="101"/>
  <c r="AL37" i="101"/>
  <c r="AY45" i="101"/>
  <c r="AY51" i="101"/>
  <c r="Y53" i="101"/>
  <c r="AM54" i="101"/>
  <c r="AM59" i="101"/>
  <c r="AR59" i="101" s="1"/>
  <c r="AM60" i="101"/>
  <c r="Z61" i="101"/>
  <c r="Y67" i="101"/>
  <c r="AY69" i="101"/>
  <c r="AG72" i="101"/>
  <c r="AE73" i="101"/>
  <c r="Y4" i="102"/>
  <c r="Z10" i="102"/>
  <c r="AE10" i="102" s="1"/>
  <c r="AL15" i="102"/>
  <c r="AX16" i="102"/>
  <c r="AY17" i="102"/>
  <c r="AL19" i="102"/>
  <c r="AF23" i="102"/>
  <c r="AY23" i="102"/>
  <c r="Z24" i="102"/>
  <c r="Z25" i="102"/>
  <c r="Z26" i="102"/>
  <c r="Z27" i="102"/>
  <c r="Z28" i="102"/>
  <c r="AE28" i="102" s="1"/>
  <c r="AQ28" i="102"/>
  <c r="Z29" i="102"/>
  <c r="AQ29" i="102"/>
  <c r="Z30" i="102"/>
  <c r="Z32" i="102"/>
  <c r="AM33" i="102"/>
  <c r="AL41" i="102"/>
  <c r="A43" i="102"/>
  <c r="AL43" i="102"/>
  <c r="Y44" i="102"/>
  <c r="A46" i="102"/>
  <c r="AX46" i="102"/>
  <c r="A51" i="102"/>
  <c r="AM54" i="102"/>
  <c r="AX54" i="102"/>
  <c r="Y56" i="102"/>
  <c r="AY58" i="102"/>
  <c r="AL59" i="102"/>
  <c r="Y64" i="102"/>
  <c r="AO66" i="102"/>
  <c r="Y3" i="103"/>
  <c r="AL3" i="103"/>
  <c r="AX3" i="103"/>
  <c r="AQ9" i="103"/>
  <c r="AX10" i="103"/>
  <c r="Z9" i="103"/>
  <c r="AY9" i="103"/>
  <c r="Y24" i="103"/>
  <c r="AL24" i="103"/>
  <c r="A27" i="103"/>
  <c r="A29" i="103"/>
  <c r="AL26" i="103"/>
  <c r="AX28" i="103"/>
  <c r="Y32" i="103"/>
  <c r="Z30" i="103"/>
  <c r="AY30" i="103"/>
  <c r="AY35" i="103"/>
  <c r="AX38" i="103"/>
  <c r="AL41" i="103"/>
  <c r="A42" i="103"/>
  <c r="AX39" i="103"/>
  <c r="Y78" i="103"/>
  <c r="AL78" i="103"/>
  <c r="Y44" i="103"/>
  <c r="AL44" i="103"/>
  <c r="A45" i="103"/>
  <c r="Z49" i="103"/>
  <c r="AM49" i="103"/>
  <c r="AX52" i="103"/>
  <c r="Z57" i="103"/>
  <c r="AL55" i="103"/>
  <c r="AY66" i="103"/>
  <c r="AM66" i="103"/>
  <c r="Z66" i="103"/>
  <c r="AD72" i="103"/>
  <c r="AB72" i="103"/>
  <c r="AG72" i="103"/>
  <c r="AF72" i="103"/>
  <c r="AM10" i="104"/>
  <c r="Z10" i="104"/>
  <c r="AH10" i="104" s="1"/>
  <c r="AM19" i="104"/>
  <c r="AY22" i="104"/>
  <c r="Z22" i="104"/>
  <c r="A33" i="104"/>
  <c r="AL30" i="104"/>
  <c r="AN30" i="104" s="1"/>
  <c r="A43" i="104"/>
  <c r="AL41" i="104"/>
  <c r="AQ41" i="104" s="1"/>
  <c r="A65" i="104"/>
  <c r="AX63" i="104"/>
  <c r="AO3" i="105"/>
  <c r="Y3" i="105"/>
  <c r="AX16" i="105"/>
  <c r="AE21" i="105"/>
  <c r="AG31" i="105"/>
  <c r="AY29" i="105"/>
  <c r="AM29" i="105"/>
  <c r="Z29" i="105"/>
  <c r="A35" i="105"/>
  <c r="AX32" i="105"/>
  <c r="Y32" i="105"/>
  <c r="Z37" i="105"/>
  <c r="A41" i="105"/>
  <c r="AX38" i="105"/>
  <c r="AL38" i="105"/>
  <c r="AY43" i="105"/>
  <c r="AM43" i="105"/>
  <c r="Z43" i="105"/>
  <c r="Y55" i="105"/>
  <c r="AT3" i="100"/>
  <c r="AH37" i="100"/>
  <c r="AG66" i="100"/>
  <c r="AM8" i="101"/>
  <c r="AR13" i="101"/>
  <c r="AX16" i="101"/>
  <c r="AL57" i="101"/>
  <c r="Y58" i="101"/>
  <c r="AL66" i="101"/>
  <c r="Z67" i="101"/>
  <c r="AL71" i="101"/>
  <c r="AH72" i="101"/>
  <c r="AF73" i="101"/>
  <c r="Y11" i="102"/>
  <c r="AG23" i="102"/>
  <c r="AR28" i="102"/>
  <c r="AR29" i="102"/>
  <c r="Z34" i="102"/>
  <c r="A41" i="102"/>
  <c r="AL38" i="102"/>
  <c r="Z52" i="102"/>
  <c r="Z51" i="102"/>
  <c r="AM63" i="102"/>
  <c r="AU63" i="102" s="1"/>
  <c r="Z71" i="102"/>
  <c r="AB72" i="102"/>
  <c r="AS9" i="103"/>
  <c r="AY18" i="103"/>
  <c r="AY22" i="103"/>
  <c r="Z22" i="103"/>
  <c r="AF28" i="103"/>
  <c r="AD28" i="103"/>
  <c r="AI28" i="103"/>
  <c r="AA28" i="103"/>
  <c r="Z26" i="103"/>
  <c r="AY26" i="103"/>
  <c r="Y30" i="103"/>
  <c r="AX41" i="103"/>
  <c r="AY46" i="103"/>
  <c r="AM46" i="103"/>
  <c r="Z46" i="103"/>
  <c r="AL53" i="103"/>
  <c r="Y58" i="103"/>
  <c r="AX58" i="103"/>
  <c r="Z65" i="103"/>
  <c r="AA72" i="103"/>
  <c r="AX17" i="104"/>
  <c r="AL57" i="104"/>
  <c r="Y57" i="104"/>
  <c r="AQ3" i="105"/>
  <c r="Z28" i="105"/>
  <c r="AY28" i="105"/>
  <c r="AY37" i="105"/>
  <c r="Z71" i="105"/>
  <c r="AY71" i="105"/>
  <c r="AM71" i="105"/>
  <c r="AU3" i="100"/>
  <c r="AR4" i="100"/>
  <c r="AY11" i="100"/>
  <c r="Z12" i="100"/>
  <c r="AP13" i="100"/>
  <c r="Z14" i="100"/>
  <c r="AX26" i="100"/>
  <c r="AX30" i="100"/>
  <c r="Z32" i="100"/>
  <c r="Z35" i="100"/>
  <c r="AH35" i="100" s="1"/>
  <c r="AA37" i="100"/>
  <c r="AI44" i="100"/>
  <c r="AY48" i="100"/>
  <c r="AL52" i="100"/>
  <c r="Y53" i="100"/>
  <c r="AM59" i="100"/>
  <c r="AT59" i="100" s="1"/>
  <c r="Z61" i="100"/>
  <c r="AH66" i="100"/>
  <c r="AY71" i="100"/>
  <c r="Z73" i="100"/>
  <c r="A10" i="101"/>
  <c r="Y10" i="101"/>
  <c r="Z11" i="101"/>
  <c r="AB11" i="101" s="1"/>
  <c r="A13" i="101"/>
  <c r="AS13" i="101"/>
  <c r="A19" i="101"/>
  <c r="AL21" i="101"/>
  <c r="AM28" i="101"/>
  <c r="AQ28" i="101" s="1"/>
  <c r="AY29" i="101"/>
  <c r="AM32" i="101"/>
  <c r="Z33" i="101"/>
  <c r="Y34" i="101"/>
  <c r="AM35" i="101"/>
  <c r="Z36" i="101"/>
  <c r="AD36" i="101" s="1"/>
  <c r="AX37" i="101"/>
  <c r="AY54" i="101"/>
  <c r="AY59" i="101"/>
  <c r="AL61" i="101"/>
  <c r="AM63" i="101"/>
  <c r="AM66" i="101"/>
  <c r="AM71" i="101"/>
  <c r="AA72" i="101"/>
  <c r="AI72" i="101"/>
  <c r="AG73" i="101"/>
  <c r="AX8" i="102"/>
  <c r="AM9" i="102"/>
  <c r="AL14" i="102"/>
  <c r="AX15" i="102"/>
  <c r="Y16" i="102"/>
  <c r="A17" i="102"/>
  <c r="AL18" i="102"/>
  <c r="AX19" i="102"/>
  <c r="AH23" i="102"/>
  <c r="AS26" i="102"/>
  <c r="AS28" i="102"/>
  <c r="AS29" i="102"/>
  <c r="AS32" i="102"/>
  <c r="AX38" i="102"/>
  <c r="AL44" i="102"/>
  <c r="AL48" i="102"/>
  <c r="Y49" i="102"/>
  <c r="AY51" i="102"/>
  <c r="A55" i="102"/>
  <c r="AL52" i="102"/>
  <c r="AM55" i="102"/>
  <c r="AM56" i="102"/>
  <c r="AG57" i="102"/>
  <c r="AM61" i="102"/>
  <c r="AY71" i="102"/>
  <c r="AU9" i="103"/>
  <c r="AL10" i="103"/>
  <c r="A11" i="103"/>
  <c r="AX11" i="103"/>
  <c r="AL11" i="103"/>
  <c r="Y11" i="103"/>
  <c r="AI18" i="103"/>
  <c r="AM18" i="103"/>
  <c r="AP18" i="103" s="1"/>
  <c r="Y20" i="103"/>
  <c r="AX20" i="103"/>
  <c r="Y26" i="103"/>
  <c r="AY31" i="103"/>
  <c r="Z35" i="103"/>
  <c r="Y38" i="103"/>
  <c r="AY48" i="103"/>
  <c r="AL52" i="103"/>
  <c r="AX53" i="103"/>
  <c r="Z53" i="103"/>
  <c r="AY53" i="103"/>
  <c r="AL58" i="103"/>
  <c r="Y56" i="103"/>
  <c r="AL56" i="103"/>
  <c r="AX61" i="103"/>
  <c r="AL61" i="103"/>
  <c r="Y61" i="103"/>
  <c r="AY65" i="103"/>
  <c r="AC72" i="103"/>
  <c r="Z35" i="104"/>
  <c r="A66" i="104"/>
  <c r="AX64" i="104"/>
  <c r="A71" i="104"/>
  <c r="AX69" i="104"/>
  <c r="AT3" i="105"/>
  <c r="Z4" i="105"/>
  <c r="AB4" i="105" s="1"/>
  <c r="AM4" i="105"/>
  <c r="A11" i="105"/>
  <c r="Z10" i="105"/>
  <c r="AY10" i="105"/>
  <c r="Z13" i="105"/>
  <c r="AM13" i="105"/>
  <c r="A17" i="105"/>
  <c r="Y14" i="105"/>
  <c r="AL14" i="105"/>
  <c r="AY17" i="105"/>
  <c r="AL19" i="105"/>
  <c r="Y19" i="105"/>
  <c r="AY26" i="105"/>
  <c r="AM28" i="105"/>
  <c r="AN31" i="105"/>
  <c r="AU31" i="105"/>
  <c r="AS31" i="105"/>
  <c r="AQ31" i="105"/>
  <c r="AP31" i="105"/>
  <c r="AO31" i="105"/>
  <c r="AO35" i="105"/>
  <c r="AL44" i="105"/>
  <c r="A48" i="105"/>
  <c r="AX44" i="105"/>
  <c r="Y44" i="105"/>
  <c r="Z49" i="105"/>
  <c r="AM46" i="105"/>
  <c r="AY46" i="105"/>
  <c r="Z46" i="105"/>
  <c r="Y54" i="105"/>
  <c r="AX54" i="105"/>
  <c r="AE72" i="105"/>
  <c r="AU4" i="106"/>
  <c r="Z13" i="106"/>
  <c r="AM13" i="106"/>
  <c r="AY13" i="106"/>
  <c r="AB18" i="106"/>
  <c r="AT13" i="101"/>
  <c r="AL53" i="101"/>
  <c r="AM61" i="101"/>
  <c r="AX66" i="101"/>
  <c r="AX71" i="101"/>
  <c r="AH73" i="101"/>
  <c r="AT28" i="102"/>
  <c r="AT29" i="102"/>
  <c r="AT32" i="102"/>
  <c r="A44" i="102"/>
  <c r="AL42" i="102"/>
  <c r="Z53" i="102"/>
  <c r="AL64" i="102"/>
  <c r="Y69" i="102"/>
  <c r="AM71" i="102"/>
  <c r="Y10" i="103"/>
  <c r="Z8" i="103"/>
  <c r="AF8" i="103" s="1"/>
  <c r="AM8" i="103"/>
  <c r="AY13" i="103"/>
  <c r="AM13" i="103"/>
  <c r="Z13" i="103"/>
  <c r="AX27" i="103"/>
  <c r="A30" i="103"/>
  <c r="AL27" i="103"/>
  <c r="Y27" i="103"/>
  <c r="AL34" i="103"/>
  <c r="A37" i="103"/>
  <c r="AY45" i="103"/>
  <c r="AM48" i="103"/>
  <c r="AX54" i="103"/>
  <c r="Y69" i="103"/>
  <c r="AX69" i="103"/>
  <c r="AE72" i="103"/>
  <c r="Z73" i="103"/>
  <c r="AY73" i="103"/>
  <c r="Y14" i="104"/>
  <c r="AY35" i="104"/>
  <c r="AX43" i="104"/>
  <c r="Z69" i="104"/>
  <c r="AM69" i="104"/>
  <c r="AE9" i="105"/>
  <c r="Z8" i="105"/>
  <c r="AM8" i="105"/>
  <c r="AU8" i="105" s="1"/>
  <c r="A14" i="105"/>
  <c r="AL23" i="105"/>
  <c r="Y23" i="105"/>
  <c r="A27" i="105"/>
  <c r="Y24" i="105"/>
  <c r="AX24" i="105"/>
  <c r="AT35" i="105"/>
  <c r="Z36" i="105"/>
  <c r="AY36" i="105"/>
  <c r="AB66" i="105"/>
  <c r="AI66" i="105"/>
  <c r="AA66" i="105"/>
  <c r="AF66" i="105"/>
  <c r="AG66" i="105"/>
  <c r="AD66" i="105"/>
  <c r="AC66" i="105"/>
  <c r="AX18" i="106"/>
  <c r="AL18" i="106"/>
  <c r="AM37" i="100"/>
  <c r="AM41" i="100"/>
  <c r="AM46" i="100"/>
  <c r="AX52" i="100"/>
  <c r="Z58" i="100"/>
  <c r="AH58" i="100" s="1"/>
  <c r="AL66" i="100"/>
  <c r="AL73" i="100"/>
  <c r="AL11" i="101"/>
  <c r="AX24" i="101"/>
  <c r="Y29" i="101"/>
  <c r="AY35" i="101"/>
  <c r="AL36" i="101"/>
  <c r="AM53" i="101"/>
  <c r="Y54" i="101"/>
  <c r="AM55" i="101"/>
  <c r="Z56" i="101"/>
  <c r="AL58" i="101"/>
  <c r="Y59" i="101"/>
  <c r="AX61" i="101"/>
  <c r="AY66" i="101"/>
  <c r="AM67" i="101"/>
  <c r="AY71" i="101"/>
  <c r="AA73" i="101"/>
  <c r="Y8" i="102"/>
  <c r="AL21" i="102"/>
  <c r="Y35" i="102"/>
  <c r="AY36" i="102"/>
  <c r="AX42" i="102"/>
  <c r="Z45" i="102"/>
  <c r="AL49" i="102"/>
  <c r="AY52" i="102"/>
  <c r="AX53" i="102"/>
  <c r="AY56" i="102"/>
  <c r="AB57" i="102"/>
  <c r="AL57" i="102"/>
  <c r="Y58" i="102"/>
  <c r="AM64" i="102"/>
  <c r="AM65" i="102"/>
  <c r="Z66" i="102"/>
  <c r="AB66" i="102" s="1"/>
  <c r="AL69" i="102"/>
  <c r="AX69" i="102"/>
  <c r="A71" i="102"/>
  <c r="Y71" i="102"/>
  <c r="AX71" i="102"/>
  <c r="Y14" i="103"/>
  <c r="A17" i="103"/>
  <c r="AL14" i="103"/>
  <c r="Z16" i="103"/>
  <c r="AM16" i="103"/>
  <c r="AU16" i="103" s="1"/>
  <c r="Y23" i="103"/>
  <c r="AX23" i="103"/>
  <c r="AC28" i="103"/>
  <c r="A34" i="103"/>
  <c r="AX31" i="103"/>
  <c r="AL31" i="103"/>
  <c r="Y31" i="103"/>
  <c r="AX34" i="103"/>
  <c r="Y36" i="103"/>
  <c r="Z34" i="103"/>
  <c r="AI34" i="103" s="1"/>
  <c r="AY34" i="103"/>
  <c r="AL39" i="103"/>
  <c r="A40" i="103"/>
  <c r="Y37" i="103"/>
  <c r="AL37" i="103"/>
  <c r="Z48" i="103"/>
  <c r="AY50" i="103"/>
  <c r="AM53" i="103"/>
  <c r="AL59" i="103"/>
  <c r="AH72" i="103"/>
  <c r="AY10" i="104"/>
  <c r="AY14" i="104"/>
  <c r="Z14" i="104"/>
  <c r="A30" i="104"/>
  <c r="AL27" i="104"/>
  <c r="AM51" i="104"/>
  <c r="AM58" i="104"/>
  <c r="Z58" i="104"/>
  <c r="Z65" i="104"/>
  <c r="AM65" i="104"/>
  <c r="AX3" i="105"/>
  <c r="AY4" i="105"/>
  <c r="AM10" i="105"/>
  <c r="AP10" i="105" s="1"/>
  <c r="AX14" i="105"/>
  <c r="AL17" i="105"/>
  <c r="AY15" i="105"/>
  <c r="AM15" i="105"/>
  <c r="AY23" i="105"/>
  <c r="AM23" i="105"/>
  <c r="AL26" i="105"/>
  <c r="AR31" i="105"/>
  <c r="Y34" i="105"/>
  <c r="A37" i="105"/>
  <c r="AL34" i="105"/>
  <c r="AM37" i="105"/>
  <c r="AY41" i="105"/>
  <c r="AM41" i="105"/>
  <c r="Z41" i="105"/>
  <c r="AG41" i="105" s="1"/>
  <c r="AQ4" i="106"/>
  <c r="AX9" i="106"/>
  <c r="A12" i="106"/>
  <c r="AL27" i="106"/>
  <c r="Y27" i="106"/>
  <c r="AX27" i="106"/>
  <c r="A30" i="106"/>
  <c r="A49" i="102"/>
  <c r="AL45" i="102"/>
  <c r="Y54" i="102"/>
  <c r="AX73" i="102"/>
  <c r="Z29" i="103"/>
  <c r="AM29" i="103"/>
  <c r="AY70" i="103"/>
  <c r="AM70" i="103"/>
  <c r="AY11" i="104"/>
  <c r="Z11" i="104"/>
  <c r="AL42" i="104"/>
  <c r="AY71" i="104"/>
  <c r="A10" i="105"/>
  <c r="AE31" i="105"/>
  <c r="AB31" i="105"/>
  <c r="AI31" i="105"/>
  <c r="AF31" i="105"/>
  <c r="AD31" i="105"/>
  <c r="AX30" i="105"/>
  <c r="A33" i="105"/>
  <c r="AL30" i="105"/>
  <c r="A55" i="105"/>
  <c r="AX52" i="105"/>
  <c r="Z61" i="105"/>
  <c r="AY61" i="105"/>
  <c r="AM61" i="105"/>
  <c r="AE66" i="105"/>
  <c r="AX73" i="105"/>
  <c r="AL73" i="105"/>
  <c r="AX73" i="103"/>
  <c r="AM73" i="104"/>
  <c r="Y10" i="105"/>
  <c r="AL15" i="105"/>
  <c r="AY19" i="105"/>
  <c r="AC21" i="105"/>
  <c r="AX21" i="105"/>
  <c r="AX28" i="105"/>
  <c r="AY31" i="105"/>
  <c r="A34" i="105"/>
  <c r="AP35" i="105"/>
  <c r="AL36" i="105"/>
  <c r="A78" i="105"/>
  <c r="AX40" i="105"/>
  <c r="Y45" i="105"/>
  <c r="AX48" i="105"/>
  <c r="Z52" i="105"/>
  <c r="AM52" i="105"/>
  <c r="Z50" i="105"/>
  <c r="AY50" i="105"/>
  <c r="AL51" i="105"/>
  <c r="Y58" i="105"/>
  <c r="AX58" i="105"/>
  <c r="AL58" i="105"/>
  <c r="AM60" i="105"/>
  <c r="Z60" i="105"/>
  <c r="AL69" i="105"/>
  <c r="Y69" i="105"/>
  <c r="AB72" i="105"/>
  <c r="AI72" i="105"/>
  <c r="AA72" i="105"/>
  <c r="AF72" i="105"/>
  <c r="AA3" i="106"/>
  <c r="AY12" i="106"/>
  <c r="Z12" i="106"/>
  <c r="AO17" i="106"/>
  <c r="Y15" i="106"/>
  <c r="AM26" i="106"/>
  <c r="AU26" i="106" s="1"/>
  <c r="Y24" i="106"/>
  <c r="A28" i="106"/>
  <c r="AX25" i="106"/>
  <c r="AM28" i="106"/>
  <c r="Z28" i="106"/>
  <c r="AL31" i="106"/>
  <c r="Z31" i="106"/>
  <c r="AY31" i="106"/>
  <c r="AM31" i="106"/>
  <c r="AH39" i="106"/>
  <c r="A66" i="106"/>
  <c r="Y64" i="106"/>
  <c r="AX64" i="106"/>
  <c r="AL64" i="106"/>
  <c r="AF72" i="106"/>
  <c r="AB4" i="107"/>
  <c r="AY14" i="107"/>
  <c r="AM14" i="107"/>
  <c r="Z14" i="107"/>
  <c r="A41" i="107"/>
  <c r="AX38" i="107"/>
  <c r="Y38" i="107"/>
  <c r="Y58" i="107"/>
  <c r="AL58" i="107"/>
  <c r="AX58" i="107"/>
  <c r="AM70" i="107"/>
  <c r="Z70" i="107"/>
  <c r="AY70" i="107"/>
  <c r="AY73" i="107"/>
  <c r="Z73" i="107"/>
  <c r="AG72" i="108"/>
  <c r="AS37" i="108"/>
  <c r="Z25" i="108"/>
  <c r="AE25" i="108" s="1"/>
  <c r="AY25" i="108"/>
  <c r="AM25" i="108"/>
  <c r="AX42" i="103"/>
  <c r="AX43" i="103"/>
  <c r="AX45" i="103"/>
  <c r="Y49" i="103"/>
  <c r="AM51" i="103"/>
  <c r="AX64" i="103"/>
  <c r="AM22" i="105"/>
  <c r="Z44" i="105"/>
  <c r="AL45" i="105"/>
  <c r="AM51" i="105"/>
  <c r="Z51" i="105"/>
  <c r="AF51" i="105" s="1"/>
  <c r="AM63" i="105"/>
  <c r="Z63" i="105"/>
  <c r="AM70" i="105"/>
  <c r="AY69" i="105"/>
  <c r="AB3" i="106"/>
  <c r="AY15" i="106"/>
  <c r="AM15" i="106"/>
  <c r="AU15" i="106" s="1"/>
  <c r="AX41" i="106"/>
  <c r="AX43" i="106"/>
  <c r="AM54" i="106"/>
  <c r="Z54" i="106"/>
  <c r="AB54" i="106" s="1"/>
  <c r="AM56" i="106"/>
  <c r="AM27" i="107"/>
  <c r="AY27" i="107"/>
  <c r="Z27" i="107"/>
  <c r="AH27" i="107" s="1"/>
  <c r="AL31" i="107"/>
  <c r="A34" i="107"/>
  <c r="Y31" i="107"/>
  <c r="AY71" i="107"/>
  <c r="Z71" i="107"/>
  <c r="AM71" i="107"/>
  <c r="AS71" i="107" s="1"/>
  <c r="AS70" i="107" s="1"/>
  <c r="Y9" i="108"/>
  <c r="AL9" i="108"/>
  <c r="A12" i="108"/>
  <c r="AX9" i="108"/>
  <c r="Y19" i="108"/>
  <c r="AL19" i="108"/>
  <c r="AX19" i="108"/>
  <c r="Y29" i="105"/>
  <c r="AL56" i="105"/>
  <c r="Y56" i="105"/>
  <c r="AO4" i="106"/>
  <c r="AN4" i="106"/>
  <c r="AS4" i="106"/>
  <c r="A16" i="106"/>
  <c r="AX13" i="106"/>
  <c r="AB19" i="106"/>
  <c r="AY22" i="106"/>
  <c r="AL28" i="106"/>
  <c r="AY38" i="106"/>
  <c r="AL41" i="106"/>
  <c r="AY45" i="106"/>
  <c r="AP49" i="106"/>
  <c r="AY52" i="106"/>
  <c r="Z67" i="106"/>
  <c r="AC3" i="107"/>
  <c r="AE3" i="107"/>
  <c r="AD3" i="107"/>
  <c r="AB3" i="107"/>
  <c r="AA3" i="107"/>
  <c r="AG3" i="107"/>
  <c r="Y28" i="107"/>
  <c r="A31" i="107"/>
  <c r="AX28" i="107"/>
  <c r="Z18" i="108"/>
  <c r="AM18" i="108"/>
  <c r="AY18" i="108"/>
  <c r="Y41" i="106"/>
  <c r="Z59" i="106"/>
  <c r="AY59" i="106"/>
  <c r="AM59" i="106"/>
  <c r="AX61" i="106"/>
  <c r="AL61" i="106"/>
  <c r="A64" i="106"/>
  <c r="Y61" i="106"/>
  <c r="AY20" i="107"/>
  <c r="Z20" i="107"/>
  <c r="AY39" i="107"/>
  <c r="AM39" i="107"/>
  <c r="Z39" i="107"/>
  <c r="AB39" i="107" s="1"/>
  <c r="A44" i="107"/>
  <c r="AX42" i="107"/>
  <c r="Y42" i="107"/>
  <c r="AG67" i="107"/>
  <c r="AB67" i="107"/>
  <c r="AC72" i="107"/>
  <c r="AB72" i="107"/>
  <c r="AF72" i="107"/>
  <c r="AG72" i="107"/>
  <c r="AE72" i="107"/>
  <c r="AD72" i="107"/>
  <c r="AA72" i="107"/>
  <c r="AI72" i="107"/>
  <c r="AM73" i="107"/>
  <c r="AB72" i="108"/>
  <c r="AN37" i="108"/>
  <c r="AN3" i="108"/>
  <c r="AH72" i="102"/>
  <c r="AF21" i="105"/>
  <c r="AH21" i="105"/>
  <c r="AR35" i="105"/>
  <c r="Z54" i="105"/>
  <c r="AY54" i="105"/>
  <c r="AM54" i="105"/>
  <c r="Z59" i="105"/>
  <c r="AI59" i="105" s="1"/>
  <c r="Y61" i="105"/>
  <c r="A64" i="105"/>
  <c r="AM64" i="105"/>
  <c r="AN64" i="105" s="1"/>
  <c r="AP4" i="106"/>
  <c r="AY39" i="106"/>
  <c r="AX40" i="106"/>
  <c r="AL78" i="106"/>
  <c r="AM43" i="106"/>
  <c r="AF44" i="106"/>
  <c r="AN49" i="106"/>
  <c r="Z46" i="106"/>
  <c r="A51" i="106"/>
  <c r="AX48" i="106"/>
  <c r="AF3" i="107"/>
  <c r="AG4" i="107"/>
  <c r="AX4" i="107"/>
  <c r="AL4" i="107"/>
  <c r="AM11" i="107"/>
  <c r="Z11" i="107"/>
  <c r="AY13" i="107"/>
  <c r="AM13" i="107"/>
  <c r="AH23" i="107"/>
  <c r="AD23" i="107"/>
  <c r="AC23" i="107"/>
  <c r="AB23" i="107"/>
  <c r="AA23" i="107"/>
  <c r="AG23" i="107"/>
  <c r="AF23" i="107"/>
  <c r="AX21" i="107"/>
  <c r="Y21" i="107"/>
  <c r="AH72" i="107"/>
  <c r="AH8" i="108"/>
  <c r="AX35" i="106"/>
  <c r="A38" i="106"/>
  <c r="A39" i="106"/>
  <c r="Y36" i="106"/>
  <c r="AM48" i="106"/>
  <c r="Z48" i="106"/>
  <c r="AE48" i="106" s="1"/>
  <c r="AX73" i="106"/>
  <c r="AM15" i="107"/>
  <c r="Z15" i="107"/>
  <c r="AL40" i="103"/>
  <c r="AX49" i="103"/>
  <c r="Z51" i="103"/>
  <c r="AM67" i="103"/>
  <c r="AL73" i="103"/>
  <c r="AX15" i="104"/>
  <c r="AA21" i="105"/>
  <c r="AL28" i="105"/>
  <c r="AX35" i="105"/>
  <c r="Y36" i="105"/>
  <c r="AL37" i="105"/>
  <c r="AL78" i="105"/>
  <c r="Y48" i="105"/>
  <c r="AM59" i="105"/>
  <c r="AY64" i="105"/>
  <c r="Z69" i="105"/>
  <c r="Y71" i="105"/>
  <c r="A73" i="105"/>
  <c r="AR4" i="106"/>
  <c r="Z10" i="106"/>
  <c r="AL14" i="106"/>
  <c r="Y14" i="106"/>
  <c r="AX19" i="106"/>
  <c r="AM35" i="106"/>
  <c r="Z35" i="106"/>
  <c r="AM39" i="106"/>
  <c r="AT39" i="106" s="1"/>
  <c r="AI44" i="106"/>
  <c r="AY46" i="106"/>
  <c r="AS49" i="106"/>
  <c r="Z50" i="106"/>
  <c r="Y49" i="106"/>
  <c r="AN52" i="106"/>
  <c r="Z56" i="106"/>
  <c r="AL73" i="106"/>
  <c r="AI3" i="107"/>
  <c r="AY9" i="107"/>
  <c r="Z9" i="107"/>
  <c r="AL16" i="107"/>
  <c r="AX16" i="107"/>
  <c r="Y16" i="107"/>
  <c r="A19" i="107"/>
  <c r="AI23" i="107"/>
  <c r="Y25" i="107"/>
  <c r="A28" i="107"/>
  <c r="AL25" i="107"/>
  <c r="AL28" i="107"/>
  <c r="A33" i="107"/>
  <c r="AL30" i="107"/>
  <c r="Y30" i="107"/>
  <c r="AL38" i="107"/>
  <c r="AL42" i="107"/>
  <c r="AG27" i="108"/>
  <c r="Z29" i="108"/>
  <c r="AC29" i="108" s="1"/>
  <c r="AM29" i="108"/>
  <c r="AU29" i="108" s="1"/>
  <c r="AY29" i="108"/>
  <c r="A13" i="106"/>
  <c r="AL10" i="106"/>
  <c r="Y10" i="106"/>
  <c r="AU19" i="106"/>
  <c r="AR19" i="106"/>
  <c r="A31" i="106"/>
  <c r="AX28" i="106"/>
  <c r="A34" i="106"/>
  <c r="Y31" i="106"/>
  <c r="AX36" i="106"/>
  <c r="AX78" i="106"/>
  <c r="A45" i="106"/>
  <c r="A46" i="106"/>
  <c r="Y43" i="106"/>
  <c r="AY48" i="106"/>
  <c r="AM50" i="106"/>
  <c r="AM67" i="106"/>
  <c r="AI72" i="106"/>
  <c r="AA72" i="106"/>
  <c r="AE72" i="106"/>
  <c r="AD72" i="106"/>
  <c r="AC72" i="106"/>
  <c r="AB72" i="106"/>
  <c r="AG72" i="106"/>
  <c r="A10" i="107"/>
  <c r="AX14" i="107"/>
  <c r="AL14" i="107"/>
  <c r="Y14" i="107"/>
  <c r="A17" i="107"/>
  <c r="AM20" i="107"/>
  <c r="A46" i="107"/>
  <c r="AL43" i="107"/>
  <c r="AX43" i="107"/>
  <c r="Y43" i="107"/>
  <c r="AI59" i="107"/>
  <c r="Z57" i="107"/>
  <c r="AA57" i="107" s="1"/>
  <c r="AM57" i="107"/>
  <c r="AY57" i="107"/>
  <c r="AU21" i="108"/>
  <c r="AR21" i="108"/>
  <c r="AQ21" i="108"/>
  <c r="AN21" i="108"/>
  <c r="A38" i="108"/>
  <c r="Y35" i="108"/>
  <c r="Y36" i="108"/>
  <c r="AS39" i="108"/>
  <c r="A45" i="108"/>
  <c r="AX78" i="108"/>
  <c r="Y43" i="108"/>
  <c r="AY45" i="108"/>
  <c r="AY51" i="108"/>
  <c r="AM51" i="108"/>
  <c r="Z51" i="108"/>
  <c r="AY53" i="108"/>
  <c r="AM53" i="108"/>
  <c r="Z53" i="108"/>
  <c r="AL64" i="108"/>
  <c r="Y64" i="108"/>
  <c r="A66" i="108"/>
  <c r="AX64" i="108"/>
  <c r="Z67" i="108"/>
  <c r="AM67" i="108"/>
  <c r="AS21" i="110"/>
  <c r="AQ21" i="110"/>
  <c r="AX39" i="106"/>
  <c r="AX46" i="106"/>
  <c r="AM55" i="106"/>
  <c r="AM57" i="106"/>
  <c r="Z60" i="106"/>
  <c r="Y63" i="106"/>
  <c r="Z71" i="106"/>
  <c r="AY18" i="107"/>
  <c r="AX19" i="107"/>
  <c r="Y20" i="107"/>
  <c r="AH26" i="107"/>
  <c r="A35" i="107"/>
  <c r="AX32" i="107"/>
  <c r="Z78" i="107"/>
  <c r="AM78" i="107"/>
  <c r="A48" i="107"/>
  <c r="Y44" i="107"/>
  <c r="AL44" i="107"/>
  <c r="AY58" i="107"/>
  <c r="AX67" i="107"/>
  <c r="AX69" i="107"/>
  <c r="Y71" i="107"/>
  <c r="A79" i="107"/>
  <c r="AP3" i="108"/>
  <c r="AO3" i="108"/>
  <c r="AS3" i="108"/>
  <c r="AP4" i="108"/>
  <c r="AM10" i="108"/>
  <c r="A11" i="108"/>
  <c r="AX8" i="108"/>
  <c r="AL28" i="108"/>
  <c r="AI30" i="108"/>
  <c r="AA30" i="108"/>
  <c r="AF30" i="108"/>
  <c r="AO30" i="108"/>
  <c r="Z35" i="108"/>
  <c r="AM35" i="108"/>
  <c r="AM38" i="108"/>
  <c r="AT38" i="108" s="1"/>
  <c r="AM45" i="108"/>
  <c r="AX66" i="108"/>
  <c r="AL66" i="108"/>
  <c r="Z29" i="110"/>
  <c r="AY29" i="110"/>
  <c r="AM29" i="110"/>
  <c r="AO29" i="110" s="1"/>
  <c r="AS26" i="107"/>
  <c r="AX54" i="107"/>
  <c r="Y54" i="107"/>
  <c r="AF67" i="107"/>
  <c r="AL73" i="107"/>
  <c r="AX13" i="108"/>
  <c r="A16" i="108"/>
  <c r="S33" i="108"/>
  <c r="AN32" i="108"/>
  <c r="AU32" i="108"/>
  <c r="AQ32" i="108"/>
  <c r="AX35" i="108"/>
  <c r="AL55" i="108"/>
  <c r="AX55" i="108"/>
  <c r="Y63" i="108"/>
  <c r="AX63" i="108"/>
  <c r="Z12" i="108"/>
  <c r="AY12" i="108"/>
  <c r="Y14" i="108"/>
  <c r="AL14" i="108"/>
  <c r="AL15" i="108"/>
  <c r="Y15" i="108"/>
  <c r="Z45" i="108"/>
  <c r="AL52" i="108"/>
  <c r="A55" i="108"/>
  <c r="Y52" i="108"/>
  <c r="AQ61" i="108"/>
  <c r="AO61" i="108"/>
  <c r="AN61" i="108"/>
  <c r="AS61" i="108"/>
  <c r="AR61" i="108"/>
  <c r="G79" i="108"/>
  <c r="G77" i="108" s="1"/>
  <c r="G8" i="108" s="1"/>
  <c r="A79" i="108"/>
  <c r="AX49" i="105"/>
  <c r="AL63" i="105"/>
  <c r="Z34" i="106"/>
  <c r="AX38" i="106"/>
  <c r="AY41" i="106"/>
  <c r="AB44" i="106"/>
  <c r="AX45" i="106"/>
  <c r="Z53" i="106"/>
  <c r="AY55" i="106"/>
  <c r="AL56" i="106"/>
  <c r="AY57" i="106"/>
  <c r="AL63" i="106"/>
  <c r="AM71" i="106"/>
  <c r="AN71" i="106" s="1"/>
  <c r="AL3" i="107"/>
  <c r="AL8" i="107"/>
  <c r="AM10" i="107"/>
  <c r="AP10" i="107" s="1"/>
  <c r="AL13" i="107"/>
  <c r="Y24" i="107"/>
  <c r="AM29" i="107"/>
  <c r="AX29" i="107"/>
  <c r="Z32" i="107"/>
  <c r="AH32" i="107" s="1"/>
  <c r="Z33" i="107"/>
  <c r="AX36" i="107"/>
  <c r="A39" i="107"/>
  <c r="Y36" i="107"/>
  <c r="Z37" i="107"/>
  <c r="AM37" i="107"/>
  <c r="AU37" i="107" s="1"/>
  <c r="Z44" i="107"/>
  <c r="AM44" i="107"/>
  <c r="Y48" i="107"/>
  <c r="AY64" i="107"/>
  <c r="AL67" i="107"/>
  <c r="AL66" i="107"/>
  <c r="AQ3" i="108"/>
  <c r="A10" i="108"/>
  <c r="AM17" i="108"/>
  <c r="AU17" i="108" s="1"/>
  <c r="AM26" i="108"/>
  <c r="AP26" i="108" s="1"/>
  <c r="AL24" i="108"/>
  <c r="Y24" i="108"/>
  <c r="AD30" i="108"/>
  <c r="AL31" i="108"/>
  <c r="Y31" i="108"/>
  <c r="AX36" i="108"/>
  <c r="AX39" i="108"/>
  <c r="A42" i="108"/>
  <c r="Y40" i="108"/>
  <c r="AL78" i="108"/>
  <c r="AX43" i="108"/>
  <c r="Y54" i="108"/>
  <c r="AL54" i="108"/>
  <c r="AS57" i="108"/>
  <c r="AR57" i="108"/>
  <c r="AO57" i="108"/>
  <c r="AN57" i="108"/>
  <c r="AX57" i="108"/>
  <c r="Y58" i="108"/>
  <c r="AX58" i="108"/>
  <c r="AL63" i="108"/>
  <c r="AM65" i="108"/>
  <c r="AY65" i="108"/>
  <c r="AM68" i="108"/>
  <c r="AY68" i="108"/>
  <c r="Y3" i="110"/>
  <c r="AX3" i="110"/>
  <c r="AL3" i="110"/>
  <c r="AM15" i="110"/>
  <c r="Z15" i="110"/>
  <c r="AF15" i="110" s="1"/>
  <c r="AY15" i="110"/>
  <c r="A42" i="110"/>
  <c r="AX39" i="110"/>
  <c r="AL39" i="110"/>
  <c r="Y39" i="110"/>
  <c r="Y49" i="105"/>
  <c r="AL11" i="106"/>
  <c r="AX29" i="106"/>
  <c r="A50" i="106"/>
  <c r="AX52" i="106"/>
  <c r="AS53" i="106"/>
  <c r="AM58" i="106"/>
  <c r="AU58" i="106" s="1"/>
  <c r="Y59" i="106"/>
  <c r="AX71" i="106"/>
  <c r="AY73" i="106"/>
  <c r="AX13" i="107"/>
  <c r="AM23" i="107"/>
  <c r="AO26" i="107"/>
  <c r="AY29" i="107"/>
  <c r="AL32" i="107"/>
  <c r="Y35" i="107"/>
  <c r="Z41" i="107"/>
  <c r="AM41" i="107"/>
  <c r="AY41" i="107"/>
  <c r="Z48" i="107"/>
  <c r="AM48" i="107"/>
  <c r="AM52" i="107"/>
  <c r="Y55" i="107"/>
  <c r="AL55" i="107"/>
  <c r="AU64" i="107"/>
  <c r="AM67" i="107"/>
  <c r="AD72" i="108"/>
  <c r="AR3" i="108"/>
  <c r="AM12" i="108"/>
  <c r="Y10" i="108"/>
  <c r="AL10" i="108"/>
  <c r="AY13" i="108"/>
  <c r="AL35" i="108"/>
  <c r="Z39" i="108"/>
  <c r="Y55" i="108"/>
  <c r="AP61" i="108"/>
  <c r="AL73" i="108"/>
  <c r="AY71" i="106"/>
  <c r="A11" i="107"/>
  <c r="Y19" i="107"/>
  <c r="AP26" i="107"/>
  <c r="AX24" i="107"/>
  <c r="Y29" i="107"/>
  <c r="AM32" i="107"/>
  <c r="AY33" i="107"/>
  <c r="AL35" i="107"/>
  <c r="AC40" i="107"/>
  <c r="AM45" i="107"/>
  <c r="A50" i="107"/>
  <c r="AL48" i="107"/>
  <c r="AI57" i="107"/>
  <c r="Z64" i="107"/>
  <c r="AI67" i="107"/>
  <c r="AA67" i="107"/>
  <c r="AH67" i="107"/>
  <c r="AD67" i="107"/>
  <c r="AX73" i="107"/>
  <c r="AT3" i="108"/>
  <c r="AT4" i="108"/>
  <c r="Z26" i="108"/>
  <c r="AB26" i="108" s="1"/>
  <c r="Y28" i="108"/>
  <c r="AL36" i="108"/>
  <c r="AL43" i="108"/>
  <c r="AT61" i="108"/>
  <c r="AM73" i="108"/>
  <c r="AY73" i="108"/>
  <c r="Z73" i="108"/>
  <c r="S12" i="110"/>
  <c r="AE17" i="110"/>
  <c r="AD17" i="110"/>
  <c r="AG17" i="110"/>
  <c r="AB17" i="110"/>
  <c r="AA17" i="110"/>
  <c r="AM8" i="107"/>
  <c r="A14" i="107"/>
  <c r="Y11" i="107"/>
  <c r="AQ26" i="107"/>
  <c r="AM56" i="107"/>
  <c r="AM60" i="107"/>
  <c r="Z60" i="107"/>
  <c r="AY60" i="107"/>
  <c r="Z63" i="107"/>
  <c r="AM63" i="107"/>
  <c r="AP63" i="107" s="1"/>
  <c r="AX71" i="107"/>
  <c r="AA4" i="108"/>
  <c r="AS4" i="108"/>
  <c r="AF8" i="108"/>
  <c r="AM8" i="108"/>
  <c r="AL13" i="108"/>
  <c r="AX18" i="108"/>
  <c r="AP21" i="108"/>
  <c r="A28" i="108"/>
  <c r="AX25" i="108"/>
  <c r="A32" i="108"/>
  <c r="AX29" i="108"/>
  <c r="Z34" i="108"/>
  <c r="A39" i="108"/>
  <c r="Y78" i="108"/>
  <c r="AY42" i="108"/>
  <c r="A46" i="108"/>
  <c r="AX46" i="108"/>
  <c r="Y53" i="108"/>
  <c r="AH72" i="108"/>
  <c r="AS24" i="110"/>
  <c r="AS19" i="110"/>
  <c r="AY18" i="110"/>
  <c r="Z18" i="110"/>
  <c r="AM18" i="110"/>
  <c r="AL39" i="107"/>
  <c r="AL41" i="107"/>
  <c r="AL78" i="107"/>
  <c r="AM53" i="107"/>
  <c r="Y56" i="107"/>
  <c r="AL61" i="107"/>
  <c r="Y64" i="107"/>
  <c r="AO4" i="108"/>
  <c r="AY15" i="108"/>
  <c r="AP20" i="108"/>
  <c r="AY20" i="108"/>
  <c r="AS21" i="108"/>
  <c r="AM23" i="108"/>
  <c r="AU23" i="108" s="1"/>
  <c r="AX30" i="108"/>
  <c r="A33" i="108"/>
  <c r="A37" i="108"/>
  <c r="AX38" i="108"/>
  <c r="AY41" i="108"/>
  <c r="A44" i="108"/>
  <c r="AX45" i="108"/>
  <c r="AU48" i="108"/>
  <c r="Y51" i="108"/>
  <c r="AM52" i="108"/>
  <c r="A54" i="108"/>
  <c r="Z58" i="108"/>
  <c r="Z61" i="108"/>
  <c r="AY69" i="108"/>
  <c r="AX69" i="108"/>
  <c r="AC72" i="108"/>
  <c r="A73" i="108"/>
  <c r="AQ4" i="110"/>
  <c r="AL11" i="110"/>
  <c r="A20" i="110"/>
  <c r="AL17" i="110"/>
  <c r="AX21" i="110"/>
  <c r="AQ23" i="110"/>
  <c r="AY26" i="110"/>
  <c r="AM26" i="110"/>
  <c r="AL31" i="110"/>
  <c r="AL38" i="110"/>
  <c r="A41" i="110"/>
  <c r="AX38" i="110"/>
  <c r="Y38" i="110"/>
  <c r="AY53" i="110"/>
  <c r="Z53" i="110"/>
  <c r="AF53" i="110" s="1"/>
  <c r="AH24" i="111"/>
  <c r="AT16" i="108"/>
  <c r="AT21" i="108"/>
  <c r="AU37" i="108"/>
  <c r="AM54" i="108"/>
  <c r="AL56" i="108"/>
  <c r="AX59" i="108"/>
  <c r="Z71" i="108"/>
  <c r="AF34" i="110"/>
  <c r="AR4" i="110"/>
  <c r="AN19" i="110"/>
  <c r="AR23" i="110"/>
  <c r="AR24" i="110"/>
  <c r="AD25" i="110"/>
  <c r="AX29" i="110"/>
  <c r="A32" i="110"/>
  <c r="A46" i="110"/>
  <c r="AX43" i="110"/>
  <c r="AL43" i="110"/>
  <c r="Y43" i="110"/>
  <c r="A73" i="110"/>
  <c r="Y71" i="110"/>
  <c r="AY43" i="110"/>
  <c r="AM43" i="110"/>
  <c r="Z43" i="110"/>
  <c r="AL51" i="110"/>
  <c r="AX51" i="110"/>
  <c r="Y51" i="110"/>
  <c r="AG72" i="110"/>
  <c r="AM71" i="110"/>
  <c r="AU71" i="110" s="1"/>
  <c r="AU70" i="110" s="1"/>
  <c r="AY71" i="110"/>
  <c r="Z11" i="111"/>
  <c r="AG10" i="112"/>
  <c r="AB10" i="112"/>
  <c r="Z3" i="110"/>
  <c r="AY3" i="110"/>
  <c r="Y10" i="110"/>
  <c r="AX10" i="110"/>
  <c r="AX14" i="110"/>
  <c r="AL13" i="110"/>
  <c r="AL16" i="110"/>
  <c r="AO24" i="110"/>
  <c r="AG25" i="110"/>
  <c r="AL30" i="110"/>
  <c r="A33" i="110"/>
  <c r="Y30" i="110"/>
  <c r="A39" i="110"/>
  <c r="Y36" i="110"/>
  <c r="AY50" i="110"/>
  <c r="Z50" i="110"/>
  <c r="AM50" i="110"/>
  <c r="Y54" i="110"/>
  <c r="AL58" i="110"/>
  <c r="AX58" i="110"/>
  <c r="AM65" i="110"/>
  <c r="AY65" i="110"/>
  <c r="Z65" i="110"/>
  <c r="Y23" i="111"/>
  <c r="AX23" i="111"/>
  <c r="AL23" i="111"/>
  <c r="Z29" i="111"/>
  <c r="AM29" i="111"/>
  <c r="AC57" i="111"/>
  <c r="AO21" i="108"/>
  <c r="AX42" i="108"/>
  <c r="AQ48" i="108"/>
  <c r="A49" i="108"/>
  <c r="AY54" i="108"/>
  <c r="AX56" i="108"/>
  <c r="AY4" i="110"/>
  <c r="AX8" i="110"/>
  <c r="AL9" i="110"/>
  <c r="AX9" i="110"/>
  <c r="AX11" i="110"/>
  <c r="AM14" i="110"/>
  <c r="AX16" i="110"/>
  <c r="AX36" i="110"/>
  <c r="AL41" i="110"/>
  <c r="A43" i="110"/>
  <c r="AX41" i="110"/>
  <c r="Y41" i="110"/>
  <c r="A55" i="110"/>
  <c r="AX52" i="110"/>
  <c r="AL52" i="110"/>
  <c r="Y52" i="110"/>
  <c r="AY58" i="110"/>
  <c r="AM58" i="110"/>
  <c r="Z58" i="110"/>
  <c r="AX73" i="110"/>
  <c r="AL73" i="110"/>
  <c r="S12" i="111"/>
  <c r="AT11" i="111"/>
  <c r="AQ11" i="111"/>
  <c r="AN11" i="111"/>
  <c r="AM22" i="111"/>
  <c r="AY22" i="111"/>
  <c r="AE39" i="111"/>
  <c r="AI39" i="111"/>
  <c r="AG39" i="111"/>
  <c r="AF39" i="111"/>
  <c r="AC39" i="111"/>
  <c r="AB39" i="111"/>
  <c r="AA39" i="111"/>
  <c r="AX34" i="108"/>
  <c r="Z52" i="108"/>
  <c r="Z69" i="108"/>
  <c r="AE72" i="108"/>
  <c r="AI72" i="108"/>
  <c r="Y4" i="110"/>
  <c r="AY8" i="110"/>
  <c r="Y9" i="110"/>
  <c r="AX13" i="110"/>
  <c r="Y14" i="110"/>
  <c r="Y21" i="110"/>
  <c r="Y23" i="110"/>
  <c r="AX23" i="110"/>
  <c r="AL27" i="110"/>
  <c r="A30" i="110"/>
  <c r="AX30" i="110"/>
  <c r="AY44" i="110"/>
  <c r="AM44" i="110"/>
  <c r="Z44" i="110"/>
  <c r="AX46" i="110"/>
  <c r="AL46" i="110"/>
  <c r="Y46" i="110"/>
  <c r="A51" i="110"/>
  <c r="AX48" i="110"/>
  <c r="AL48" i="110"/>
  <c r="Y48" i="110"/>
  <c r="AM53" i="110"/>
  <c r="AY52" i="110"/>
  <c r="AM52" i="110"/>
  <c r="Z52" i="110"/>
  <c r="Y58" i="110"/>
  <c r="AX71" i="110"/>
  <c r="AX3" i="111"/>
  <c r="AL3" i="111"/>
  <c r="Y3" i="111"/>
  <c r="Z8" i="111"/>
  <c r="AY8" i="111"/>
  <c r="AM8" i="111"/>
  <c r="AM38" i="111"/>
  <c r="Z38" i="111"/>
  <c r="AY38" i="111"/>
  <c r="AB56" i="111"/>
  <c r="AE56" i="111"/>
  <c r="AD56" i="111"/>
  <c r="AG56" i="111"/>
  <c r="AH56" i="111"/>
  <c r="AF56" i="111"/>
  <c r="AC56" i="111"/>
  <c r="AA56" i="111"/>
  <c r="AI56" i="111"/>
  <c r="AU14" i="112"/>
  <c r="AC34" i="110"/>
  <c r="Z4" i="110"/>
  <c r="AU4" i="110"/>
  <c r="AT4" i="110"/>
  <c r="AS4" i="110"/>
  <c r="Y8" i="110"/>
  <c r="A12" i="110"/>
  <c r="AM20" i="110"/>
  <c r="AU20" i="110" s="1"/>
  <c r="Z20" i="110"/>
  <c r="AY20" i="110"/>
  <c r="AS23" i="110"/>
  <c r="AP23" i="110"/>
  <c r="AO23" i="110"/>
  <c r="AN23" i="110"/>
  <c r="Z27" i="110"/>
  <c r="AY27" i="110"/>
  <c r="S33" i="110"/>
  <c r="AL45" i="110"/>
  <c r="A49" i="110"/>
  <c r="Y45" i="110"/>
  <c r="A66" i="110"/>
  <c r="Y64" i="110"/>
  <c r="AY11" i="111"/>
  <c r="AO15" i="111"/>
  <c r="Y28" i="111"/>
  <c r="AL28" i="111"/>
  <c r="A31" i="111"/>
  <c r="AX28" i="111"/>
  <c r="AE16" i="112"/>
  <c r="AI16" i="112"/>
  <c r="AG16" i="112"/>
  <c r="AF16" i="112"/>
  <c r="AH48" i="112"/>
  <c r="AE48" i="112"/>
  <c r="AC48" i="112"/>
  <c r="AB48" i="112"/>
  <c r="AA48" i="112"/>
  <c r="AG48" i="112"/>
  <c r="AF48" i="112"/>
  <c r="AD48" i="112"/>
  <c r="AI48" i="112"/>
  <c r="AP4" i="110"/>
  <c r="AL8" i="110"/>
  <c r="AC13" i="110"/>
  <c r="AL14" i="110"/>
  <c r="AA25" i="110"/>
  <c r="AM27" i="110"/>
  <c r="A29" i="110"/>
  <c r="Y26" i="110"/>
  <c r="AX26" i="110"/>
  <c r="AL36" i="110"/>
  <c r="A78" i="110"/>
  <c r="AX40" i="110"/>
  <c r="AL40" i="110"/>
  <c r="Y40" i="110"/>
  <c r="AX45" i="110"/>
  <c r="Y59" i="110"/>
  <c r="AE63" i="110"/>
  <c r="AX18" i="111"/>
  <c r="AL18" i="111"/>
  <c r="Y18" i="111"/>
  <c r="AO19" i="110"/>
  <c r="Y20" i="110"/>
  <c r="AP24" i="110"/>
  <c r="Z31" i="110"/>
  <c r="AH31" i="110" s="1"/>
  <c r="Z33" i="110"/>
  <c r="AL35" i="110"/>
  <c r="Y78" i="110"/>
  <c r="AM59" i="110"/>
  <c r="AY59" i="110"/>
  <c r="AD72" i="110"/>
  <c r="AY9" i="111"/>
  <c r="AL17" i="111"/>
  <c r="AM20" i="111"/>
  <c r="AY20" i="111"/>
  <c r="AT26" i="111"/>
  <c r="A30" i="111"/>
  <c r="AL27" i="111"/>
  <c r="S33" i="111"/>
  <c r="AO35" i="111"/>
  <c r="AX38" i="111"/>
  <c r="Z42" i="111"/>
  <c r="AI53" i="111"/>
  <c r="Y54" i="111"/>
  <c r="AL54" i="111"/>
  <c r="AG57" i="111"/>
  <c r="AY61" i="111"/>
  <c r="AM61" i="111"/>
  <c r="AI64" i="111"/>
  <c r="AO66" i="111"/>
  <c r="AF72" i="111"/>
  <c r="AA73" i="112"/>
  <c r="Z27" i="112"/>
  <c r="AY27" i="112"/>
  <c r="AM27" i="112"/>
  <c r="AH35" i="112"/>
  <c r="AF35" i="112"/>
  <c r="AB35" i="112"/>
  <c r="AI35" i="112"/>
  <c r="AG35" i="112"/>
  <c r="AE35" i="112"/>
  <c r="AM33" i="112"/>
  <c r="AY33" i="112"/>
  <c r="AM36" i="112"/>
  <c r="AP36" i="112" s="1"/>
  <c r="AY36" i="112"/>
  <c r="Z36" i="112"/>
  <c r="A49" i="112"/>
  <c r="AX45" i="112"/>
  <c r="AL45" i="112"/>
  <c r="Y45" i="112"/>
  <c r="AH73" i="112"/>
  <c r="AL15" i="110"/>
  <c r="AP19" i="110"/>
  <c r="AQ24" i="110"/>
  <c r="Y28" i="110"/>
  <c r="AH34" i="110"/>
  <c r="AM37" i="110"/>
  <c r="AN37" i="110" s="1"/>
  <c r="Z39" i="110"/>
  <c r="Z40" i="110"/>
  <c r="Z41" i="110"/>
  <c r="AR49" i="110"/>
  <c r="Z60" i="110"/>
  <c r="AM60" i="110"/>
  <c r="A64" i="110"/>
  <c r="Y61" i="110"/>
  <c r="Z69" i="110"/>
  <c r="AE72" i="110"/>
  <c r="AG4" i="111"/>
  <c r="Y10" i="111"/>
  <c r="Y17" i="111"/>
  <c r="AL32" i="111"/>
  <c r="AY41" i="111"/>
  <c r="A78" i="111"/>
  <c r="A46" i="111"/>
  <c r="AR53" i="111"/>
  <c r="AL56" i="111"/>
  <c r="AH57" i="111"/>
  <c r="Z61" i="111"/>
  <c r="AQ66" i="111"/>
  <c r="AY68" i="111"/>
  <c r="AY70" i="111"/>
  <c r="Z70" i="111"/>
  <c r="AM10" i="112"/>
  <c r="AX14" i="112"/>
  <c r="AS18" i="112"/>
  <c r="AP18" i="112"/>
  <c r="AU18" i="112"/>
  <c r="AI20" i="112"/>
  <c r="AX26" i="112"/>
  <c r="AF66" i="112"/>
  <c r="AT67" i="112"/>
  <c r="AQ19" i="110"/>
  <c r="AL28" i="110"/>
  <c r="AM33" i="110"/>
  <c r="AX35" i="110"/>
  <c r="A38" i="110"/>
  <c r="AY39" i="110"/>
  <c r="AM40" i="110"/>
  <c r="AM41" i="110"/>
  <c r="AL78" i="110"/>
  <c r="AM51" i="110"/>
  <c r="Z56" i="110"/>
  <c r="AG56" i="110" s="1"/>
  <c r="AM61" i="110"/>
  <c r="AY61" i="110"/>
  <c r="AM69" i="110"/>
  <c r="Y69" i="110"/>
  <c r="AL10" i="111"/>
  <c r="AX17" i="111"/>
  <c r="Y21" i="111"/>
  <c r="AC24" i="111"/>
  <c r="AI24" i="111"/>
  <c r="AD24" i="111"/>
  <c r="AX27" i="111"/>
  <c r="A29" i="111"/>
  <c r="Y26" i="111"/>
  <c r="Z41" i="111"/>
  <c r="AM41" i="111"/>
  <c r="AX43" i="111"/>
  <c r="Y46" i="111"/>
  <c r="AL46" i="111"/>
  <c r="Y48" i="111"/>
  <c r="AG53" i="111"/>
  <c r="AM56" i="111"/>
  <c r="Y55" i="111"/>
  <c r="AL55" i="111"/>
  <c r="AY58" i="111"/>
  <c r="AS66" i="111"/>
  <c r="Z69" i="111"/>
  <c r="AY71" i="111"/>
  <c r="AM71" i="111"/>
  <c r="AX19" i="112"/>
  <c r="AL19" i="112"/>
  <c r="AR25" i="112"/>
  <c r="Y26" i="112"/>
  <c r="AY39" i="112"/>
  <c r="AM39" i="112"/>
  <c r="Z39" i="112"/>
  <c r="AG39" i="112" s="1"/>
  <c r="AO67" i="112"/>
  <c r="AR67" i="112"/>
  <c r="AP67" i="112"/>
  <c r="AN67" i="112"/>
  <c r="AU67" i="112"/>
  <c r="AS67" i="112"/>
  <c r="AQ67" i="112"/>
  <c r="AF39" i="472"/>
  <c r="AF72" i="472"/>
  <c r="AR34" i="472"/>
  <c r="AR49" i="472"/>
  <c r="AO3" i="114"/>
  <c r="AS3" i="114"/>
  <c r="AR3" i="114"/>
  <c r="AU3" i="114"/>
  <c r="AQ3" i="114"/>
  <c r="AP3" i="114"/>
  <c r="AN3" i="114"/>
  <c r="Z68" i="110"/>
  <c r="AY68" i="110"/>
  <c r="AX10" i="111"/>
  <c r="AR26" i="111"/>
  <c r="AS26" i="111"/>
  <c r="Y36" i="111"/>
  <c r="AM49" i="111"/>
  <c r="AN49" i="111" s="1"/>
  <c r="AN53" i="111"/>
  <c r="AX56" i="111"/>
  <c r="AT66" i="111"/>
  <c r="AX66" i="111"/>
  <c r="Z67" i="111"/>
  <c r="S12" i="112"/>
  <c r="Y3" i="112"/>
  <c r="Y8" i="112"/>
  <c r="A12" i="112"/>
  <c r="AX9" i="112"/>
  <c r="AL9" i="112"/>
  <c r="Y9" i="112"/>
  <c r="AY10" i="112"/>
  <c r="AL11" i="112"/>
  <c r="A14" i="112"/>
  <c r="AX11" i="112"/>
  <c r="AY12" i="112"/>
  <c r="AM12" i="112"/>
  <c r="Z12" i="112"/>
  <c r="AY19" i="112"/>
  <c r="Z19" i="112"/>
  <c r="AT25" i="112"/>
  <c r="AY31" i="112"/>
  <c r="AM31" i="112"/>
  <c r="AN31" i="112" s="1"/>
  <c r="Z31" i="112"/>
  <c r="AM43" i="112"/>
  <c r="AY43" i="112"/>
  <c r="Z43" i="112"/>
  <c r="AD43" i="112" s="1"/>
  <c r="AY68" i="112"/>
  <c r="Z68" i="112"/>
  <c r="AM68" i="112"/>
  <c r="Y3" i="472"/>
  <c r="AL3" i="472"/>
  <c r="AX3" i="472"/>
  <c r="A17" i="111"/>
  <c r="AX14" i="111"/>
  <c r="AL19" i="111"/>
  <c r="Y19" i="111"/>
  <c r="A28" i="111"/>
  <c r="AM39" i="111"/>
  <c r="AY39" i="111"/>
  <c r="AB53" i="111"/>
  <c r="AX52" i="111"/>
  <c r="AL52" i="111"/>
  <c r="A55" i="111"/>
  <c r="AD57" i="111"/>
  <c r="AB57" i="111"/>
  <c r="AA57" i="111"/>
  <c r="AE57" i="111"/>
  <c r="AM58" i="111"/>
  <c r="AB64" i="111"/>
  <c r="AM68" i="111"/>
  <c r="Z3" i="112"/>
  <c r="AY3" i="112"/>
  <c r="AM3" i="112"/>
  <c r="AN3" i="112" s="1"/>
  <c r="AL4" i="112"/>
  <c r="AX4" i="112"/>
  <c r="Y4" i="112"/>
  <c r="Z11" i="112"/>
  <c r="AB11" i="112" s="1"/>
  <c r="AM11" i="112"/>
  <c r="AY15" i="112"/>
  <c r="AU25" i="112"/>
  <c r="A31" i="112"/>
  <c r="Y28" i="112"/>
  <c r="Y64" i="112"/>
  <c r="A66" i="112"/>
  <c r="AX64" i="112"/>
  <c r="AL64" i="112"/>
  <c r="AC72" i="112"/>
  <c r="AI73" i="112"/>
  <c r="AH49" i="472"/>
  <c r="AH72" i="472"/>
  <c r="AT27" i="472"/>
  <c r="AT9" i="472"/>
  <c r="AP17" i="472"/>
  <c r="AL19" i="472"/>
  <c r="Y19" i="472"/>
  <c r="Y35" i="110"/>
  <c r="AM42" i="110"/>
  <c r="AY42" i="110"/>
  <c r="AM54" i="110"/>
  <c r="AY54" i="110"/>
  <c r="AF72" i="110"/>
  <c r="AI72" i="110"/>
  <c r="AA72" i="110"/>
  <c r="AB4" i="111"/>
  <c r="AL14" i="111"/>
  <c r="AX19" i="111"/>
  <c r="Z20" i="111"/>
  <c r="AN26" i="111"/>
  <c r="AA32" i="111"/>
  <c r="A33" i="111"/>
  <c r="Y30" i="111"/>
  <c r="AL30" i="111"/>
  <c r="AL36" i="111"/>
  <c r="Z46" i="111"/>
  <c r="AL44" i="111"/>
  <c r="Z51" i="111"/>
  <c r="Z50" i="111"/>
  <c r="AM50" i="111"/>
  <c r="AY55" i="111"/>
  <c r="AX61" i="111"/>
  <c r="AD72" i="111"/>
  <c r="AI72" i="111"/>
  <c r="AA72" i="111"/>
  <c r="AH72" i="111"/>
  <c r="AB72" i="111"/>
  <c r="AX73" i="111"/>
  <c r="AL73" i="111"/>
  <c r="AF73" i="112"/>
  <c r="Z4" i="112"/>
  <c r="AM4" i="112"/>
  <c r="AM19" i="112"/>
  <c r="AY54" i="112"/>
  <c r="AM54" i="112"/>
  <c r="Z54" i="112"/>
  <c r="AY59" i="112"/>
  <c r="AY64" i="112"/>
  <c r="AM64" i="112"/>
  <c r="Z64" i="112"/>
  <c r="AU18" i="472"/>
  <c r="AX29" i="111"/>
  <c r="A32" i="111"/>
  <c r="AL38" i="111"/>
  <c r="Y38" i="111"/>
  <c r="AY42" i="111"/>
  <c r="AM57" i="111"/>
  <c r="AY57" i="111"/>
  <c r="AE64" i="111"/>
  <c r="AR66" i="111"/>
  <c r="AN66" i="111"/>
  <c r="AP66" i="111"/>
  <c r="A17" i="112"/>
  <c r="Y14" i="112"/>
  <c r="AL21" i="112"/>
  <c r="Y21" i="112"/>
  <c r="AX21" i="112"/>
  <c r="AY34" i="112"/>
  <c r="AM34" i="112"/>
  <c r="AN34" i="112" s="1"/>
  <c r="Z34" i="112"/>
  <c r="AG34" i="112" s="1"/>
  <c r="A43" i="112"/>
  <c r="AX41" i="112"/>
  <c r="AL41" i="112"/>
  <c r="Y41" i="112"/>
  <c r="A51" i="112"/>
  <c r="AL48" i="112"/>
  <c r="G79" i="112"/>
  <c r="G77" i="112" s="1"/>
  <c r="G8" i="112" s="1"/>
  <c r="AL45" i="111"/>
  <c r="A49" i="111"/>
  <c r="AE53" i="111"/>
  <c r="Z59" i="111"/>
  <c r="AY59" i="111"/>
  <c r="Y61" i="111"/>
  <c r="AL61" i="111"/>
  <c r="G79" i="111"/>
  <c r="G77" i="111" s="1"/>
  <c r="G8" i="111" s="1"/>
  <c r="AL8" i="112"/>
  <c r="A11" i="112"/>
  <c r="AL16" i="112"/>
  <c r="A19" i="112"/>
  <c r="AX16" i="112"/>
  <c r="AC38" i="112"/>
  <c r="AI38" i="112"/>
  <c r="AE38" i="112"/>
  <c r="AD38" i="112"/>
  <c r="AM41" i="112"/>
  <c r="Z41" i="112"/>
  <c r="AY41" i="112"/>
  <c r="AY46" i="112"/>
  <c r="AM46" i="112"/>
  <c r="Z46" i="112"/>
  <c r="AY70" i="112"/>
  <c r="Z70" i="112"/>
  <c r="AM70" i="112"/>
  <c r="AR4" i="472"/>
  <c r="AO4" i="472"/>
  <c r="AU4" i="472"/>
  <c r="AN4" i="472"/>
  <c r="AS4" i="472"/>
  <c r="AQ4" i="472"/>
  <c r="AP4" i="472"/>
  <c r="AX23" i="472"/>
  <c r="Y23" i="472"/>
  <c r="AL23" i="472"/>
  <c r="AO24" i="112"/>
  <c r="AR24" i="112"/>
  <c r="AE25" i="112"/>
  <c r="AB25" i="112"/>
  <c r="AH25" i="112"/>
  <c r="AI49" i="112"/>
  <c r="AM58" i="112"/>
  <c r="AR58" i="112" s="1"/>
  <c r="AO9" i="472"/>
  <c r="Z16" i="472"/>
  <c r="AC16" i="472" s="1"/>
  <c r="AY16" i="472"/>
  <c r="AM16" i="472"/>
  <c r="AQ16" i="472" s="1"/>
  <c r="Y51" i="472"/>
  <c r="Z52" i="472"/>
  <c r="AF52" i="472" s="1"/>
  <c r="AY52" i="472"/>
  <c r="AM52" i="472"/>
  <c r="AU52" i="472" s="1"/>
  <c r="AY53" i="472"/>
  <c r="Z53" i="472"/>
  <c r="AL55" i="472"/>
  <c r="AL56" i="472"/>
  <c r="Y56" i="472"/>
  <c r="AL59" i="472"/>
  <c r="AM57" i="472"/>
  <c r="AG63" i="472"/>
  <c r="Z66" i="472"/>
  <c r="AA66" i="472" s="1"/>
  <c r="AY66" i="472"/>
  <c r="AM66" i="472"/>
  <c r="AN66" i="472" s="1"/>
  <c r="Z70" i="472"/>
  <c r="AQ9" i="114"/>
  <c r="AN9" i="114"/>
  <c r="AT9" i="114"/>
  <c r="AX13" i="114"/>
  <c r="AL13" i="114"/>
  <c r="Y13" i="114"/>
  <c r="AF31" i="114"/>
  <c r="AY50" i="114"/>
  <c r="AM50" i="114"/>
  <c r="Z50" i="114"/>
  <c r="A17" i="115"/>
  <c r="Y14" i="115"/>
  <c r="AX14" i="115"/>
  <c r="AL14" i="115"/>
  <c r="AY26" i="115"/>
  <c r="Z26" i="115"/>
  <c r="AD26" i="115" s="1"/>
  <c r="AM26" i="115"/>
  <c r="AY67" i="115"/>
  <c r="AM67" i="115"/>
  <c r="Z67" i="115"/>
  <c r="AG67" i="115" s="1"/>
  <c r="AF73" i="124"/>
  <c r="AF45" i="124"/>
  <c r="AR66" i="124"/>
  <c r="AR3" i="124"/>
  <c r="AY15" i="124"/>
  <c r="AM15" i="124"/>
  <c r="Z15" i="124"/>
  <c r="AD15" i="124" s="1"/>
  <c r="Z55" i="110"/>
  <c r="AF55" i="110" s="1"/>
  <c r="AM34" i="111"/>
  <c r="AD39" i="111"/>
  <c r="AH39" i="111"/>
  <c r="Y51" i="111"/>
  <c r="AA53" i="111"/>
  <c r="AY54" i="111"/>
  <c r="AL58" i="111"/>
  <c r="AA64" i="111"/>
  <c r="Y71" i="111"/>
  <c r="Y13" i="112"/>
  <c r="AX23" i="112"/>
  <c r="Z51" i="112"/>
  <c r="AL52" i="112"/>
  <c r="Z60" i="112"/>
  <c r="AX63" i="112"/>
  <c r="AL63" i="112"/>
  <c r="AL73" i="112"/>
  <c r="Y14" i="472"/>
  <c r="AX14" i="472"/>
  <c r="AL14" i="472"/>
  <c r="AX15" i="472"/>
  <c r="Y15" i="472"/>
  <c r="Y20" i="472"/>
  <c r="AL21" i="472"/>
  <c r="Z26" i="472"/>
  <c r="A29" i="472"/>
  <c r="AL26" i="472"/>
  <c r="Y26" i="472"/>
  <c r="AM33" i="472"/>
  <c r="AM35" i="472"/>
  <c r="AS35" i="472" s="1"/>
  <c r="AM39" i="472"/>
  <c r="AM78" i="472"/>
  <c r="AM50" i="472"/>
  <c r="Z50" i="472"/>
  <c r="AM53" i="472"/>
  <c r="Y61" i="472"/>
  <c r="AX61" i="472"/>
  <c r="AL61" i="472"/>
  <c r="AM70" i="472"/>
  <c r="AT3" i="114"/>
  <c r="Y20" i="114"/>
  <c r="AX20" i="114"/>
  <c r="Y26" i="114"/>
  <c r="AX26" i="114"/>
  <c r="AE72" i="115"/>
  <c r="AE43" i="115"/>
  <c r="AE46" i="115"/>
  <c r="AI46" i="115"/>
  <c r="AA46" i="115"/>
  <c r="AH46" i="115"/>
  <c r="AG46" i="115"/>
  <c r="AF46" i="115"/>
  <c r="Z64" i="115"/>
  <c r="AY64" i="115"/>
  <c r="AX61" i="124"/>
  <c r="A64" i="124"/>
  <c r="AL61" i="124"/>
  <c r="Y61" i="124"/>
  <c r="Y23" i="112"/>
  <c r="AL23" i="112"/>
  <c r="AY30" i="112"/>
  <c r="AN49" i="112"/>
  <c r="Z58" i="112"/>
  <c r="AA58" i="112" s="1"/>
  <c r="AL59" i="112"/>
  <c r="AX59" i="112"/>
  <c r="AD72" i="112"/>
  <c r="AI72" i="112"/>
  <c r="AA72" i="112"/>
  <c r="AG72" i="112"/>
  <c r="AQ17" i="472"/>
  <c r="AX20" i="472"/>
  <c r="AY21" i="472"/>
  <c r="Z21" i="472"/>
  <c r="AI21" i="472" s="1"/>
  <c r="AX27" i="472"/>
  <c r="Y27" i="472"/>
  <c r="AF32" i="472"/>
  <c r="AY33" i="472"/>
  <c r="AG37" i="472"/>
  <c r="AU38" i="472"/>
  <c r="AU42" i="472"/>
  <c r="AG49" i="472"/>
  <c r="AD49" i="472"/>
  <c r="AC49" i="472"/>
  <c r="Y55" i="472"/>
  <c r="Y59" i="472"/>
  <c r="AT4" i="114"/>
  <c r="AT2" i="114" s="1"/>
  <c r="AL10" i="114"/>
  <c r="Z17" i="114"/>
  <c r="AM17" i="114"/>
  <c r="Z51" i="114"/>
  <c r="AM51" i="114"/>
  <c r="AY59" i="114"/>
  <c r="AM59" i="114"/>
  <c r="AT59" i="114" s="1"/>
  <c r="Z59" i="114"/>
  <c r="AM73" i="114"/>
  <c r="Z73" i="114"/>
  <c r="AY73" i="114"/>
  <c r="AQ58" i="115"/>
  <c r="Z59" i="115"/>
  <c r="AY59" i="115"/>
  <c r="AM59" i="115"/>
  <c r="AT25" i="124"/>
  <c r="AS25" i="124"/>
  <c r="AR25" i="124"/>
  <c r="AQ25" i="124"/>
  <c r="AP25" i="124"/>
  <c r="AO25" i="124"/>
  <c r="AN25" i="124"/>
  <c r="AU25" i="124"/>
  <c r="Y3" i="116"/>
  <c r="AX3" i="116"/>
  <c r="AL3" i="116"/>
  <c r="A34" i="472"/>
  <c r="AX31" i="472"/>
  <c r="Y31" i="472"/>
  <c r="AC37" i="472"/>
  <c r="AB37" i="472"/>
  <c r="AX69" i="472"/>
  <c r="Y69" i="472"/>
  <c r="AE34" i="114"/>
  <c r="AE43" i="114"/>
  <c r="AQ28" i="114"/>
  <c r="AP4" i="114"/>
  <c r="AO4" i="114"/>
  <c r="AY3" i="114"/>
  <c r="Z3" i="114"/>
  <c r="AB4" i="114"/>
  <c r="AB16" i="114"/>
  <c r="AY18" i="114"/>
  <c r="AY71" i="114"/>
  <c r="AM71" i="114"/>
  <c r="AM49" i="115"/>
  <c r="Z49" i="115"/>
  <c r="AY49" i="115"/>
  <c r="AI28" i="472"/>
  <c r="AM32" i="472"/>
  <c r="AS32" i="472" s="1"/>
  <c r="AA37" i="472"/>
  <c r="AM48" i="472"/>
  <c r="Z48" i="472"/>
  <c r="AH63" i="472"/>
  <c r="AE63" i="472"/>
  <c r="AD63" i="472"/>
  <c r="AC63" i="472"/>
  <c r="AR24" i="114"/>
  <c r="AN4" i="114"/>
  <c r="AY4" i="114"/>
  <c r="AX14" i="114"/>
  <c r="AL14" i="114"/>
  <c r="Y14" i="114"/>
  <c r="Z18" i="114"/>
  <c r="AB49" i="114"/>
  <c r="AX46" i="114"/>
  <c r="A50" i="114"/>
  <c r="AL46" i="114"/>
  <c r="Y46" i="114"/>
  <c r="AL55" i="114"/>
  <c r="Y55" i="114"/>
  <c r="AX55" i="114"/>
  <c r="A64" i="114"/>
  <c r="AX61" i="114"/>
  <c r="Y61" i="114"/>
  <c r="AX63" i="114"/>
  <c r="A65" i="114"/>
  <c r="AL63" i="114"/>
  <c r="Y63" i="114"/>
  <c r="Z71" i="114"/>
  <c r="AG71" i="114" s="1"/>
  <c r="AG70" i="114" s="1"/>
  <c r="AM3" i="115"/>
  <c r="Z3" i="115"/>
  <c r="AS78" i="115"/>
  <c r="AR78" i="115"/>
  <c r="AQ78" i="115"/>
  <c r="AP78" i="115"/>
  <c r="AO78" i="115"/>
  <c r="AU78" i="115"/>
  <c r="AT78" i="115"/>
  <c r="AN78" i="115"/>
  <c r="AY54" i="115"/>
  <c r="AM54" i="115"/>
  <c r="AN54" i="115" s="1"/>
  <c r="Z54" i="115"/>
  <c r="AM37" i="472"/>
  <c r="AM41" i="472"/>
  <c r="AM44" i="472"/>
  <c r="AE57" i="472"/>
  <c r="AL69" i="472"/>
  <c r="AA71" i="472"/>
  <c r="AA70" i="472" s="1"/>
  <c r="AR4" i="114"/>
  <c r="Y11" i="114"/>
  <c r="AX11" i="114"/>
  <c r="AL11" i="114"/>
  <c r="AE21" i="114"/>
  <c r="AH21" i="114"/>
  <c r="AL24" i="115"/>
  <c r="A27" i="115"/>
  <c r="Y24" i="115"/>
  <c r="A43" i="111"/>
  <c r="AX41" i="111"/>
  <c r="A54" i="111"/>
  <c r="Y58" i="111"/>
  <c r="AY60" i="111"/>
  <c r="A66" i="111"/>
  <c r="A16" i="112"/>
  <c r="AM17" i="112"/>
  <c r="AY17" i="112"/>
  <c r="Y32" i="112"/>
  <c r="A41" i="112"/>
  <c r="AX38" i="112"/>
  <c r="AL38" i="112"/>
  <c r="AL78" i="112"/>
  <c r="A45" i="112"/>
  <c r="AX78" i="112"/>
  <c r="AH49" i="112"/>
  <c r="AM53" i="112"/>
  <c r="AL55" i="112"/>
  <c r="AX55" i="112"/>
  <c r="AY57" i="112"/>
  <c r="AM57" i="112"/>
  <c r="AY60" i="112"/>
  <c r="AF72" i="112"/>
  <c r="Y4" i="472"/>
  <c r="AU9" i="472"/>
  <c r="AR9" i="472"/>
  <c r="AQ9" i="472"/>
  <c r="AP9" i="472"/>
  <c r="AX18" i="472"/>
  <c r="AM21" i="472"/>
  <c r="AM30" i="472"/>
  <c r="AM28" i="472"/>
  <c r="AP28" i="472" s="1"/>
  <c r="AL31" i="472"/>
  <c r="AY32" i="472"/>
  <c r="AS34" i="472"/>
  <c r="AF35" i="472"/>
  <c r="AB35" i="472"/>
  <c r="AA35" i="472"/>
  <c r="AQ34" i="472"/>
  <c r="AO34" i="472"/>
  <c r="AF37" i="472"/>
  <c r="AY37" i="472"/>
  <c r="AY41" i="472"/>
  <c r="AS42" i="472"/>
  <c r="AY44" i="472"/>
  <c r="AB63" i="472"/>
  <c r="AP64" i="472"/>
  <c r="Z65" i="472"/>
  <c r="AG72" i="472"/>
  <c r="AD72" i="472"/>
  <c r="AC72" i="472"/>
  <c r="AJ72" i="472" s="1"/>
  <c r="AB72" i="472"/>
  <c r="AS4" i="114"/>
  <c r="AE9" i="114"/>
  <c r="Y10" i="114"/>
  <c r="AX10" i="114"/>
  <c r="AD21" i="114"/>
  <c r="A30" i="114"/>
  <c r="AL27" i="114"/>
  <c r="AX35" i="114"/>
  <c r="AL35" i="114"/>
  <c r="A38" i="114"/>
  <c r="Y35" i="114"/>
  <c r="AN38" i="114"/>
  <c r="AX37" i="114"/>
  <c r="A40" i="114"/>
  <c r="AL37" i="114"/>
  <c r="Y37" i="114"/>
  <c r="AX39" i="114"/>
  <c r="A42" i="114"/>
  <c r="AL39" i="114"/>
  <c r="Y39" i="114"/>
  <c r="AX41" i="114"/>
  <c r="A43" i="114"/>
  <c r="AL41" i="114"/>
  <c r="Y41" i="114"/>
  <c r="AX78" i="114"/>
  <c r="A45" i="114"/>
  <c r="AL78" i="114"/>
  <c r="Y78" i="114"/>
  <c r="AX44" i="114"/>
  <c r="A48" i="114"/>
  <c r="AL44" i="114"/>
  <c r="Y44" i="114"/>
  <c r="Y48" i="114"/>
  <c r="A51" i="114"/>
  <c r="AL48" i="114"/>
  <c r="AE72" i="114"/>
  <c r="AD72" i="114"/>
  <c r="AC72" i="114"/>
  <c r="AI72" i="114"/>
  <c r="AA72" i="114"/>
  <c r="AB72" i="114"/>
  <c r="AH72" i="114"/>
  <c r="AG72" i="114"/>
  <c r="AE30" i="115"/>
  <c r="AF53" i="111"/>
  <c r="AH53" i="111"/>
  <c r="AD64" i="111"/>
  <c r="AH64" i="111"/>
  <c r="AM64" i="111"/>
  <c r="AT13" i="112"/>
  <c r="AQ13" i="112"/>
  <c r="AY20" i="112"/>
  <c r="AM20" i="112"/>
  <c r="AI24" i="112"/>
  <c r="S33" i="112"/>
  <c r="AN25" i="112"/>
  <c r="AS25" i="112"/>
  <c r="AQ25" i="112"/>
  <c r="AY25" i="112"/>
  <c r="A28" i="112"/>
  <c r="AX32" i="112"/>
  <c r="AL32" i="112"/>
  <c r="AL35" i="112"/>
  <c r="A38" i="112"/>
  <c r="AX35" i="112"/>
  <c r="Z42" i="112"/>
  <c r="AG42" i="112" s="1"/>
  <c r="AM42" i="112"/>
  <c r="AL40" i="112"/>
  <c r="AM50" i="112"/>
  <c r="Z50" i="112"/>
  <c r="Z55" i="112"/>
  <c r="AI55" i="112" s="1"/>
  <c r="AH72" i="112"/>
  <c r="Z10" i="472"/>
  <c r="AA10" i="472" s="1"/>
  <c r="AU17" i="472"/>
  <c r="A19" i="472"/>
  <c r="AX16" i="472"/>
  <c r="AX17" i="472"/>
  <c r="Y17" i="472"/>
  <c r="AL20" i="472"/>
  <c r="AM26" i="472"/>
  <c r="AY24" i="472"/>
  <c r="Z24" i="472"/>
  <c r="AC24" i="472" s="1"/>
  <c r="AE28" i="472"/>
  <c r="AM31" i="472"/>
  <c r="AH32" i="472"/>
  <c r="A33" i="472"/>
  <c r="AL30" i="472"/>
  <c r="Y30" i="472"/>
  <c r="AH37" i="472"/>
  <c r="AB39" i="472"/>
  <c r="AM46" i="472"/>
  <c r="A54" i="472"/>
  <c r="A55" i="472"/>
  <c r="AX52" i="472"/>
  <c r="AL53" i="472"/>
  <c r="AY57" i="472"/>
  <c r="AF63" i="472"/>
  <c r="AY65" i="472"/>
  <c r="AX71" i="472"/>
  <c r="AU4" i="114"/>
  <c r="AF9" i="114"/>
  <c r="A16" i="114"/>
  <c r="AO16" i="114"/>
  <c r="AN16" i="114"/>
  <c r="AP16" i="114"/>
  <c r="AU16" i="114"/>
  <c r="AT16" i="114"/>
  <c r="AS16" i="114"/>
  <c r="AY16" i="114"/>
  <c r="AM20" i="114"/>
  <c r="AF21" i="114"/>
  <c r="Z27" i="114"/>
  <c r="AM27" i="114"/>
  <c r="AY27" i="114"/>
  <c r="Z48" i="114"/>
  <c r="AM48" i="114"/>
  <c r="AY48" i="114"/>
  <c r="AF72" i="114"/>
  <c r="V15" i="115"/>
  <c r="AG3" i="124"/>
  <c r="AL9" i="116"/>
  <c r="Y9" i="116"/>
  <c r="A12" i="116"/>
  <c r="AX9" i="116"/>
  <c r="Z28" i="116"/>
  <c r="AM28" i="116"/>
  <c r="AY28" i="116"/>
  <c r="AX30" i="116"/>
  <c r="AL30" i="116"/>
  <c r="A33" i="116"/>
  <c r="Y30" i="116"/>
  <c r="AL31" i="114"/>
  <c r="AM33" i="114"/>
  <c r="Z33" i="114"/>
  <c r="AM35" i="114"/>
  <c r="AY37" i="114"/>
  <c r="AM37" i="114"/>
  <c r="AY39" i="114"/>
  <c r="AM39" i="114"/>
  <c r="AY41" i="114"/>
  <c r="AM41" i="114"/>
  <c r="AY78" i="114"/>
  <c r="AM78" i="114"/>
  <c r="AY44" i="114"/>
  <c r="AM44" i="114"/>
  <c r="AY46" i="114"/>
  <c r="AM46" i="114"/>
  <c r="AY61" i="114"/>
  <c r="AM61" i="114"/>
  <c r="AX66" i="114"/>
  <c r="AL66" i="114"/>
  <c r="AQ4" i="115"/>
  <c r="AP4" i="115"/>
  <c r="AO4" i="115"/>
  <c r="AU4" i="115"/>
  <c r="AP17" i="115"/>
  <c r="AL15" i="115"/>
  <c r="Y16" i="115"/>
  <c r="AX16" i="115"/>
  <c r="Z25" i="115"/>
  <c r="AM24" i="115"/>
  <c r="Z24" i="115"/>
  <c r="AH28" i="115"/>
  <c r="AD30" i="115"/>
  <c r="Y29" i="115"/>
  <c r="A32" i="115"/>
  <c r="AX29" i="115"/>
  <c r="AR35" i="115"/>
  <c r="AQ35" i="115"/>
  <c r="AP35" i="115"/>
  <c r="AO35" i="115"/>
  <c r="AN35" i="115"/>
  <c r="AL40" i="115"/>
  <c r="AT43" i="115"/>
  <c r="AX61" i="115"/>
  <c r="AL61" i="115"/>
  <c r="AH72" i="115"/>
  <c r="AE73" i="115"/>
  <c r="AP3" i="124"/>
  <c r="AX11" i="124"/>
  <c r="AL11" i="124"/>
  <c r="AM71" i="124"/>
  <c r="Z71" i="124"/>
  <c r="AY71" i="124"/>
  <c r="AM8" i="472"/>
  <c r="AS8" i="472" s="1"/>
  <c r="A10" i="472"/>
  <c r="AM25" i="472"/>
  <c r="AP25" i="472" s="1"/>
  <c r="AM29" i="472"/>
  <c r="A37" i="472"/>
  <c r="AF45" i="472"/>
  <c r="A49" i="472"/>
  <c r="AT49" i="472"/>
  <c r="AX54" i="472"/>
  <c r="Y58" i="472"/>
  <c r="AM63" i="472"/>
  <c r="Z73" i="472"/>
  <c r="AG9" i="114"/>
  <c r="Z23" i="114"/>
  <c r="AM23" i="114"/>
  <c r="Y23" i="114"/>
  <c r="Z37" i="114"/>
  <c r="Z39" i="114"/>
  <c r="Z41" i="114"/>
  <c r="Z78" i="114"/>
  <c r="Z44" i="114"/>
  <c r="Z46" i="114"/>
  <c r="Z52" i="114"/>
  <c r="AM52" i="114"/>
  <c r="AN52" i="114" s="1"/>
  <c r="AG4" i="115"/>
  <c r="AL16" i="115"/>
  <c r="AN17" i="115"/>
  <c r="AY16" i="115"/>
  <c r="AM16" i="115"/>
  <c r="AP21" i="115"/>
  <c r="Y19" i="115"/>
  <c r="AX19" i="115"/>
  <c r="AL23" i="115"/>
  <c r="AL29" i="115"/>
  <c r="AT30" i="115"/>
  <c r="AS30" i="115"/>
  <c r="AR30" i="115"/>
  <c r="AP30" i="115"/>
  <c r="AI36" i="115"/>
  <c r="AP36" i="115"/>
  <c r="AQ3" i="124"/>
  <c r="AX13" i="124"/>
  <c r="AL13" i="124"/>
  <c r="A20" i="124"/>
  <c r="AX17" i="124"/>
  <c r="AL17" i="124"/>
  <c r="AP27" i="124"/>
  <c r="AR27" i="124"/>
  <c r="AQ35" i="124"/>
  <c r="AD36" i="124"/>
  <c r="AM4" i="116"/>
  <c r="AS4" i="116" s="1"/>
  <c r="Z4" i="116"/>
  <c r="AA4" i="116" s="1"/>
  <c r="AY4" i="116"/>
  <c r="Z45" i="116"/>
  <c r="AY45" i="116"/>
  <c r="AM45" i="116"/>
  <c r="AR52" i="116"/>
  <c r="AQ52" i="116"/>
  <c r="AG45" i="472"/>
  <c r="AL19" i="114"/>
  <c r="AP25" i="114"/>
  <c r="AO25" i="114"/>
  <c r="AN25" i="114"/>
  <c r="AN28" i="114"/>
  <c r="AC32" i="114"/>
  <c r="AB32" i="114"/>
  <c r="Z35" i="114"/>
  <c r="AS38" i="114"/>
  <c r="AR38" i="114"/>
  <c r="AQ38" i="114"/>
  <c r="Z61" i="114"/>
  <c r="A79" i="114"/>
  <c r="AN4" i="115"/>
  <c r="AY10" i="115"/>
  <c r="Y15" i="115"/>
  <c r="Z13" i="115"/>
  <c r="AY13" i="115"/>
  <c r="AO17" i="115"/>
  <c r="AL20" i="115"/>
  <c r="AY25" i="115"/>
  <c r="AL32" i="115"/>
  <c r="AS35" i="115"/>
  <c r="Y37" i="115"/>
  <c r="AX37" i="115"/>
  <c r="Z45" i="115"/>
  <c r="AY45" i="115"/>
  <c r="AY17" i="124"/>
  <c r="AM17" i="124"/>
  <c r="Z17" i="124"/>
  <c r="AF24" i="124"/>
  <c r="AE24" i="124"/>
  <c r="AD24" i="124"/>
  <c r="AC24" i="124"/>
  <c r="AB24" i="124"/>
  <c r="AI24" i="124"/>
  <c r="AA24" i="124"/>
  <c r="AG49" i="124"/>
  <c r="Z55" i="124"/>
  <c r="AY55" i="124"/>
  <c r="AE73" i="111"/>
  <c r="AA36" i="112"/>
  <c r="AL51" i="112"/>
  <c r="Y54" i="112"/>
  <c r="AX58" i="112"/>
  <c r="Y61" i="112"/>
  <c r="Y71" i="112"/>
  <c r="AE73" i="112"/>
  <c r="AY4" i="472"/>
  <c r="AY8" i="472"/>
  <c r="Z9" i="472"/>
  <c r="AY25" i="472"/>
  <c r="AY29" i="472"/>
  <c r="Y34" i="472"/>
  <c r="AD37" i="472"/>
  <c r="AD39" i="472"/>
  <c r="AX41" i="472"/>
  <c r="AH45" i="472"/>
  <c r="AN49" i="472"/>
  <c r="AX49" i="472"/>
  <c r="Z51" i="472"/>
  <c r="AY63" i="472"/>
  <c r="AL73" i="472"/>
  <c r="AQ4" i="114"/>
  <c r="AA9" i="114"/>
  <c r="AI9" i="114"/>
  <c r="AX19" i="114"/>
  <c r="AC21" i="114"/>
  <c r="AB21" i="114"/>
  <c r="AI21" i="114"/>
  <c r="AA21" i="114"/>
  <c r="AX25" i="114"/>
  <c r="AR28" i="114"/>
  <c r="AX31" i="114"/>
  <c r="Y30" i="114"/>
  <c r="Z55" i="114"/>
  <c r="AX67" i="114"/>
  <c r="AL67" i="114"/>
  <c r="AY68" i="114"/>
  <c r="AM68" i="114"/>
  <c r="Z68" i="114"/>
  <c r="Z69" i="114"/>
  <c r="AA4" i="115"/>
  <c r="AR4" i="115"/>
  <c r="AL8" i="115"/>
  <c r="A11" i="115"/>
  <c r="Y8" i="115"/>
  <c r="A13" i="115"/>
  <c r="AL10" i="115"/>
  <c r="Y10" i="115"/>
  <c r="Z16" i="115"/>
  <c r="AQ17" i="115"/>
  <c r="Z18" i="115"/>
  <c r="Y20" i="115"/>
  <c r="AM20" i="115"/>
  <c r="Z20" i="115"/>
  <c r="A28" i="115"/>
  <c r="AX25" i="115"/>
  <c r="AP31" i="115"/>
  <c r="AT35" i="115"/>
  <c r="A38" i="115"/>
  <c r="Y35" i="115"/>
  <c r="AX35" i="115"/>
  <c r="Y44" i="115"/>
  <c r="AX44" i="115"/>
  <c r="AS69" i="115"/>
  <c r="AR69" i="115"/>
  <c r="AQ69" i="115"/>
  <c r="AP69" i="115"/>
  <c r="AO69" i="115"/>
  <c r="AX73" i="115"/>
  <c r="AL73" i="115"/>
  <c r="Y4" i="124"/>
  <c r="AF19" i="124"/>
  <c r="AE19" i="124"/>
  <c r="AD19" i="124"/>
  <c r="AC19" i="124"/>
  <c r="AB19" i="124"/>
  <c r="AI19" i="124"/>
  <c r="AA19" i="124"/>
  <c r="AB21" i="124"/>
  <c r="AI21" i="124"/>
  <c r="AX19" i="124"/>
  <c r="AL19" i="124"/>
  <c r="AF28" i="124"/>
  <c r="A32" i="124"/>
  <c r="AL29" i="124"/>
  <c r="Y29" i="124"/>
  <c r="AX29" i="124"/>
  <c r="AD48" i="116"/>
  <c r="AY8" i="116"/>
  <c r="Z8" i="116"/>
  <c r="AC8" i="116" s="1"/>
  <c r="S12" i="117"/>
  <c r="AL14" i="117"/>
  <c r="Y14" i="117"/>
  <c r="AX14" i="117"/>
  <c r="A17" i="117"/>
  <c r="Y59" i="114"/>
  <c r="AL64" i="114"/>
  <c r="A66" i="114"/>
  <c r="AM67" i="114"/>
  <c r="Z67" i="114"/>
  <c r="AD72" i="115"/>
  <c r="AD28" i="115"/>
  <c r="Z11" i="115"/>
  <c r="AY11" i="115"/>
  <c r="Y23" i="115"/>
  <c r="AX23" i="115"/>
  <c r="Z35" i="115"/>
  <c r="AY35" i="115"/>
  <c r="Y40" i="115"/>
  <c r="AX40" i="115"/>
  <c r="A45" i="115"/>
  <c r="Y78" i="115"/>
  <c r="AX78" i="115"/>
  <c r="AR52" i="115"/>
  <c r="AQ52" i="115"/>
  <c r="AP52" i="115"/>
  <c r="AO52" i="115"/>
  <c r="AN52" i="115"/>
  <c r="A55" i="115"/>
  <c r="Y52" i="115"/>
  <c r="AX52" i="115"/>
  <c r="AD57" i="115"/>
  <c r="AX56" i="115"/>
  <c r="AL56" i="115"/>
  <c r="AM63" i="115"/>
  <c r="AS63" i="115" s="1"/>
  <c r="Z69" i="115"/>
  <c r="AY69" i="115"/>
  <c r="Z4" i="124"/>
  <c r="AY4" i="124"/>
  <c r="AY19" i="124"/>
  <c r="AM19" i="124"/>
  <c r="AY22" i="124"/>
  <c r="AM22" i="124"/>
  <c r="Z22" i="124"/>
  <c r="AY41" i="116"/>
  <c r="AM41" i="116"/>
  <c r="AT41" i="116" s="1"/>
  <c r="Z41" i="116"/>
  <c r="AO4" i="117"/>
  <c r="AM11" i="117"/>
  <c r="Z11" i="117"/>
  <c r="AY11" i="117"/>
  <c r="Z40" i="115"/>
  <c r="AY40" i="115"/>
  <c r="Z78" i="115"/>
  <c r="AY78" i="115"/>
  <c r="Z52" i="115"/>
  <c r="AY52" i="115"/>
  <c r="AP58" i="115"/>
  <c r="AY56" i="115"/>
  <c r="AM56" i="115"/>
  <c r="Y66" i="115"/>
  <c r="AX66" i="115"/>
  <c r="AD43" i="124"/>
  <c r="AL9" i="124"/>
  <c r="Y9" i="124"/>
  <c r="AL20" i="124"/>
  <c r="Y20" i="124"/>
  <c r="A28" i="124"/>
  <c r="Y25" i="124"/>
  <c r="AX25" i="124"/>
  <c r="AM8" i="116"/>
  <c r="AN10" i="116"/>
  <c r="AU10" i="116"/>
  <c r="AT10" i="116"/>
  <c r="AS10" i="116"/>
  <c r="Z50" i="116"/>
  <c r="AY50" i="116"/>
  <c r="AM50" i="116"/>
  <c r="A30" i="117"/>
  <c r="AX27" i="117"/>
  <c r="Y27" i="117"/>
  <c r="AL27" i="117"/>
  <c r="AX11" i="472"/>
  <c r="AM51" i="472"/>
  <c r="AX58" i="472"/>
  <c r="AY73" i="472"/>
  <c r="Y15" i="114"/>
  <c r="AM15" i="114"/>
  <c r="AR15" i="114" s="1"/>
  <c r="AY15" i="114"/>
  <c r="AS25" i="114"/>
  <c r="AX29" i="114"/>
  <c r="AF32" i="114"/>
  <c r="AY33" i="114"/>
  <c r="AY35" i="114"/>
  <c r="AP38" i="114"/>
  <c r="AX49" i="114"/>
  <c r="AL53" i="114"/>
  <c r="Y53" i="114"/>
  <c r="Y66" i="114"/>
  <c r="AR36" i="115"/>
  <c r="AH4" i="115"/>
  <c r="AL3" i="115"/>
  <c r="Y3" i="115"/>
  <c r="AM11" i="115"/>
  <c r="AM14" i="115"/>
  <c r="AX15" i="115"/>
  <c r="AY19" i="115"/>
  <c r="S33" i="115"/>
  <c r="AB30" i="115"/>
  <c r="AI30" i="115"/>
  <c r="AA30" i="115"/>
  <c r="AH30" i="115"/>
  <c r="AF30" i="115"/>
  <c r="AQ30" i="115"/>
  <c r="AX32" i="115"/>
  <c r="AL37" i="115"/>
  <c r="AE39" i="115"/>
  <c r="Z38" i="115"/>
  <c r="AY38" i="115"/>
  <c r="AH48" i="115"/>
  <c r="AL49" i="115"/>
  <c r="Y49" i="115"/>
  <c r="AS52" i="115"/>
  <c r="Z56" i="115"/>
  <c r="Y54" i="115"/>
  <c r="AX54" i="115"/>
  <c r="AL59" i="115"/>
  <c r="Y59" i="115"/>
  <c r="AY63" i="115"/>
  <c r="Y64" i="115"/>
  <c r="AX64" i="115"/>
  <c r="Z66" i="115"/>
  <c r="AY66" i="115"/>
  <c r="AX67" i="115"/>
  <c r="AL67" i="115"/>
  <c r="AE36" i="124"/>
  <c r="AQ66" i="124"/>
  <c r="Y11" i="124"/>
  <c r="AX15" i="124"/>
  <c r="AL15" i="124"/>
  <c r="Z20" i="124"/>
  <c r="AY20" i="124"/>
  <c r="AP58" i="124"/>
  <c r="AD59" i="124"/>
  <c r="Y40" i="116"/>
  <c r="AX40" i="116"/>
  <c r="A78" i="116"/>
  <c r="AL40" i="116"/>
  <c r="AE57" i="116"/>
  <c r="AF57" i="116"/>
  <c r="AC57" i="116"/>
  <c r="AB57" i="116"/>
  <c r="Z31" i="124"/>
  <c r="AM37" i="124"/>
  <c r="AS37" i="124" s="1"/>
  <c r="AO52" i="124"/>
  <c r="AT66" i="124"/>
  <c r="AE72" i="124"/>
  <c r="AO17" i="116"/>
  <c r="AN17" i="116"/>
  <c r="AY20" i="116"/>
  <c r="AF48" i="116"/>
  <c r="AE49" i="116"/>
  <c r="AJ49" i="116" s="1"/>
  <c r="AF49" i="116"/>
  <c r="AC49" i="116"/>
  <c r="AB49" i="116"/>
  <c r="AG49" i="116"/>
  <c r="AB52" i="116"/>
  <c r="AD52" i="116"/>
  <c r="AA52" i="116"/>
  <c r="AI52" i="116"/>
  <c r="AE52" i="116"/>
  <c r="AB56" i="116"/>
  <c r="AM63" i="116"/>
  <c r="AX67" i="116"/>
  <c r="Y67" i="116"/>
  <c r="AA72" i="117"/>
  <c r="AI72" i="117"/>
  <c r="Y3" i="117"/>
  <c r="AX3" i="117"/>
  <c r="AL3" i="117"/>
  <c r="AU10" i="117"/>
  <c r="AO10" i="117"/>
  <c r="AQ10" i="117"/>
  <c r="AP10" i="117"/>
  <c r="AN10" i="117"/>
  <c r="AR10" i="117"/>
  <c r="AC16" i="117"/>
  <c r="AY30" i="115"/>
  <c r="A42" i="115"/>
  <c r="A50" i="115"/>
  <c r="AT58" i="115"/>
  <c r="AM70" i="115"/>
  <c r="Z10" i="124"/>
  <c r="AH10" i="124" s="1"/>
  <c r="A19" i="124"/>
  <c r="AL21" i="124"/>
  <c r="AF23" i="124"/>
  <c r="AY25" i="124"/>
  <c r="AS27" i="124"/>
  <c r="AM28" i="124"/>
  <c r="AQ28" i="124" s="1"/>
  <c r="AY29" i="124"/>
  <c r="AM32" i="124"/>
  <c r="AU32" i="124" s="1"/>
  <c r="Y34" i="124"/>
  <c r="AC35" i="124"/>
  <c r="AH36" i="124"/>
  <c r="Z38" i="124"/>
  <c r="AD38" i="124" s="1"/>
  <c r="AM39" i="124"/>
  <c r="AO39" i="124" s="1"/>
  <c r="AM41" i="124"/>
  <c r="AU41" i="124" s="1"/>
  <c r="AM78" i="124"/>
  <c r="AM44" i="124"/>
  <c r="AM46" i="124"/>
  <c r="AP52" i="124"/>
  <c r="AX67" i="124"/>
  <c r="AL67" i="124"/>
  <c r="AF72" i="124"/>
  <c r="Y19" i="116"/>
  <c r="AL19" i="116"/>
  <c r="AQ24" i="116"/>
  <c r="AD26" i="116"/>
  <c r="AX28" i="116"/>
  <c r="S33" i="116"/>
  <c r="AX32" i="116"/>
  <c r="AL32" i="116"/>
  <c r="A35" i="116"/>
  <c r="AI48" i="116"/>
  <c r="Y51" i="116"/>
  <c r="AM18" i="117"/>
  <c r="AO18" i="117" s="1"/>
  <c r="AY18" i="117"/>
  <c r="Z18" i="117"/>
  <c r="AU32" i="117"/>
  <c r="Z41" i="117"/>
  <c r="AY41" i="117"/>
  <c r="AM41" i="117"/>
  <c r="Z9" i="124"/>
  <c r="Z26" i="124"/>
  <c r="AT27" i="124"/>
  <c r="Z30" i="124"/>
  <c r="AD35" i="124"/>
  <c r="AY37" i="124"/>
  <c r="Z48" i="124"/>
  <c r="AA48" i="124" s="1"/>
  <c r="AX49" i="124"/>
  <c r="AQ52" i="124"/>
  <c r="AY61" i="124"/>
  <c r="AT64" i="124"/>
  <c r="AG72" i="124"/>
  <c r="AL18" i="116"/>
  <c r="AX18" i="116"/>
  <c r="AS24" i="116"/>
  <c r="AM23" i="116"/>
  <c r="AE26" i="116"/>
  <c r="Z29" i="116"/>
  <c r="AD29" i="116" s="1"/>
  <c r="AM27" i="116"/>
  <c r="Z27" i="116"/>
  <c r="AM32" i="116"/>
  <c r="AY32" i="116"/>
  <c r="Z33" i="116"/>
  <c r="AM33" i="116"/>
  <c r="AA48" i="116"/>
  <c r="AA49" i="116"/>
  <c r="AC52" i="116"/>
  <c r="Y54" i="116"/>
  <c r="AO67" i="116"/>
  <c r="AQ67" i="116"/>
  <c r="AT67" i="116"/>
  <c r="AS67" i="116"/>
  <c r="AR67" i="116"/>
  <c r="AP67" i="116"/>
  <c r="AU67" i="116"/>
  <c r="AX10" i="117"/>
  <c r="AA19" i="117"/>
  <c r="AM17" i="117"/>
  <c r="Z17" i="117"/>
  <c r="Y21" i="117"/>
  <c r="AX21" i="117"/>
  <c r="AX16" i="114"/>
  <c r="AS24" i="114"/>
  <c r="AT28" i="114"/>
  <c r="Y51" i="114"/>
  <c r="AX52" i="114"/>
  <c r="AL73" i="114"/>
  <c r="AE4" i="115"/>
  <c r="AR17" i="115"/>
  <c r="AM22" i="115"/>
  <c r="AF28" i="115"/>
  <c r="AS31" i="115"/>
  <c r="A43" i="115"/>
  <c r="AM51" i="115"/>
  <c r="AL53" i="115"/>
  <c r="AN58" i="115"/>
  <c r="Y69" i="115"/>
  <c r="AF72" i="115"/>
  <c r="Y8" i="124"/>
  <c r="AL10" i="124"/>
  <c r="AM11" i="124"/>
  <c r="AM13" i="124"/>
  <c r="Y16" i="124"/>
  <c r="AX21" i="124"/>
  <c r="AH23" i="124"/>
  <c r="AX24" i="124"/>
  <c r="AU27" i="124"/>
  <c r="AM31" i="124"/>
  <c r="AE35" i="124"/>
  <c r="AY35" i="124"/>
  <c r="AL36" i="124"/>
  <c r="A38" i="124"/>
  <c r="AL38" i="124"/>
  <c r="AA45" i="124"/>
  <c r="AR52" i="124"/>
  <c r="AR53" i="124"/>
  <c r="AG59" i="124"/>
  <c r="Z61" i="124"/>
  <c r="AP66" i="124"/>
  <c r="AN66" i="124"/>
  <c r="AU66" i="124"/>
  <c r="AX66" i="124"/>
  <c r="Y71" i="124"/>
  <c r="Z12" i="116"/>
  <c r="AY12" i="116"/>
  <c r="Z15" i="116"/>
  <c r="AG15" i="116" s="1"/>
  <c r="AR17" i="116"/>
  <c r="Y17" i="116"/>
  <c r="AX17" i="116"/>
  <c r="Z23" i="116"/>
  <c r="AT24" i="116"/>
  <c r="AE25" i="116"/>
  <c r="AF26" i="116"/>
  <c r="AX27" i="116"/>
  <c r="A29" i="116"/>
  <c r="Z32" i="116"/>
  <c r="AC32" i="116" s="1"/>
  <c r="AL34" i="116"/>
  <c r="AD49" i="116"/>
  <c r="AX51" i="116"/>
  <c r="AF52" i="116"/>
  <c r="AX54" i="116"/>
  <c r="AE56" i="116"/>
  <c r="AD66" i="116"/>
  <c r="AL73" i="116"/>
  <c r="AX73" i="116"/>
  <c r="AD4" i="117"/>
  <c r="AF4" i="117"/>
  <c r="AC4" i="117"/>
  <c r="AY4" i="117"/>
  <c r="Y10" i="117"/>
  <c r="AB26" i="117"/>
  <c r="AR24" i="117"/>
  <c r="AO24" i="117"/>
  <c r="AU24" i="117"/>
  <c r="A28" i="117"/>
  <c r="Y25" i="117"/>
  <c r="AX25" i="117"/>
  <c r="AL25" i="117"/>
  <c r="AA37" i="117"/>
  <c r="AL21" i="114"/>
  <c r="Y56" i="114"/>
  <c r="A73" i="114"/>
  <c r="AF4" i="115"/>
  <c r="Y13" i="115"/>
  <c r="A14" i="115"/>
  <c r="AS17" i="115"/>
  <c r="AX18" i="115"/>
  <c r="AX26" i="115"/>
  <c r="AX42" i="115"/>
  <c r="AN46" i="115"/>
  <c r="AO58" i="115"/>
  <c r="A71" i="115"/>
  <c r="AG72" i="115"/>
  <c r="Z8" i="124"/>
  <c r="AA23" i="124"/>
  <c r="AI23" i="124"/>
  <c r="AL26" i="124"/>
  <c r="AN27" i="124"/>
  <c r="AL30" i="124"/>
  <c r="AX31" i="124"/>
  <c r="AL34" i="124"/>
  <c r="AF35" i="124"/>
  <c r="Y37" i="124"/>
  <c r="AL40" i="124"/>
  <c r="AL42" i="124"/>
  <c r="AB43" i="124"/>
  <c r="AL43" i="124"/>
  <c r="AF44" i="124"/>
  <c r="AB45" i="124"/>
  <c r="AL45" i="124"/>
  <c r="AL48" i="124"/>
  <c r="AL51" i="124"/>
  <c r="Y52" i="124"/>
  <c r="AS52" i="124"/>
  <c r="Y53" i="124"/>
  <c r="AF56" i="124"/>
  <c r="AQ64" i="124"/>
  <c r="AM9" i="116"/>
  <c r="AY9" i="116"/>
  <c r="AR10" i="116"/>
  <c r="AP10" i="116"/>
  <c r="AO10" i="116"/>
  <c r="AS17" i="116"/>
  <c r="Y18" i="116"/>
  <c r="AL21" i="116"/>
  <c r="AL27" i="116"/>
  <c r="AY27" i="116"/>
  <c r="Y28" i="116"/>
  <c r="AY30" i="116"/>
  <c r="Y34" i="116"/>
  <c r="AY35" i="116"/>
  <c r="Y37" i="116"/>
  <c r="AX37" i="116"/>
  <c r="Y78" i="116"/>
  <c r="AX78" i="116"/>
  <c r="AH49" i="116"/>
  <c r="AG52" i="116"/>
  <c r="AI56" i="116"/>
  <c r="AY59" i="116"/>
  <c r="AM59" i="116"/>
  <c r="AO59" i="116" s="1"/>
  <c r="Z59" i="116"/>
  <c r="Z63" i="116"/>
  <c r="AN67" i="116"/>
  <c r="AM20" i="117"/>
  <c r="AO20" i="117" s="1"/>
  <c r="Z20" i="117"/>
  <c r="AY20" i="117"/>
  <c r="AG26" i="117"/>
  <c r="AL69" i="114"/>
  <c r="AX73" i="114"/>
  <c r="AX39" i="115"/>
  <c r="AX46" i="115"/>
  <c r="AX51" i="115"/>
  <c r="AL55" i="115"/>
  <c r="AL57" i="115"/>
  <c r="AM9" i="124"/>
  <c r="AY11" i="124"/>
  <c r="AL18" i="124"/>
  <c r="AM34" i="124"/>
  <c r="AS53" i="124"/>
  <c r="Z57" i="124"/>
  <c r="AD57" i="124" s="1"/>
  <c r="AY57" i="124"/>
  <c r="AF59" i="124"/>
  <c r="AE59" i="124"/>
  <c r="AT17" i="116"/>
  <c r="AX29" i="116"/>
  <c r="AL29" i="116"/>
  <c r="AB36" i="116"/>
  <c r="AY34" i="116"/>
  <c r="AM34" i="116"/>
  <c r="AM36" i="116"/>
  <c r="AU36" i="116" s="1"/>
  <c r="AY36" i="116"/>
  <c r="Z37" i="116"/>
  <c r="Z38" i="116"/>
  <c r="AM38" i="116"/>
  <c r="AX39" i="116"/>
  <c r="A42" i="116"/>
  <c r="AL39" i="116"/>
  <c r="AI49" i="116"/>
  <c r="AH52" i="116"/>
  <c r="AL54" i="116"/>
  <c r="AY63" i="116"/>
  <c r="AD72" i="116"/>
  <c r="AF72" i="116"/>
  <c r="AH72" i="116"/>
  <c r="AG72" i="116"/>
  <c r="AE72" i="116"/>
  <c r="AC72" i="116"/>
  <c r="AI72" i="116"/>
  <c r="A10" i="117"/>
  <c r="AL21" i="117"/>
  <c r="AH26" i="117"/>
  <c r="S33" i="117"/>
  <c r="T42" i="117" s="1"/>
  <c r="AN52" i="124"/>
  <c r="AU52" i="124"/>
  <c r="AP56" i="124"/>
  <c r="AD72" i="124"/>
  <c r="AB72" i="124"/>
  <c r="AI72" i="124"/>
  <c r="AA72" i="124"/>
  <c r="A73" i="124"/>
  <c r="AX71" i="124"/>
  <c r="AT4" i="116"/>
  <c r="Z10" i="116"/>
  <c r="AI10" i="116" s="1"/>
  <c r="AY10" i="116"/>
  <c r="AX14" i="116"/>
  <c r="AL14" i="116"/>
  <c r="AM20" i="116"/>
  <c r="AF24" i="116"/>
  <c r="AE24" i="116"/>
  <c r="AC26" i="116"/>
  <c r="AI26" i="116"/>
  <c r="AA26" i="116"/>
  <c r="AH26" i="116"/>
  <c r="AL28" i="116"/>
  <c r="AU48" i="116"/>
  <c r="AS48" i="116"/>
  <c r="AQ48" i="116"/>
  <c r="AL51" i="116"/>
  <c r="AL53" i="116"/>
  <c r="Y53" i="116"/>
  <c r="AA72" i="116"/>
  <c r="Z9" i="117"/>
  <c r="AC9" i="117" s="1"/>
  <c r="AM9" i="117"/>
  <c r="AY9" i="117"/>
  <c r="AY64" i="116"/>
  <c r="Z64" i="116"/>
  <c r="AB16" i="117"/>
  <c r="AD16" i="117"/>
  <c r="A20" i="117"/>
  <c r="Y23" i="117"/>
  <c r="AX23" i="117"/>
  <c r="Z32" i="117"/>
  <c r="AY32" i="117"/>
  <c r="AS35" i="117"/>
  <c r="AQ35" i="117"/>
  <c r="AM36" i="117"/>
  <c r="AU38" i="117"/>
  <c r="AM44" i="117"/>
  <c r="AH59" i="117"/>
  <c r="AM63" i="117"/>
  <c r="AY63" i="117"/>
  <c r="AL66" i="117"/>
  <c r="AP73" i="117"/>
  <c r="AP72" i="117" s="1"/>
  <c r="AY12" i="118"/>
  <c r="AD37" i="117"/>
  <c r="AU53" i="117"/>
  <c r="Z55" i="117"/>
  <c r="AY55" i="117"/>
  <c r="AM55" i="117"/>
  <c r="Z66" i="117"/>
  <c r="AM66" i="117"/>
  <c r="AQ16" i="118"/>
  <c r="AO16" i="118"/>
  <c r="AR16" i="118"/>
  <c r="AP16" i="118"/>
  <c r="AN16" i="118"/>
  <c r="AT16" i="118"/>
  <c r="AS16" i="118"/>
  <c r="AY28" i="118"/>
  <c r="AM28" i="118"/>
  <c r="Z28" i="118"/>
  <c r="AC37" i="117"/>
  <c r="AB37" i="117"/>
  <c r="A42" i="117"/>
  <c r="AX39" i="117"/>
  <c r="A78" i="117"/>
  <c r="Y40" i="117"/>
  <c r="AX40" i="117"/>
  <c r="AM45" i="117"/>
  <c r="AP45" i="117" s="1"/>
  <c r="AY45" i="117"/>
  <c r="AH23" i="118"/>
  <c r="AF23" i="118"/>
  <c r="AD23" i="118"/>
  <c r="AC23" i="118"/>
  <c r="AB23" i="118"/>
  <c r="AA23" i="118"/>
  <c r="AI23" i="118"/>
  <c r="AG23" i="118"/>
  <c r="AE23" i="118"/>
  <c r="Y25" i="118"/>
  <c r="A28" i="118"/>
  <c r="AX25" i="118"/>
  <c r="AL25" i="118"/>
  <c r="Y71" i="117"/>
  <c r="AX71" i="117"/>
  <c r="AL71" i="117"/>
  <c r="AC8" i="118"/>
  <c r="AM19" i="118"/>
  <c r="Z19" i="118"/>
  <c r="AY19" i="118"/>
  <c r="AH73" i="124"/>
  <c r="AG25" i="116"/>
  <c r="Y38" i="116"/>
  <c r="Z46" i="116"/>
  <c r="AI46" i="116" s="1"/>
  <c r="AE48" i="116"/>
  <c r="AM49" i="116"/>
  <c r="AP49" i="116" s="1"/>
  <c r="AY51" i="116"/>
  <c r="Z54" i="116"/>
  <c r="AM55" i="116"/>
  <c r="AX59" i="116"/>
  <c r="AM58" i="116"/>
  <c r="AX61" i="116"/>
  <c r="AT69" i="116"/>
  <c r="Z71" i="116"/>
  <c r="AC72" i="117"/>
  <c r="Y8" i="117"/>
  <c r="AF16" i="117"/>
  <c r="AN24" i="117"/>
  <c r="AY26" i="117"/>
  <c r="AA31" i="117"/>
  <c r="Z36" i="117"/>
  <c r="AI36" i="117" s="1"/>
  <c r="AE37" i="117"/>
  <c r="AM37" i="117"/>
  <c r="AY37" i="117"/>
  <c r="Z44" i="117"/>
  <c r="AC44" i="117" s="1"/>
  <c r="AN48" i="117"/>
  <c r="AU48" i="117"/>
  <c r="AR48" i="117"/>
  <c r="AQ48" i="117"/>
  <c r="A55" i="117"/>
  <c r="AX52" i="117"/>
  <c r="AD69" i="118"/>
  <c r="AD68" i="118" s="1"/>
  <c r="AD35" i="118"/>
  <c r="AD54" i="118"/>
  <c r="AD32" i="118"/>
  <c r="AP3" i="118"/>
  <c r="AY26" i="118"/>
  <c r="AM26" i="118"/>
  <c r="Z26" i="118"/>
  <c r="AB26" i="118" s="1"/>
  <c r="AO56" i="118"/>
  <c r="Y35" i="116"/>
  <c r="AM39" i="116"/>
  <c r="Y41" i="116"/>
  <c r="AM44" i="116"/>
  <c r="AM51" i="116"/>
  <c r="AT52" i="116"/>
  <c r="AY55" i="116"/>
  <c r="AY66" i="116"/>
  <c r="AM3" i="117"/>
  <c r="Z8" i="117"/>
  <c r="AL8" i="117"/>
  <c r="AX8" i="117"/>
  <c r="AG16" i="117"/>
  <c r="Y17" i="117"/>
  <c r="AL17" i="117"/>
  <c r="AD19" i="117"/>
  <c r="A34" i="117"/>
  <c r="AX31" i="117"/>
  <c r="AH37" i="117"/>
  <c r="AL36" i="117"/>
  <c r="A39" i="117"/>
  <c r="AX36" i="117"/>
  <c r="AL39" i="117"/>
  <c r="AB43" i="117"/>
  <c r="AI43" i="117"/>
  <c r="AA43" i="117"/>
  <c r="AH43" i="117"/>
  <c r="AE43" i="117"/>
  <c r="AL44" i="117"/>
  <c r="A48" i="117"/>
  <c r="AX44" i="117"/>
  <c r="AP48" i="117"/>
  <c r="AP53" i="117"/>
  <c r="AN53" i="117"/>
  <c r="AS53" i="117"/>
  <c r="AR53" i="117"/>
  <c r="AF56" i="117"/>
  <c r="Y61" i="117"/>
  <c r="AX61" i="117"/>
  <c r="AL61" i="117"/>
  <c r="Y66" i="117"/>
  <c r="AO3" i="118"/>
  <c r="AU20" i="118"/>
  <c r="AM27" i="118"/>
  <c r="Z27" i="118"/>
  <c r="AY27" i="118"/>
  <c r="A71" i="116"/>
  <c r="AM26" i="117"/>
  <c r="Y30" i="117"/>
  <c r="A33" i="117"/>
  <c r="AI37" i="117"/>
  <c r="AS48" i="117"/>
  <c r="Y49" i="117"/>
  <c r="AX49" i="117"/>
  <c r="Y54" i="117"/>
  <c r="AX54" i="117"/>
  <c r="AL54" i="117"/>
  <c r="AL15" i="118"/>
  <c r="Y15" i="118"/>
  <c r="AX15" i="118"/>
  <c r="A38" i="116"/>
  <c r="AL38" i="116"/>
  <c r="A43" i="116"/>
  <c r="AC48" i="116"/>
  <c r="AH48" i="116"/>
  <c r="AY53" i="116"/>
  <c r="AX69" i="116"/>
  <c r="AY69" i="116"/>
  <c r="Z69" i="116"/>
  <c r="AY13" i="117"/>
  <c r="AI16" i="117"/>
  <c r="Z24" i="117"/>
  <c r="AY24" i="117"/>
  <c r="AI28" i="117"/>
  <c r="AR28" i="117"/>
  <c r="AC31" i="117"/>
  <c r="Y39" i="117"/>
  <c r="AC43" i="117"/>
  <c r="AT48" i="117"/>
  <c r="AL63" i="117"/>
  <c r="A65" i="117"/>
  <c r="Y63" i="117"/>
  <c r="AX63" i="117"/>
  <c r="AD3" i="118"/>
  <c r="AX4" i="118"/>
  <c r="Y4" i="118"/>
  <c r="AM12" i="118"/>
  <c r="AL11" i="118"/>
  <c r="AX11" i="118"/>
  <c r="AA57" i="116"/>
  <c r="AX58" i="116"/>
  <c r="AL11" i="117"/>
  <c r="AL13" i="117"/>
  <c r="AL15" i="117"/>
  <c r="AX18" i="117"/>
  <c r="Y24" i="117"/>
  <c r="AP24" i="117"/>
  <c r="AC28" i="117"/>
  <c r="Y32" i="117"/>
  <c r="AL34" i="117"/>
  <c r="AF37" i="117"/>
  <c r="AX37" i="117"/>
  <c r="AP38" i="117"/>
  <c r="AL78" i="117"/>
  <c r="AX45" i="117"/>
  <c r="Z48" i="117"/>
  <c r="Y57" i="117"/>
  <c r="AY57" i="117"/>
  <c r="AC59" i="117"/>
  <c r="AL59" i="117"/>
  <c r="Y64" i="117"/>
  <c r="AY64" i="117"/>
  <c r="AX67" i="117"/>
  <c r="AD72" i="117"/>
  <c r="Z73" i="117"/>
  <c r="AB3" i="118"/>
  <c r="AT3" i="118"/>
  <c r="AL9" i="118"/>
  <c r="Z14" i="118"/>
  <c r="AF14" i="118" s="1"/>
  <c r="Y21" i="118"/>
  <c r="AH24" i="118"/>
  <c r="Z29" i="118"/>
  <c r="Z31" i="118"/>
  <c r="AA32" i="118"/>
  <c r="AS37" i="118"/>
  <c r="Y38" i="118"/>
  <c r="AX38" i="118"/>
  <c r="A40" i="118"/>
  <c r="AX37" i="118"/>
  <c r="Y42" i="118"/>
  <c r="AX42" i="118"/>
  <c r="A43" i="118"/>
  <c r="AX41" i="118"/>
  <c r="AG44" i="118"/>
  <c r="A51" i="118"/>
  <c r="AL48" i="118"/>
  <c r="AY29" i="119"/>
  <c r="AM29" i="119"/>
  <c r="Z29" i="119"/>
  <c r="AY38" i="119"/>
  <c r="AM38" i="119"/>
  <c r="Z38" i="119"/>
  <c r="AB38" i="119" s="1"/>
  <c r="AD59" i="119"/>
  <c r="AY23" i="117"/>
  <c r="AQ24" i="117"/>
  <c r="AD28" i="117"/>
  <c r="AU28" i="117"/>
  <c r="AM34" i="117"/>
  <c r="AG37" i="117"/>
  <c r="AQ38" i="117"/>
  <c r="AL42" i="117"/>
  <c r="AM78" i="117"/>
  <c r="AQ46" i="117"/>
  <c r="AP51" i="117"/>
  <c r="AX56" i="117"/>
  <c r="AD59" i="117"/>
  <c r="AM59" i="117"/>
  <c r="Z64" i="117"/>
  <c r="Y67" i="117"/>
  <c r="Z70" i="117"/>
  <c r="AE72" i="117"/>
  <c r="AC3" i="118"/>
  <c r="AL10" i="118"/>
  <c r="AM14" i="118"/>
  <c r="AP14" i="118" s="1"/>
  <c r="AY14" i="118"/>
  <c r="AX17" i="118"/>
  <c r="AB18" i="118"/>
  <c r="Y16" i="118"/>
  <c r="A19" i="118"/>
  <c r="AL26" i="118"/>
  <c r="AX26" i="118"/>
  <c r="A29" i="118"/>
  <c r="AM29" i="118"/>
  <c r="Y29" i="118"/>
  <c r="AL34" i="118"/>
  <c r="AX34" i="118"/>
  <c r="AA35" i="118"/>
  <c r="AY33" i="118"/>
  <c r="Z33" i="118"/>
  <c r="AO78" i="118"/>
  <c r="AL45" i="118"/>
  <c r="AY48" i="118"/>
  <c r="Z48" i="118"/>
  <c r="AX49" i="118"/>
  <c r="AB54" i="118"/>
  <c r="Z56" i="118"/>
  <c r="AI57" i="118"/>
  <c r="AN58" i="118"/>
  <c r="AX64" i="118"/>
  <c r="Z66" i="118"/>
  <c r="A73" i="118"/>
  <c r="AX71" i="118"/>
  <c r="AY19" i="119"/>
  <c r="AM19" i="119"/>
  <c r="AU19" i="119" s="1"/>
  <c r="Z19" i="119"/>
  <c r="AI19" i="119" s="1"/>
  <c r="AY25" i="119"/>
  <c r="AM25" i="119"/>
  <c r="Z25" i="119"/>
  <c r="AL30" i="119"/>
  <c r="Y30" i="119"/>
  <c r="A33" i="119"/>
  <c r="AX30" i="119"/>
  <c r="AU8" i="120"/>
  <c r="AR20" i="118"/>
  <c r="AX19" i="118"/>
  <c r="AL19" i="118"/>
  <c r="AI37" i="118"/>
  <c r="AT56" i="118"/>
  <c r="AY59" i="118"/>
  <c r="AM59" i="118"/>
  <c r="Z59" i="118"/>
  <c r="Z68" i="118"/>
  <c r="AY68" i="118"/>
  <c r="AM68" i="118"/>
  <c r="AI72" i="118"/>
  <c r="AA72" i="118"/>
  <c r="AG72" i="118"/>
  <c r="AD72" i="118"/>
  <c r="AC72" i="118"/>
  <c r="AB72" i="118"/>
  <c r="AT3" i="119"/>
  <c r="AU10" i="119"/>
  <c r="AM8" i="119"/>
  <c r="Z8" i="119"/>
  <c r="AY8" i="119"/>
  <c r="AN15" i="119"/>
  <c r="AR15" i="119"/>
  <c r="AX14" i="119"/>
  <c r="A17" i="119"/>
  <c r="Y14" i="119"/>
  <c r="Y17" i="119"/>
  <c r="AX17" i="119"/>
  <c r="AL17" i="119"/>
  <c r="AC36" i="119"/>
  <c r="AB57" i="119"/>
  <c r="AP37" i="118"/>
  <c r="AN37" i="118"/>
  <c r="AL36" i="118"/>
  <c r="AL40" i="118"/>
  <c r="AL43" i="118"/>
  <c r="A50" i="118"/>
  <c r="AX46" i="118"/>
  <c r="AQ58" i="118"/>
  <c r="AX63" i="118"/>
  <c r="A65" i="118"/>
  <c r="AL63" i="118"/>
  <c r="Y63" i="118"/>
  <c r="Z67" i="118"/>
  <c r="AY67" i="118"/>
  <c r="AM67" i="118"/>
  <c r="AC71" i="118"/>
  <c r="AC70" i="118" s="1"/>
  <c r="AI71" i="118"/>
  <c r="AI70" i="118" s="1"/>
  <c r="AA71" i="118"/>
  <c r="AA70" i="118" s="1"/>
  <c r="AF71" i="118"/>
  <c r="AF70" i="118" s="1"/>
  <c r="AE71" i="118"/>
  <c r="AE70" i="118" s="1"/>
  <c r="AD71" i="118"/>
  <c r="AD70" i="118" s="1"/>
  <c r="AE72" i="118"/>
  <c r="AN3" i="119"/>
  <c r="AP3" i="119"/>
  <c r="AY14" i="119"/>
  <c r="AM14" i="119"/>
  <c r="AQ14" i="119" s="1"/>
  <c r="AY26" i="119"/>
  <c r="AM26" i="119"/>
  <c r="AP26" i="119" s="1"/>
  <c r="Z26" i="119"/>
  <c r="AE34" i="119"/>
  <c r="AB34" i="119"/>
  <c r="AA34" i="119"/>
  <c r="AG34" i="119"/>
  <c r="AF34" i="119"/>
  <c r="AD34" i="119"/>
  <c r="AX34" i="119"/>
  <c r="AL34" i="119"/>
  <c r="A37" i="119"/>
  <c r="AH59" i="119"/>
  <c r="AG59" i="119"/>
  <c r="AB59" i="119"/>
  <c r="AS20" i="120"/>
  <c r="AO20" i="120"/>
  <c r="AU20" i="120"/>
  <c r="AQ20" i="120"/>
  <c r="AT24" i="117"/>
  <c r="AG28" i="117"/>
  <c r="AX42" i="117"/>
  <c r="AG59" i="117"/>
  <c r="AY59" i="117"/>
  <c r="AM70" i="117"/>
  <c r="AH72" i="117"/>
  <c r="AF3" i="118"/>
  <c r="Y9" i="118"/>
  <c r="A13" i="118"/>
  <c r="Y10" i="118"/>
  <c r="Z11" i="118"/>
  <c r="AE18" i="118"/>
  <c r="AM23" i="118"/>
  <c r="AQ23" i="118" s="1"/>
  <c r="AY23" i="118"/>
  <c r="AR30" i="118"/>
  <c r="AG32" i="118"/>
  <c r="AF35" i="118"/>
  <c r="Y36" i="118"/>
  <c r="AX36" i="118"/>
  <c r="A38" i="118"/>
  <c r="Y40" i="118"/>
  <c r="AX40" i="118"/>
  <c r="AA41" i="118"/>
  <c r="A42" i="118"/>
  <c r="AX39" i="118"/>
  <c r="Y43" i="118"/>
  <c r="AX43" i="118"/>
  <c r="A45" i="118"/>
  <c r="AX78" i="118"/>
  <c r="AM49" i="118"/>
  <c r="AU49" i="118" s="1"/>
  <c r="AF72" i="118"/>
  <c r="AT36" i="119"/>
  <c r="AG3" i="119"/>
  <c r="AR3" i="119"/>
  <c r="Y4" i="119"/>
  <c r="AX23" i="119"/>
  <c r="AL23" i="119"/>
  <c r="Y23" i="119"/>
  <c r="Y27" i="119"/>
  <c r="A30" i="119"/>
  <c r="AX27" i="119"/>
  <c r="AL27" i="119"/>
  <c r="AU46" i="119"/>
  <c r="AT51" i="117"/>
  <c r="AG3" i="118"/>
  <c r="AY8" i="118"/>
  <c r="Y19" i="118"/>
  <c r="AX21" i="118"/>
  <c r="AL21" i="118"/>
  <c r="AE24" i="118"/>
  <c r="AY32" i="118"/>
  <c r="AM32" i="118"/>
  <c r="AG35" i="118"/>
  <c r="AB37" i="118"/>
  <c r="AO37" i="118"/>
  <c r="AY35" i="118"/>
  <c r="AM35" i="118"/>
  <c r="AT78" i="118"/>
  <c r="AY51" i="118"/>
  <c r="Z51" i="118"/>
  <c r="AL52" i="118"/>
  <c r="Y52" i="118"/>
  <c r="A55" i="118"/>
  <c r="AY56" i="118"/>
  <c r="AM61" i="118"/>
  <c r="AO61" i="118" s="1"/>
  <c r="AA69" i="118"/>
  <c r="AA68" i="118" s="1"/>
  <c r="AB71" i="118"/>
  <c r="AB70" i="118" s="1"/>
  <c r="AH72" i="118"/>
  <c r="G79" i="118"/>
  <c r="G77" i="118" s="1"/>
  <c r="G8" i="118" s="1"/>
  <c r="A79" i="118"/>
  <c r="AA13" i="119"/>
  <c r="AI64" i="119"/>
  <c r="AU51" i="119"/>
  <c r="AD3" i="119"/>
  <c r="AB3" i="119"/>
  <c r="AF3" i="119"/>
  <c r="AS3" i="119"/>
  <c r="Z14" i="119"/>
  <c r="AH34" i="119"/>
  <c r="AX20" i="117"/>
  <c r="AA28" i="117"/>
  <c r="AX48" i="117"/>
  <c r="Z71" i="117"/>
  <c r="AX73" i="117"/>
  <c r="AR3" i="118"/>
  <c r="A20" i="118"/>
  <c r="AQ20" i="118"/>
  <c r="AE32" i="118"/>
  <c r="AC32" i="118"/>
  <c r="AI32" i="118"/>
  <c r="AQ37" i="118"/>
  <c r="Y46" i="118"/>
  <c r="AE54" i="118"/>
  <c r="AC54" i="118"/>
  <c r="AH54" i="118"/>
  <c r="AF54" i="118"/>
  <c r="Y53" i="118"/>
  <c r="AX53" i="118"/>
  <c r="AL53" i="118"/>
  <c r="AP56" i="118"/>
  <c r="AN56" i="118"/>
  <c r="AS56" i="118"/>
  <c r="AQ56" i="118"/>
  <c r="AM57" i="118"/>
  <c r="AG71" i="118"/>
  <c r="AG70" i="118" s="1"/>
  <c r="AU3" i="119"/>
  <c r="AL4" i="119"/>
  <c r="AA10" i="119"/>
  <c r="A27" i="119"/>
  <c r="AX24" i="119"/>
  <c r="AL24" i="119"/>
  <c r="Y24" i="119"/>
  <c r="A31" i="119"/>
  <c r="AX28" i="119"/>
  <c r="AL28" i="119"/>
  <c r="Y28" i="119"/>
  <c r="AI34" i="119"/>
  <c r="AU36" i="119"/>
  <c r="AQ30" i="118"/>
  <c r="AE35" i="118"/>
  <c r="AC35" i="118"/>
  <c r="AI35" i="118"/>
  <c r="Y34" i="118"/>
  <c r="AR37" i="118"/>
  <c r="AL38" i="118"/>
  <c r="AE41" i="118"/>
  <c r="AR41" i="118"/>
  <c r="AL42" i="118"/>
  <c r="AL46" i="118"/>
  <c r="A48" i="118"/>
  <c r="AX44" i="118"/>
  <c r="A66" i="118"/>
  <c r="AX66" i="118"/>
  <c r="AL66" i="118"/>
  <c r="Y66" i="118"/>
  <c r="AH71" i="118"/>
  <c r="AH70" i="118" s="1"/>
  <c r="AY70" i="118"/>
  <c r="AM70" i="118"/>
  <c r="Z70" i="118"/>
  <c r="AY73" i="118"/>
  <c r="AM73" i="118"/>
  <c r="Z73" i="118"/>
  <c r="AC64" i="119"/>
  <c r="AO51" i="119"/>
  <c r="AC3" i="119"/>
  <c r="AI15" i="119"/>
  <c r="AA15" i="119"/>
  <c r="AD15" i="119"/>
  <c r="AC15" i="119"/>
  <c r="AB15" i="119"/>
  <c r="AG15" i="119"/>
  <c r="AF15" i="119"/>
  <c r="AE15" i="119"/>
  <c r="AM24" i="119"/>
  <c r="Z24" i="119"/>
  <c r="AY24" i="119"/>
  <c r="Z28" i="119"/>
  <c r="AY28" i="119"/>
  <c r="AM28" i="119"/>
  <c r="AS44" i="119"/>
  <c r="AQ44" i="119"/>
  <c r="AN44" i="119"/>
  <c r="AR44" i="119"/>
  <c r="AP44" i="119"/>
  <c r="AO44" i="119"/>
  <c r="AY52" i="118"/>
  <c r="AL55" i="118"/>
  <c r="Y56" i="118"/>
  <c r="AX61" i="118"/>
  <c r="AE3" i="119"/>
  <c r="AO3" i="119"/>
  <c r="A10" i="119"/>
  <c r="AF10" i="119"/>
  <c r="AI13" i="119"/>
  <c r="AX16" i="119"/>
  <c r="AC18" i="119"/>
  <c r="AH18" i="119"/>
  <c r="Z21" i="119"/>
  <c r="AM20" i="119"/>
  <c r="AR20" i="119" s="1"/>
  <c r="Z20" i="119"/>
  <c r="S33" i="119"/>
  <c r="Y31" i="119"/>
  <c r="AL31" i="119"/>
  <c r="Y32" i="119"/>
  <c r="AL32" i="119"/>
  <c r="AI36" i="119"/>
  <c r="AN36" i="119"/>
  <c r="AM37" i="119"/>
  <c r="AY37" i="119"/>
  <c r="A39" i="119"/>
  <c r="AX44" i="119"/>
  <c r="AD46" i="119"/>
  <c r="AL48" i="119"/>
  <c r="AX48" i="119"/>
  <c r="AL57" i="119"/>
  <c r="AY66" i="119"/>
  <c r="AO4" i="120"/>
  <c r="AY12" i="120"/>
  <c r="A14" i="120"/>
  <c r="AX11" i="120"/>
  <c r="AL11" i="120"/>
  <c r="Z23" i="120"/>
  <c r="AY23" i="120"/>
  <c r="AY26" i="120"/>
  <c r="AM26" i="120"/>
  <c r="Z26" i="120"/>
  <c r="AD41" i="120"/>
  <c r="AC41" i="120"/>
  <c r="AB41" i="120"/>
  <c r="AA41" i="120"/>
  <c r="AF41" i="120"/>
  <c r="AG10" i="119"/>
  <c r="Y11" i="119"/>
  <c r="AT13" i="119"/>
  <c r="AI18" i="119"/>
  <c r="A34" i="119"/>
  <c r="A38" i="119"/>
  <c r="AX35" i="119"/>
  <c r="AX41" i="119"/>
  <c r="AP51" i="119"/>
  <c r="AN51" i="119"/>
  <c r="AS51" i="119"/>
  <c r="AR51" i="119"/>
  <c r="AX49" i="119"/>
  <c r="Y49" i="119"/>
  <c r="AL52" i="119"/>
  <c r="A55" i="119"/>
  <c r="AX52" i="119"/>
  <c r="AY53" i="119"/>
  <c r="Z53" i="119"/>
  <c r="AG53" i="119" s="1"/>
  <c r="Z58" i="119"/>
  <c r="AB64" i="119"/>
  <c r="AH64" i="119"/>
  <c r="AE64" i="119"/>
  <c r="AD64" i="119"/>
  <c r="AL64" i="119"/>
  <c r="A66" i="119"/>
  <c r="AX64" i="119"/>
  <c r="AL67" i="119"/>
  <c r="AT4" i="120"/>
  <c r="AR15" i="120"/>
  <c r="AP15" i="120"/>
  <c r="AT15" i="120"/>
  <c r="AS15" i="120"/>
  <c r="AL31" i="120"/>
  <c r="Y31" i="120"/>
  <c r="A34" i="120"/>
  <c r="AX31" i="120"/>
  <c r="AI51" i="120"/>
  <c r="AA51" i="120"/>
  <c r="AL51" i="118"/>
  <c r="AQ3" i="119"/>
  <c r="AH10" i="119"/>
  <c r="Z11" i="119"/>
  <c r="AB13" i="119"/>
  <c r="AA18" i="119"/>
  <c r="A28" i="119"/>
  <c r="AX25" i="119"/>
  <c r="AL25" i="119"/>
  <c r="AM31" i="119"/>
  <c r="Z31" i="119"/>
  <c r="Y35" i="119"/>
  <c r="AL35" i="119"/>
  <c r="Z35" i="119"/>
  <c r="Z40" i="119"/>
  <c r="A45" i="119"/>
  <c r="AX78" i="119"/>
  <c r="A46" i="119"/>
  <c r="AM53" i="119"/>
  <c r="AP53" i="119" s="1"/>
  <c r="AA64" i="119"/>
  <c r="AY68" i="119"/>
  <c r="Z68" i="119"/>
  <c r="A71" i="119"/>
  <c r="AL69" i="119"/>
  <c r="Y69" i="119"/>
  <c r="AX69" i="119"/>
  <c r="AI72" i="119"/>
  <c r="AA72" i="119"/>
  <c r="AG72" i="119"/>
  <c r="AD72" i="119"/>
  <c r="AC72" i="119"/>
  <c r="AB72" i="119"/>
  <c r="AA52" i="120"/>
  <c r="AA46" i="120"/>
  <c r="Y3" i="120"/>
  <c r="AX3" i="120"/>
  <c r="AY4" i="120"/>
  <c r="Z4" i="120"/>
  <c r="AI4" i="120" s="1"/>
  <c r="AO15" i="120"/>
  <c r="Z15" i="120"/>
  <c r="AI24" i="120"/>
  <c r="AA24" i="120"/>
  <c r="AG24" i="120"/>
  <c r="AF24" i="120"/>
  <c r="AD24" i="120"/>
  <c r="AC24" i="120"/>
  <c r="AB24" i="120"/>
  <c r="AI41" i="120"/>
  <c r="AU51" i="120"/>
  <c r="AQ51" i="120"/>
  <c r="AY43" i="119"/>
  <c r="Z43" i="119"/>
  <c r="AX57" i="119"/>
  <c r="Y58" i="119"/>
  <c r="AX58" i="119"/>
  <c r="AL58" i="119"/>
  <c r="AM59" i="119"/>
  <c r="AY59" i="119"/>
  <c r="AP66" i="119"/>
  <c r="AB72" i="120"/>
  <c r="AB52" i="120"/>
  <c r="AE11" i="120"/>
  <c r="AI11" i="120"/>
  <c r="AG11" i="120"/>
  <c r="AC11" i="120"/>
  <c r="AB11" i="120"/>
  <c r="AA11" i="120"/>
  <c r="AC21" i="120"/>
  <c r="AI21" i="120"/>
  <c r="AD21" i="120"/>
  <c r="AA21" i="120"/>
  <c r="AN23" i="120"/>
  <c r="AI52" i="120"/>
  <c r="AP45" i="119"/>
  <c r="AQ46" i="119"/>
  <c r="AO46" i="119"/>
  <c r="A48" i="119"/>
  <c r="Y44" i="119"/>
  <c r="AM57" i="119"/>
  <c r="AY57" i="119"/>
  <c r="AF64" i="119"/>
  <c r="AF72" i="119"/>
  <c r="AL71" i="119"/>
  <c r="Y71" i="119"/>
  <c r="AX71" i="119"/>
  <c r="AD14" i="120"/>
  <c r="AB14" i="120"/>
  <c r="AI14" i="120"/>
  <c r="AF14" i="120"/>
  <c r="AE14" i="120"/>
  <c r="AC14" i="120"/>
  <c r="AY78" i="120"/>
  <c r="AM78" i="120"/>
  <c r="AC10" i="119"/>
  <c r="AM11" i="119"/>
  <c r="AS11" i="119" s="1"/>
  <c r="AX11" i="119"/>
  <c r="AP13" i="119"/>
  <c r="Y16" i="119"/>
  <c r="AE18" i="119"/>
  <c r="A19" i="119"/>
  <c r="AM18" i="119"/>
  <c r="AM39" i="119"/>
  <c r="Y41" i="119"/>
  <c r="AT43" i="119"/>
  <c r="AL49" i="119"/>
  <c r="AB51" i="119"/>
  <c r="AT51" i="119"/>
  <c r="Z60" i="119"/>
  <c r="AY60" i="119"/>
  <c r="AY63" i="119"/>
  <c r="AG64" i="119"/>
  <c r="AD46" i="120"/>
  <c r="AD11" i="120"/>
  <c r="Z17" i="120"/>
  <c r="AE17" i="120" s="1"/>
  <c r="AM17" i="120"/>
  <c r="AQ17" i="120" s="1"/>
  <c r="AE21" i="120"/>
  <c r="Z19" i="120"/>
  <c r="AA19" i="120" s="1"/>
  <c r="AM19" i="120"/>
  <c r="Y20" i="120"/>
  <c r="AI28" i="120"/>
  <c r="AG28" i="120"/>
  <c r="AF28" i="120"/>
  <c r="AU29" i="120"/>
  <c r="AP29" i="120"/>
  <c r="AY21" i="119"/>
  <c r="AM21" i="119"/>
  <c r="AU21" i="119" s="1"/>
  <c r="A40" i="119"/>
  <c r="Y37" i="119"/>
  <c r="AR45" i="119"/>
  <c r="AY45" i="119"/>
  <c r="AL55" i="119"/>
  <c r="Y55" i="119"/>
  <c r="AM58" i="119"/>
  <c r="Z56" i="119"/>
  <c r="AY56" i="119"/>
  <c r="AM56" i="119"/>
  <c r="A64" i="119"/>
  <c r="Y61" i="119"/>
  <c r="AX61" i="119"/>
  <c r="AL61" i="119"/>
  <c r="Y67" i="119"/>
  <c r="AP4" i="120"/>
  <c r="AN4" i="120"/>
  <c r="AS4" i="120"/>
  <c r="AR4" i="120"/>
  <c r="AQ4" i="120"/>
  <c r="Z8" i="120"/>
  <c r="AF11" i="120"/>
  <c r="AY9" i="120"/>
  <c r="Z9" i="120"/>
  <c r="AE9" i="120" s="1"/>
  <c r="AA14" i="120"/>
  <c r="Y13" i="120"/>
  <c r="A16" i="120"/>
  <c r="AL13" i="120"/>
  <c r="S33" i="120"/>
  <c r="AF30" i="120"/>
  <c r="AD30" i="120"/>
  <c r="AO34" i="120"/>
  <c r="AT34" i="120"/>
  <c r="Z78" i="120"/>
  <c r="AP45" i="120"/>
  <c r="AY9" i="119"/>
  <c r="AC13" i="119"/>
  <c r="AH13" i="119"/>
  <c r="AL16" i="119"/>
  <c r="AL37" i="119"/>
  <c r="AX37" i="119"/>
  <c r="AR46" i="119"/>
  <c r="AX55" i="119"/>
  <c r="Y54" i="119"/>
  <c r="AY55" i="119"/>
  <c r="AI59" i="119"/>
  <c r="AE59" i="119"/>
  <c r="Z70" i="119"/>
  <c r="AM70" i="119"/>
  <c r="AH11" i="120"/>
  <c r="AG14" i="120"/>
  <c r="AB28" i="120"/>
  <c r="AX29" i="120"/>
  <c r="A32" i="120"/>
  <c r="Y29" i="120"/>
  <c r="AX25" i="120"/>
  <c r="Z34" i="120"/>
  <c r="AN49" i="120"/>
  <c r="AQ53" i="120"/>
  <c r="AX56" i="120"/>
  <c r="Y63" i="120"/>
  <c r="Y64" i="120"/>
  <c r="AX64" i="120"/>
  <c r="A66" i="120"/>
  <c r="AL64" i="120"/>
  <c r="Y66" i="120"/>
  <c r="AL66" i="120"/>
  <c r="AT42" i="119"/>
  <c r="AM54" i="119"/>
  <c r="AL56" i="119"/>
  <c r="AX59" i="119"/>
  <c r="AA63" i="119"/>
  <c r="AI63" i="119"/>
  <c r="AM67" i="119"/>
  <c r="AY69" i="119"/>
  <c r="AL10" i="120"/>
  <c r="S12" i="120"/>
  <c r="A19" i="120"/>
  <c r="AX16" i="120"/>
  <c r="AL21" i="120"/>
  <c r="AM24" i="120"/>
  <c r="AY31" i="120"/>
  <c r="A38" i="120"/>
  <c r="AX35" i="120"/>
  <c r="Y44" i="120"/>
  <c r="AL44" i="120"/>
  <c r="AF46" i="120"/>
  <c r="AR51" i="120"/>
  <c r="AY51" i="120"/>
  <c r="AF52" i="120"/>
  <c r="AS53" i="120"/>
  <c r="AL52" i="120"/>
  <c r="AY70" i="120"/>
  <c r="AM70" i="120"/>
  <c r="AG72" i="121"/>
  <c r="AS56" i="121"/>
  <c r="AP4" i="121"/>
  <c r="A10" i="121"/>
  <c r="AD24" i="121"/>
  <c r="AX40" i="119"/>
  <c r="Z41" i="119"/>
  <c r="AU42" i="119"/>
  <c r="Y45" i="119"/>
  <c r="Z49" i="119"/>
  <c r="AQ66" i="119"/>
  <c r="AL73" i="119"/>
  <c r="AM10" i="120"/>
  <c r="AM11" i="120"/>
  <c r="AN15" i="120"/>
  <c r="AU15" i="120"/>
  <c r="Y16" i="120"/>
  <c r="Y18" i="120"/>
  <c r="AX21" i="120"/>
  <c r="AF25" i="120"/>
  <c r="Y26" i="120"/>
  <c r="Y32" i="120"/>
  <c r="Y35" i="120"/>
  <c r="AM36" i="120"/>
  <c r="AP36" i="120" s="1"/>
  <c r="Y37" i="120"/>
  <c r="AX38" i="120"/>
  <c r="Y39" i="120"/>
  <c r="AP49" i="120"/>
  <c r="AX49" i="120"/>
  <c r="AL56" i="120"/>
  <c r="AM67" i="120"/>
  <c r="AH10" i="121"/>
  <c r="AT38" i="121"/>
  <c r="AT73" i="121"/>
  <c r="AT72" i="121" s="1"/>
  <c r="AP3" i="121"/>
  <c r="AN3" i="121"/>
  <c r="AT3" i="121"/>
  <c r="AS3" i="121"/>
  <c r="AQ3" i="121"/>
  <c r="AO3" i="121"/>
  <c r="AD4" i="121"/>
  <c r="AP9" i="121"/>
  <c r="AR9" i="121"/>
  <c r="AN9" i="121"/>
  <c r="AT9" i="121"/>
  <c r="AS9" i="121"/>
  <c r="AT34" i="121"/>
  <c r="AX63" i="120"/>
  <c r="AL63" i="120"/>
  <c r="AG4" i="121"/>
  <c r="AE4" i="121"/>
  <c r="AT10" i="121"/>
  <c r="AI25" i="120"/>
  <c r="AL32" i="120"/>
  <c r="AY34" i="120"/>
  <c r="Y40" i="120"/>
  <c r="AX41" i="120"/>
  <c r="AY42" i="120"/>
  <c r="AP43" i="120"/>
  <c r="AM50" i="120"/>
  <c r="Z50" i="120"/>
  <c r="AX55" i="120"/>
  <c r="AL55" i="120"/>
  <c r="Y55" i="120"/>
  <c r="AF72" i="120"/>
  <c r="AA4" i="121"/>
  <c r="AY16" i="121"/>
  <c r="AM16" i="121"/>
  <c r="Z16" i="121"/>
  <c r="A20" i="121"/>
  <c r="AX17" i="121"/>
  <c r="AL17" i="121"/>
  <c r="Y17" i="121"/>
  <c r="AP42" i="119"/>
  <c r="Z52" i="119"/>
  <c r="AD52" i="119" s="1"/>
  <c r="AX73" i="119"/>
  <c r="AL9" i="120"/>
  <c r="AL16" i="120"/>
  <c r="AL18" i="120"/>
  <c r="AQ23" i="120"/>
  <c r="AU23" i="120"/>
  <c r="Y27" i="120"/>
  <c r="A31" i="120"/>
  <c r="Z31" i="120"/>
  <c r="A35" i="120"/>
  <c r="AL37" i="120"/>
  <c r="AX39" i="120"/>
  <c r="Z40" i="120"/>
  <c r="AX40" i="120"/>
  <c r="AL41" i="120"/>
  <c r="AY41" i="120"/>
  <c r="AM42" i="120"/>
  <c r="A44" i="120"/>
  <c r="AX42" i="120"/>
  <c r="AT49" i="120"/>
  <c r="AC52" i="120"/>
  <c r="AH52" i="120"/>
  <c r="AE52" i="120"/>
  <c r="AD52" i="120"/>
  <c r="Y56" i="120"/>
  <c r="Z55" i="120"/>
  <c r="AY55" i="120"/>
  <c r="AY57" i="120"/>
  <c r="AM57" i="120"/>
  <c r="Z67" i="120"/>
  <c r="A79" i="120"/>
  <c r="AU3" i="121"/>
  <c r="AF4" i="121"/>
  <c r="AY3" i="121"/>
  <c r="Z3" i="121"/>
  <c r="AQ9" i="121"/>
  <c r="Z15" i="121"/>
  <c r="AY15" i="121"/>
  <c r="AM15" i="121"/>
  <c r="AL40" i="120"/>
  <c r="AU53" i="120"/>
  <c r="AR53" i="120"/>
  <c r="AO53" i="120"/>
  <c r="AN53" i="120"/>
  <c r="AX59" i="120"/>
  <c r="AL59" i="120"/>
  <c r="Y59" i="120"/>
  <c r="AC72" i="120"/>
  <c r="AL73" i="120"/>
  <c r="AX73" i="120"/>
  <c r="AD72" i="121"/>
  <c r="AD13" i="121"/>
  <c r="AI4" i="121"/>
  <c r="AY18" i="121"/>
  <c r="AM18" i="121"/>
  <c r="AO18" i="121" s="1"/>
  <c r="Z18" i="121"/>
  <c r="Y10" i="120"/>
  <c r="AC25" i="120"/>
  <c r="AX28" i="120"/>
  <c r="A30" i="120"/>
  <c r="Z36" i="120"/>
  <c r="A49" i="120"/>
  <c r="AX45" i="120"/>
  <c r="AP53" i="120"/>
  <c r="Z59" i="120"/>
  <c r="AY59" i="120"/>
  <c r="AY67" i="120"/>
  <c r="AU4" i="121"/>
  <c r="AR4" i="121"/>
  <c r="AQ4" i="121"/>
  <c r="AO4" i="121"/>
  <c r="AN4" i="121"/>
  <c r="AM14" i="121"/>
  <c r="AY14" i="121"/>
  <c r="Z14" i="121"/>
  <c r="AH54" i="121"/>
  <c r="AC46" i="120"/>
  <c r="AL46" i="120"/>
  <c r="AM48" i="120"/>
  <c r="AS51" i="120"/>
  <c r="Z71" i="120"/>
  <c r="AE72" i="120"/>
  <c r="AD10" i="121"/>
  <c r="AL15" i="121"/>
  <c r="Y16" i="121"/>
  <c r="Y26" i="121"/>
  <c r="AL26" i="121"/>
  <c r="AX26" i="121"/>
  <c r="AB27" i="121"/>
  <c r="AH27" i="121"/>
  <c r="AQ34" i="121"/>
  <c r="AS38" i="121"/>
  <c r="AY38" i="121"/>
  <c r="AL41" i="121"/>
  <c r="AX43" i="121"/>
  <c r="AM57" i="121"/>
  <c r="Z57" i="121"/>
  <c r="AB4" i="122"/>
  <c r="AM11" i="122"/>
  <c r="AO11" i="122" s="1"/>
  <c r="Z11" i="122"/>
  <c r="AB11" i="122" s="1"/>
  <c r="AD15" i="122"/>
  <c r="AC15" i="122"/>
  <c r="AI15" i="122"/>
  <c r="AM64" i="120"/>
  <c r="AY8" i="121"/>
  <c r="A14" i="121"/>
  <c r="AL14" i="121"/>
  <c r="AX14" i="121"/>
  <c r="Y19" i="121"/>
  <c r="AE20" i="121"/>
  <c r="Y25" i="121"/>
  <c r="AM26" i="121"/>
  <c r="AY26" i="121"/>
  <c r="AA27" i="121"/>
  <c r="AS34" i="121"/>
  <c r="Y35" i="121"/>
  <c r="Y78" i="121"/>
  <c r="AY41" i="121"/>
  <c r="AM41" i="121"/>
  <c r="AL43" i="121"/>
  <c r="AL44" i="121"/>
  <c r="A49" i="121"/>
  <c r="Y45" i="121"/>
  <c r="AF45" i="121" s="1"/>
  <c r="AU54" i="121"/>
  <c r="AT54" i="121"/>
  <c r="AD56" i="121"/>
  <c r="Z65" i="121"/>
  <c r="AY65" i="121"/>
  <c r="AM65" i="121"/>
  <c r="AM70" i="121"/>
  <c r="AY70" i="121"/>
  <c r="Y32" i="122"/>
  <c r="AX32" i="122"/>
  <c r="A35" i="122"/>
  <c r="AL32" i="122"/>
  <c r="AF37" i="122"/>
  <c r="AB37" i="122"/>
  <c r="AH37" i="122"/>
  <c r="AB13" i="123"/>
  <c r="AH13" i="123"/>
  <c r="AG13" i="123"/>
  <c r="AU11" i="121"/>
  <c r="AL16" i="121"/>
  <c r="AC24" i="121"/>
  <c r="AU24" i="121"/>
  <c r="AS24" i="121"/>
  <c r="AN25" i="121"/>
  <c r="AC27" i="121"/>
  <c r="AX25" i="121"/>
  <c r="AS36" i="121"/>
  <c r="AP36" i="121"/>
  <c r="AL39" i="121"/>
  <c r="Y46" i="121"/>
  <c r="AY44" i="121"/>
  <c r="AM44" i="121"/>
  <c r="AR48" i="121"/>
  <c r="AP48" i="121"/>
  <c r="AO48" i="121"/>
  <c r="AD66" i="121"/>
  <c r="AC66" i="121"/>
  <c r="AB66" i="121"/>
  <c r="AI66" i="121"/>
  <c r="AA66" i="121"/>
  <c r="AH66" i="121"/>
  <c r="AN4" i="122"/>
  <c r="AS4" i="122"/>
  <c r="AR4" i="122"/>
  <c r="AQ4" i="122"/>
  <c r="AM13" i="122"/>
  <c r="AR13" i="122" s="1"/>
  <c r="Z13" i="122"/>
  <c r="AY13" i="122"/>
  <c r="AO17" i="123"/>
  <c r="AN17" i="123"/>
  <c r="AU17" i="123"/>
  <c r="AT17" i="123"/>
  <c r="AG72" i="120"/>
  <c r="AI72" i="120"/>
  <c r="AX11" i="121"/>
  <c r="AF13" i="121"/>
  <c r="Y23" i="121"/>
  <c r="AL31" i="121"/>
  <c r="AY39" i="121"/>
  <c r="AM39" i="121"/>
  <c r="AX46" i="121"/>
  <c r="AL46" i="121"/>
  <c r="AE66" i="121"/>
  <c r="Z3" i="122"/>
  <c r="AC3" i="122" s="1"/>
  <c r="AC2" i="122" s="1"/>
  <c r="AM3" i="122"/>
  <c r="A13" i="122"/>
  <c r="AX10" i="122"/>
  <c r="AL10" i="122"/>
  <c r="AM28" i="122"/>
  <c r="AQ28" i="122" s="1"/>
  <c r="AY28" i="122"/>
  <c r="AE31" i="122"/>
  <c r="AN41" i="122"/>
  <c r="AI46" i="122"/>
  <c r="AG46" i="120"/>
  <c r="Z48" i="120"/>
  <c r="AH48" i="120" s="1"/>
  <c r="AA72" i="120"/>
  <c r="AC4" i="121"/>
  <c r="AH4" i="121"/>
  <c r="AI10" i="121"/>
  <c r="AH13" i="121"/>
  <c r="AG13" i="121"/>
  <c r="A17" i="121"/>
  <c r="A19" i="121"/>
  <c r="AB20" i="121"/>
  <c r="AM20" i="121"/>
  <c r="AL23" i="121"/>
  <c r="AX23" i="121"/>
  <c r="AB24" i="121"/>
  <c r="AN24" i="121"/>
  <c r="Y30" i="121"/>
  <c r="AL30" i="121"/>
  <c r="AX30" i="121"/>
  <c r="Y31" i="121"/>
  <c r="Z36" i="121"/>
  <c r="AN36" i="121"/>
  <c r="AR38" i="121"/>
  <c r="AL37" i="121"/>
  <c r="AY50" i="121"/>
  <c r="Z50" i="121"/>
  <c r="AI54" i="121"/>
  <c r="AA54" i="121"/>
  <c r="AF54" i="121"/>
  <c r="AE54" i="121"/>
  <c r="AD54" i="121"/>
  <c r="AC54" i="121"/>
  <c r="AI56" i="121"/>
  <c r="AM58" i="121"/>
  <c r="AU58" i="121" s="1"/>
  <c r="Z58" i="121"/>
  <c r="AY58" i="121"/>
  <c r="AU64" i="121"/>
  <c r="AR64" i="121"/>
  <c r="AO64" i="121"/>
  <c r="AN64" i="121"/>
  <c r="AF66" i="121"/>
  <c r="AC72" i="121"/>
  <c r="AT4" i="122"/>
  <c r="Z10" i="122"/>
  <c r="AH10" i="122" s="1"/>
  <c r="AM10" i="122"/>
  <c r="AC20" i="121"/>
  <c r="Y29" i="121"/>
  <c r="AM30" i="121"/>
  <c r="AY30" i="121"/>
  <c r="AR34" i="121"/>
  <c r="AO34" i="121"/>
  <c r="AX32" i="121"/>
  <c r="A35" i="121"/>
  <c r="AL32" i="121"/>
  <c r="Z34" i="121"/>
  <c r="AH34" i="121" s="1"/>
  <c r="AY34" i="121"/>
  <c r="AY37" i="121"/>
  <c r="AM37" i="121"/>
  <c r="AL78" i="121"/>
  <c r="AT56" i="121"/>
  <c r="AA51" i="122"/>
  <c r="AA43" i="122"/>
  <c r="AI30" i="122"/>
  <c r="AI51" i="122"/>
  <c r="AI43" i="122"/>
  <c r="S12" i="122"/>
  <c r="AU4" i="122"/>
  <c r="AD4" i="122"/>
  <c r="AI4" i="122"/>
  <c r="AA4" i="122"/>
  <c r="AH4" i="122"/>
  <c r="AG4" i="122"/>
  <c r="AF4" i="122"/>
  <c r="AE4" i="122"/>
  <c r="AY10" i="122"/>
  <c r="AI26" i="122"/>
  <c r="AD37" i="122"/>
  <c r="A78" i="122"/>
  <c r="AL40" i="122"/>
  <c r="Y40" i="122"/>
  <c r="AX40" i="122"/>
  <c r="AB52" i="122"/>
  <c r="AX28" i="121"/>
  <c r="A31" i="121"/>
  <c r="AL28" i="121"/>
  <c r="AX29" i="121"/>
  <c r="AX35" i="121"/>
  <c r="AL35" i="121"/>
  <c r="AQ40" i="121"/>
  <c r="AY78" i="121"/>
  <c r="AM78" i="121"/>
  <c r="A46" i="121"/>
  <c r="Y43" i="121"/>
  <c r="AB54" i="121"/>
  <c r="A55" i="121"/>
  <c r="AX52" i="121"/>
  <c r="AP56" i="121"/>
  <c r="AS64" i="121"/>
  <c r="AB24" i="122"/>
  <c r="AN49" i="122"/>
  <c r="AN71" i="122"/>
  <c r="AS16" i="122"/>
  <c r="AQ16" i="122"/>
  <c r="AO16" i="122"/>
  <c r="AU16" i="122"/>
  <c r="AT16" i="122"/>
  <c r="AR16" i="122"/>
  <c r="AP16" i="122"/>
  <c r="AN16" i="122"/>
  <c r="AQ34" i="122"/>
  <c r="AT34" i="122"/>
  <c r="AR34" i="122"/>
  <c r="AP34" i="122"/>
  <c r="A42" i="122"/>
  <c r="AL39" i="122"/>
  <c r="Y39" i="122"/>
  <c r="AX39" i="122"/>
  <c r="AX78" i="120"/>
  <c r="AL48" i="120"/>
  <c r="Z69" i="120"/>
  <c r="AG69" i="120" s="1"/>
  <c r="AG68" i="120" s="1"/>
  <c r="AD72" i="120"/>
  <c r="AB4" i="121"/>
  <c r="AX4" i="121"/>
  <c r="Z8" i="121"/>
  <c r="AA8" i="121" s="1"/>
  <c r="AG10" i="121"/>
  <c r="AB13" i="121"/>
  <c r="AX13" i="121"/>
  <c r="Y14" i="121"/>
  <c r="Y15" i="121"/>
  <c r="AF20" i="121"/>
  <c r="AY22" i="121"/>
  <c r="AF24" i="121"/>
  <c r="AQ24" i="121"/>
  <c r="AI27" i="121"/>
  <c r="Y28" i="121"/>
  <c r="A30" i="121"/>
  <c r="AL27" i="121"/>
  <c r="AN34" i="121"/>
  <c r="AT36" i="121"/>
  <c r="Y37" i="121"/>
  <c r="Z44" i="121"/>
  <c r="A51" i="121"/>
  <c r="AL52" i="121"/>
  <c r="AG54" i="121"/>
  <c r="AY52" i="121"/>
  <c r="AM52" i="121"/>
  <c r="AL57" i="121"/>
  <c r="Y57" i="121"/>
  <c r="AT64" i="121"/>
  <c r="AR73" i="121"/>
  <c r="AR72" i="121" s="1"/>
  <c r="AQ73" i="121"/>
  <c r="AQ72" i="121" s="1"/>
  <c r="AP73" i="121"/>
  <c r="AP72" i="121" s="1"/>
  <c r="AO73" i="121"/>
  <c r="AO72" i="121" s="1"/>
  <c r="S33" i="122"/>
  <c r="Z28" i="122"/>
  <c r="AC28" i="122" s="1"/>
  <c r="AU56" i="121"/>
  <c r="A19" i="122"/>
  <c r="Y16" i="122"/>
  <c r="AX16" i="122"/>
  <c r="Z20" i="122"/>
  <c r="AM22" i="122"/>
  <c r="Z22" i="122"/>
  <c r="AD26" i="122"/>
  <c r="AB26" i="122"/>
  <c r="AH26" i="122"/>
  <c r="AF26" i="122"/>
  <c r="AY37" i="122"/>
  <c r="A45" i="122"/>
  <c r="Y78" i="122"/>
  <c r="AX78" i="122"/>
  <c r="AC46" i="122"/>
  <c r="AP49" i="122"/>
  <c r="AD52" i="122"/>
  <c r="AQ66" i="122"/>
  <c r="AO66" i="122"/>
  <c r="AE73" i="122"/>
  <c r="AN34" i="123"/>
  <c r="AY48" i="121"/>
  <c r="Y53" i="121"/>
  <c r="Y55" i="121"/>
  <c r="AN56" i="121"/>
  <c r="AL59" i="121"/>
  <c r="Z61" i="121"/>
  <c r="Y67" i="121"/>
  <c r="AY69" i="121"/>
  <c r="AL71" i="121"/>
  <c r="AH72" i="121"/>
  <c r="AI8" i="122"/>
  <c r="AL9" i="122"/>
  <c r="AL15" i="122"/>
  <c r="AM18" i="122"/>
  <c r="AM25" i="122"/>
  <c r="AQ25" i="122" s="1"/>
  <c r="AA30" i="122"/>
  <c r="AY29" i="122"/>
  <c r="Z29" i="122"/>
  <c r="AE29" i="122" s="1"/>
  <c r="AH35" i="122"/>
  <c r="AD35" i="122"/>
  <c r="A38" i="122"/>
  <c r="AL35" i="122"/>
  <c r="AD38" i="122"/>
  <c r="AN78" i="122"/>
  <c r="AO44" i="122"/>
  <c r="AU44" i="122"/>
  <c r="AY45" i="122"/>
  <c r="AR49" i="122"/>
  <c r="Z48" i="122"/>
  <c r="AY48" i="122"/>
  <c r="Y49" i="122"/>
  <c r="AX49" i="122"/>
  <c r="AF52" i="122"/>
  <c r="AD67" i="122"/>
  <c r="AC67" i="122"/>
  <c r="AE67" i="122"/>
  <c r="AP30" i="123"/>
  <c r="AQ30" i="123"/>
  <c r="AO30" i="123"/>
  <c r="AN30" i="123"/>
  <c r="AU30" i="123"/>
  <c r="AT30" i="123"/>
  <c r="AS30" i="123"/>
  <c r="AR30" i="123"/>
  <c r="Y51" i="121"/>
  <c r="Z53" i="121"/>
  <c r="AX54" i="121"/>
  <c r="Z55" i="121"/>
  <c r="AO56" i="121"/>
  <c r="AY56" i="121"/>
  <c r="AM59" i="121"/>
  <c r="AL63" i="121"/>
  <c r="AF64" i="121"/>
  <c r="A65" i="121"/>
  <c r="AL66" i="121"/>
  <c r="Z67" i="121"/>
  <c r="AM71" i="121"/>
  <c r="AA72" i="121"/>
  <c r="AI72" i="121"/>
  <c r="AL8" i="122"/>
  <c r="Y14" i="122"/>
  <c r="AL21" i="122"/>
  <c r="AL19" i="122"/>
  <c r="AA26" i="122"/>
  <c r="AL26" i="122"/>
  <c r="A29" i="122"/>
  <c r="AC30" i="122"/>
  <c r="A33" i="122"/>
  <c r="AL30" i="122"/>
  <c r="AF38" i="122"/>
  <c r="AP78" i="122"/>
  <c r="AF43" i="122"/>
  <c r="AD43" i="122"/>
  <c r="AB43" i="122"/>
  <c r="AH43" i="122"/>
  <c r="AN44" i="122"/>
  <c r="A46" i="122"/>
  <c r="AL43" i="122"/>
  <c r="AG46" i="122"/>
  <c r="AH52" i="122"/>
  <c r="AA67" i="122"/>
  <c r="Y66" i="122"/>
  <c r="AX66" i="122"/>
  <c r="AD72" i="123"/>
  <c r="AD56" i="123"/>
  <c r="AP34" i="123"/>
  <c r="AD4" i="123"/>
  <c r="AD8" i="123"/>
  <c r="AY36" i="123"/>
  <c r="Z36" i="123"/>
  <c r="Z19" i="122"/>
  <c r="AA19" i="122" s="1"/>
  <c r="AY19" i="122"/>
  <c r="Y21" i="122"/>
  <c r="AX21" i="122"/>
  <c r="AF24" i="122"/>
  <c r="AC26" i="122"/>
  <c r="AE30" i="122"/>
  <c r="AE37" i="122"/>
  <c r="AR78" i="122"/>
  <c r="AP44" i="122"/>
  <c r="AB51" i="122"/>
  <c r="AH51" i="122"/>
  <c r="AF51" i="122"/>
  <c r="AD51" i="122"/>
  <c r="AE55" i="122"/>
  <c r="AY57" i="122"/>
  <c r="Z57" i="122"/>
  <c r="Y58" i="122"/>
  <c r="AX58" i="122"/>
  <c r="AL58" i="122"/>
  <c r="AX3" i="123"/>
  <c r="AL3" i="123"/>
  <c r="Y3" i="123"/>
  <c r="A16" i="123"/>
  <c r="AX13" i="123"/>
  <c r="AL13" i="123"/>
  <c r="AP36" i="123"/>
  <c r="AT36" i="123"/>
  <c r="AQ36" i="123"/>
  <c r="AM44" i="123"/>
  <c r="Z44" i="123"/>
  <c r="AY44" i="123"/>
  <c r="AL53" i="121"/>
  <c r="AL55" i="121"/>
  <c r="AY59" i="121"/>
  <c r="AX66" i="121"/>
  <c r="Z69" i="121"/>
  <c r="AE69" i="121" s="1"/>
  <c r="AE68" i="121" s="1"/>
  <c r="AY71" i="121"/>
  <c r="AI73" i="121"/>
  <c r="AD8" i="122"/>
  <c r="AX9" i="122"/>
  <c r="Z17" i="122"/>
  <c r="AL23" i="122"/>
  <c r="AE26" i="122"/>
  <c r="AM29" i="122"/>
  <c r="Z27" i="122"/>
  <c r="AF27" i="122" s="1"/>
  <c r="AY27" i="122"/>
  <c r="AC35" i="122"/>
  <c r="AT36" i="122"/>
  <c r="A39" i="122"/>
  <c r="Y36" i="122"/>
  <c r="AX36" i="122"/>
  <c r="Z44" i="122"/>
  <c r="AR44" i="122"/>
  <c r="AY50" i="122"/>
  <c r="AM50" i="122"/>
  <c r="AL51" i="122"/>
  <c r="A54" i="122"/>
  <c r="Z64" i="122"/>
  <c r="AG64" i="122" s="1"/>
  <c r="AM64" i="122"/>
  <c r="AO64" i="122" s="1"/>
  <c r="AI67" i="122"/>
  <c r="AT67" i="122"/>
  <c r="V15" i="123"/>
  <c r="AB14" i="123"/>
  <c r="AI14" i="123"/>
  <c r="AA14" i="123"/>
  <c r="AH14" i="123"/>
  <c r="AF14" i="123"/>
  <c r="AE14" i="123"/>
  <c r="AD14" i="123"/>
  <c r="AC14" i="123"/>
  <c r="AM20" i="123"/>
  <c r="Z20" i="123"/>
  <c r="AG20" i="123" s="1"/>
  <c r="AY20" i="123"/>
  <c r="A34" i="122"/>
  <c r="AL31" i="122"/>
  <c r="AM37" i="122"/>
  <c r="AT37" i="122" s="1"/>
  <c r="AD46" i="122"/>
  <c r="AB46" i="122"/>
  <c r="AH46" i="122"/>
  <c r="AU49" i="122"/>
  <c r="AS49" i="122"/>
  <c r="AQ49" i="122"/>
  <c r="AO49" i="122"/>
  <c r="A50" i="122"/>
  <c r="AL46" i="122"/>
  <c r="AE52" i="122"/>
  <c r="AM52" i="122"/>
  <c r="AQ52" i="122" s="1"/>
  <c r="AM45" i="122"/>
  <c r="AO59" i="122"/>
  <c r="AN59" i="122"/>
  <c r="AU59" i="122"/>
  <c r="AS59" i="122"/>
  <c r="AQ59" i="122"/>
  <c r="AP59" i="122"/>
  <c r="AE72" i="122"/>
  <c r="AD72" i="122"/>
  <c r="AC72" i="122"/>
  <c r="AI72" i="122"/>
  <c r="AA72" i="122"/>
  <c r="AG72" i="122"/>
  <c r="AF72" i="122"/>
  <c r="AI4" i="123"/>
  <c r="AA4" i="123"/>
  <c r="AH4" i="123"/>
  <c r="AG4" i="123"/>
  <c r="AE4" i="123"/>
  <c r="AC4" i="123"/>
  <c r="AB4" i="123"/>
  <c r="AX17" i="123"/>
  <c r="A20" i="123"/>
  <c r="Y17" i="123"/>
  <c r="AP28" i="123"/>
  <c r="AQ28" i="123"/>
  <c r="AO28" i="123"/>
  <c r="AN28" i="123"/>
  <c r="AU28" i="123"/>
  <c r="AT28" i="123"/>
  <c r="AS28" i="123"/>
  <c r="AR28" i="123"/>
  <c r="AY55" i="121"/>
  <c r="Z59" i="121"/>
  <c r="Z71" i="121"/>
  <c r="AM20" i="122"/>
  <c r="AR20" i="122" s="1"/>
  <c r="AF30" i="122"/>
  <c r="AD30" i="122"/>
  <c r="AB30" i="122"/>
  <c r="AH30" i="122"/>
  <c r="AX34" i="122"/>
  <c r="A37" i="122"/>
  <c r="Y34" i="122"/>
  <c r="AI38" i="122"/>
  <c r="AA38" i="122"/>
  <c r="AM38" i="122"/>
  <c r="AU78" i="122"/>
  <c r="AS78" i="122"/>
  <c r="AQ78" i="122"/>
  <c r="AO78" i="122"/>
  <c r="Y41" i="122"/>
  <c r="AX41" i="122"/>
  <c r="A43" i="122"/>
  <c r="AH54" i="122"/>
  <c r="AL54" i="122"/>
  <c r="AX54" i="122"/>
  <c r="AR59" i="122"/>
  <c r="AY61" i="122"/>
  <c r="Z61" i="122"/>
  <c r="AF61" i="122" s="1"/>
  <c r="Z69" i="122"/>
  <c r="AY69" i="122"/>
  <c r="AM69" i="122"/>
  <c r="AB72" i="122"/>
  <c r="S12" i="123"/>
  <c r="AM56" i="122"/>
  <c r="AR56" i="122" s="1"/>
  <c r="Y63" i="122"/>
  <c r="Z70" i="122"/>
  <c r="AF8" i="123"/>
  <c r="AL14" i="123"/>
  <c r="Z21" i="123"/>
  <c r="AD21" i="123" s="1"/>
  <c r="AA24" i="123"/>
  <c r="AI24" i="123"/>
  <c r="AH53" i="123"/>
  <c r="AE53" i="123"/>
  <c r="AB53" i="123"/>
  <c r="AI57" i="123"/>
  <c r="AA57" i="123"/>
  <c r="AF57" i="123"/>
  <c r="AE57" i="123"/>
  <c r="AH57" i="123"/>
  <c r="AD57" i="123"/>
  <c r="AB57" i="123"/>
  <c r="A79" i="123"/>
  <c r="AS3" i="125"/>
  <c r="AQ3" i="125"/>
  <c r="AP3" i="125"/>
  <c r="AO3" i="125"/>
  <c r="AT3" i="125"/>
  <c r="AR3" i="125"/>
  <c r="AN3" i="125"/>
  <c r="AM8" i="125"/>
  <c r="Z8" i="125"/>
  <c r="AM20" i="125"/>
  <c r="AY20" i="125"/>
  <c r="AO41" i="125"/>
  <c r="AG37" i="122"/>
  <c r="AG52" i="122"/>
  <c r="AH55" i="122"/>
  <c r="Y59" i="122"/>
  <c r="AU71" i="122"/>
  <c r="AU70" i="122" s="1"/>
  <c r="AL4" i="123"/>
  <c r="AG8" i="123"/>
  <c r="AY9" i="123"/>
  <c r="AM10" i="123"/>
  <c r="AU10" i="123" s="1"/>
  <c r="AX15" i="123"/>
  <c r="Y16" i="123"/>
  <c r="A17" i="123"/>
  <c r="AL18" i="123"/>
  <c r="AX19" i="123"/>
  <c r="AB24" i="123"/>
  <c r="AN31" i="123"/>
  <c r="AY31" i="123"/>
  <c r="Z32" i="123"/>
  <c r="AF38" i="123"/>
  <c r="AY42" i="123"/>
  <c r="AM42" i="123"/>
  <c r="Z43" i="123"/>
  <c r="AE43" i="123" s="1"/>
  <c r="AY43" i="123"/>
  <c r="AA53" i="123"/>
  <c r="AQ63" i="123"/>
  <c r="AU31" i="125"/>
  <c r="AU73" i="125"/>
  <c r="AU72" i="125" s="1"/>
  <c r="AS24" i="125"/>
  <c r="AQ24" i="125"/>
  <c r="AP24" i="125"/>
  <c r="AO24" i="125"/>
  <c r="AN24" i="125"/>
  <c r="AU24" i="125"/>
  <c r="AH8" i="123"/>
  <c r="A30" i="123"/>
  <c r="Y27" i="123"/>
  <c r="AO31" i="123"/>
  <c r="A32" i="123"/>
  <c r="Y29" i="123"/>
  <c r="AQ34" i="123"/>
  <c r="Z40" i="123"/>
  <c r="AY40" i="123"/>
  <c r="Z46" i="123"/>
  <c r="AH46" i="123" s="1"/>
  <c r="AY46" i="123"/>
  <c r="AM46" i="123"/>
  <c r="AD53" i="123"/>
  <c r="AS53" i="123"/>
  <c r="AC57" i="123"/>
  <c r="AL55" i="123"/>
  <c r="Y55" i="123"/>
  <c r="AU63" i="123"/>
  <c r="AN49" i="125"/>
  <c r="AN4" i="125"/>
  <c r="AN53" i="125"/>
  <c r="AN39" i="125"/>
  <c r="AU3" i="125"/>
  <c r="A35" i="125"/>
  <c r="AL32" i="125"/>
  <c r="Y32" i="125"/>
  <c r="AX32" i="125"/>
  <c r="AL29" i="122"/>
  <c r="AA37" i="122"/>
  <c r="AI37" i="122"/>
  <c r="AC38" i="122"/>
  <c r="AY39" i="122"/>
  <c r="AX42" i="122"/>
  <c r="AX44" i="122"/>
  <c r="AN48" i="122"/>
  <c r="AA52" i="122"/>
  <c r="AI52" i="122"/>
  <c r="AX53" i="122"/>
  <c r="AL55" i="122"/>
  <c r="AY56" i="122"/>
  <c r="AL57" i="122"/>
  <c r="AL61" i="122"/>
  <c r="AL63" i="122"/>
  <c r="AX71" i="122"/>
  <c r="AX4" i="123"/>
  <c r="AA8" i="123"/>
  <c r="AI8" i="123"/>
  <c r="Z9" i="123"/>
  <c r="AH9" i="123" s="1"/>
  <c r="AY10" i="123"/>
  <c r="AM11" i="123"/>
  <c r="AN11" i="123" s="1"/>
  <c r="Y15" i="123"/>
  <c r="AX18" i="123"/>
  <c r="Y19" i="123"/>
  <c r="AL21" i="123"/>
  <c r="AD24" i="123"/>
  <c r="AL25" i="123"/>
  <c r="AL26" i="123"/>
  <c r="AQ31" i="123"/>
  <c r="AL32" i="123"/>
  <c r="Y34" i="123"/>
  <c r="AR34" i="123"/>
  <c r="AS36" i="123"/>
  <c r="AE45" i="123"/>
  <c r="AD48" i="123"/>
  <c r="AO52" i="123"/>
  <c r="AS52" i="123"/>
  <c r="AU52" i="123"/>
  <c r="AR52" i="123"/>
  <c r="AP52" i="123"/>
  <c r="AF53" i="123"/>
  <c r="AG57" i="123"/>
  <c r="Y59" i="123"/>
  <c r="AL59" i="123"/>
  <c r="AY66" i="123"/>
  <c r="Z66" i="123"/>
  <c r="AE66" i="123" s="1"/>
  <c r="AL69" i="123"/>
  <c r="AO44" i="125"/>
  <c r="AO46" i="125"/>
  <c r="AO49" i="125"/>
  <c r="AO4" i="125"/>
  <c r="AS10" i="125"/>
  <c r="AQ10" i="125"/>
  <c r="AP10" i="125"/>
  <c r="AO10" i="125"/>
  <c r="AU10" i="125"/>
  <c r="AT10" i="125"/>
  <c r="AR10" i="125"/>
  <c r="AM49" i="123"/>
  <c r="AQ49" i="123" s="1"/>
  <c r="Z49" i="123"/>
  <c r="AC49" i="123" s="1"/>
  <c r="AY49" i="123"/>
  <c r="AY67" i="123"/>
  <c r="Y69" i="123"/>
  <c r="AX69" i="123"/>
  <c r="AM71" i="123"/>
  <c r="Z71" i="123"/>
  <c r="AY10" i="125"/>
  <c r="Z10" i="125"/>
  <c r="AL27" i="122"/>
  <c r="AC37" i="122"/>
  <c r="AE38" i="122"/>
  <c r="Z39" i="122"/>
  <c r="Y44" i="122"/>
  <c r="AC52" i="122"/>
  <c r="Y53" i="122"/>
  <c r="Z56" i="122"/>
  <c r="AM70" i="122"/>
  <c r="Y71" i="122"/>
  <c r="AQ71" i="122"/>
  <c r="AQ70" i="122" s="1"/>
  <c r="AC8" i="123"/>
  <c r="Z10" i="123"/>
  <c r="AG10" i="123" s="1"/>
  <c r="AY11" i="123"/>
  <c r="AL16" i="123"/>
  <c r="Y18" i="123"/>
  <c r="A19" i="123"/>
  <c r="AL20" i="123"/>
  <c r="AX21" i="123"/>
  <c r="AM23" i="123"/>
  <c r="AF24" i="123"/>
  <c r="AX25" i="123"/>
  <c r="AN36" i="123"/>
  <c r="A37" i="123"/>
  <c r="AE42" i="123"/>
  <c r="AM41" i="123"/>
  <c r="AU41" i="123" s="1"/>
  <c r="Z41" i="123"/>
  <c r="Z78" i="123"/>
  <c r="AG78" i="123" s="1"/>
  <c r="AY78" i="123"/>
  <c r="AM78" i="123"/>
  <c r="AT78" i="123" s="1"/>
  <c r="AH45" i="123"/>
  <c r="AX48" i="123"/>
  <c r="AN52" i="123"/>
  <c r="AY55" i="123"/>
  <c r="AX54" i="123"/>
  <c r="AP57" i="123"/>
  <c r="A65" i="123"/>
  <c r="AX63" i="123"/>
  <c r="Y63" i="123"/>
  <c r="AM67" i="123"/>
  <c r="AN10" i="125"/>
  <c r="AX29" i="125"/>
  <c r="A32" i="125"/>
  <c r="AL29" i="125"/>
  <c r="Y29" i="125"/>
  <c r="AX23" i="123"/>
  <c r="AG24" i="123"/>
  <c r="A31" i="123"/>
  <c r="Y28" i="123"/>
  <c r="A33" i="123"/>
  <c r="Y30" i="123"/>
  <c r="AO34" i="123"/>
  <c r="AU34" i="123"/>
  <c r="Z35" i="123"/>
  <c r="AE38" i="123"/>
  <c r="AX43" i="123"/>
  <c r="AQ52" i="123"/>
  <c r="A54" i="123"/>
  <c r="AL51" i="123"/>
  <c r="Y51" i="123"/>
  <c r="AY57" i="123"/>
  <c r="AT61" i="123"/>
  <c r="AO61" i="123"/>
  <c r="AY71" i="123"/>
  <c r="Y21" i="125"/>
  <c r="AX21" i="125"/>
  <c r="AL21" i="125"/>
  <c r="Z28" i="125"/>
  <c r="AM28" i="125"/>
  <c r="AY28" i="125"/>
  <c r="AY55" i="122"/>
  <c r="AM73" i="122"/>
  <c r="Z11" i="123"/>
  <c r="AH11" i="123" s="1"/>
  <c r="AL19" i="123"/>
  <c r="Y25" i="123"/>
  <c r="Y26" i="123"/>
  <c r="AL27" i="123"/>
  <c r="AL29" i="123"/>
  <c r="AP31" i="123"/>
  <c r="AU31" i="123"/>
  <c r="Y31" i="123"/>
  <c r="AX34" i="123"/>
  <c r="AM37" i="123"/>
  <c r="AU37" i="123" s="1"/>
  <c r="Z37" i="123"/>
  <c r="AH37" i="123" s="1"/>
  <c r="Z39" i="123"/>
  <c r="AH39" i="123" s="1"/>
  <c r="AY39" i="123"/>
  <c r="AM39" i="123"/>
  <c r="AL43" i="123"/>
  <c r="AF45" i="123"/>
  <c r="A46" i="123"/>
  <c r="AO48" i="123"/>
  <c r="AT48" i="123"/>
  <c r="AP48" i="123"/>
  <c r="AG53" i="123"/>
  <c r="AL56" i="123"/>
  <c r="AM58" i="123"/>
  <c r="AS58" i="123" s="1"/>
  <c r="Z58" i="123"/>
  <c r="AY58" i="123"/>
  <c r="AN63" i="123"/>
  <c r="AR63" i="123"/>
  <c r="AT63" i="123"/>
  <c r="AP63" i="123"/>
  <c r="Z67" i="123"/>
  <c r="AS15" i="125"/>
  <c r="AY8" i="125"/>
  <c r="AX61" i="123"/>
  <c r="AM73" i="123"/>
  <c r="Y3" i="125"/>
  <c r="AY19" i="125"/>
  <c r="Y23" i="125"/>
  <c r="AR31" i="125"/>
  <c r="AO34" i="125"/>
  <c r="AQ39" i="125"/>
  <c r="AU49" i="125"/>
  <c r="AM57" i="125"/>
  <c r="Z57" i="125"/>
  <c r="AX59" i="125"/>
  <c r="AL59" i="125"/>
  <c r="S12" i="475"/>
  <c r="AM8" i="475"/>
  <c r="AY8" i="475"/>
  <c r="Z8" i="475"/>
  <c r="AD17" i="475"/>
  <c r="AC17" i="475"/>
  <c r="AB17" i="475"/>
  <c r="AI17" i="475"/>
  <c r="AH17" i="475"/>
  <c r="AE17" i="475"/>
  <c r="A10" i="125"/>
  <c r="Z9" i="125"/>
  <c r="AY9" i="125"/>
  <c r="AY12" i="125"/>
  <c r="AM12" i="125"/>
  <c r="Z12" i="125"/>
  <c r="AX18" i="125"/>
  <c r="AL18" i="125"/>
  <c r="Z14" i="475"/>
  <c r="AM14" i="475"/>
  <c r="AY14" i="475"/>
  <c r="AL66" i="123"/>
  <c r="A17" i="125"/>
  <c r="AL14" i="125"/>
  <c r="A19" i="125"/>
  <c r="AX16" i="125"/>
  <c r="AL16" i="125"/>
  <c r="AM19" i="125"/>
  <c r="AM18" i="125"/>
  <c r="AM21" i="125"/>
  <c r="AX25" i="125"/>
  <c r="A28" i="125"/>
  <c r="AL25" i="125"/>
  <c r="AY38" i="125"/>
  <c r="AM38" i="125"/>
  <c r="AU41" i="125"/>
  <c r="AY40" i="125"/>
  <c r="AM40" i="125"/>
  <c r="AU78" i="125"/>
  <c r="AT53" i="125"/>
  <c r="A55" i="125"/>
  <c r="AX52" i="125"/>
  <c r="AL52" i="125"/>
  <c r="AL55" i="125"/>
  <c r="Y55" i="125"/>
  <c r="AP69" i="125"/>
  <c r="AR73" i="125"/>
  <c r="AR72" i="125" s="1"/>
  <c r="AP73" i="125"/>
  <c r="AP72" i="125" s="1"/>
  <c r="AO73" i="125"/>
  <c r="AO72" i="125" s="1"/>
  <c r="AQ25" i="475"/>
  <c r="AQ55" i="475"/>
  <c r="AQ35" i="475"/>
  <c r="AQ4" i="475"/>
  <c r="AD18" i="475"/>
  <c r="AG18" i="475"/>
  <c r="AF18" i="475"/>
  <c r="AT27" i="475"/>
  <c r="AY14" i="125"/>
  <c r="AM14" i="125"/>
  <c r="AL27" i="125"/>
  <c r="AP34" i="125"/>
  <c r="AN34" i="125"/>
  <c r="AU34" i="125"/>
  <c r="AY42" i="125"/>
  <c r="AM42" i="125"/>
  <c r="AQ42" i="125" s="1"/>
  <c r="AR48" i="125"/>
  <c r="AQ48" i="125"/>
  <c r="AP48" i="125"/>
  <c r="AO48" i="125"/>
  <c r="AN48" i="125"/>
  <c r="AU48" i="125"/>
  <c r="AM50" i="125"/>
  <c r="Z50" i="125"/>
  <c r="AY52" i="125"/>
  <c r="AM52" i="125"/>
  <c r="Z52" i="125"/>
  <c r="AF27" i="475"/>
  <c r="AR25" i="475"/>
  <c r="AR29" i="475"/>
  <c r="AF17" i="475"/>
  <c r="Y52" i="123"/>
  <c r="AB72" i="123"/>
  <c r="AM9" i="125"/>
  <c r="Z21" i="125"/>
  <c r="Y27" i="125"/>
  <c r="AS35" i="125"/>
  <c r="AS37" i="125"/>
  <c r="AR37" i="125"/>
  <c r="AQ37" i="125"/>
  <c r="AY43" i="125"/>
  <c r="AM43" i="125"/>
  <c r="AS48" i="125"/>
  <c r="AH39" i="475"/>
  <c r="AE39" i="475"/>
  <c r="AC39" i="475"/>
  <c r="AB39" i="475"/>
  <c r="AG39" i="475"/>
  <c r="AF39" i="475"/>
  <c r="AX27" i="125"/>
  <c r="A31" i="125"/>
  <c r="AL28" i="125"/>
  <c r="Y28" i="125"/>
  <c r="AY65" i="125"/>
  <c r="AM65" i="125"/>
  <c r="A10" i="475"/>
  <c r="AL67" i="125"/>
  <c r="Y67" i="125"/>
  <c r="Z69" i="125"/>
  <c r="AY69" i="125"/>
  <c r="AL23" i="125"/>
  <c r="A27" i="125"/>
  <c r="Y24" i="125"/>
  <c r="Z32" i="125"/>
  <c r="AY36" i="125"/>
  <c r="AM36" i="125"/>
  <c r="AN58" i="125"/>
  <c r="AX61" i="125"/>
  <c r="AL61" i="125"/>
  <c r="Y61" i="125"/>
  <c r="AH9" i="475"/>
  <c r="A11" i="475"/>
  <c r="AL11" i="475"/>
  <c r="AX11" i="475"/>
  <c r="AS26" i="475"/>
  <c r="AN26" i="475"/>
  <c r="Y24" i="475"/>
  <c r="AM30" i="475"/>
  <c r="Y30" i="475"/>
  <c r="AX30" i="475"/>
  <c r="A33" i="475"/>
  <c r="AR40" i="475"/>
  <c r="AO40" i="475"/>
  <c r="AP40" i="475"/>
  <c r="AN40" i="475"/>
  <c r="AT40" i="475"/>
  <c r="AS40" i="475"/>
  <c r="AY38" i="475"/>
  <c r="AM38" i="475"/>
  <c r="Z38" i="475"/>
  <c r="AU73" i="475"/>
  <c r="AU72" i="475" s="1"/>
  <c r="AH28" i="475"/>
  <c r="AC28" i="475"/>
  <c r="A34" i="475"/>
  <c r="AX31" i="475"/>
  <c r="AC36" i="475"/>
  <c r="AN36" i="475"/>
  <c r="AL34" i="475"/>
  <c r="AB52" i="475"/>
  <c r="AI52" i="475"/>
  <c r="AA52" i="475"/>
  <c r="AF52" i="475"/>
  <c r="AD52" i="475"/>
  <c r="AC52" i="475"/>
  <c r="AH52" i="475"/>
  <c r="AG52" i="475"/>
  <c r="AP73" i="475"/>
  <c r="AP72" i="475" s="1"/>
  <c r="AC53" i="123"/>
  <c r="AL71" i="123"/>
  <c r="AF72" i="123"/>
  <c r="AL8" i="125"/>
  <c r="AX9" i="125"/>
  <c r="A14" i="125"/>
  <c r="AP15" i="125"/>
  <c r="A16" i="125"/>
  <c r="A20" i="125"/>
  <c r="AL20" i="125"/>
  <c r="AL26" i="125"/>
  <c r="A29" i="125"/>
  <c r="AL30" i="125"/>
  <c r="AX31" i="125"/>
  <c r="A33" i="125"/>
  <c r="A34" i="125"/>
  <c r="AQ41" i="125"/>
  <c r="AQ78" i="125"/>
  <c r="AM45" i="125"/>
  <c r="AQ49" i="125"/>
  <c r="AM51" i="125"/>
  <c r="AO51" i="125" s="1"/>
  <c r="AL56" i="125"/>
  <c r="Y57" i="125"/>
  <c r="AX64" i="125"/>
  <c r="AX69" i="125"/>
  <c r="AS71" i="475"/>
  <c r="AS70" i="475" s="1"/>
  <c r="AE3" i="475"/>
  <c r="AD13" i="475"/>
  <c r="AD19" i="475"/>
  <c r="AP21" i="475"/>
  <c r="AS21" i="475"/>
  <c r="AR21" i="475"/>
  <c r="Y20" i="475"/>
  <c r="AX20" i="475"/>
  <c r="Y21" i="475"/>
  <c r="AX21" i="475"/>
  <c r="AX24" i="475"/>
  <c r="AU25" i="475"/>
  <c r="AU29" i="475"/>
  <c r="Z30" i="475"/>
  <c r="AX34" i="475"/>
  <c r="AF35" i="475"/>
  <c r="AP36" i="475"/>
  <c r="AO39" i="475"/>
  <c r="AR39" i="475"/>
  <c r="AM37" i="475"/>
  <c r="AU37" i="475" s="1"/>
  <c r="AY37" i="475"/>
  <c r="AQ40" i="475"/>
  <c r="AY44" i="475"/>
  <c r="AM44" i="475"/>
  <c r="Z44" i="475"/>
  <c r="AP55" i="475"/>
  <c r="AG72" i="123"/>
  <c r="A73" i="123"/>
  <c r="AU4" i="125"/>
  <c r="A11" i="125"/>
  <c r="A12" i="125"/>
  <c r="Y19" i="125"/>
  <c r="AY31" i="125"/>
  <c r="AR49" i="125"/>
  <c r="A54" i="125"/>
  <c r="AY58" i="125"/>
  <c r="AG3" i="475"/>
  <c r="AE13" i="475"/>
  <c r="AL16" i="475"/>
  <c r="A19" i="475"/>
  <c r="Y16" i="475"/>
  <c r="AD25" i="475"/>
  <c r="AC25" i="475"/>
  <c r="AF25" i="475"/>
  <c r="AR26" i="475"/>
  <c r="S33" i="475"/>
  <c r="AG35" i="475"/>
  <c r="AQ36" i="475"/>
  <c r="AU40" i="475"/>
  <c r="AE52" i="475"/>
  <c r="AL58" i="475"/>
  <c r="Y58" i="475"/>
  <c r="Z60" i="475"/>
  <c r="AM60" i="475"/>
  <c r="AY60" i="475"/>
  <c r="Z63" i="475"/>
  <c r="AY63" i="475"/>
  <c r="AM63" i="475"/>
  <c r="AQ63" i="475" s="1"/>
  <c r="AH72" i="123"/>
  <c r="AS78" i="125"/>
  <c r="AS49" i="125"/>
  <c r="AQ53" i="125"/>
  <c r="AM54" i="125"/>
  <c r="AT54" i="125" s="1"/>
  <c r="AL63" i="125"/>
  <c r="A65" i="125"/>
  <c r="Z71" i="125"/>
  <c r="Z4" i="475"/>
  <c r="AD4" i="475" s="1"/>
  <c r="AR4" i="475"/>
  <c r="AU4" i="475"/>
  <c r="AM10" i="475"/>
  <c r="AR10" i="475" s="1"/>
  <c r="Z10" i="475"/>
  <c r="AE10" i="475" s="1"/>
  <c r="AG13" i="475"/>
  <c r="AX14" i="475"/>
  <c r="Z15" i="475"/>
  <c r="AH15" i="475" s="1"/>
  <c r="AL13" i="475"/>
  <c r="AX13" i="475"/>
  <c r="AG17" i="475"/>
  <c r="AM16" i="475"/>
  <c r="AY16" i="475"/>
  <c r="AN21" i="475"/>
  <c r="AL24" i="475"/>
  <c r="AL23" i="475"/>
  <c r="Y23" i="475"/>
  <c r="AX23" i="475"/>
  <c r="AR36" i="475"/>
  <c r="AC37" i="475"/>
  <c r="AU46" i="475"/>
  <c r="AU52" i="475"/>
  <c r="AT46" i="125"/>
  <c r="AT49" i="125"/>
  <c r="Y69" i="125"/>
  <c r="AF3" i="475"/>
  <c r="AI3" i="475"/>
  <c r="AA3" i="475"/>
  <c r="AN4" i="475"/>
  <c r="Y8" i="475"/>
  <c r="AH13" i="475"/>
  <c r="AL14" i="475"/>
  <c r="AL15" i="475"/>
  <c r="AX15" i="475"/>
  <c r="Z22" i="475"/>
  <c r="AM22" i="475"/>
  <c r="AB25" i="475"/>
  <c r="AM23" i="475"/>
  <c r="AY23" i="475"/>
  <c r="AB27" i="475"/>
  <c r="AI27" i="475"/>
  <c r="AA27" i="475"/>
  <c r="AE27" i="475"/>
  <c r="AD27" i="475"/>
  <c r="A30" i="475"/>
  <c r="AL31" i="475"/>
  <c r="Y34" i="475"/>
  <c r="AM32" i="475"/>
  <c r="Z32" i="475"/>
  <c r="AY32" i="475"/>
  <c r="AS35" i="475"/>
  <c r="AR35" i="475"/>
  <c r="AN35" i="475"/>
  <c r="AU36" i="475"/>
  <c r="AD37" i="475"/>
  <c r="AF37" i="475"/>
  <c r="A42" i="475"/>
  <c r="AL54" i="475"/>
  <c r="Y54" i="475"/>
  <c r="Y71" i="123"/>
  <c r="AX73" i="123"/>
  <c r="AL13" i="125"/>
  <c r="AL17" i="125"/>
  <c r="AL19" i="125"/>
  <c r="Y51" i="125"/>
  <c r="A71" i="125"/>
  <c r="AL3" i="475"/>
  <c r="AO4" i="475"/>
  <c r="AL8" i="475"/>
  <c r="AX8" i="475"/>
  <c r="AX10" i="475"/>
  <c r="Y11" i="475"/>
  <c r="Y14" i="475"/>
  <c r="AX16" i="475"/>
  <c r="AF19" i="475"/>
  <c r="AE19" i="475"/>
  <c r="AI19" i="475"/>
  <c r="AA19" i="475"/>
  <c r="AQ19" i="475"/>
  <c r="AT21" i="475"/>
  <c r="AQ29" i="475"/>
  <c r="AP29" i="475"/>
  <c r="AS29" i="475"/>
  <c r="Y31" i="475"/>
  <c r="Z29" i="475"/>
  <c r="AY29" i="475"/>
  <c r="AO35" i="475"/>
  <c r="AH36" i="475"/>
  <c r="AA37" i="475"/>
  <c r="AP48" i="475"/>
  <c r="AN52" i="475"/>
  <c r="AI72" i="475"/>
  <c r="AP4" i="475"/>
  <c r="AL9" i="475"/>
  <c r="AC13" i="475"/>
  <c r="AB13" i="475"/>
  <c r="AF13" i="475"/>
  <c r="A14" i="475"/>
  <c r="A17" i="475"/>
  <c r="AM17" i="475"/>
  <c r="AU17" i="475" s="1"/>
  <c r="AY17" i="475"/>
  <c r="A27" i="475"/>
  <c r="AC27" i="475"/>
  <c r="AN29" i="475"/>
  <c r="AL30" i="475"/>
  <c r="AI35" i="475"/>
  <c r="AA35" i="475"/>
  <c r="AE35" i="475"/>
  <c r="AD35" i="475"/>
  <c r="AP35" i="475"/>
  <c r="AB37" i="475"/>
  <c r="AY43" i="475"/>
  <c r="AM43" i="475"/>
  <c r="Z43" i="475"/>
  <c r="AQ48" i="475"/>
  <c r="AN48" i="475"/>
  <c r="AA72" i="475"/>
  <c r="AM61" i="475"/>
  <c r="Z61" i="475"/>
  <c r="AD61" i="475" s="1"/>
  <c r="Z70" i="475"/>
  <c r="AY70" i="475"/>
  <c r="AH72" i="475"/>
  <c r="AO25" i="475"/>
  <c r="A78" i="475"/>
  <c r="AX40" i="475"/>
  <c r="AL42" i="475"/>
  <c r="Z48" i="475"/>
  <c r="AM59" i="475"/>
  <c r="AU59" i="475" s="1"/>
  <c r="AM70" i="475"/>
  <c r="Y69" i="475"/>
  <c r="AX69" i="475"/>
  <c r="AL69" i="475"/>
  <c r="AP25" i="475"/>
  <c r="AO36" i="475"/>
  <c r="AX46" i="475"/>
  <c r="AX48" i="475"/>
  <c r="AN55" i="475"/>
  <c r="AU55" i="475"/>
  <c r="AR55" i="475"/>
  <c r="AL53" i="475"/>
  <c r="Y53" i="475"/>
  <c r="AR64" i="475"/>
  <c r="AN64" i="475"/>
  <c r="Z66" i="475"/>
  <c r="AM66" i="475"/>
  <c r="AO66" i="475" s="1"/>
  <c r="Y67" i="475"/>
  <c r="AR46" i="475"/>
  <c r="AQ46" i="475"/>
  <c r="AN46" i="475"/>
  <c r="AR52" i="475"/>
  <c r="AO52" i="475"/>
  <c r="Y51" i="475"/>
  <c r="AO55" i="475"/>
  <c r="AF72" i="475"/>
  <c r="AE72" i="475"/>
  <c r="AB72" i="475"/>
  <c r="AS73" i="475"/>
  <c r="AS72" i="475" s="1"/>
  <c r="AO73" i="475"/>
  <c r="AO72" i="475" s="1"/>
  <c r="AN73" i="475"/>
  <c r="AT73" i="475"/>
  <c r="AT72" i="475" s="1"/>
  <c r="AT25" i="475"/>
  <c r="AS36" i="475"/>
  <c r="AM41" i="475"/>
  <c r="AL78" i="475"/>
  <c r="AX78" i="475"/>
  <c r="AL43" i="475"/>
  <c r="AX43" i="475"/>
  <c r="AP46" i="475"/>
  <c r="Z49" i="475"/>
  <c r="AM49" i="475"/>
  <c r="AT49" i="475" s="1"/>
  <c r="A50" i="475"/>
  <c r="AL51" i="475"/>
  <c r="AX51" i="475"/>
  <c r="AP52" i="475"/>
  <c r="AS55" i="475"/>
  <c r="Z56" i="475"/>
  <c r="AM56" i="475"/>
  <c r="AM54" i="475"/>
  <c r="Z54" i="475"/>
  <c r="AU71" i="475"/>
  <c r="AU70" i="475" s="1"/>
  <c r="AD72" i="475"/>
  <c r="AQ73" i="475"/>
  <c r="AQ72" i="475" s="1"/>
  <c r="A40" i="475"/>
  <c r="AX42" i="475"/>
  <c r="AS46" i="475"/>
  <c r="AS48" i="475"/>
  <c r="AR48" i="475"/>
  <c r="AO48" i="475"/>
  <c r="AQ52" i="475"/>
  <c r="A55" i="475"/>
  <c r="AX52" i="475"/>
  <c r="AG57" i="475"/>
  <c r="Y56" i="475"/>
  <c r="AX56" i="475"/>
  <c r="AL56" i="475"/>
  <c r="AY61" i="475"/>
  <c r="A64" i="475"/>
  <c r="AL61" i="475"/>
  <c r="Z64" i="475"/>
  <c r="AA64" i="475" s="1"/>
  <c r="AG72" i="475"/>
  <c r="AR73" i="475"/>
  <c r="AR72" i="475" s="1"/>
  <c r="AY73" i="475"/>
  <c r="Z73" i="475"/>
  <c r="AL44" i="475"/>
  <c r="AM45" i="475"/>
  <c r="AR45" i="475" s="1"/>
  <c r="Y49" i="475"/>
  <c r="Z71" i="475"/>
  <c r="AI71" i="475" s="1"/>
  <c r="AI70" i="475" s="1"/>
  <c r="AX44" i="475"/>
  <c r="Y63" i="475"/>
  <c r="A73" i="475"/>
  <c r="S33" i="100"/>
  <c r="S33" i="125"/>
  <c r="S33" i="472"/>
  <c r="S33" i="102"/>
  <c r="T42" i="102" s="1"/>
  <c r="S12" i="119"/>
  <c r="S33" i="118"/>
  <c r="S12" i="118"/>
  <c r="S33" i="124"/>
  <c r="AH25" i="104"/>
  <c r="A11" i="104"/>
  <c r="AL13" i="104"/>
  <c r="Y17" i="104"/>
  <c r="Y18" i="104"/>
  <c r="AD18" i="104" s="1"/>
  <c r="AM22" i="104"/>
  <c r="AY24" i="104"/>
  <c r="AY26" i="104"/>
  <c r="AM27" i="104"/>
  <c r="Z28" i="104"/>
  <c r="AL29" i="104"/>
  <c r="Y32" i="104"/>
  <c r="AB32" i="104" s="1"/>
  <c r="AY33" i="104"/>
  <c r="Z37" i="104"/>
  <c r="AA37" i="104" s="1"/>
  <c r="Y42" i="104"/>
  <c r="AY48" i="104"/>
  <c r="AY51" i="104"/>
  <c r="AM55" i="104"/>
  <c r="AX56" i="104"/>
  <c r="Y64" i="104"/>
  <c r="AY65" i="104"/>
  <c r="Y69" i="104"/>
  <c r="Y4" i="104"/>
  <c r="AD4" i="104" s="1"/>
  <c r="A13" i="104"/>
  <c r="A16" i="104"/>
  <c r="Y21" i="104"/>
  <c r="AD24" i="104"/>
  <c r="AM28" i="104"/>
  <c r="Y30" i="104"/>
  <c r="AG30" i="104" s="1"/>
  <c r="Y35" i="104"/>
  <c r="AC35" i="104" s="1"/>
  <c r="A39" i="104"/>
  <c r="Y78" i="104"/>
  <c r="AC78" i="104" s="1"/>
  <c r="A44" i="104"/>
  <c r="A52" i="104"/>
  <c r="Z54" i="104"/>
  <c r="AG54" i="104" s="1"/>
  <c r="AL64" i="104"/>
  <c r="AY67" i="104"/>
  <c r="Z71" i="104"/>
  <c r="AL32" i="104"/>
  <c r="AM37" i="104"/>
  <c r="AR37" i="104" s="1"/>
  <c r="Z40" i="104"/>
  <c r="A51" i="104"/>
  <c r="Z60" i="104"/>
  <c r="Y63" i="104"/>
  <c r="Z3" i="104"/>
  <c r="AL8" i="104"/>
  <c r="AL21" i="104"/>
  <c r="AY28" i="104"/>
  <c r="Z31" i="104"/>
  <c r="AX32" i="104"/>
  <c r="AL36" i="104"/>
  <c r="Y43" i="104"/>
  <c r="AG43" i="104" s="1"/>
  <c r="AM60" i="104"/>
  <c r="AM3" i="104"/>
  <c r="AL4" i="104"/>
  <c r="AS4" i="104" s="1"/>
  <c r="AL10" i="104"/>
  <c r="AQ10" i="104" s="1"/>
  <c r="AX13" i="104"/>
  <c r="AN15" i="104"/>
  <c r="Y23" i="104"/>
  <c r="AL24" i="104"/>
  <c r="AQ30" i="104"/>
  <c r="AY31" i="104"/>
  <c r="AX35" i="104"/>
  <c r="AY37" i="104"/>
  <c r="AY39" i="104"/>
  <c r="AY40" i="104"/>
  <c r="AX41" i="104"/>
  <c r="AX42" i="104"/>
  <c r="AL49" i="104"/>
  <c r="AM53" i="104"/>
  <c r="Y56" i="104"/>
  <c r="Y66" i="104"/>
  <c r="AL23" i="104"/>
  <c r="Y27" i="104"/>
  <c r="Y44" i="104"/>
  <c r="AX45" i="104"/>
  <c r="AM49" i="104"/>
  <c r="Z56" i="104"/>
  <c r="AX57" i="104"/>
  <c r="AM68" i="104"/>
  <c r="Z73" i="104"/>
  <c r="AI73" i="104" s="1"/>
  <c r="AG25" i="104"/>
  <c r="AX10" i="104"/>
  <c r="Y11" i="104"/>
  <c r="Y13" i="104"/>
  <c r="AA13" i="104" s="1"/>
  <c r="A14" i="104"/>
  <c r="AX23" i="104"/>
  <c r="A46" i="104"/>
  <c r="AL56" i="104"/>
  <c r="AR56" i="104" s="1"/>
  <c r="AL73" i="104"/>
  <c r="S33" i="107"/>
  <c r="S33" i="101"/>
  <c r="S12" i="124"/>
  <c r="AH45" i="121"/>
  <c r="AI45" i="121"/>
  <c r="AS45" i="121"/>
  <c r="S33" i="121"/>
  <c r="S33" i="103"/>
  <c r="F80" i="103"/>
  <c r="AG14" i="104"/>
  <c r="AF14" i="104"/>
  <c r="AD14" i="104"/>
  <c r="AC14" i="104"/>
  <c r="AB14" i="104"/>
  <c r="AI14" i="104"/>
  <c r="AA14" i="104"/>
  <c r="AH14" i="104"/>
  <c r="Z23" i="104"/>
  <c r="AY23" i="104"/>
  <c r="AM23" i="104"/>
  <c r="AF24" i="104"/>
  <c r="AF15" i="104"/>
  <c r="AR26" i="104"/>
  <c r="AR30" i="104"/>
  <c r="AR25" i="104"/>
  <c r="AF10" i="104"/>
  <c r="AE10" i="104"/>
  <c r="AD10" i="104"/>
  <c r="AC10" i="104"/>
  <c r="AB10" i="104"/>
  <c r="AI10" i="104"/>
  <c r="AA10" i="104"/>
  <c r="A19" i="104"/>
  <c r="Y16" i="104"/>
  <c r="AX16" i="104"/>
  <c r="AL16" i="104"/>
  <c r="AY8" i="104"/>
  <c r="AM8" i="104"/>
  <c r="Z8" i="104"/>
  <c r="Z36" i="104"/>
  <c r="AE36" i="104" s="1"/>
  <c r="AY36" i="104"/>
  <c r="AM36" i="104"/>
  <c r="AA72" i="104"/>
  <c r="AI72" i="104"/>
  <c r="AI49" i="104"/>
  <c r="A12" i="104"/>
  <c r="Y9" i="104"/>
  <c r="AX9" i="104"/>
  <c r="AL9" i="104"/>
  <c r="AX20" i="104"/>
  <c r="AL20" i="104"/>
  <c r="Y20" i="104"/>
  <c r="AI26" i="104"/>
  <c r="AS19" i="104"/>
  <c r="AR19" i="104"/>
  <c r="AQ19" i="104"/>
  <c r="AP19" i="104"/>
  <c r="AO19" i="104"/>
  <c r="AN19" i="104"/>
  <c r="AU19" i="104"/>
  <c r="AF25" i="104"/>
  <c r="AE25" i="104"/>
  <c r="AD25" i="104"/>
  <c r="AB25" i="104"/>
  <c r="AA25" i="104"/>
  <c r="Z29" i="104"/>
  <c r="AM29" i="104"/>
  <c r="AY29" i="104"/>
  <c r="A37" i="104"/>
  <c r="Y34" i="104"/>
  <c r="AX34" i="104"/>
  <c r="AL34" i="104"/>
  <c r="AL39" i="104"/>
  <c r="A42" i="104"/>
  <c r="Y39" i="104"/>
  <c r="AX39" i="104"/>
  <c r="AG10" i="104"/>
  <c r="AP15" i="104"/>
  <c r="AO17" i="104"/>
  <c r="AY17" i="104"/>
  <c r="AU26" i="104"/>
  <c r="AU30" i="104"/>
  <c r="A55" i="104"/>
  <c r="AX52" i="104"/>
  <c r="Y52" i="104"/>
  <c r="AL52" i="104"/>
  <c r="AS58" i="104"/>
  <c r="AQ58" i="104"/>
  <c r="AP58" i="104"/>
  <c r="AO58" i="104"/>
  <c r="AU58" i="104"/>
  <c r="AT58" i="104"/>
  <c r="AN58" i="104"/>
  <c r="AM57" i="104"/>
  <c r="AN57" i="104" s="1"/>
  <c r="Z57" i="104"/>
  <c r="AY57" i="104"/>
  <c r="Y3" i="104"/>
  <c r="AM9" i="104"/>
  <c r="AL14" i="104"/>
  <c r="AG15" i="104"/>
  <c r="AQ15" i="104"/>
  <c r="AM16" i="104"/>
  <c r="AX19" i="104"/>
  <c r="Z20" i="104"/>
  <c r="AM21" i="104"/>
  <c r="AG24" i="104"/>
  <c r="AC26" i="104"/>
  <c r="AN26" i="104"/>
  <c r="AY30" i="104"/>
  <c r="AM32" i="104"/>
  <c r="AL11" i="104"/>
  <c r="AL18" i="104"/>
  <c r="AX21" i="104"/>
  <c r="AH24" i="104"/>
  <c r="AC25" i="104"/>
  <c r="AD26" i="104"/>
  <c r="AO26" i="104"/>
  <c r="AT30" i="104"/>
  <c r="Z44" i="104"/>
  <c r="AM44" i="104"/>
  <c r="AB72" i="104"/>
  <c r="AB49" i="104"/>
  <c r="AY9" i="104"/>
  <c r="AX14" i="104"/>
  <c r="AY16" i="104"/>
  <c r="Z17" i="104"/>
  <c r="AR17" i="104"/>
  <c r="A20" i="104"/>
  <c r="AY21" i="104"/>
  <c r="AA24" i="104"/>
  <c r="AI24" i="104"/>
  <c r="AE26" i="104"/>
  <c r="AP26" i="104"/>
  <c r="A28" i="104"/>
  <c r="Y28" i="104"/>
  <c r="AL28" i="104"/>
  <c r="AX38" i="104"/>
  <c r="AL38" i="104"/>
  <c r="A41" i="104"/>
  <c r="Y38" i="104"/>
  <c r="AY45" i="104"/>
  <c r="AM45" i="104"/>
  <c r="Z45" i="104"/>
  <c r="AR51" i="104"/>
  <c r="AQ51" i="104"/>
  <c r="AO51" i="104"/>
  <c r="AS51" i="104"/>
  <c r="AP51" i="104"/>
  <c r="AN51" i="104"/>
  <c r="AC72" i="104"/>
  <c r="AC49" i="104"/>
  <c r="AL3" i="104"/>
  <c r="A10" i="104"/>
  <c r="AX11" i="104"/>
  <c r="AB15" i="104"/>
  <c r="A17" i="104"/>
  <c r="AX18" i="104"/>
  <c r="Y19" i="104"/>
  <c r="AM20" i="104"/>
  <c r="AB24" i="104"/>
  <c r="AF26" i="104"/>
  <c r="AQ26" i="104"/>
  <c r="AC15" i="104"/>
  <c r="AT17" i="104"/>
  <c r="AC24" i="104"/>
  <c r="AP30" i="104"/>
  <c r="AL31" i="104"/>
  <c r="A34" i="104"/>
  <c r="AA41" i="104"/>
  <c r="AY46" i="104"/>
  <c r="AM46" i="104"/>
  <c r="Z46" i="104"/>
  <c r="AS26" i="104"/>
  <c r="Y29" i="104"/>
  <c r="A32" i="104"/>
  <c r="AY32" i="104"/>
  <c r="AO54" i="104"/>
  <c r="AN54" i="104"/>
  <c r="AS54" i="104"/>
  <c r="AT54" i="104"/>
  <c r="AO30" i="104"/>
  <c r="AM39" i="104"/>
  <c r="AY42" i="104"/>
  <c r="AL44" i="104"/>
  <c r="A48" i="104"/>
  <c r="A64" i="104"/>
  <c r="Y61" i="104"/>
  <c r="AX61" i="104"/>
  <c r="AO69" i="104"/>
  <c r="AX67" i="104"/>
  <c r="AL67" i="104"/>
  <c r="AR69" i="104"/>
  <c r="AQ69" i="104"/>
  <c r="AP69" i="104"/>
  <c r="AN69" i="104"/>
  <c r="A38" i="104"/>
  <c r="A45" i="104"/>
  <c r="Y51" i="104"/>
  <c r="A54" i="104"/>
  <c r="AS69" i="104"/>
  <c r="AG49" i="104"/>
  <c r="AD49" i="104"/>
  <c r="AY50" i="104"/>
  <c r="AM50" i="104"/>
  <c r="AL53" i="104"/>
  <c r="AL61" i="104"/>
  <c r="Z64" i="104"/>
  <c r="AY64" i="104"/>
  <c r="AM64" i="104"/>
  <c r="AU69" i="104"/>
  <c r="AX71" i="104"/>
  <c r="AL71" i="104"/>
  <c r="A73" i="104"/>
  <c r="Y71" i="104"/>
  <c r="AS30" i="104"/>
  <c r="AL40" i="104"/>
  <c r="AX78" i="104"/>
  <c r="Y48" i="104"/>
  <c r="AL48" i="104"/>
  <c r="AE49" i="104"/>
  <c r="Z50" i="104"/>
  <c r="AL35" i="104"/>
  <c r="AL43" i="104"/>
  <c r="AH49" i="104"/>
  <c r="Z55" i="104"/>
  <c r="AY55" i="104"/>
  <c r="Y58" i="104"/>
  <c r="Y67" i="104"/>
  <c r="Z66" i="104"/>
  <c r="AY66" i="104"/>
  <c r="AH72" i="104"/>
  <c r="AY52" i="104"/>
  <c r="AM52" i="104"/>
  <c r="G79" i="104"/>
  <c r="G77" i="104" s="1"/>
  <c r="G8" i="104" s="1"/>
  <c r="AX49" i="104"/>
  <c r="Z59" i="104"/>
  <c r="AH59" i="104" s="1"/>
  <c r="Z63" i="104"/>
  <c r="AL66" i="104"/>
  <c r="Z67" i="104"/>
  <c r="AY68" i="104"/>
  <c r="AT69" i="104"/>
  <c r="AD72" i="104"/>
  <c r="AL59" i="104"/>
  <c r="AL63" i="104"/>
  <c r="AF72" i="104"/>
  <c r="AX73" i="104"/>
  <c r="AM59" i="104"/>
  <c r="AM67" i="104"/>
  <c r="AY69" i="104"/>
  <c r="AG72" i="104"/>
  <c r="G79" i="103"/>
  <c r="G77" i="103" s="1"/>
  <c r="G8" i="103" s="1"/>
  <c r="S12" i="103"/>
  <c r="S12" i="107"/>
  <c r="AG2" i="107"/>
  <c r="G79" i="106"/>
  <c r="G77" i="106" s="1"/>
  <c r="G8" i="106" s="1"/>
  <c r="S12" i="106"/>
  <c r="S12" i="472"/>
  <c r="S12" i="121"/>
  <c r="S12" i="108"/>
  <c r="S33" i="104"/>
  <c r="S12" i="104"/>
  <c r="A5" i="418"/>
  <c r="A6" i="54"/>
  <c r="A14" i="418"/>
  <c r="S12" i="100"/>
  <c r="S12" i="115"/>
  <c r="S12" i="116"/>
  <c r="S33" i="123"/>
  <c r="D23" i="418"/>
  <c r="AU2" i="114"/>
  <c r="S33" i="114"/>
  <c r="T42" i="114" s="1"/>
  <c r="S12" i="114"/>
  <c r="AO2" i="114"/>
  <c r="AS2" i="114"/>
  <c r="AN2" i="114"/>
  <c r="AQ2" i="114"/>
  <c r="S12" i="101"/>
  <c r="G44" i="674" l="1"/>
  <c r="G42" i="674" s="1"/>
  <c r="G49" i="674" s="1"/>
  <c r="F49" i="674"/>
  <c r="C78" i="748"/>
  <c r="C145" i="748" s="1"/>
  <c r="L25" i="753"/>
  <c r="F27" i="753"/>
  <c r="G27" i="753"/>
  <c r="K27" i="753"/>
  <c r="I24" i="753"/>
  <c r="C101" i="755"/>
  <c r="C99" i="755"/>
  <c r="C96" i="755"/>
  <c r="C100" i="755"/>
  <c r="C98" i="755"/>
  <c r="C97" i="755"/>
  <c r="C53" i="748"/>
  <c r="C69" i="748"/>
  <c r="B66" i="755"/>
  <c r="C59" i="755" s="1"/>
  <c r="D53" i="748"/>
  <c r="B18" i="755"/>
  <c r="N7" i="753"/>
  <c r="C43" i="755"/>
  <c r="D8" i="679"/>
  <c r="G77" i="59"/>
  <c r="G8" i="59" s="1"/>
  <c r="AF40" i="114"/>
  <c r="AO71" i="475"/>
  <c r="AO70" i="475" s="1"/>
  <c r="AS69" i="124"/>
  <c r="AU69" i="122"/>
  <c r="AR71" i="475"/>
  <c r="AR70" i="475" s="1"/>
  <c r="AP69" i="118"/>
  <c r="AO69" i="124"/>
  <c r="AG56" i="106"/>
  <c r="AB56" i="121"/>
  <c r="AI58" i="115"/>
  <c r="AC57" i="118"/>
  <c r="AG55" i="122"/>
  <c r="AE57" i="112"/>
  <c r="AQ58" i="102"/>
  <c r="AU54" i="118"/>
  <c r="AT56" i="112"/>
  <c r="AQ56" i="121"/>
  <c r="H33" i="674"/>
  <c r="AV9" i="103"/>
  <c r="AF25" i="103"/>
  <c r="AG54" i="123"/>
  <c r="AD54" i="123"/>
  <c r="AQ21" i="475"/>
  <c r="AO21" i="475"/>
  <c r="AQ71" i="118"/>
  <c r="AQ70" i="118" s="1"/>
  <c r="AR71" i="118"/>
  <c r="AR70" i="118" s="1"/>
  <c r="AU73" i="121"/>
  <c r="AU72" i="121" s="1"/>
  <c r="AN73" i="121"/>
  <c r="AN72" i="121" s="1"/>
  <c r="AS73" i="121"/>
  <c r="AS72" i="121" s="1"/>
  <c r="AH24" i="121"/>
  <c r="AI24" i="121"/>
  <c r="AG24" i="121"/>
  <c r="AA24" i="121"/>
  <c r="AU28" i="120"/>
  <c r="AQ28" i="120"/>
  <c r="AO28" i="120"/>
  <c r="AO34" i="122"/>
  <c r="AN34" i="122"/>
  <c r="AT41" i="125"/>
  <c r="AS41" i="125"/>
  <c r="AO63" i="123"/>
  <c r="AS63" i="123"/>
  <c r="AH57" i="116"/>
  <c r="AG57" i="116"/>
  <c r="AI57" i="116"/>
  <c r="AH28" i="472"/>
  <c r="AC28" i="472"/>
  <c r="AA28" i="472"/>
  <c r="AD28" i="472"/>
  <c r="AF25" i="110"/>
  <c r="AI25" i="110"/>
  <c r="AE23" i="124"/>
  <c r="AG23" i="124"/>
  <c r="AD23" i="124"/>
  <c r="AD32" i="114"/>
  <c r="AE32" i="114"/>
  <c r="AC17" i="110"/>
  <c r="AF17" i="110"/>
  <c r="AI17" i="110"/>
  <c r="AH17" i="110"/>
  <c r="AQ71" i="120"/>
  <c r="AQ70" i="120" s="1"/>
  <c r="AU27" i="120"/>
  <c r="AN17" i="104"/>
  <c r="AR9" i="123"/>
  <c r="AN9" i="123"/>
  <c r="AU9" i="123"/>
  <c r="AO9" i="123"/>
  <c r="AS9" i="123"/>
  <c r="AE46" i="122"/>
  <c r="AF46" i="122"/>
  <c r="AN48" i="121"/>
  <c r="AQ48" i="121"/>
  <c r="AU48" i="121"/>
  <c r="AU71" i="115"/>
  <c r="AU70" i="115" s="1"/>
  <c r="AS71" i="115"/>
  <c r="AS70" i="115" s="1"/>
  <c r="AT24" i="124"/>
  <c r="AH25" i="472"/>
  <c r="AC25" i="472"/>
  <c r="AV29" i="102"/>
  <c r="AF66" i="119"/>
  <c r="AG32" i="124"/>
  <c r="AO42" i="104"/>
  <c r="AQ42" i="104"/>
  <c r="AH48" i="123"/>
  <c r="AG48" i="123"/>
  <c r="AR29" i="117"/>
  <c r="AP29" i="117"/>
  <c r="AN29" i="117"/>
  <c r="AN27" i="104"/>
  <c r="AI54" i="122"/>
  <c r="AB54" i="122"/>
  <c r="AA48" i="123"/>
  <c r="AB23" i="122"/>
  <c r="AC13" i="123"/>
  <c r="AI9" i="475"/>
  <c r="AO58" i="120"/>
  <c r="AB31" i="122"/>
  <c r="AQ16" i="116"/>
  <c r="AA57" i="114"/>
  <c r="AN67" i="111"/>
  <c r="AB17" i="112"/>
  <c r="AE17" i="112"/>
  <c r="AF40" i="475"/>
  <c r="AH40" i="475"/>
  <c r="AG28" i="475"/>
  <c r="AB28" i="475"/>
  <c r="AD28" i="475"/>
  <c r="AG38" i="121"/>
  <c r="AC24" i="122"/>
  <c r="AD24" i="122"/>
  <c r="AE53" i="120"/>
  <c r="AA9" i="119"/>
  <c r="AD9" i="119"/>
  <c r="AC38" i="120"/>
  <c r="AS48" i="123"/>
  <c r="AN48" i="123"/>
  <c r="AR48" i="123"/>
  <c r="AE37" i="475"/>
  <c r="AG37" i="475"/>
  <c r="AQ43" i="472"/>
  <c r="AQ25" i="102"/>
  <c r="AR25" i="102"/>
  <c r="AC25" i="112"/>
  <c r="AA25" i="112"/>
  <c r="AS17" i="123"/>
  <c r="AP17" i="123"/>
  <c r="AB16" i="112"/>
  <c r="AA16" i="112"/>
  <c r="AI53" i="104"/>
  <c r="AO20" i="475"/>
  <c r="AQ58" i="125"/>
  <c r="AD13" i="123"/>
  <c r="AH11" i="121"/>
  <c r="AB36" i="475"/>
  <c r="AH18" i="475"/>
  <c r="AP37" i="125"/>
  <c r="AU37" i="125"/>
  <c r="AA15" i="122"/>
  <c r="AB15" i="122"/>
  <c r="AE8" i="118"/>
  <c r="AH8" i="118"/>
  <c r="AA21" i="124"/>
  <c r="AC21" i="124"/>
  <c r="AA37" i="112"/>
  <c r="AE37" i="112"/>
  <c r="AG25" i="475"/>
  <c r="AE25" i="475"/>
  <c r="AA25" i="475"/>
  <c r="AB45" i="123"/>
  <c r="AG41" i="118"/>
  <c r="AI41" i="118"/>
  <c r="AO54" i="114"/>
  <c r="AI41" i="115"/>
  <c r="AG41" i="115"/>
  <c r="AQ27" i="472"/>
  <c r="AN27" i="472"/>
  <c r="AR27" i="472"/>
  <c r="AN29" i="120"/>
  <c r="AS29" i="120"/>
  <c r="AR58" i="104"/>
  <c r="AT27" i="101"/>
  <c r="AA34" i="115"/>
  <c r="AG34" i="115"/>
  <c r="AR36" i="472"/>
  <c r="AQ36" i="472"/>
  <c r="AP36" i="472"/>
  <c r="AC46" i="119"/>
  <c r="AG46" i="119"/>
  <c r="AT20" i="118"/>
  <c r="AP20" i="118"/>
  <c r="AN20" i="118"/>
  <c r="AO20" i="118"/>
  <c r="AS20" i="118"/>
  <c r="AS15" i="119"/>
  <c r="AQ15" i="119"/>
  <c r="AP15" i="119"/>
  <c r="AQ34" i="120"/>
  <c r="AP34" i="120"/>
  <c r="AT15" i="104"/>
  <c r="AD15" i="117"/>
  <c r="AI15" i="117"/>
  <c r="AE15" i="117"/>
  <c r="AC15" i="117"/>
  <c r="AE38" i="475"/>
  <c r="AO58" i="125"/>
  <c r="AQ9" i="123"/>
  <c r="AB53" i="104"/>
  <c r="AJ53" i="104" s="1"/>
  <c r="AP20" i="475"/>
  <c r="AR58" i="125"/>
  <c r="AT9" i="123"/>
  <c r="AR66" i="122"/>
  <c r="AA46" i="122"/>
  <c r="AE13" i="123"/>
  <c r="AH19" i="117"/>
  <c r="AT10" i="117"/>
  <c r="AI19" i="117"/>
  <c r="AQ25" i="114"/>
  <c r="AB28" i="472"/>
  <c r="AG28" i="472"/>
  <c r="AC25" i="110"/>
  <c r="AQ15" i="111"/>
  <c r="AO53" i="125"/>
  <c r="AP53" i="125"/>
  <c r="AU53" i="125"/>
  <c r="AR35" i="125"/>
  <c r="AP35" i="125"/>
  <c r="AU35" i="125"/>
  <c r="AQ35" i="125"/>
  <c r="AU26" i="475"/>
  <c r="AO51" i="120"/>
  <c r="AP51" i="120"/>
  <c r="AE67" i="124"/>
  <c r="AF67" i="124"/>
  <c r="AQ44" i="125"/>
  <c r="AN42" i="104"/>
  <c r="AS44" i="125"/>
  <c r="AP9" i="123"/>
  <c r="AU66" i="122"/>
  <c r="AT48" i="121"/>
  <c r="AS42" i="121"/>
  <c r="AS48" i="121"/>
  <c r="AH17" i="118"/>
  <c r="AU35" i="117"/>
  <c r="AI58" i="114"/>
  <c r="AF28" i="472"/>
  <c r="AB25" i="110"/>
  <c r="AA59" i="100"/>
  <c r="AA49" i="104"/>
  <c r="AF49" i="104"/>
  <c r="AI13" i="123"/>
  <c r="AA13" i="123"/>
  <c r="AT23" i="120"/>
  <c r="AR23" i="120"/>
  <c r="AP23" i="120"/>
  <c r="AO23" i="120"/>
  <c r="AU20" i="116"/>
  <c r="AQ17" i="116"/>
  <c r="AI16" i="114"/>
  <c r="AT34" i="472"/>
  <c r="AC51" i="112"/>
  <c r="AT34" i="111"/>
  <c r="AR49" i="106"/>
  <c r="AI40" i="105"/>
  <c r="AQ46" i="116"/>
  <c r="AR24" i="121"/>
  <c r="AO9" i="111"/>
  <c r="AQ27" i="108"/>
  <c r="AU36" i="123"/>
  <c r="AD32" i="123"/>
  <c r="AI17" i="122"/>
  <c r="AA44" i="123"/>
  <c r="AP64" i="121"/>
  <c r="AG56" i="121"/>
  <c r="AI51" i="118"/>
  <c r="AN26" i="117"/>
  <c r="AE28" i="118"/>
  <c r="AU17" i="116"/>
  <c r="AD16" i="114"/>
  <c r="AI28" i="114"/>
  <c r="AA16" i="114"/>
  <c r="AS73" i="125"/>
  <c r="AS72" i="125" s="1"/>
  <c r="AN13" i="112"/>
  <c r="AE57" i="110"/>
  <c r="AC20" i="122"/>
  <c r="AE16" i="114"/>
  <c r="AC28" i="114"/>
  <c r="AQ20" i="112"/>
  <c r="AH16" i="114"/>
  <c r="AI34" i="108"/>
  <c r="AE14" i="104"/>
  <c r="AU61" i="108"/>
  <c r="AQ16" i="108"/>
  <c r="AC53" i="107"/>
  <c r="AR56" i="114"/>
  <c r="AT23" i="123"/>
  <c r="AO36" i="123"/>
  <c r="AG20" i="117"/>
  <c r="AF16" i="114"/>
  <c r="AC16" i="114"/>
  <c r="AN35" i="105"/>
  <c r="AR55" i="100"/>
  <c r="AC23" i="122"/>
  <c r="AN58" i="120"/>
  <c r="AQ35" i="120"/>
  <c r="AN66" i="125"/>
  <c r="AP58" i="117"/>
  <c r="AE31" i="111"/>
  <c r="AF31" i="111"/>
  <c r="AI55" i="102"/>
  <c r="AC55" i="102"/>
  <c r="AD55" i="102"/>
  <c r="AP11" i="105"/>
  <c r="AN11" i="105"/>
  <c r="AU11" i="105"/>
  <c r="AO11" i="105"/>
  <c r="AT11" i="105"/>
  <c r="AQ11" i="105"/>
  <c r="AH32" i="115"/>
  <c r="AC32" i="115"/>
  <c r="AF32" i="115"/>
  <c r="AG9" i="475"/>
  <c r="AD9" i="475"/>
  <c r="AC9" i="475"/>
  <c r="AE9" i="475"/>
  <c r="AB55" i="122"/>
  <c r="AA55" i="122"/>
  <c r="AD55" i="122"/>
  <c r="AJ55" i="122" s="1"/>
  <c r="AN30" i="120"/>
  <c r="AU30" i="120"/>
  <c r="AS30" i="120"/>
  <c r="AT30" i="120"/>
  <c r="AP30" i="120"/>
  <c r="AP40" i="123"/>
  <c r="AT40" i="123"/>
  <c r="AP36" i="122"/>
  <c r="AR36" i="122"/>
  <c r="AN36" i="122"/>
  <c r="AU36" i="122"/>
  <c r="AS36" i="122"/>
  <c r="AO36" i="122"/>
  <c r="AU24" i="122"/>
  <c r="AR24" i="122"/>
  <c r="AS24" i="122"/>
  <c r="AQ24" i="122"/>
  <c r="AN24" i="122"/>
  <c r="AO24" i="122"/>
  <c r="AP24" i="122"/>
  <c r="AQ42" i="122"/>
  <c r="AS42" i="122"/>
  <c r="AP31" i="118"/>
  <c r="AS31" i="118"/>
  <c r="AR31" i="118"/>
  <c r="AO31" i="118"/>
  <c r="AU31" i="118"/>
  <c r="AI71" i="472"/>
  <c r="AI70" i="472" s="1"/>
  <c r="AB71" i="472"/>
  <c r="AB70" i="472" s="1"/>
  <c r="AF71" i="472"/>
  <c r="AF70" i="472" s="1"/>
  <c r="AE71" i="472"/>
  <c r="AE70" i="472" s="1"/>
  <c r="AD71" i="472"/>
  <c r="AD70" i="472" s="1"/>
  <c r="AS15" i="116"/>
  <c r="AQ15" i="116"/>
  <c r="AP15" i="116"/>
  <c r="AI51" i="115"/>
  <c r="AA51" i="115"/>
  <c r="AG27" i="124"/>
  <c r="AF27" i="124"/>
  <c r="AE27" i="124"/>
  <c r="AD27" i="124"/>
  <c r="AC27" i="124"/>
  <c r="AI27" i="124"/>
  <c r="AA27" i="124"/>
  <c r="AH27" i="124"/>
  <c r="AB27" i="124"/>
  <c r="AQ40" i="111"/>
  <c r="AN40" i="111"/>
  <c r="AO40" i="111"/>
  <c r="AN34" i="106"/>
  <c r="AR34" i="106"/>
  <c r="AN30" i="106"/>
  <c r="AT30" i="106"/>
  <c r="AP57" i="110"/>
  <c r="AR57" i="110"/>
  <c r="AU57" i="110"/>
  <c r="AO64" i="110"/>
  <c r="AN64" i="110"/>
  <c r="AS32" i="103"/>
  <c r="AT71" i="116"/>
  <c r="AT70" i="116" s="1"/>
  <c r="AQ71" i="116"/>
  <c r="AQ70" i="116" s="1"/>
  <c r="AS71" i="116"/>
  <c r="AS70" i="116" s="1"/>
  <c r="AF21" i="116"/>
  <c r="AD21" i="116"/>
  <c r="AB21" i="116"/>
  <c r="AA21" i="116"/>
  <c r="AD27" i="115"/>
  <c r="AG27" i="115"/>
  <c r="AF27" i="115"/>
  <c r="AE27" i="115"/>
  <c r="AH27" i="115"/>
  <c r="AI27" i="115"/>
  <c r="AA27" i="115"/>
  <c r="AD66" i="107"/>
  <c r="AA66" i="107"/>
  <c r="AC66" i="107"/>
  <c r="AB66" i="107"/>
  <c r="AF66" i="107"/>
  <c r="AI66" i="107"/>
  <c r="AI11" i="105"/>
  <c r="AG11" i="105"/>
  <c r="AE11" i="105"/>
  <c r="AS11" i="125"/>
  <c r="AQ11" i="125"/>
  <c r="AP11" i="125"/>
  <c r="AO11" i="125"/>
  <c r="AR11" i="125"/>
  <c r="AN11" i="125"/>
  <c r="AP19" i="475"/>
  <c r="AN19" i="475"/>
  <c r="AT19" i="475"/>
  <c r="AS21" i="121"/>
  <c r="AP21" i="121"/>
  <c r="AG23" i="123"/>
  <c r="AE23" i="123"/>
  <c r="AD66" i="108"/>
  <c r="AE66" i="108"/>
  <c r="AQ36" i="114"/>
  <c r="AU36" i="114"/>
  <c r="AF18" i="124"/>
  <c r="AG18" i="124"/>
  <c r="AE18" i="124"/>
  <c r="AO54" i="123"/>
  <c r="AP54" i="123"/>
  <c r="AR54" i="123"/>
  <c r="AN54" i="123"/>
  <c r="AT54" i="123"/>
  <c r="AQ54" i="123"/>
  <c r="AS24" i="472"/>
  <c r="AQ19" i="121"/>
  <c r="AS19" i="121"/>
  <c r="AU19" i="121"/>
  <c r="AP19" i="121"/>
  <c r="AO19" i="121"/>
  <c r="AN19" i="121"/>
  <c r="AR19" i="121"/>
  <c r="AT69" i="125"/>
  <c r="AU69" i="125"/>
  <c r="AN69" i="125"/>
  <c r="AR69" i="125"/>
  <c r="AQ69" i="125"/>
  <c r="AS69" i="125"/>
  <c r="AP11" i="121"/>
  <c r="AR11" i="121"/>
  <c r="AP53" i="122"/>
  <c r="AO53" i="122"/>
  <c r="AS53" i="122"/>
  <c r="AU53" i="122"/>
  <c r="AO29" i="121"/>
  <c r="AR29" i="121"/>
  <c r="AS29" i="121"/>
  <c r="AP29" i="121"/>
  <c r="AN29" i="121"/>
  <c r="AT29" i="121"/>
  <c r="AQ29" i="121"/>
  <c r="AG26" i="475"/>
  <c r="AF26" i="475"/>
  <c r="AB26" i="475"/>
  <c r="AA26" i="475"/>
  <c r="AC26" i="475"/>
  <c r="AA55" i="116"/>
  <c r="AF55" i="116"/>
  <c r="AC55" i="116"/>
  <c r="AE55" i="116"/>
  <c r="AD55" i="116"/>
  <c r="AO57" i="116"/>
  <c r="AR57" i="116"/>
  <c r="AP57" i="116"/>
  <c r="AU57" i="116"/>
  <c r="AQ57" i="116"/>
  <c r="AP66" i="110"/>
  <c r="AO66" i="110"/>
  <c r="AT66" i="110"/>
  <c r="AR66" i="110"/>
  <c r="AU66" i="110"/>
  <c r="AQ66" i="110"/>
  <c r="AN66" i="110"/>
  <c r="AQ31" i="111"/>
  <c r="AU31" i="111"/>
  <c r="AP31" i="111"/>
  <c r="AR31" i="111"/>
  <c r="AG20" i="118"/>
  <c r="AF20" i="118"/>
  <c r="AF9" i="122"/>
  <c r="AI9" i="122"/>
  <c r="AO9" i="107"/>
  <c r="AT9" i="107"/>
  <c r="AN9" i="107"/>
  <c r="AR9" i="107"/>
  <c r="AP45" i="123"/>
  <c r="AN45" i="123"/>
  <c r="AN37" i="116"/>
  <c r="AO37" i="116"/>
  <c r="AN19" i="120"/>
  <c r="AQ19" i="117"/>
  <c r="AF48" i="121"/>
  <c r="AP16" i="116"/>
  <c r="AF9" i="475"/>
  <c r="AD26" i="475"/>
  <c r="AT38" i="475"/>
  <c r="AU24" i="123"/>
  <c r="AH31" i="122"/>
  <c r="AU69" i="120"/>
  <c r="AQ54" i="120"/>
  <c r="AG55" i="116"/>
  <c r="AU31" i="124"/>
  <c r="AC11" i="105"/>
  <c r="AS49" i="121"/>
  <c r="AP49" i="121"/>
  <c r="AO49" i="121"/>
  <c r="AU49" i="121"/>
  <c r="AN49" i="121"/>
  <c r="AC58" i="117"/>
  <c r="AE58" i="117"/>
  <c r="AC78" i="119"/>
  <c r="AH78" i="119"/>
  <c r="AI78" i="119"/>
  <c r="AA78" i="119"/>
  <c r="AF78" i="119"/>
  <c r="AE78" i="119"/>
  <c r="AB78" i="119"/>
  <c r="AG78" i="119"/>
  <c r="AT9" i="106"/>
  <c r="AP9" i="106"/>
  <c r="AN9" i="106"/>
  <c r="AU9" i="106"/>
  <c r="AR9" i="106"/>
  <c r="AS9" i="106"/>
  <c r="AQ9" i="106"/>
  <c r="AO9" i="106"/>
  <c r="AQ25" i="104"/>
  <c r="AS25" i="104"/>
  <c r="AN25" i="104"/>
  <c r="AT25" i="104"/>
  <c r="AO25" i="104"/>
  <c r="AU25" i="104"/>
  <c r="AI41" i="472"/>
  <c r="AH41" i="472"/>
  <c r="AC41" i="472"/>
  <c r="AQ35" i="123"/>
  <c r="AU35" i="123"/>
  <c r="AT35" i="123"/>
  <c r="AO35" i="123"/>
  <c r="AS28" i="475"/>
  <c r="AQ28" i="475"/>
  <c r="AP28" i="475"/>
  <c r="AN28" i="475"/>
  <c r="AT28" i="475"/>
  <c r="AU28" i="475"/>
  <c r="AB58" i="117"/>
  <c r="AI41" i="121"/>
  <c r="AE41" i="121"/>
  <c r="AF41" i="121"/>
  <c r="AQ24" i="111"/>
  <c r="AT24" i="111"/>
  <c r="AB9" i="475"/>
  <c r="AA18" i="122"/>
  <c r="AI31" i="122"/>
  <c r="AB48" i="119"/>
  <c r="AF11" i="105"/>
  <c r="AE23" i="122"/>
  <c r="AI23" i="122"/>
  <c r="AH23" i="122"/>
  <c r="AD23" i="122"/>
  <c r="AF23" i="122"/>
  <c r="AC24" i="110"/>
  <c r="AI24" i="110"/>
  <c r="AU16" i="111"/>
  <c r="AT16" i="111"/>
  <c r="AQ16" i="111"/>
  <c r="AI17" i="118"/>
  <c r="AR25" i="120"/>
  <c r="AU25" i="120"/>
  <c r="AP25" i="120"/>
  <c r="AO25" i="120"/>
  <c r="AN25" i="120"/>
  <c r="AS25" i="120"/>
  <c r="AQ25" i="120"/>
  <c r="AT25" i="120"/>
  <c r="AF53" i="117"/>
  <c r="AB53" i="117"/>
  <c r="AI53" i="117"/>
  <c r="AQ8" i="118"/>
  <c r="AS8" i="118"/>
  <c r="AP8" i="118"/>
  <c r="AU23" i="117"/>
  <c r="AS23" i="117"/>
  <c r="AP23" i="117"/>
  <c r="AT23" i="117"/>
  <c r="AO23" i="117"/>
  <c r="AR23" i="117"/>
  <c r="AN23" i="117"/>
  <c r="AQ23" i="117"/>
  <c r="AP25" i="104"/>
  <c r="AH26" i="475"/>
  <c r="AJ52" i="116"/>
  <c r="AE31" i="116"/>
  <c r="AD31" i="116"/>
  <c r="AB31" i="116"/>
  <c r="AD54" i="124"/>
  <c r="AH54" i="124"/>
  <c r="AF54" i="124"/>
  <c r="AE54" i="124"/>
  <c r="AF66" i="124"/>
  <c r="AA66" i="124"/>
  <c r="AF52" i="117"/>
  <c r="AB52" i="117"/>
  <c r="AG52" i="117"/>
  <c r="AC52" i="117"/>
  <c r="AE52" i="117"/>
  <c r="AA52" i="117"/>
  <c r="AH52" i="117"/>
  <c r="AP31" i="116"/>
  <c r="AQ31" i="116"/>
  <c r="AT31" i="116"/>
  <c r="AS64" i="115"/>
  <c r="AN64" i="115"/>
  <c r="AP64" i="115"/>
  <c r="AQ64" i="115"/>
  <c r="AO64" i="115"/>
  <c r="AR64" i="115"/>
  <c r="AT64" i="115"/>
  <c r="AT42" i="114"/>
  <c r="AS42" i="114"/>
  <c r="AR42" i="114"/>
  <c r="AF16" i="116"/>
  <c r="AD16" i="116"/>
  <c r="AB16" i="116"/>
  <c r="AA16" i="116"/>
  <c r="AG16" i="116"/>
  <c r="AI16" i="116"/>
  <c r="AE16" i="116"/>
  <c r="AT11" i="116"/>
  <c r="AN11" i="116"/>
  <c r="AQ11" i="116"/>
  <c r="AR11" i="116"/>
  <c r="AP11" i="116"/>
  <c r="AU11" i="116"/>
  <c r="AE26" i="475"/>
  <c r="AE18" i="122"/>
  <c r="AT19" i="117"/>
  <c r="AU19" i="117"/>
  <c r="AS19" i="117"/>
  <c r="AP19" i="117"/>
  <c r="AR19" i="117"/>
  <c r="AG17" i="118"/>
  <c r="AA17" i="118"/>
  <c r="AF17" i="118"/>
  <c r="AB17" i="118"/>
  <c r="AS35" i="120"/>
  <c r="AP35" i="120"/>
  <c r="AT35" i="120"/>
  <c r="AO35" i="120"/>
  <c r="AU35" i="120"/>
  <c r="AT66" i="125"/>
  <c r="AU66" i="125"/>
  <c r="AR66" i="125"/>
  <c r="AT18" i="475"/>
  <c r="AN18" i="475"/>
  <c r="AR18" i="475"/>
  <c r="AU18" i="475"/>
  <c r="AQ18" i="475"/>
  <c r="AP18" i="475"/>
  <c r="AO18" i="475"/>
  <c r="AP69" i="120"/>
  <c r="AQ69" i="120"/>
  <c r="AN69" i="120"/>
  <c r="AR69" i="120"/>
  <c r="AR24" i="123"/>
  <c r="AS24" i="123"/>
  <c r="AP24" i="123"/>
  <c r="AT24" i="123"/>
  <c r="AS58" i="120"/>
  <c r="AU58" i="120"/>
  <c r="AR58" i="120"/>
  <c r="AP58" i="120"/>
  <c r="AB18" i="122"/>
  <c r="AC18" i="122"/>
  <c r="AD18" i="122"/>
  <c r="AO48" i="122"/>
  <c r="AS48" i="122"/>
  <c r="AI29" i="117"/>
  <c r="AG29" i="117"/>
  <c r="AE29" i="117"/>
  <c r="AH29" i="117"/>
  <c r="AC29" i="117"/>
  <c r="AU66" i="106"/>
  <c r="AO66" i="106"/>
  <c r="AQ66" i="106"/>
  <c r="AN66" i="106"/>
  <c r="AP66" i="106"/>
  <c r="AS66" i="106"/>
  <c r="AR66" i="106"/>
  <c r="AH64" i="118"/>
  <c r="AI26" i="475"/>
  <c r="AP51" i="121"/>
  <c r="AO69" i="125"/>
  <c r="AU11" i="125"/>
  <c r="AT24" i="122"/>
  <c r="AA23" i="122"/>
  <c r="AN53" i="122"/>
  <c r="AG48" i="121"/>
  <c r="AE27" i="114"/>
  <c r="AN34" i="114"/>
  <c r="AH54" i="120"/>
  <c r="AA54" i="120"/>
  <c r="AO42" i="116"/>
  <c r="AU42" i="116"/>
  <c r="AO24" i="124"/>
  <c r="AP24" i="124"/>
  <c r="AD25" i="472"/>
  <c r="AE25" i="472"/>
  <c r="AA58" i="114"/>
  <c r="AC58" i="114"/>
  <c r="AB58" i="114"/>
  <c r="AH58" i="114"/>
  <c r="AB53" i="115"/>
  <c r="AD53" i="115"/>
  <c r="AC53" i="115"/>
  <c r="AH53" i="115"/>
  <c r="AP44" i="112"/>
  <c r="AU39" i="115"/>
  <c r="AQ39" i="115"/>
  <c r="AN39" i="115"/>
  <c r="AT39" i="115"/>
  <c r="AO32" i="114"/>
  <c r="AN32" i="114"/>
  <c r="AR32" i="114"/>
  <c r="AH11" i="108"/>
  <c r="AG11" i="108"/>
  <c r="AB11" i="108"/>
  <c r="AF11" i="108"/>
  <c r="AE11" i="108"/>
  <c r="AI11" i="108"/>
  <c r="AA11" i="108"/>
  <c r="AD11" i="108"/>
  <c r="AC11" i="108"/>
  <c r="AD73" i="105"/>
  <c r="AF73" i="105"/>
  <c r="AE73" i="105"/>
  <c r="AI49" i="111"/>
  <c r="AE49" i="111"/>
  <c r="AC49" i="111"/>
  <c r="AA49" i="111"/>
  <c r="AF49" i="111"/>
  <c r="AB49" i="111"/>
  <c r="AD17" i="106"/>
  <c r="AF17" i="106"/>
  <c r="AO18" i="105"/>
  <c r="AP18" i="105"/>
  <c r="AC19" i="106"/>
  <c r="AH19" i="106"/>
  <c r="AC16" i="106"/>
  <c r="AC30" i="120"/>
  <c r="AI30" i="120"/>
  <c r="AE30" i="120"/>
  <c r="AB30" i="120"/>
  <c r="AA30" i="120"/>
  <c r="AS67" i="117"/>
  <c r="AU13" i="119"/>
  <c r="AR13" i="119"/>
  <c r="AA44" i="118"/>
  <c r="AB44" i="118"/>
  <c r="AD44" i="118"/>
  <c r="AR35" i="124"/>
  <c r="AN35" i="124"/>
  <c r="AU35" i="124"/>
  <c r="AT53" i="111"/>
  <c r="AO53" i="111"/>
  <c r="AU27" i="115"/>
  <c r="AQ27" i="115"/>
  <c r="AP27" i="115"/>
  <c r="AO27" i="115"/>
  <c r="AT39" i="108"/>
  <c r="AU39" i="108"/>
  <c r="AP39" i="108"/>
  <c r="AR39" i="108"/>
  <c r="AG44" i="111"/>
  <c r="AI44" i="111"/>
  <c r="AH44" i="111"/>
  <c r="AB44" i="111"/>
  <c r="AC19" i="110"/>
  <c r="AG19" i="110"/>
  <c r="AE64" i="105"/>
  <c r="AD64" i="105"/>
  <c r="AA64" i="105"/>
  <c r="AH64" i="105"/>
  <c r="AF64" i="105"/>
  <c r="AI64" i="105"/>
  <c r="AC64" i="105"/>
  <c r="AN25" i="106"/>
  <c r="AQ25" i="106"/>
  <c r="AS25" i="106"/>
  <c r="AR25" i="106"/>
  <c r="AO25" i="106"/>
  <c r="AQ20" i="108"/>
  <c r="AN20" i="108"/>
  <c r="AT20" i="108"/>
  <c r="AO20" i="108"/>
  <c r="AI11" i="106"/>
  <c r="AC11" i="106"/>
  <c r="AD11" i="106"/>
  <c r="AA11" i="106"/>
  <c r="AF11" i="106"/>
  <c r="AB11" i="106"/>
  <c r="AE11" i="106"/>
  <c r="AH11" i="106"/>
  <c r="AU56" i="112"/>
  <c r="AD61" i="107"/>
  <c r="AF61" i="107"/>
  <c r="AB61" i="107"/>
  <c r="AC61" i="107"/>
  <c r="AA61" i="107"/>
  <c r="AB66" i="106"/>
  <c r="AC66" i="106"/>
  <c r="AI66" i="106"/>
  <c r="AG66" i="106"/>
  <c r="AB41" i="108"/>
  <c r="AD15" i="112"/>
  <c r="AB15" i="112"/>
  <c r="AE57" i="120"/>
  <c r="AF20" i="116"/>
  <c r="AE20" i="116"/>
  <c r="AQ36" i="106"/>
  <c r="AA15" i="105"/>
  <c r="AE15" i="105"/>
  <c r="AC31" i="122"/>
  <c r="AA31" i="122"/>
  <c r="AC32" i="121"/>
  <c r="AB32" i="121"/>
  <c r="AE32" i="121"/>
  <c r="AI32" i="121"/>
  <c r="AI49" i="120"/>
  <c r="AA49" i="120"/>
  <c r="AG51" i="119"/>
  <c r="AH51" i="119"/>
  <c r="AP32" i="117"/>
  <c r="AQ32" i="117"/>
  <c r="AF21" i="124"/>
  <c r="AE21" i="124"/>
  <c r="AQ30" i="114"/>
  <c r="AP30" i="114"/>
  <c r="AU30" i="114"/>
  <c r="AA38" i="114"/>
  <c r="AH38" i="114"/>
  <c r="AF38" i="114"/>
  <c r="AU46" i="123"/>
  <c r="AD31" i="122"/>
  <c r="AG61" i="107"/>
  <c r="AQ49" i="120"/>
  <c r="AU49" i="120"/>
  <c r="AR49" i="120"/>
  <c r="AG21" i="120"/>
  <c r="AF21" i="120"/>
  <c r="AE51" i="117"/>
  <c r="AD51" i="117"/>
  <c r="AG51" i="117"/>
  <c r="AC51" i="117"/>
  <c r="AA51" i="117"/>
  <c r="AB20" i="112"/>
  <c r="AH20" i="112"/>
  <c r="AE20" i="112"/>
  <c r="AH31" i="115"/>
  <c r="AG31" i="115"/>
  <c r="AE31" i="115"/>
  <c r="AD31" i="115"/>
  <c r="AE11" i="116"/>
  <c r="AH11" i="116"/>
  <c r="AF11" i="116"/>
  <c r="AD11" i="116"/>
  <c r="AC11" i="116"/>
  <c r="AB11" i="116"/>
  <c r="AT34" i="115"/>
  <c r="AS34" i="115"/>
  <c r="AQ34" i="115"/>
  <c r="AP34" i="115"/>
  <c r="AN34" i="115"/>
  <c r="AU37" i="111"/>
  <c r="AN37" i="111"/>
  <c r="AS37" i="111"/>
  <c r="AS21" i="115"/>
  <c r="AQ21" i="115"/>
  <c r="AT21" i="115"/>
  <c r="AU21" i="115"/>
  <c r="AH13" i="111"/>
  <c r="AG13" i="111"/>
  <c r="AF13" i="111"/>
  <c r="AE13" i="107"/>
  <c r="AF13" i="107"/>
  <c r="AR41" i="119"/>
  <c r="AT41" i="119"/>
  <c r="AO41" i="119"/>
  <c r="AQ9" i="119"/>
  <c r="AR9" i="119"/>
  <c r="AS9" i="119"/>
  <c r="AP29" i="114"/>
  <c r="AR29" i="114"/>
  <c r="AD63" i="112"/>
  <c r="AA63" i="112"/>
  <c r="AA56" i="108"/>
  <c r="AA26" i="104"/>
  <c r="AE54" i="114"/>
  <c r="AB63" i="119"/>
  <c r="AC63" i="119"/>
  <c r="AH63" i="119"/>
  <c r="AT29" i="117"/>
  <c r="AQ29" i="117"/>
  <c r="AS29" i="117"/>
  <c r="AE56" i="112"/>
  <c r="AE48" i="121"/>
  <c r="AD57" i="119"/>
  <c r="AU34" i="114"/>
  <c r="AS15" i="104"/>
  <c r="AI78" i="475"/>
  <c r="AH58" i="123"/>
  <c r="AB48" i="123"/>
  <c r="AE25" i="122"/>
  <c r="AE49" i="120"/>
  <c r="AG31" i="112"/>
  <c r="AT54" i="118"/>
  <c r="AI15" i="104"/>
  <c r="AB40" i="104"/>
  <c r="AC43" i="475"/>
  <c r="AH29" i="475"/>
  <c r="AC40" i="475"/>
  <c r="AT20" i="475"/>
  <c r="AN37" i="125"/>
  <c r="AG25" i="122"/>
  <c r="AN53" i="123"/>
  <c r="AP41" i="122"/>
  <c r="AF25" i="122"/>
  <c r="AF49" i="120"/>
  <c r="AI46" i="119"/>
  <c r="AO49" i="120"/>
  <c r="AU41" i="119"/>
  <c r="AH9" i="119"/>
  <c r="AO54" i="118"/>
  <c r="AO40" i="117"/>
  <c r="AO29" i="117"/>
  <c r="AU34" i="115"/>
  <c r="AT32" i="114"/>
  <c r="AI13" i="472"/>
  <c r="AD20" i="112"/>
  <c r="AG13" i="472"/>
  <c r="AU26" i="114"/>
  <c r="AS20" i="108"/>
  <c r="AB64" i="105"/>
  <c r="AU78" i="100"/>
  <c r="AO27" i="475"/>
  <c r="AT24" i="125"/>
  <c r="AR24" i="125"/>
  <c r="AQ15" i="123"/>
  <c r="AS15" i="123"/>
  <c r="AN34" i="120"/>
  <c r="AR34" i="120"/>
  <c r="AU34" i="120"/>
  <c r="AH56" i="121"/>
  <c r="AF56" i="121"/>
  <c r="AC56" i="121"/>
  <c r="AD26" i="117"/>
  <c r="AC26" i="117"/>
  <c r="AI26" i="117"/>
  <c r="AA26" i="117"/>
  <c r="AE26" i="117"/>
  <c r="AF26" i="117"/>
  <c r="AI55" i="122"/>
  <c r="AC55" i="122"/>
  <c r="AF37" i="118"/>
  <c r="AD37" i="118"/>
  <c r="AE37" i="118"/>
  <c r="AT58" i="118"/>
  <c r="AO58" i="118"/>
  <c r="AR58" i="118"/>
  <c r="AP58" i="118"/>
  <c r="AU58" i="118"/>
  <c r="AS58" i="118"/>
  <c r="AO49" i="117"/>
  <c r="AN49" i="117"/>
  <c r="AS49" i="117"/>
  <c r="AU49" i="117"/>
  <c r="AP49" i="117"/>
  <c r="AR49" i="117"/>
  <c r="AT49" i="117"/>
  <c r="AQ49" i="117"/>
  <c r="AH28" i="124"/>
  <c r="AG28" i="124"/>
  <c r="AE28" i="124"/>
  <c r="AD28" i="124"/>
  <c r="AC28" i="124"/>
  <c r="AB28" i="124"/>
  <c r="AE27" i="121"/>
  <c r="AG27" i="121"/>
  <c r="AD27" i="121"/>
  <c r="AF27" i="121"/>
  <c r="AF24" i="112"/>
  <c r="AC24" i="112"/>
  <c r="AA24" i="112"/>
  <c r="AF18" i="472"/>
  <c r="AN54" i="120"/>
  <c r="AT17" i="122"/>
  <c r="AR17" i="122"/>
  <c r="AO17" i="122"/>
  <c r="AS17" i="122"/>
  <c r="AA13" i="110"/>
  <c r="AD13" i="110"/>
  <c r="AB13" i="110"/>
  <c r="AF13" i="110"/>
  <c r="AG13" i="110"/>
  <c r="AH13" i="110"/>
  <c r="AS38" i="123"/>
  <c r="AB24" i="116"/>
  <c r="AU44" i="125"/>
  <c r="AC56" i="122"/>
  <c r="AG32" i="121"/>
  <c r="AG27" i="104"/>
  <c r="AQ20" i="475"/>
  <c r="AD78" i="475"/>
  <c r="AA28" i="475"/>
  <c r="AU27" i="475"/>
  <c r="AR39" i="125"/>
  <c r="AP53" i="123"/>
  <c r="AE53" i="104"/>
  <c r="AO26" i="475"/>
  <c r="AD36" i="475"/>
  <c r="AI28" i="475"/>
  <c r="AN27" i="475"/>
  <c r="AN35" i="125"/>
  <c r="AU39" i="125"/>
  <c r="AN44" i="125"/>
  <c r="AC48" i="123"/>
  <c r="AH54" i="123"/>
  <c r="AB8" i="122"/>
  <c r="AO42" i="121"/>
  <c r="AR41" i="122"/>
  <c r="AG54" i="120"/>
  <c r="AD40" i="121"/>
  <c r="AC49" i="120"/>
  <c r="AD49" i="120"/>
  <c r="AI34" i="120"/>
  <c r="AH21" i="120"/>
  <c r="AN51" i="120"/>
  <c r="AN32" i="117"/>
  <c r="AT40" i="117"/>
  <c r="AH51" i="117"/>
  <c r="AP39" i="115"/>
  <c r="AN21" i="115"/>
  <c r="AA13" i="472"/>
  <c r="AC31" i="115"/>
  <c r="AF53" i="115"/>
  <c r="AP26" i="115"/>
  <c r="AF20" i="112"/>
  <c r="AB63" i="112"/>
  <c r="AG64" i="105"/>
  <c r="AB21" i="121"/>
  <c r="AC21" i="121"/>
  <c r="AD21" i="121"/>
  <c r="AI21" i="121"/>
  <c r="AE49" i="118"/>
  <c r="AH49" i="118"/>
  <c r="AI49" i="118"/>
  <c r="AF49" i="118"/>
  <c r="AO52" i="117"/>
  <c r="AN52" i="117"/>
  <c r="AU52" i="117"/>
  <c r="AQ52" i="117"/>
  <c r="AP52" i="117"/>
  <c r="AU66" i="115"/>
  <c r="AP66" i="115"/>
  <c r="AO66" i="115"/>
  <c r="AS66" i="115"/>
  <c r="AR66" i="115"/>
  <c r="AQ66" i="115"/>
  <c r="AN66" i="115"/>
  <c r="AA8" i="472"/>
  <c r="AD8" i="472"/>
  <c r="AQ34" i="114"/>
  <c r="AT34" i="114"/>
  <c r="AR34" i="114"/>
  <c r="AS34" i="114"/>
  <c r="AT54" i="472"/>
  <c r="AO54" i="472"/>
  <c r="AD25" i="122"/>
  <c r="AH25" i="122"/>
  <c r="AF52" i="121"/>
  <c r="AE52" i="121"/>
  <c r="AH32" i="475"/>
  <c r="AG78" i="475"/>
  <c r="AP27" i="475"/>
  <c r="AA8" i="122"/>
  <c r="AE15" i="122"/>
  <c r="AF40" i="121"/>
  <c r="AP54" i="472"/>
  <c r="AR15" i="111"/>
  <c r="AO15" i="104"/>
  <c r="AC49" i="118"/>
  <c r="AA59" i="475"/>
  <c r="AP26" i="475"/>
  <c r="AO9" i="125"/>
  <c r="AR27" i="475"/>
  <c r="AQ31" i="125"/>
  <c r="AT35" i="125"/>
  <c r="AO39" i="125"/>
  <c r="AB54" i="123"/>
  <c r="AE54" i="123"/>
  <c r="AN17" i="122"/>
  <c r="AI35" i="122"/>
  <c r="AT41" i="122"/>
  <c r="AA25" i="122"/>
  <c r="AT51" i="120"/>
  <c r="AB52" i="121"/>
  <c r="AA51" i="119"/>
  <c r="AS51" i="117"/>
  <c r="AF51" i="117"/>
  <c r="AR52" i="117"/>
  <c r="AI31" i="115"/>
  <c r="AT66" i="115"/>
  <c r="AA20" i="112"/>
  <c r="AH17" i="112"/>
  <c r="AC17" i="112"/>
  <c r="AS11" i="102"/>
  <c r="AE54" i="122"/>
  <c r="AC54" i="122"/>
  <c r="AD54" i="122"/>
  <c r="AS44" i="118"/>
  <c r="AR44" i="118"/>
  <c r="AP44" i="118"/>
  <c r="AT44" i="118"/>
  <c r="AQ44" i="118"/>
  <c r="AN69" i="112"/>
  <c r="AS69" i="112"/>
  <c r="AE40" i="121"/>
  <c r="AI40" i="121"/>
  <c r="AB40" i="121"/>
  <c r="AH40" i="121"/>
  <c r="AE18" i="475"/>
  <c r="AS25" i="121"/>
  <c r="AU29" i="117"/>
  <c r="AU15" i="104"/>
  <c r="AF53" i="104"/>
  <c r="AQ17" i="104"/>
  <c r="AA8" i="104"/>
  <c r="AT26" i="475"/>
  <c r="AF28" i="475"/>
  <c r="AE28" i="475"/>
  <c r="AA36" i="475"/>
  <c r="AI18" i="475"/>
  <c r="AA24" i="122"/>
  <c r="AG45" i="122"/>
  <c r="AG40" i="121"/>
  <c r="AG21" i="121"/>
  <c r="AG31" i="122"/>
  <c r="AS41" i="122"/>
  <c r="AI25" i="122"/>
  <c r="AF45" i="122"/>
  <c r="AG36" i="120"/>
  <c r="AC52" i="121"/>
  <c r="AI51" i="119"/>
  <c r="AI9" i="119"/>
  <c r="AN44" i="118"/>
  <c r="AI51" i="117"/>
  <c r="AB31" i="115"/>
  <c r="AA31" i="115"/>
  <c r="AT35" i="124"/>
  <c r="AG18" i="115"/>
  <c r="AR24" i="124"/>
  <c r="AE36" i="475"/>
  <c r="AE24" i="122"/>
  <c r="AA54" i="123"/>
  <c r="AS17" i="104"/>
  <c r="AH53" i="104"/>
  <c r="AP17" i="104"/>
  <c r="AB26" i="104"/>
  <c r="AI36" i="475"/>
  <c r="AR20" i="475"/>
  <c r="AG36" i="475"/>
  <c r="AF36" i="475"/>
  <c r="AU43" i="125"/>
  <c r="AR53" i="123"/>
  <c r="AO35" i="125"/>
  <c r="AA18" i="475"/>
  <c r="AN31" i="125"/>
  <c r="AU38" i="123"/>
  <c r="AI54" i="123"/>
  <c r="AI24" i="122"/>
  <c r="AO25" i="121"/>
  <c r="AU41" i="122"/>
  <c r="AD32" i="121"/>
  <c r="AC25" i="122"/>
  <c r="AF32" i="121"/>
  <c r="AD52" i="121"/>
  <c r="AE63" i="119"/>
  <c r="AF63" i="119"/>
  <c r="AD51" i="119"/>
  <c r="AN9" i="119"/>
  <c r="AF31" i="124"/>
  <c r="AU8" i="116"/>
  <c r="AI17" i="112"/>
  <c r="AH25" i="120"/>
  <c r="AD25" i="120"/>
  <c r="AE25" i="120"/>
  <c r="AA25" i="120"/>
  <c r="AB8" i="118"/>
  <c r="AF8" i="118"/>
  <c r="AI8" i="118"/>
  <c r="AC37" i="112"/>
  <c r="AB37" i="112"/>
  <c r="AH37" i="112"/>
  <c r="AQ31" i="102"/>
  <c r="AO31" i="117"/>
  <c r="AR31" i="117"/>
  <c r="AN31" i="117"/>
  <c r="AC45" i="122"/>
  <c r="AB45" i="122"/>
  <c r="AE45" i="122"/>
  <c r="AD45" i="122"/>
  <c r="AH45" i="122"/>
  <c r="AD21" i="124"/>
  <c r="AS32" i="475"/>
  <c r="AR44" i="125"/>
  <c r="AQ27" i="475"/>
  <c r="AF31" i="122"/>
  <c r="AH15" i="122"/>
  <c r="AA40" i="121"/>
  <c r="AG53" i="104"/>
  <c r="AS53" i="125"/>
  <c r="AQ24" i="104"/>
  <c r="AG26" i="104"/>
  <c r="AA53" i="104"/>
  <c r="AH15" i="104"/>
  <c r="AT44" i="125"/>
  <c r="AS31" i="125"/>
  <c r="AB18" i="475"/>
  <c r="AO31" i="125"/>
  <c r="AO37" i="125"/>
  <c r="AO38" i="123"/>
  <c r="AA35" i="122"/>
  <c r="AA54" i="122"/>
  <c r="AO41" i="122"/>
  <c r="AA21" i="121"/>
  <c r="AA52" i="121"/>
  <c r="AI54" i="120"/>
  <c r="AE44" i="118"/>
  <c r="AT32" i="117"/>
  <c r="AO9" i="119"/>
  <c r="AO35" i="124"/>
  <c r="AT69" i="112"/>
  <c r="AR13" i="112"/>
  <c r="AI29" i="106"/>
  <c r="AB29" i="106"/>
  <c r="AD29" i="106"/>
  <c r="AB20" i="106"/>
  <c r="AC49" i="108"/>
  <c r="AE49" i="108"/>
  <c r="AO26" i="116"/>
  <c r="AP26" i="116"/>
  <c r="AP15" i="111"/>
  <c r="AH28" i="120"/>
  <c r="AE28" i="120"/>
  <c r="AH44" i="124"/>
  <c r="AD44" i="124"/>
  <c r="AE46" i="107"/>
  <c r="AS19" i="107"/>
  <c r="AO19" i="107"/>
  <c r="AC40" i="106"/>
  <c r="AH40" i="106"/>
  <c r="AA40" i="106"/>
  <c r="AN18" i="107"/>
  <c r="AD18" i="101"/>
  <c r="AF18" i="101"/>
  <c r="AE18" i="101"/>
  <c r="AN15" i="472"/>
  <c r="AS15" i="472"/>
  <c r="AU15" i="472"/>
  <c r="AA17" i="108"/>
  <c r="AD17" i="108"/>
  <c r="AS59" i="108"/>
  <c r="AO59" i="108"/>
  <c r="AO64" i="472"/>
  <c r="AT64" i="472"/>
  <c r="AS25" i="110"/>
  <c r="AT49" i="112"/>
  <c r="AO49" i="112"/>
  <c r="AU49" i="112"/>
  <c r="AE44" i="472"/>
  <c r="AG44" i="472"/>
  <c r="AH32" i="108"/>
  <c r="AP29" i="112"/>
  <c r="AR29" i="112"/>
  <c r="AO29" i="112"/>
  <c r="AU29" i="112"/>
  <c r="AP40" i="472"/>
  <c r="AQ40" i="472"/>
  <c r="AS48" i="111"/>
  <c r="AN48" i="111"/>
  <c r="AP48" i="111"/>
  <c r="AT26" i="102"/>
  <c r="AR26" i="102"/>
  <c r="AF30" i="106"/>
  <c r="AG30" i="106"/>
  <c r="AD30" i="106"/>
  <c r="AE30" i="106"/>
  <c r="AT20" i="120"/>
  <c r="AN20" i="120"/>
  <c r="AC58" i="118"/>
  <c r="AA58" i="118"/>
  <c r="AH16" i="112"/>
  <c r="AD16" i="112"/>
  <c r="AC16" i="112"/>
  <c r="AT25" i="121"/>
  <c r="AN28" i="120"/>
  <c r="AT28" i="120"/>
  <c r="AS28" i="120"/>
  <c r="AP28" i="120"/>
  <c r="AH20" i="121"/>
  <c r="AI20" i="121"/>
  <c r="AA46" i="117"/>
  <c r="AI46" i="117"/>
  <c r="AG46" i="117"/>
  <c r="AC46" i="117"/>
  <c r="AD46" i="117"/>
  <c r="AF51" i="120"/>
  <c r="AC51" i="120"/>
  <c r="AB51" i="120"/>
  <c r="AE51" i="120"/>
  <c r="AO57" i="117"/>
  <c r="AD56" i="116"/>
  <c r="AF56" i="116"/>
  <c r="AG56" i="116"/>
  <c r="AC56" i="116"/>
  <c r="AA56" i="116"/>
  <c r="AH56" i="116"/>
  <c r="AQ67" i="472"/>
  <c r="AP67" i="472"/>
  <c r="AN67" i="472"/>
  <c r="AO46" i="115"/>
  <c r="AS46" i="115"/>
  <c r="AB18" i="112"/>
  <c r="AH18" i="112"/>
  <c r="AD18" i="112"/>
  <c r="AI18" i="112"/>
  <c r="AD21" i="115"/>
  <c r="AE21" i="115"/>
  <c r="AP71" i="112"/>
  <c r="AP70" i="112" s="1"/>
  <c r="AD34" i="115"/>
  <c r="AB34" i="115"/>
  <c r="AI34" i="115"/>
  <c r="AH34" i="115"/>
  <c r="AU13" i="112"/>
  <c r="AU24" i="112"/>
  <c r="AN24" i="112"/>
  <c r="AT24" i="112"/>
  <c r="AQ24" i="114"/>
  <c r="AT24" i="114"/>
  <c r="AT32" i="108"/>
  <c r="AS32" i="108"/>
  <c r="AP32" i="108"/>
  <c r="AU45" i="119"/>
  <c r="AT45" i="119"/>
  <c r="AN45" i="119"/>
  <c r="AU46" i="117"/>
  <c r="AR40" i="121"/>
  <c r="AC41" i="118"/>
  <c r="AD41" i="118"/>
  <c r="AN58" i="117"/>
  <c r="AO58" i="117"/>
  <c r="AN15" i="116"/>
  <c r="AH17" i="115"/>
  <c r="AA17" i="115"/>
  <c r="AS36" i="115"/>
  <c r="AT36" i="115"/>
  <c r="AF27" i="111"/>
  <c r="AQ38" i="120"/>
  <c r="AG53" i="117"/>
  <c r="AE53" i="117"/>
  <c r="AH53" i="117"/>
  <c r="AF36" i="119"/>
  <c r="AA36" i="119"/>
  <c r="AS41" i="118"/>
  <c r="AN41" i="118"/>
  <c r="AO41" i="118"/>
  <c r="AQ41" i="118"/>
  <c r="AF27" i="108"/>
  <c r="AE27" i="108"/>
  <c r="AO46" i="108"/>
  <c r="AU46" i="108"/>
  <c r="AQ46" i="108"/>
  <c r="AT29" i="120"/>
  <c r="AR29" i="120"/>
  <c r="AQ29" i="120"/>
  <c r="AB15" i="111"/>
  <c r="AI15" i="111"/>
  <c r="AH15" i="111"/>
  <c r="AG15" i="111"/>
  <c r="AF49" i="112"/>
  <c r="AD49" i="112"/>
  <c r="AC49" i="112"/>
  <c r="AF16" i="108"/>
  <c r="AC34" i="115"/>
  <c r="AH46" i="119"/>
  <c r="AQ51" i="117"/>
  <c r="AO25" i="105"/>
  <c r="AP25" i="105"/>
  <c r="AT15" i="119"/>
  <c r="AU15" i="119"/>
  <c r="AO15" i="119"/>
  <c r="AB13" i="108"/>
  <c r="AA13" i="108"/>
  <c r="AE13" i="108"/>
  <c r="AI13" i="108"/>
  <c r="AG13" i="108"/>
  <c r="AC13" i="108"/>
  <c r="AR32" i="105"/>
  <c r="AF38" i="105"/>
  <c r="AF31" i="117"/>
  <c r="AD31" i="117"/>
  <c r="AE31" i="117"/>
  <c r="AI31" i="117"/>
  <c r="AH31" i="117"/>
  <c r="AF10" i="112"/>
  <c r="AI10" i="112"/>
  <c r="AC10" i="112"/>
  <c r="AH10" i="112"/>
  <c r="AE10" i="112"/>
  <c r="AD10" i="112"/>
  <c r="AI36" i="116"/>
  <c r="AE36" i="116"/>
  <c r="AD36" i="116"/>
  <c r="AC36" i="116"/>
  <c r="AE29" i="472"/>
  <c r="AA29" i="472"/>
  <c r="AI29" i="472"/>
  <c r="AF49" i="124"/>
  <c r="AE49" i="124"/>
  <c r="AB49" i="124"/>
  <c r="AD37" i="110"/>
  <c r="AN17" i="472"/>
  <c r="AT17" i="472"/>
  <c r="AS17" i="472"/>
  <c r="AR17" i="472"/>
  <c r="AR64" i="110"/>
  <c r="AV64" i="110" s="1"/>
  <c r="AU64" i="110"/>
  <c r="AS64" i="110"/>
  <c r="AQ64" i="110"/>
  <c r="AS54" i="107"/>
  <c r="AO54" i="107"/>
  <c r="AB59" i="107"/>
  <c r="AD59" i="107"/>
  <c r="AE59" i="107"/>
  <c r="AF18" i="106"/>
  <c r="AD18" i="106"/>
  <c r="AG18" i="106"/>
  <c r="AG26" i="107"/>
  <c r="AE26" i="107"/>
  <c r="AF43" i="117"/>
  <c r="AG43" i="117"/>
  <c r="AD43" i="117"/>
  <c r="AS9" i="114"/>
  <c r="AO9" i="114"/>
  <c r="AR9" i="114"/>
  <c r="AA38" i="112"/>
  <c r="AF38" i="112"/>
  <c r="AH46" i="108"/>
  <c r="AE46" i="108"/>
  <c r="AD46" i="108"/>
  <c r="AI46" i="108"/>
  <c r="AA46" i="108"/>
  <c r="AC46" i="108"/>
  <c r="AU24" i="116"/>
  <c r="AR24" i="116"/>
  <c r="AP24" i="116"/>
  <c r="AO24" i="116"/>
  <c r="AP48" i="116"/>
  <c r="AT48" i="116"/>
  <c r="AI32" i="111"/>
  <c r="AH32" i="111"/>
  <c r="AC46" i="115"/>
  <c r="AB46" i="115"/>
  <c r="AD46" i="115"/>
  <c r="AG40" i="107"/>
  <c r="AI40" i="107"/>
  <c r="AP46" i="107"/>
  <c r="AC35" i="112"/>
  <c r="AD35" i="112"/>
  <c r="AA35" i="112"/>
  <c r="AP13" i="116"/>
  <c r="AC57" i="102"/>
  <c r="AA57" i="102"/>
  <c r="AH57" i="102"/>
  <c r="AF57" i="102"/>
  <c r="AE57" i="102"/>
  <c r="AD57" i="102"/>
  <c r="AS34" i="122"/>
  <c r="AQ17" i="123"/>
  <c r="AP25" i="121"/>
  <c r="AA28" i="120"/>
  <c r="AH51" i="120"/>
  <c r="AR26" i="116"/>
  <c r="AQ26" i="116"/>
  <c r="AT46" i="115"/>
  <c r="AR11" i="115"/>
  <c r="AS29" i="112"/>
  <c r="AN64" i="472"/>
  <c r="AP24" i="112"/>
  <c r="AE32" i="111"/>
  <c r="AC59" i="107"/>
  <c r="AP54" i="107"/>
  <c r="AS32" i="105"/>
  <c r="AU39" i="123"/>
  <c r="AH35" i="123"/>
  <c r="AT42" i="123"/>
  <c r="AU34" i="122"/>
  <c r="AR17" i="123"/>
  <c r="AC28" i="120"/>
  <c r="AD51" i="120"/>
  <c r="AR57" i="117"/>
  <c r="AS26" i="116"/>
  <c r="AB41" i="115"/>
  <c r="AG11" i="115"/>
  <c r="AU43" i="472"/>
  <c r="AT15" i="472"/>
  <c r="AQ29" i="112"/>
  <c r="AC53" i="472"/>
  <c r="AS54" i="112"/>
  <c r="AA46" i="107"/>
  <c r="AE17" i="108"/>
  <c r="AT32" i="105"/>
  <c r="AA40" i="123"/>
  <c r="AA71" i="121"/>
  <c r="AA70" i="121" s="1"/>
  <c r="AF36" i="123"/>
  <c r="AT20" i="121"/>
  <c r="AP20" i="120"/>
  <c r="AO55" i="117"/>
  <c r="AU9" i="117"/>
  <c r="AU26" i="116"/>
  <c r="AU46" i="115"/>
  <c r="AR71" i="124"/>
  <c r="AR70" i="124" s="1"/>
  <c r="AC25" i="115"/>
  <c r="AI25" i="112"/>
  <c r="AQ15" i="472"/>
  <c r="AR35" i="111"/>
  <c r="AO8" i="108"/>
  <c r="AI46" i="107"/>
  <c r="AG16" i="108"/>
  <c r="AG18" i="108"/>
  <c r="AN32" i="105"/>
  <c r="AN53" i="112"/>
  <c r="AQ35" i="111"/>
  <c r="AF32" i="111"/>
  <c r="AF46" i="107"/>
  <c r="AT43" i="105"/>
  <c r="AN51" i="114"/>
  <c r="AE41" i="115"/>
  <c r="AR49" i="112"/>
  <c r="AT43" i="472"/>
  <c r="AN15" i="111"/>
  <c r="AU57" i="118"/>
  <c r="AB41" i="117"/>
  <c r="AC9" i="472"/>
  <c r="AI27" i="112"/>
  <c r="AC58" i="115"/>
  <c r="AH16" i="111"/>
  <c r="AH27" i="108"/>
  <c r="AH25" i="105"/>
  <c r="AC26" i="107"/>
  <c r="AU26" i="120"/>
  <c r="AP29" i="119"/>
  <c r="AO28" i="118"/>
  <c r="AA30" i="124"/>
  <c r="AF18" i="117"/>
  <c r="AA56" i="115"/>
  <c r="AH11" i="117"/>
  <c r="AT20" i="114"/>
  <c r="AD46" i="112"/>
  <c r="AH19" i="112"/>
  <c r="AR29" i="111"/>
  <c r="AA56" i="119"/>
  <c r="AR35" i="118"/>
  <c r="AE8" i="119"/>
  <c r="AC27" i="116"/>
  <c r="AP48" i="472"/>
  <c r="AU13" i="105"/>
  <c r="AP64" i="100"/>
  <c r="AU24" i="120"/>
  <c r="AQ54" i="119"/>
  <c r="AG78" i="120"/>
  <c r="AS18" i="119"/>
  <c r="AF71" i="116"/>
  <c r="AF70" i="116" s="1"/>
  <c r="AG26" i="124"/>
  <c r="AG32" i="110"/>
  <c r="AH9" i="107"/>
  <c r="AE53" i="102"/>
  <c r="AE32" i="102"/>
  <c r="AF35" i="111"/>
  <c r="AO42" i="119"/>
  <c r="AI28" i="101"/>
  <c r="AE24" i="120"/>
  <c r="AE18" i="112"/>
  <c r="AP35" i="111"/>
  <c r="AI58" i="106"/>
  <c r="AC54" i="100"/>
  <c r="AA26" i="107"/>
  <c r="AB26" i="107"/>
  <c r="AP25" i="103"/>
  <c r="AG38" i="122"/>
  <c r="AE64" i="121"/>
  <c r="AR63" i="124"/>
  <c r="AF64" i="124"/>
  <c r="AH67" i="472"/>
  <c r="AQ64" i="116"/>
  <c r="AS56" i="124"/>
  <c r="AA10" i="112"/>
  <c r="AR21" i="111"/>
  <c r="AD40" i="105"/>
  <c r="AB58" i="115"/>
  <c r="AF49" i="472"/>
  <c r="AP39" i="112"/>
  <c r="AG34" i="110"/>
  <c r="AG36" i="112"/>
  <c r="AE32" i="110"/>
  <c r="AC16" i="111"/>
  <c r="AB27" i="108"/>
  <c r="AR16" i="108"/>
  <c r="AD26" i="107"/>
  <c r="AQ29" i="107"/>
  <c r="AI26" i="107"/>
  <c r="AE29" i="102"/>
  <c r="AT38" i="101"/>
  <c r="AC45" i="117"/>
  <c r="AU41" i="115"/>
  <c r="AD43" i="116"/>
  <c r="AO31" i="116"/>
  <c r="AE45" i="114"/>
  <c r="AR10" i="119"/>
  <c r="AA42" i="101"/>
  <c r="AE18" i="114"/>
  <c r="AH20" i="111"/>
  <c r="AO53" i="110"/>
  <c r="AG16" i="111"/>
  <c r="AG44" i="106"/>
  <c r="AU9" i="102"/>
  <c r="AU57" i="475"/>
  <c r="AN42" i="116"/>
  <c r="AF25" i="116"/>
  <c r="AU69" i="108"/>
  <c r="AF67" i="472"/>
  <c r="AQ57" i="103"/>
  <c r="AR57" i="103"/>
  <c r="AT57" i="103"/>
  <c r="AP57" i="103"/>
  <c r="AO57" i="103"/>
  <c r="AN57" i="103"/>
  <c r="AS20" i="103"/>
  <c r="AQ20" i="103"/>
  <c r="AN20" i="103"/>
  <c r="AO20" i="103"/>
  <c r="AP20" i="103"/>
  <c r="AG25" i="100"/>
  <c r="AD25" i="100"/>
  <c r="AB25" i="100"/>
  <c r="AI25" i="100"/>
  <c r="AH25" i="100"/>
  <c r="AF25" i="100"/>
  <c r="AC20" i="118"/>
  <c r="AE20" i="118"/>
  <c r="AB20" i="118"/>
  <c r="AS37" i="116"/>
  <c r="AP37" i="116"/>
  <c r="AD51" i="124"/>
  <c r="AE51" i="124"/>
  <c r="AG51" i="124"/>
  <c r="AI55" i="115"/>
  <c r="AF55" i="115"/>
  <c r="AG55" i="115"/>
  <c r="AN13" i="111"/>
  <c r="AO13" i="111"/>
  <c r="AD44" i="108"/>
  <c r="AH44" i="108"/>
  <c r="AH66" i="111"/>
  <c r="AG66" i="111"/>
  <c r="AB66" i="111"/>
  <c r="AE66" i="111"/>
  <c r="AC66" i="111"/>
  <c r="AF66" i="111"/>
  <c r="AD66" i="111"/>
  <c r="AQ29" i="106"/>
  <c r="AN29" i="106"/>
  <c r="AR58" i="108"/>
  <c r="AN58" i="108"/>
  <c r="AS58" i="108"/>
  <c r="AN10" i="472"/>
  <c r="AQ10" i="472"/>
  <c r="AR10" i="472"/>
  <c r="AO23" i="124"/>
  <c r="AT23" i="124"/>
  <c r="AP23" i="124"/>
  <c r="AN57" i="114"/>
  <c r="AP57" i="114"/>
  <c r="AD69" i="101"/>
  <c r="AD68" i="101" s="1"/>
  <c r="AE69" i="101"/>
  <c r="AE68" i="101" s="1"/>
  <c r="AC69" i="101"/>
  <c r="AC68" i="101" s="1"/>
  <c r="AS36" i="114"/>
  <c r="AN36" i="114"/>
  <c r="AO36" i="114"/>
  <c r="AU4" i="124"/>
  <c r="AN4" i="124"/>
  <c r="AS4" i="124"/>
  <c r="AR4" i="124"/>
  <c r="AQ4" i="124"/>
  <c r="AN73" i="102"/>
  <c r="AS73" i="102"/>
  <c r="AS72" i="102" s="1"/>
  <c r="AR73" i="102"/>
  <c r="AR72" i="102" s="1"/>
  <c r="AQ73" i="102"/>
  <c r="AQ72" i="102" s="1"/>
  <c r="AO73" i="102"/>
  <c r="AO72" i="102" s="1"/>
  <c r="AU73" i="102"/>
  <c r="AU72" i="102" s="1"/>
  <c r="AP73" i="102"/>
  <c r="AP72" i="102" s="1"/>
  <c r="AT73" i="102"/>
  <c r="AT72" i="102" s="1"/>
  <c r="AH73" i="102"/>
  <c r="AC73" i="102"/>
  <c r="AI29" i="112"/>
  <c r="AG29" i="112"/>
  <c r="AH29" i="112"/>
  <c r="AA29" i="112"/>
  <c r="AF29" i="112"/>
  <c r="AR27" i="120"/>
  <c r="AN27" i="120"/>
  <c r="AT27" i="120"/>
  <c r="AI15" i="112"/>
  <c r="AH15" i="112"/>
  <c r="AF15" i="112"/>
  <c r="AE15" i="112"/>
  <c r="AG15" i="112"/>
  <c r="AC15" i="112"/>
  <c r="AP58" i="102"/>
  <c r="AO58" i="102"/>
  <c r="AG78" i="472"/>
  <c r="AC78" i="472"/>
  <c r="AH78" i="472"/>
  <c r="AB78" i="472"/>
  <c r="AF78" i="472"/>
  <c r="AS28" i="115"/>
  <c r="AR28" i="115"/>
  <c r="AQ28" i="115"/>
  <c r="AN57" i="105"/>
  <c r="AU57" i="105"/>
  <c r="AR57" i="105"/>
  <c r="AU23" i="106"/>
  <c r="AR23" i="106"/>
  <c r="AT23" i="106"/>
  <c r="AN23" i="106"/>
  <c r="AD20" i="116"/>
  <c r="AB20" i="116"/>
  <c r="AG20" i="116"/>
  <c r="AI20" i="116"/>
  <c r="AP35" i="116"/>
  <c r="AR35" i="116"/>
  <c r="AO35" i="116"/>
  <c r="AS35" i="116"/>
  <c r="AS19" i="115"/>
  <c r="AQ19" i="115"/>
  <c r="AO19" i="115"/>
  <c r="AU19" i="115"/>
  <c r="AT19" i="115"/>
  <c r="AH57" i="115"/>
  <c r="AF57" i="115"/>
  <c r="AC57" i="115"/>
  <c r="AE57" i="115"/>
  <c r="AE34" i="107"/>
  <c r="AD34" i="107"/>
  <c r="AB34" i="107"/>
  <c r="AH34" i="107"/>
  <c r="AA34" i="107"/>
  <c r="AI34" i="107"/>
  <c r="AB41" i="100"/>
  <c r="AH41" i="100"/>
  <c r="AO25" i="115"/>
  <c r="AU25" i="115"/>
  <c r="AR25" i="115"/>
  <c r="AF30" i="105"/>
  <c r="AI30" i="105"/>
  <c r="AG30" i="105"/>
  <c r="AC30" i="105"/>
  <c r="AE52" i="112"/>
  <c r="AH52" i="112"/>
  <c r="AG52" i="112"/>
  <c r="AC52" i="112"/>
  <c r="AA52" i="112"/>
  <c r="AF52" i="112"/>
  <c r="AR49" i="124"/>
  <c r="AT49" i="124"/>
  <c r="AU49" i="124"/>
  <c r="AO49" i="124"/>
  <c r="AR14" i="124"/>
  <c r="AQ14" i="124"/>
  <c r="AD48" i="119"/>
  <c r="AH20" i="118"/>
  <c r="AT35" i="116"/>
  <c r="AQ37" i="116"/>
  <c r="AO26" i="115"/>
  <c r="AN35" i="116"/>
  <c r="AI64" i="124"/>
  <c r="AE64" i="124"/>
  <c r="AP28" i="115"/>
  <c r="AP36" i="114"/>
  <c r="AR59" i="111"/>
  <c r="AT59" i="111"/>
  <c r="AQ59" i="111"/>
  <c r="AO59" i="111"/>
  <c r="AS59" i="111"/>
  <c r="AH16" i="110"/>
  <c r="AA16" i="110"/>
  <c r="AC16" i="110"/>
  <c r="AD16" i="110"/>
  <c r="AR78" i="111"/>
  <c r="AO78" i="111"/>
  <c r="AE42" i="103"/>
  <c r="AG42" i="103"/>
  <c r="AF34" i="107"/>
  <c r="AH69" i="101"/>
  <c r="AH68" i="101" s="1"/>
  <c r="AA52" i="111"/>
  <c r="AG52" i="111"/>
  <c r="AD52" i="111"/>
  <c r="AH52" i="111"/>
  <c r="AF52" i="111"/>
  <c r="AS48" i="105"/>
  <c r="AN48" i="105"/>
  <c r="AT16" i="106"/>
  <c r="AP16" i="106"/>
  <c r="AQ16" i="106"/>
  <c r="AR16" i="106"/>
  <c r="AA13" i="117"/>
  <c r="AD13" i="117"/>
  <c r="AG13" i="117"/>
  <c r="AC13" i="117"/>
  <c r="AP25" i="116"/>
  <c r="AT25" i="116"/>
  <c r="AN57" i="117"/>
  <c r="AU57" i="117"/>
  <c r="AT57" i="117"/>
  <c r="AI35" i="117"/>
  <c r="AE35" i="117"/>
  <c r="AG35" i="117"/>
  <c r="AA36" i="472"/>
  <c r="AF36" i="472"/>
  <c r="AG36" i="472"/>
  <c r="AG67" i="124"/>
  <c r="AD67" i="124"/>
  <c r="AI67" i="124"/>
  <c r="AA67" i="124"/>
  <c r="AA65" i="124" s="1"/>
  <c r="AH29" i="114"/>
  <c r="AF29" i="114"/>
  <c r="AB29" i="114"/>
  <c r="AE29" i="114"/>
  <c r="AD29" i="114"/>
  <c r="AG29" i="114"/>
  <c r="AA29" i="114"/>
  <c r="AP49" i="110"/>
  <c r="AQ49" i="110"/>
  <c r="AS49" i="110"/>
  <c r="AG23" i="108"/>
  <c r="AH23" i="108"/>
  <c r="AB23" i="108"/>
  <c r="AR30" i="112"/>
  <c r="AU30" i="112"/>
  <c r="AP30" i="112"/>
  <c r="AS30" i="112"/>
  <c r="AT30" i="112"/>
  <c r="AH20" i="108"/>
  <c r="AE20" i="108"/>
  <c r="AF20" i="108"/>
  <c r="AQ42" i="103"/>
  <c r="AS42" i="103"/>
  <c r="AB57" i="114"/>
  <c r="AI57" i="114"/>
  <c r="AC57" i="114"/>
  <c r="AE4" i="117"/>
  <c r="AH4" i="117"/>
  <c r="AI4" i="117"/>
  <c r="AQ10" i="110"/>
  <c r="AO10" i="110"/>
  <c r="AT10" i="110"/>
  <c r="AG64" i="472"/>
  <c r="AI64" i="472"/>
  <c r="AA64" i="472"/>
  <c r="AH64" i="472"/>
  <c r="AU4" i="100"/>
  <c r="AN4" i="100"/>
  <c r="AO4" i="100"/>
  <c r="AS4" i="100"/>
  <c r="AN36" i="106"/>
  <c r="AA18" i="124"/>
  <c r="AH18" i="124"/>
  <c r="AI18" i="124"/>
  <c r="AU26" i="112"/>
  <c r="AQ26" i="112"/>
  <c r="AO26" i="112"/>
  <c r="AS26" i="112"/>
  <c r="AQ56" i="110"/>
  <c r="AO56" i="110"/>
  <c r="AP56" i="110"/>
  <c r="AH61" i="116"/>
  <c r="AA61" i="116"/>
  <c r="AF61" i="116"/>
  <c r="AD61" i="116"/>
  <c r="AB61" i="116"/>
  <c r="AE61" i="116"/>
  <c r="AF27" i="100"/>
  <c r="AD27" i="100"/>
  <c r="AB27" i="100"/>
  <c r="AG27" i="100"/>
  <c r="AF3" i="108"/>
  <c r="AD3" i="108"/>
  <c r="AI3" i="108"/>
  <c r="AC3" i="108"/>
  <c r="AB3" i="108"/>
  <c r="AG3" i="108"/>
  <c r="AP4" i="122"/>
  <c r="AO4" i="122"/>
  <c r="AC36" i="114"/>
  <c r="AB36" i="114"/>
  <c r="AH36" i="114"/>
  <c r="AF36" i="114"/>
  <c r="AH32" i="124"/>
  <c r="AF32" i="124"/>
  <c r="AD32" i="124"/>
  <c r="AC32" i="124"/>
  <c r="AB32" i="124"/>
  <c r="AS73" i="124"/>
  <c r="AS72" i="124" s="1"/>
  <c r="AO73" i="124"/>
  <c r="AO72" i="124" s="1"/>
  <c r="AN73" i="124"/>
  <c r="AN72" i="124" s="1"/>
  <c r="AI59" i="103"/>
  <c r="AA59" i="103"/>
  <c r="AR43" i="114"/>
  <c r="AO43" i="114"/>
  <c r="AQ43" i="114"/>
  <c r="AO40" i="105"/>
  <c r="AQ40" i="105"/>
  <c r="AT40" i="105"/>
  <c r="AS40" i="105"/>
  <c r="AG40" i="102"/>
  <c r="AE40" i="102"/>
  <c r="AB40" i="102"/>
  <c r="AI40" i="102"/>
  <c r="AU69" i="107"/>
  <c r="AR69" i="107"/>
  <c r="AN69" i="107"/>
  <c r="AA59" i="112"/>
  <c r="AG59" i="112"/>
  <c r="AI59" i="112"/>
  <c r="AC59" i="112"/>
  <c r="AH59" i="112"/>
  <c r="AD59" i="112"/>
  <c r="AQ11" i="121"/>
  <c r="AT11" i="121"/>
  <c r="AR19" i="475"/>
  <c r="AS66" i="125"/>
  <c r="AR28" i="475"/>
  <c r="AP36" i="125"/>
  <c r="AS35" i="123"/>
  <c r="AH48" i="119"/>
  <c r="AU59" i="119"/>
  <c r="AI23" i="120"/>
  <c r="AC57" i="119"/>
  <c r="AQ54" i="118"/>
  <c r="AA35" i="117"/>
  <c r="AA15" i="117"/>
  <c r="AQ30" i="117"/>
  <c r="AP49" i="124"/>
  <c r="AG4" i="117"/>
  <c r="AG36" i="114"/>
  <c r="AC20" i="116"/>
  <c r="AH36" i="472"/>
  <c r="AC29" i="114"/>
  <c r="AN19" i="115"/>
  <c r="AD29" i="112"/>
  <c r="AA66" i="111"/>
  <c r="AB52" i="111"/>
  <c r="AN26" i="112"/>
  <c r="AF49" i="114"/>
  <c r="AA49" i="114"/>
  <c r="AE49" i="114"/>
  <c r="AI49" i="114"/>
  <c r="AD49" i="114"/>
  <c r="AC49" i="114"/>
  <c r="AH18" i="472"/>
  <c r="AI18" i="472"/>
  <c r="AA18" i="472"/>
  <c r="AE18" i="472"/>
  <c r="AB18" i="472"/>
  <c r="AD18" i="472"/>
  <c r="AG18" i="472"/>
  <c r="AC18" i="472"/>
  <c r="AT36" i="114"/>
  <c r="AQ9" i="115"/>
  <c r="AT9" i="115"/>
  <c r="AR9" i="115"/>
  <c r="AP9" i="115"/>
  <c r="AQ21" i="105"/>
  <c r="AO21" i="105"/>
  <c r="AH31" i="102"/>
  <c r="AI16" i="108"/>
  <c r="AA16" i="108"/>
  <c r="AB16" i="108"/>
  <c r="AN24" i="107"/>
  <c r="AU24" i="107"/>
  <c r="AS24" i="107"/>
  <c r="AE46" i="100"/>
  <c r="AC46" i="100"/>
  <c r="AH46" i="100"/>
  <c r="AA46" i="100"/>
  <c r="AA46" i="119"/>
  <c r="AB46" i="119"/>
  <c r="AE46" i="119"/>
  <c r="AH38" i="121"/>
  <c r="AA38" i="121"/>
  <c r="AB38" i="121"/>
  <c r="AF38" i="121"/>
  <c r="AQ41" i="119"/>
  <c r="AS41" i="119"/>
  <c r="AU16" i="124"/>
  <c r="AS16" i="124"/>
  <c r="AN51" i="117"/>
  <c r="AU51" i="117"/>
  <c r="AD32" i="115"/>
  <c r="AB32" i="115"/>
  <c r="AA32" i="115"/>
  <c r="AG32" i="115"/>
  <c r="AC36" i="115"/>
  <c r="AB36" i="115"/>
  <c r="AA36" i="115"/>
  <c r="AE36" i="115"/>
  <c r="AD36" i="115"/>
  <c r="AU29" i="114"/>
  <c r="AN29" i="114"/>
  <c r="AT29" i="114"/>
  <c r="AS29" i="114"/>
  <c r="AQ29" i="114"/>
  <c r="AO29" i="114"/>
  <c r="AE48" i="115"/>
  <c r="AD48" i="115"/>
  <c r="AF48" i="115"/>
  <c r="AS30" i="114"/>
  <c r="AR30" i="114"/>
  <c r="AN30" i="114"/>
  <c r="AT30" i="114"/>
  <c r="AA30" i="112"/>
  <c r="AH30" i="112"/>
  <c r="AE30" i="112"/>
  <c r="AC30" i="112"/>
  <c r="AF30" i="112"/>
  <c r="AG30" i="112"/>
  <c r="AC25" i="111"/>
  <c r="AG25" i="111"/>
  <c r="AB25" i="111"/>
  <c r="AF25" i="111"/>
  <c r="AH25" i="111"/>
  <c r="AG63" i="112"/>
  <c r="AE63" i="112"/>
  <c r="AF63" i="112"/>
  <c r="AI63" i="112"/>
  <c r="AH63" i="112"/>
  <c r="AH43" i="102"/>
  <c r="AE54" i="103"/>
  <c r="AG54" i="103"/>
  <c r="AB54" i="103"/>
  <c r="AS34" i="101"/>
  <c r="AO34" i="101"/>
  <c r="AB32" i="106"/>
  <c r="AG32" i="106"/>
  <c r="AF32" i="106"/>
  <c r="AB38" i="120"/>
  <c r="AF38" i="120"/>
  <c r="AB54" i="114"/>
  <c r="AP52" i="116"/>
  <c r="AN52" i="116"/>
  <c r="AU52" i="116"/>
  <c r="AS52" i="116"/>
  <c r="AO52" i="116"/>
  <c r="AE34" i="117"/>
  <c r="AF34" i="117"/>
  <c r="AI34" i="117"/>
  <c r="AD34" i="117"/>
  <c r="AA34" i="117"/>
  <c r="AU64" i="472"/>
  <c r="AR64" i="472"/>
  <c r="AQ64" i="472"/>
  <c r="AS64" i="472"/>
  <c r="AU34" i="108"/>
  <c r="AS34" i="108"/>
  <c r="AR34" i="108"/>
  <c r="AQ34" i="108"/>
  <c r="AN34" i="108"/>
  <c r="AP34" i="108"/>
  <c r="AT34" i="108"/>
  <c r="AS17" i="106"/>
  <c r="AN17" i="106"/>
  <c r="AU3" i="101"/>
  <c r="AN3" i="101"/>
  <c r="AA4" i="111"/>
  <c r="AE4" i="111"/>
  <c r="AH4" i="111"/>
  <c r="AF4" i="111"/>
  <c r="AU35" i="116"/>
  <c r="AI4" i="114"/>
  <c r="AA4" i="114"/>
  <c r="AC4" i="114"/>
  <c r="AH4" i="114"/>
  <c r="AG4" i="114"/>
  <c r="AF4" i="114"/>
  <c r="AE4" i="114"/>
  <c r="AD4" i="114"/>
  <c r="AC17" i="107"/>
  <c r="AF17" i="107"/>
  <c r="AR26" i="114"/>
  <c r="AP26" i="114"/>
  <c r="AN26" i="114"/>
  <c r="AT26" i="114"/>
  <c r="AA34" i="111"/>
  <c r="AE34" i="111"/>
  <c r="AC34" i="111"/>
  <c r="AO69" i="112"/>
  <c r="AR69" i="112"/>
  <c r="AP69" i="112"/>
  <c r="AU69" i="112"/>
  <c r="AQ69" i="112"/>
  <c r="AC34" i="114"/>
  <c r="AF34" i="114"/>
  <c r="AG37" i="106"/>
  <c r="AI37" i="106"/>
  <c r="AB37" i="106"/>
  <c r="AU31" i="117"/>
  <c r="AQ31" i="117"/>
  <c r="AS31" i="117"/>
  <c r="AP31" i="117"/>
  <c r="AC59" i="119"/>
  <c r="AA59" i="119"/>
  <c r="AJ59" i="119" s="1"/>
  <c r="AF59" i="119"/>
  <c r="AD25" i="114"/>
  <c r="AB25" i="114"/>
  <c r="AC25" i="114"/>
  <c r="AE25" i="114"/>
  <c r="AN59" i="111"/>
  <c r="AB20" i="100"/>
  <c r="AG20" i="100"/>
  <c r="AC20" i="100"/>
  <c r="AD20" i="100"/>
  <c r="AP23" i="103"/>
  <c r="AQ23" i="103"/>
  <c r="AE19" i="101"/>
  <c r="AG19" i="101"/>
  <c r="AH52" i="121"/>
  <c r="AG52" i="121"/>
  <c r="AA56" i="112"/>
  <c r="AI56" i="112"/>
  <c r="AF56" i="112"/>
  <c r="AB56" i="112"/>
  <c r="AH56" i="112"/>
  <c r="AD24" i="116"/>
  <c r="AG24" i="116"/>
  <c r="AC24" i="116"/>
  <c r="AA19" i="114"/>
  <c r="AC19" i="114"/>
  <c r="AB19" i="114"/>
  <c r="AI19" i="114"/>
  <c r="AC31" i="114"/>
  <c r="AB31" i="114"/>
  <c r="AI31" i="114"/>
  <c r="AD31" i="114"/>
  <c r="AQ49" i="114"/>
  <c r="AO49" i="114"/>
  <c r="AQ18" i="472"/>
  <c r="AO18" i="472"/>
  <c r="AT18" i="472"/>
  <c r="AS18" i="472"/>
  <c r="AP18" i="472"/>
  <c r="AN18" i="472"/>
  <c r="AS40" i="114"/>
  <c r="AO40" i="114"/>
  <c r="AR28" i="112"/>
  <c r="AP28" i="112"/>
  <c r="AN28" i="112"/>
  <c r="AQ28" i="112"/>
  <c r="AU28" i="112"/>
  <c r="AT28" i="112"/>
  <c r="AS28" i="112"/>
  <c r="AT15" i="112"/>
  <c r="AQ15" i="112"/>
  <c r="AO19" i="475"/>
  <c r="AR35" i="123"/>
  <c r="AA9" i="122"/>
  <c r="AI57" i="120"/>
  <c r="AF35" i="117"/>
  <c r="AC35" i="117"/>
  <c r="AF13" i="117"/>
  <c r="AA4" i="117"/>
  <c r="AP73" i="124"/>
  <c r="AP72" i="124" s="1"/>
  <c r="AA57" i="115"/>
  <c r="AB4" i="117"/>
  <c r="AH20" i="116"/>
  <c r="AP25" i="115"/>
  <c r="AE32" i="124"/>
  <c r="AN14" i="124"/>
  <c r="AO30" i="114"/>
  <c r="AR19" i="115"/>
  <c r="AD19" i="114"/>
  <c r="AH31" i="114"/>
  <c r="AD52" i="112"/>
  <c r="AE52" i="111"/>
  <c r="AR26" i="112"/>
  <c r="AP59" i="111"/>
  <c r="AR59" i="108"/>
  <c r="AQ58" i="108"/>
  <c r="AU26" i="101"/>
  <c r="AT45" i="115"/>
  <c r="AQ45" i="115"/>
  <c r="AO49" i="472"/>
  <c r="AU49" i="472"/>
  <c r="AE19" i="114"/>
  <c r="AH73" i="116"/>
  <c r="AG73" i="116"/>
  <c r="AB73" i="116"/>
  <c r="AF73" i="116"/>
  <c r="AD73" i="116"/>
  <c r="AE73" i="116"/>
  <c r="AT42" i="115"/>
  <c r="AN42" i="115"/>
  <c r="AD64" i="124"/>
  <c r="AA64" i="124"/>
  <c r="AG64" i="124"/>
  <c r="AG67" i="472"/>
  <c r="AC67" i="472"/>
  <c r="AD67" i="472"/>
  <c r="AI67" i="472"/>
  <c r="AA67" i="472"/>
  <c r="AT21" i="121"/>
  <c r="AB9" i="122"/>
  <c r="AD35" i="117"/>
  <c r="AH64" i="124"/>
  <c r="AI51" i="124"/>
  <c r="AR23" i="124"/>
  <c r="AA20" i="116"/>
  <c r="AS25" i="115"/>
  <c r="AN30" i="112"/>
  <c r="AR36" i="114"/>
  <c r="AI61" i="116"/>
  <c r="AP14" i="124"/>
  <c r="AG31" i="114"/>
  <c r="AF19" i="114"/>
  <c r="AO49" i="110"/>
  <c r="AE16" i="110"/>
  <c r="AF36" i="124"/>
  <c r="AG36" i="124"/>
  <c r="AA36" i="124"/>
  <c r="AC36" i="124"/>
  <c r="AI36" i="124"/>
  <c r="AR78" i="118"/>
  <c r="AP78" i="118"/>
  <c r="AD20" i="118"/>
  <c r="AR30" i="117"/>
  <c r="AH35" i="117"/>
  <c r="AB67" i="124"/>
  <c r="AA51" i="124"/>
  <c r="AN49" i="124"/>
  <c r="AN25" i="115"/>
  <c r="AG61" i="116"/>
  <c r="AC64" i="472"/>
  <c r="AT26" i="112"/>
  <c r="AS56" i="110"/>
  <c r="AE59" i="112"/>
  <c r="AG20" i="108"/>
  <c r="AT61" i="102"/>
  <c r="AS45" i="123"/>
  <c r="AD9" i="122"/>
  <c r="AQ51" i="121"/>
  <c r="AC61" i="120"/>
  <c r="AP54" i="118"/>
  <c r="AT67" i="117"/>
  <c r="AS30" i="117"/>
  <c r="AB35" i="117"/>
  <c r="AI13" i="117"/>
  <c r="AS23" i="124"/>
  <c r="AI38" i="117"/>
  <c r="AU73" i="124"/>
  <c r="AU72" i="124" s="1"/>
  <c r="AC61" i="116"/>
  <c r="AE29" i="112"/>
  <c r="AO28" i="115"/>
  <c r="AS10" i="472"/>
  <c r="AB59" i="112"/>
  <c r="AC27" i="100"/>
  <c r="AU45" i="123"/>
  <c r="AD23" i="123"/>
  <c r="AG9" i="122"/>
  <c r="AE9" i="122"/>
  <c r="AO21" i="121"/>
  <c r="AU21" i="121"/>
  <c r="AG61" i="120"/>
  <c r="AR51" i="121"/>
  <c r="AE61" i="120"/>
  <c r="AR54" i="118"/>
  <c r="AN30" i="117"/>
  <c r="AP57" i="117"/>
  <c r="AV57" i="117" s="1"/>
  <c r="AE13" i="117"/>
  <c r="AU49" i="114"/>
  <c r="AT28" i="115"/>
  <c r="AF64" i="472"/>
  <c r="AF59" i="112"/>
  <c r="AB20" i="108"/>
  <c r="AG16" i="110"/>
  <c r="AB16" i="110"/>
  <c r="AB23" i="123"/>
  <c r="AH9" i="122"/>
  <c r="AN11" i="121"/>
  <c r="AV11" i="121" s="1"/>
  <c r="AS51" i="121"/>
  <c r="AJ72" i="119"/>
  <c r="AP63" i="119"/>
  <c r="AP30" i="117"/>
  <c r="AQ57" i="117"/>
  <c r="AR37" i="116"/>
  <c r="AC23" i="116"/>
  <c r="AN49" i="114"/>
  <c r="AN25" i="116"/>
  <c r="AO4" i="124"/>
  <c r="AQ57" i="114"/>
  <c r="AN43" i="114"/>
  <c r="AB67" i="472"/>
  <c r="AQ30" i="112"/>
  <c r="AR56" i="110"/>
  <c r="AO46" i="101"/>
  <c r="AU46" i="101"/>
  <c r="AH24" i="110"/>
  <c r="AN20" i="107"/>
  <c r="AO15" i="107"/>
  <c r="AD28" i="105"/>
  <c r="AP52" i="101"/>
  <c r="AG51" i="115"/>
  <c r="AH51" i="115"/>
  <c r="AR14" i="100"/>
  <c r="AE13" i="472"/>
  <c r="AF13" i="472"/>
  <c r="AE64" i="114"/>
  <c r="AU30" i="102"/>
  <c r="AB52" i="106"/>
  <c r="AF52" i="106"/>
  <c r="AQ16" i="100"/>
  <c r="AO16" i="100"/>
  <c r="AA49" i="108"/>
  <c r="AH49" i="108"/>
  <c r="AT26" i="116"/>
  <c r="AH57" i="105"/>
  <c r="AE3" i="108"/>
  <c r="AG46" i="107"/>
  <c r="AB46" i="107"/>
  <c r="AO55" i="110"/>
  <c r="AR15" i="472"/>
  <c r="AB17" i="108"/>
  <c r="AI17" i="108"/>
  <c r="AC57" i="120"/>
  <c r="AB42" i="124"/>
  <c r="AC31" i="116"/>
  <c r="AI32" i="110"/>
  <c r="AF32" i="110"/>
  <c r="AO18" i="112"/>
  <c r="AQ18" i="112"/>
  <c r="AA15" i="112"/>
  <c r="AO28" i="103"/>
  <c r="AP28" i="103"/>
  <c r="AN28" i="103"/>
  <c r="AS28" i="103"/>
  <c r="AQ28" i="103"/>
  <c r="AF48" i="102"/>
  <c r="AC48" i="102"/>
  <c r="AP24" i="101"/>
  <c r="AO24" i="101"/>
  <c r="AT24" i="101"/>
  <c r="AR17" i="107"/>
  <c r="AT17" i="107"/>
  <c r="AN17" i="107"/>
  <c r="AP17" i="107"/>
  <c r="AE49" i="107"/>
  <c r="AS32" i="106"/>
  <c r="AQ11" i="108"/>
  <c r="AS27" i="472"/>
  <c r="AO27" i="472"/>
  <c r="AU3" i="106"/>
  <c r="AQ3" i="106"/>
  <c r="AS3" i="106"/>
  <c r="AP3" i="106"/>
  <c r="AN46" i="108"/>
  <c r="AS46" i="108"/>
  <c r="AP46" i="108"/>
  <c r="AT46" i="108"/>
  <c r="AD59" i="100"/>
  <c r="AG59" i="100"/>
  <c r="AE59" i="100"/>
  <c r="AF59" i="100"/>
  <c r="AH4" i="107"/>
  <c r="AC4" i="107"/>
  <c r="AC2" i="107" s="1"/>
  <c r="AA4" i="107"/>
  <c r="AA2" i="107" s="1"/>
  <c r="AI4" i="107"/>
  <c r="AI2" i="107" s="1"/>
  <c r="AB21" i="101"/>
  <c r="AC21" i="101"/>
  <c r="AS9" i="107"/>
  <c r="AU9" i="107"/>
  <c r="AI58" i="118"/>
  <c r="AC66" i="124"/>
  <c r="AI13" i="116"/>
  <c r="AG66" i="124"/>
  <c r="AG24" i="110"/>
  <c r="AU26" i="110"/>
  <c r="AR24" i="101"/>
  <c r="AA9" i="475"/>
  <c r="AI49" i="121"/>
  <c r="AU38" i="120"/>
  <c r="AN14" i="120"/>
  <c r="AO25" i="116"/>
  <c r="AQ26" i="114"/>
  <c r="AT56" i="110"/>
  <c r="AU56" i="110"/>
  <c r="AO16" i="108"/>
  <c r="AN16" i="108"/>
  <c r="AS16" i="108"/>
  <c r="AP16" i="108"/>
  <c r="AQ36" i="103"/>
  <c r="AU19" i="103"/>
  <c r="AR35" i="100"/>
  <c r="AP35" i="100"/>
  <c r="AF18" i="103"/>
  <c r="AE18" i="103"/>
  <c r="AB18" i="103"/>
  <c r="AA18" i="103"/>
  <c r="AF26" i="106"/>
  <c r="AA29" i="117"/>
  <c r="AH29" i="472"/>
  <c r="AG29" i="472"/>
  <c r="AD49" i="124"/>
  <c r="AH49" i="124"/>
  <c r="AG9" i="106"/>
  <c r="AA9" i="106"/>
  <c r="AD57" i="110"/>
  <c r="AP64" i="110"/>
  <c r="AH59" i="107"/>
  <c r="AA59" i="107"/>
  <c r="AG59" i="107"/>
  <c r="AC18" i="106"/>
  <c r="AI18" i="106"/>
  <c r="AB29" i="112"/>
  <c r="AG3" i="106"/>
  <c r="AI3" i="106"/>
  <c r="AH3" i="106"/>
  <c r="AF3" i="106"/>
  <c r="AE3" i="106"/>
  <c r="AE49" i="112"/>
  <c r="AA49" i="112"/>
  <c r="AB49" i="112"/>
  <c r="AO36" i="472"/>
  <c r="AT36" i="472"/>
  <c r="AU36" i="472"/>
  <c r="AS25" i="105"/>
  <c r="AQ25" i="105"/>
  <c r="AD13" i="108"/>
  <c r="AH13" i="108"/>
  <c r="AF13" i="108"/>
  <c r="AU32" i="105"/>
  <c r="AQ32" i="105"/>
  <c r="AB30" i="105"/>
  <c r="AD30" i="105"/>
  <c r="AA30" i="105"/>
  <c r="AH30" i="105"/>
  <c r="AE30" i="105"/>
  <c r="AA17" i="112"/>
  <c r="AF17" i="112"/>
  <c r="AF29" i="119"/>
  <c r="AI48" i="117"/>
  <c r="AG8" i="118"/>
  <c r="AI52" i="117"/>
  <c r="AD66" i="124"/>
  <c r="AC13" i="116"/>
  <c r="AA43" i="112"/>
  <c r="AD24" i="110"/>
  <c r="AC8" i="107"/>
  <c r="AD52" i="106"/>
  <c r="AC41" i="475"/>
  <c r="AC56" i="123"/>
  <c r="AD48" i="121"/>
  <c r="AG49" i="120"/>
  <c r="AP54" i="120"/>
  <c r="AE64" i="118"/>
  <c r="AU14" i="124"/>
  <c r="AU48" i="111"/>
  <c r="AQ48" i="111"/>
  <c r="AI40" i="114"/>
  <c r="AF16" i="111"/>
  <c r="AI16" i="111"/>
  <c r="AE16" i="111"/>
  <c r="AD39" i="106"/>
  <c r="AE39" i="106"/>
  <c r="AH51" i="101"/>
  <c r="AE51" i="101"/>
  <c r="AQ26" i="102"/>
  <c r="AG20" i="119"/>
  <c r="AD49" i="118"/>
  <c r="AU59" i="118"/>
  <c r="AD52" i="117"/>
  <c r="AU23" i="116"/>
  <c r="AQ29" i="472"/>
  <c r="AE53" i="115"/>
  <c r="AR18" i="112"/>
  <c r="AT59" i="110"/>
  <c r="AU17" i="107"/>
  <c r="AG52" i="106"/>
  <c r="AO17" i="107"/>
  <c r="AE52" i="106"/>
  <c r="AO71" i="105"/>
  <c r="AO70" i="105" s="1"/>
  <c r="AU4" i="101"/>
  <c r="AH18" i="103"/>
  <c r="AI40" i="103"/>
  <c r="AO26" i="102"/>
  <c r="AG39" i="115"/>
  <c r="AN27" i="108"/>
  <c r="AP17" i="106"/>
  <c r="AU17" i="106"/>
  <c r="AG46" i="108"/>
  <c r="AB39" i="102"/>
  <c r="AA52" i="105"/>
  <c r="AT24" i="472"/>
  <c r="AB9" i="111"/>
  <c r="AE9" i="111"/>
  <c r="AQ44" i="112"/>
  <c r="AO44" i="112"/>
  <c r="AA49" i="118"/>
  <c r="AH11" i="118"/>
  <c r="AD4" i="116"/>
  <c r="AA53" i="115"/>
  <c r="AE67" i="115"/>
  <c r="AF58" i="114"/>
  <c r="AU24" i="472"/>
  <c r="AR24" i="472"/>
  <c r="AN35" i="111"/>
  <c r="AG18" i="112"/>
  <c r="AN18" i="112"/>
  <c r="AF49" i="108"/>
  <c r="AC27" i="108"/>
  <c r="AU46" i="100"/>
  <c r="AO25" i="102"/>
  <c r="AC63" i="112"/>
  <c r="AU64" i="115"/>
  <c r="AI49" i="108"/>
  <c r="AJ72" i="106"/>
  <c r="AO3" i="106"/>
  <c r="AT29" i="103"/>
  <c r="AE18" i="106"/>
  <c r="AS46" i="105"/>
  <c r="AQ49" i="103"/>
  <c r="AS16" i="100"/>
  <c r="AF46" i="475"/>
  <c r="AS57" i="116"/>
  <c r="AO24" i="472"/>
  <c r="AC18" i="112"/>
  <c r="AR20" i="111"/>
  <c r="AQ8" i="111"/>
  <c r="AD32" i="110"/>
  <c r="AU18" i="110"/>
  <c r="AG49" i="108"/>
  <c r="AB49" i="108"/>
  <c r="AR46" i="108"/>
  <c r="AR3" i="106"/>
  <c r="AI15" i="107"/>
  <c r="AG18" i="103"/>
  <c r="AE4" i="107"/>
  <c r="AE2" i="107" s="1"/>
  <c r="AT25" i="102"/>
  <c r="AH18" i="106"/>
  <c r="AC59" i="100"/>
  <c r="AT23" i="102"/>
  <c r="AH59" i="100"/>
  <c r="AD52" i="101"/>
  <c r="AO43" i="101"/>
  <c r="AD4" i="100"/>
  <c r="AT39" i="475"/>
  <c r="AF55" i="122"/>
  <c r="AE55" i="103"/>
  <c r="AR67" i="105"/>
  <c r="AR65" i="105" s="1"/>
  <c r="AE52" i="114"/>
  <c r="AS66" i="110"/>
  <c r="AN26" i="107"/>
  <c r="AC55" i="106"/>
  <c r="AN19" i="106"/>
  <c r="AD67" i="106"/>
  <c r="AI66" i="103"/>
  <c r="AR54" i="104"/>
  <c r="AV54" i="104" s="1"/>
  <c r="AS3" i="105"/>
  <c r="AI21" i="103"/>
  <c r="AN41" i="125"/>
  <c r="AP71" i="122"/>
  <c r="AP70" i="122" s="1"/>
  <c r="AQ40" i="114"/>
  <c r="AH24" i="123"/>
  <c r="AS59" i="107"/>
  <c r="AI8" i="105"/>
  <c r="AF35" i="103"/>
  <c r="AO21" i="103"/>
  <c r="AD39" i="475"/>
  <c r="AI40" i="475"/>
  <c r="AP39" i="120"/>
  <c r="AR71" i="120"/>
  <c r="AR70" i="120" s="1"/>
  <c r="AN48" i="116"/>
  <c r="AT67" i="111"/>
  <c r="AF15" i="111"/>
  <c r="AR57" i="123"/>
  <c r="AA56" i="117"/>
  <c r="AU43" i="120"/>
  <c r="AU46" i="116"/>
  <c r="AD61" i="115"/>
  <c r="AD3" i="124"/>
  <c r="AI52" i="112"/>
  <c r="AU44" i="108"/>
  <c r="AA58" i="120"/>
  <c r="AI64" i="123"/>
  <c r="AH40" i="111"/>
  <c r="AO51" i="111"/>
  <c r="AG13" i="103"/>
  <c r="AT13" i="106"/>
  <c r="AS29" i="105"/>
  <c r="AO40" i="101"/>
  <c r="AT45" i="123"/>
  <c r="AB78" i="475"/>
  <c r="AI57" i="112"/>
  <c r="AR54" i="472"/>
  <c r="AE56" i="108"/>
  <c r="AR18" i="107"/>
  <c r="AQ16" i="101"/>
  <c r="AI38" i="106"/>
  <c r="AA42" i="119"/>
  <c r="AT53" i="122"/>
  <c r="AG78" i="124"/>
  <c r="AT56" i="117"/>
  <c r="AG43" i="472"/>
  <c r="AB51" i="106"/>
  <c r="AF41" i="103"/>
  <c r="AB40" i="106"/>
  <c r="AN64" i="123"/>
  <c r="AG46" i="472"/>
  <c r="AR40" i="108"/>
  <c r="AC58" i="116"/>
  <c r="AJ51" i="100"/>
  <c r="AG18" i="110"/>
  <c r="AH37" i="107"/>
  <c r="AT51" i="104"/>
  <c r="AO13" i="103"/>
  <c r="AA13" i="106"/>
  <c r="AC34" i="102"/>
  <c r="AN21" i="106"/>
  <c r="AQ41" i="101"/>
  <c r="AQ67" i="121"/>
  <c r="AA61" i="123"/>
  <c r="AA57" i="118"/>
  <c r="AI78" i="117"/>
  <c r="AT13" i="115"/>
  <c r="AG32" i="111"/>
  <c r="AF24" i="114"/>
  <c r="AH53" i="105"/>
  <c r="AI39" i="100"/>
  <c r="AI42" i="475"/>
  <c r="AS64" i="475"/>
  <c r="AU46" i="125"/>
  <c r="AC51" i="122"/>
  <c r="AU40" i="119"/>
  <c r="AF67" i="112"/>
  <c r="AN51" i="106"/>
  <c r="AA45" i="103"/>
  <c r="AN54" i="121"/>
  <c r="AP67" i="475"/>
  <c r="AR43" i="115"/>
  <c r="AA43" i="103"/>
  <c r="AG58" i="124"/>
  <c r="AD78" i="112"/>
  <c r="AC40" i="100"/>
  <c r="AT53" i="117"/>
  <c r="AO43" i="112"/>
  <c r="AD27" i="110"/>
  <c r="AO49" i="105"/>
  <c r="AH29" i="110"/>
  <c r="AR59" i="106"/>
  <c r="AP19" i="106"/>
  <c r="AQ37" i="100"/>
  <c r="AH40" i="105"/>
  <c r="AD63" i="119"/>
  <c r="AD53" i="120"/>
  <c r="AC44" i="116"/>
  <c r="AH58" i="115"/>
  <c r="AQ58" i="472"/>
  <c r="AF21" i="115"/>
  <c r="AP67" i="117"/>
  <c r="AT66" i="119"/>
  <c r="AI43" i="111"/>
  <c r="AG14" i="111"/>
  <c r="AF37" i="108"/>
  <c r="AN13" i="472"/>
  <c r="AA57" i="475"/>
  <c r="AJ57" i="475" s="1"/>
  <c r="AD11" i="110"/>
  <c r="AN56" i="112"/>
  <c r="AF29" i="106"/>
  <c r="AI15" i="105"/>
  <c r="AP54" i="124"/>
  <c r="AI78" i="105"/>
  <c r="AP21" i="107"/>
  <c r="AU61" i="116"/>
  <c r="AD78" i="101"/>
  <c r="AD67" i="110"/>
  <c r="AU57" i="108"/>
  <c r="AT78" i="104"/>
  <c r="AE78" i="124"/>
  <c r="AD78" i="124"/>
  <c r="AU78" i="104"/>
  <c r="AA78" i="475"/>
  <c r="AN78" i="118"/>
  <c r="AA78" i="117"/>
  <c r="AS78" i="118"/>
  <c r="AC78" i="124"/>
  <c r="AC78" i="117"/>
  <c r="AR78" i="125"/>
  <c r="AE78" i="475"/>
  <c r="AN78" i="125"/>
  <c r="AF78" i="475"/>
  <c r="AO78" i="125"/>
  <c r="AD78" i="118"/>
  <c r="AC78" i="475"/>
  <c r="AN78" i="104"/>
  <c r="AG78" i="117"/>
  <c r="AR78" i="104"/>
  <c r="AO78" i="104"/>
  <c r="AB78" i="124"/>
  <c r="AA40" i="114"/>
  <c r="AB40" i="114"/>
  <c r="AS40" i="123"/>
  <c r="AP40" i="121"/>
  <c r="AR40" i="472"/>
  <c r="AU40" i="472"/>
  <c r="AT40" i="472"/>
  <c r="AH67" i="112"/>
  <c r="AE67" i="110"/>
  <c r="AD67" i="120"/>
  <c r="AB67" i="112"/>
  <c r="AR67" i="108"/>
  <c r="AP67" i="106"/>
  <c r="AS67" i="101"/>
  <c r="AD67" i="112"/>
  <c r="AP67" i="123"/>
  <c r="AE67" i="112"/>
  <c r="AG67" i="112"/>
  <c r="AR67" i="102"/>
  <c r="AE67" i="472"/>
  <c r="AA67" i="112"/>
  <c r="AB67" i="111"/>
  <c r="AI67" i="112"/>
  <c r="AC67" i="112"/>
  <c r="AT67" i="120"/>
  <c r="AI69" i="118"/>
  <c r="AI68" i="118" s="1"/>
  <c r="AC69" i="118"/>
  <c r="AC68" i="118" s="1"/>
  <c r="AF69" i="118"/>
  <c r="AF68" i="118" s="1"/>
  <c r="AE69" i="118"/>
  <c r="AE68" i="118" s="1"/>
  <c r="AP69" i="116"/>
  <c r="AN69" i="108"/>
  <c r="AR73" i="123"/>
  <c r="AR72" i="123" s="1"/>
  <c r="AS71" i="120"/>
  <c r="AS70" i="120" s="1"/>
  <c r="AS68" i="120" s="1"/>
  <c r="AH71" i="472"/>
  <c r="AH70" i="472" s="1"/>
  <c r="AS69" i="108"/>
  <c r="AQ73" i="125"/>
  <c r="AT71" i="120"/>
  <c r="AT70" i="120" s="1"/>
  <c r="AT69" i="107"/>
  <c r="AT69" i="108"/>
  <c r="AQ69" i="107"/>
  <c r="AO71" i="102"/>
  <c r="AO70" i="102" s="1"/>
  <c r="AH69" i="118"/>
  <c r="AH68" i="118" s="1"/>
  <c r="AC71" i="472"/>
  <c r="AC70" i="472" s="1"/>
  <c r="AP69" i="108"/>
  <c r="AG71" i="472"/>
  <c r="AG70" i="472" s="1"/>
  <c r="AB73" i="100"/>
  <c r="AF69" i="124"/>
  <c r="AF68" i="124" s="1"/>
  <c r="AN73" i="125"/>
  <c r="AN72" i="125" s="1"/>
  <c r="AE71" i="120"/>
  <c r="AE70" i="120" s="1"/>
  <c r="AN71" i="120"/>
  <c r="AP71" i="120"/>
  <c r="AP70" i="120" s="1"/>
  <c r="AR73" i="124"/>
  <c r="AR72" i="124" s="1"/>
  <c r="AQ71" i="114"/>
  <c r="AQ70" i="114" s="1"/>
  <c r="AH71" i="108"/>
  <c r="AH70" i="108" s="1"/>
  <c r="AO69" i="107"/>
  <c r="AF69" i="101"/>
  <c r="AF68" i="101" s="1"/>
  <c r="AI69" i="100"/>
  <c r="AI68" i="100" s="1"/>
  <c r="AB69" i="118"/>
  <c r="AB68" i="118" s="1"/>
  <c r="AO69" i="116"/>
  <c r="AU71" i="120"/>
  <c r="AU70" i="120" s="1"/>
  <c r="AC69" i="122"/>
  <c r="AC68" i="122" s="1"/>
  <c r="AO71" i="120"/>
  <c r="AO70" i="120" s="1"/>
  <c r="AO69" i="108"/>
  <c r="AG69" i="101"/>
  <c r="AG68" i="101" s="1"/>
  <c r="AI69" i="101"/>
  <c r="AI68" i="101" s="1"/>
  <c r="AQ71" i="475"/>
  <c r="AQ70" i="475" s="1"/>
  <c r="AT73" i="125"/>
  <c r="AT72" i="125" s="1"/>
  <c r="AS69" i="107"/>
  <c r="AS68" i="107" s="1"/>
  <c r="AT71" i="475"/>
  <c r="AT70" i="475" s="1"/>
  <c r="AP71" i="475"/>
  <c r="AP70" i="475" s="1"/>
  <c r="AO69" i="121"/>
  <c r="AI69" i="116"/>
  <c r="AI68" i="116" s="1"/>
  <c r="AQ73" i="124"/>
  <c r="AQ72" i="124" s="1"/>
  <c r="AP69" i="107"/>
  <c r="AG64" i="123"/>
  <c r="AG64" i="121"/>
  <c r="AC64" i="121"/>
  <c r="AQ64" i="475"/>
  <c r="AC64" i="123"/>
  <c r="AP64" i="123"/>
  <c r="AQ64" i="123"/>
  <c r="AE64" i="123"/>
  <c r="AS64" i="123"/>
  <c r="AH64" i="121"/>
  <c r="AA64" i="121"/>
  <c r="AB64" i="123"/>
  <c r="AD64" i="123"/>
  <c r="AU64" i="123"/>
  <c r="AT64" i="123"/>
  <c r="AR64" i="116"/>
  <c r="AU64" i="111"/>
  <c r="AA64" i="123"/>
  <c r="AA64" i="103"/>
  <c r="AH64" i="123"/>
  <c r="AO64" i="123"/>
  <c r="AP64" i="475"/>
  <c r="AP64" i="116"/>
  <c r="AO64" i="116"/>
  <c r="AB64" i="121"/>
  <c r="AD64" i="121"/>
  <c r="AS64" i="116"/>
  <c r="AI61" i="115"/>
  <c r="AG61" i="115"/>
  <c r="AS61" i="105"/>
  <c r="AE61" i="115"/>
  <c r="AN61" i="112"/>
  <c r="AO61" i="116"/>
  <c r="AC61" i="115"/>
  <c r="AA61" i="120"/>
  <c r="AP61" i="112"/>
  <c r="AQ61" i="120"/>
  <c r="AB61" i="115"/>
  <c r="AR61" i="120"/>
  <c r="AP61" i="116"/>
  <c r="AO61" i="120"/>
  <c r="AS61" i="112"/>
  <c r="AU61" i="112"/>
  <c r="AU61" i="120"/>
  <c r="AR61" i="116"/>
  <c r="AP61" i="120"/>
  <c r="AS61" i="116"/>
  <c r="AT61" i="112"/>
  <c r="AA61" i="115"/>
  <c r="AH61" i="121"/>
  <c r="AB61" i="120"/>
  <c r="AF61" i="120"/>
  <c r="AS61" i="120"/>
  <c r="AI61" i="120"/>
  <c r="AN61" i="120"/>
  <c r="AH61" i="120"/>
  <c r="AR55" i="124"/>
  <c r="AP55" i="110"/>
  <c r="AQ55" i="124"/>
  <c r="AP55" i="124"/>
  <c r="AI55" i="118"/>
  <c r="AT55" i="124"/>
  <c r="AN55" i="110"/>
  <c r="AE55" i="475"/>
  <c r="AI55" i="117"/>
  <c r="AU55" i="124"/>
  <c r="AN55" i="124"/>
  <c r="AH55" i="475"/>
  <c r="AS55" i="124"/>
  <c r="AR55" i="104"/>
  <c r="AG55" i="475"/>
  <c r="AS55" i="116"/>
  <c r="AH55" i="102"/>
  <c r="AD55" i="475"/>
  <c r="AE55" i="104"/>
  <c r="AS57" i="123"/>
  <c r="AU57" i="123"/>
  <c r="AT57" i="124"/>
  <c r="AO57" i="123"/>
  <c r="AC58" i="120"/>
  <c r="AO56" i="117"/>
  <c r="AE58" i="124"/>
  <c r="AS57" i="103"/>
  <c r="AD58" i="120"/>
  <c r="AF57" i="120"/>
  <c r="AA57" i="120"/>
  <c r="AD57" i="120"/>
  <c r="AG57" i="119"/>
  <c r="AR56" i="117"/>
  <c r="AT56" i="116"/>
  <c r="AA58" i="116"/>
  <c r="AS58" i="114"/>
  <c r="AG57" i="115"/>
  <c r="AI58" i="116"/>
  <c r="AS57" i="114"/>
  <c r="AA57" i="105"/>
  <c r="AS58" i="102"/>
  <c r="AU57" i="103"/>
  <c r="AB57" i="115"/>
  <c r="AO56" i="101"/>
  <c r="AN57" i="475"/>
  <c r="AB57" i="120"/>
  <c r="AN57" i="120"/>
  <c r="AH57" i="119"/>
  <c r="AS56" i="117"/>
  <c r="AO56" i="116"/>
  <c r="AG58" i="116"/>
  <c r="AR58" i="124"/>
  <c r="AD57" i="116"/>
  <c r="AJ57" i="116" s="1"/>
  <c r="AQ58" i="124"/>
  <c r="AQ56" i="114"/>
  <c r="AU57" i="114"/>
  <c r="AQ58" i="114"/>
  <c r="AD56" i="108"/>
  <c r="AI56" i="108"/>
  <c r="AT58" i="108"/>
  <c r="AT57" i="105"/>
  <c r="AS57" i="475"/>
  <c r="AE58" i="120"/>
  <c r="AB56" i="108"/>
  <c r="AD58" i="124"/>
  <c r="AH57" i="472"/>
  <c r="AF57" i="475"/>
  <c r="AP58" i="114"/>
  <c r="AE58" i="115"/>
  <c r="AT57" i="472"/>
  <c r="AD57" i="472"/>
  <c r="AT58" i="114"/>
  <c r="AF58" i="115"/>
  <c r="AH58" i="116"/>
  <c r="AR58" i="114"/>
  <c r="AS58" i="124"/>
  <c r="AR57" i="475"/>
  <c r="AI56" i="123"/>
  <c r="AE57" i="118"/>
  <c r="AF57" i="119"/>
  <c r="AD57" i="118"/>
  <c r="AI58" i="117"/>
  <c r="AU56" i="117"/>
  <c r="AS56" i="116"/>
  <c r="AE58" i="116"/>
  <c r="AC58" i="124"/>
  <c r="AO56" i="124"/>
  <c r="AF58" i="116"/>
  <c r="AU56" i="124"/>
  <c r="AR57" i="114"/>
  <c r="AO57" i="114"/>
  <c r="AA58" i="115"/>
  <c r="AQ57" i="112"/>
  <c r="AO58" i="472"/>
  <c r="AG57" i="472"/>
  <c r="AQ56" i="112"/>
  <c r="AD57" i="475"/>
  <c r="AB57" i="106"/>
  <c r="AB58" i="116"/>
  <c r="AO57" i="111"/>
  <c r="AH57" i="112"/>
  <c r="AT57" i="475"/>
  <c r="AN57" i="123"/>
  <c r="AN58" i="124"/>
  <c r="AD58" i="115"/>
  <c r="AA57" i="472"/>
  <c r="AN56" i="117"/>
  <c r="AB58" i="124"/>
  <c r="AI58" i="120"/>
  <c r="AB58" i="120"/>
  <c r="AF58" i="117"/>
  <c r="AE57" i="119"/>
  <c r="AO58" i="114"/>
  <c r="AG57" i="103"/>
  <c r="AE56" i="121"/>
  <c r="AD57" i="104"/>
  <c r="AH57" i="475"/>
  <c r="AR57" i="125"/>
  <c r="AB56" i="123"/>
  <c r="AG57" i="120"/>
  <c r="AH57" i="120"/>
  <c r="AG57" i="118"/>
  <c r="AA57" i="119"/>
  <c r="AF57" i="118"/>
  <c r="AA58" i="117"/>
  <c r="AP56" i="116"/>
  <c r="AT56" i="124"/>
  <c r="AH58" i="124"/>
  <c r="AE56" i="124"/>
  <c r="AG58" i="115"/>
  <c r="AB57" i="472"/>
  <c r="AS56" i="112"/>
  <c r="AF58" i="120"/>
  <c r="AQ57" i="475"/>
  <c r="AG56" i="123"/>
  <c r="AQ56" i="116"/>
  <c r="AO58" i="124"/>
  <c r="AF57" i="472"/>
  <c r="AN56" i="116"/>
  <c r="AR56" i="124"/>
  <c r="AO56" i="107"/>
  <c r="AA56" i="100"/>
  <c r="AH57" i="114"/>
  <c r="AO54" i="121"/>
  <c r="AP54" i="104"/>
  <c r="AS54" i="472"/>
  <c r="AN54" i="124"/>
  <c r="AQ54" i="472"/>
  <c r="AO54" i="110"/>
  <c r="AE54" i="120"/>
  <c r="AQ54" i="124"/>
  <c r="AF54" i="120"/>
  <c r="AT54" i="120"/>
  <c r="AO54" i="120"/>
  <c r="AB54" i="120"/>
  <c r="AD54" i="120"/>
  <c r="AQ54" i="104"/>
  <c r="AC54" i="120"/>
  <c r="AR54" i="124"/>
  <c r="AQ54" i="121"/>
  <c r="AN54" i="472"/>
  <c r="AT53" i="105"/>
  <c r="AQ53" i="122"/>
  <c r="AH53" i="120"/>
  <c r="AB53" i="120"/>
  <c r="AO53" i="117"/>
  <c r="AC53" i="103"/>
  <c r="AO53" i="123"/>
  <c r="AQ53" i="123"/>
  <c r="AF53" i="120"/>
  <c r="AT53" i="123"/>
  <c r="AA53" i="120"/>
  <c r="AI53" i="120"/>
  <c r="AC53" i="105"/>
  <c r="AF51" i="119"/>
  <c r="AC51" i="115"/>
  <c r="AF51" i="124"/>
  <c r="AO51" i="107"/>
  <c r="AN51" i="107"/>
  <c r="AB51" i="115"/>
  <c r="AS51" i="107"/>
  <c r="AD51" i="106"/>
  <c r="AC51" i="106"/>
  <c r="AH51" i="106"/>
  <c r="AN51" i="121"/>
  <c r="AT51" i="121"/>
  <c r="AC51" i="119"/>
  <c r="AD51" i="115"/>
  <c r="AQ51" i="111"/>
  <c r="AP51" i="107"/>
  <c r="AE51" i="106"/>
  <c r="AF51" i="106"/>
  <c r="AT51" i="111"/>
  <c r="AF51" i="115"/>
  <c r="AE51" i="115"/>
  <c r="AN51" i="111"/>
  <c r="AP51" i="108"/>
  <c r="AA51" i="106"/>
  <c r="AU51" i="115"/>
  <c r="AO51" i="472"/>
  <c r="AT51" i="107"/>
  <c r="AI51" i="106"/>
  <c r="AU51" i="111"/>
  <c r="AH51" i="124"/>
  <c r="AR51" i="111"/>
  <c r="AC51" i="103"/>
  <c r="AP48" i="108"/>
  <c r="AC48" i="108"/>
  <c r="AO48" i="106"/>
  <c r="AP48" i="122"/>
  <c r="AR48" i="122"/>
  <c r="AQ48" i="122"/>
  <c r="AH48" i="121"/>
  <c r="AE48" i="119"/>
  <c r="AT48" i="111"/>
  <c r="AD48" i="108"/>
  <c r="AN48" i="115"/>
  <c r="AS48" i="108"/>
  <c r="AA48" i="119"/>
  <c r="AG48" i="475"/>
  <c r="AT48" i="108"/>
  <c r="AS48" i="103"/>
  <c r="AO48" i="115"/>
  <c r="AN48" i="108"/>
  <c r="AF48" i="119"/>
  <c r="AP48" i="115"/>
  <c r="AC48" i="119"/>
  <c r="AQ48" i="115"/>
  <c r="AH48" i="472"/>
  <c r="AG48" i="119"/>
  <c r="AG48" i="102"/>
  <c r="AT48" i="122"/>
  <c r="AR48" i="111"/>
  <c r="AB48" i="102"/>
  <c r="AU48" i="122"/>
  <c r="AG48" i="122"/>
  <c r="AO48" i="111"/>
  <c r="AH46" i="472"/>
  <c r="AO46" i="116"/>
  <c r="AT46" i="116"/>
  <c r="AI46" i="104"/>
  <c r="AN46" i="125"/>
  <c r="AS46" i="116"/>
  <c r="AS46" i="125"/>
  <c r="AD46" i="472"/>
  <c r="AT46" i="472"/>
  <c r="AB46" i="103"/>
  <c r="AN46" i="116"/>
  <c r="AE46" i="124"/>
  <c r="AT46" i="119"/>
  <c r="AR46" i="116"/>
  <c r="AE46" i="475"/>
  <c r="AQ46" i="125"/>
  <c r="AP46" i="103"/>
  <c r="AP46" i="116"/>
  <c r="AO46" i="104"/>
  <c r="AC46" i="475"/>
  <c r="AD46" i="475"/>
  <c r="AH46" i="475"/>
  <c r="AN46" i="119"/>
  <c r="AB46" i="124"/>
  <c r="AB46" i="472"/>
  <c r="AA46" i="475"/>
  <c r="AC46" i="472"/>
  <c r="AP46" i="125"/>
  <c r="AI46" i="475"/>
  <c r="AF46" i="124"/>
  <c r="AI46" i="106"/>
  <c r="AO45" i="123"/>
  <c r="AQ45" i="123"/>
  <c r="AS45" i="472"/>
  <c r="AT45" i="108"/>
  <c r="AD45" i="103"/>
  <c r="AR45" i="125"/>
  <c r="AF45" i="115"/>
  <c r="AG45" i="121"/>
  <c r="AT45" i="472"/>
  <c r="AF45" i="114"/>
  <c r="AE45" i="117"/>
  <c r="AD45" i="121"/>
  <c r="AB45" i="116"/>
  <c r="AQ45" i="472"/>
  <c r="AT45" i="103"/>
  <c r="AN45" i="104"/>
  <c r="AC45" i="121"/>
  <c r="AQ45" i="122"/>
  <c r="AO45" i="115"/>
  <c r="AP45" i="115"/>
  <c r="AC44" i="124"/>
  <c r="AB44" i="108"/>
  <c r="AE44" i="108"/>
  <c r="AF44" i="475"/>
  <c r="AE44" i="124"/>
  <c r="AG44" i="110"/>
  <c r="AI44" i="108"/>
  <c r="AQ44" i="122"/>
  <c r="AI44" i="101"/>
  <c r="AD44" i="101"/>
  <c r="AB44" i="101"/>
  <c r="AS44" i="122"/>
  <c r="AA44" i="101"/>
  <c r="AF44" i="121"/>
  <c r="AE44" i="101"/>
  <c r="AS44" i="108"/>
  <c r="AB44" i="124"/>
  <c r="AC44" i="108"/>
  <c r="AG44" i="108"/>
  <c r="AG43" i="119"/>
  <c r="AG43" i="116"/>
  <c r="AA43" i="115"/>
  <c r="AO43" i="120"/>
  <c r="AC43" i="116"/>
  <c r="AB43" i="111"/>
  <c r="AI43" i="115"/>
  <c r="AB43" i="115"/>
  <c r="AD43" i="115"/>
  <c r="AP43" i="115"/>
  <c r="AR43" i="120"/>
  <c r="AB43" i="116"/>
  <c r="AH43" i="115"/>
  <c r="AS43" i="120"/>
  <c r="AQ43" i="120"/>
  <c r="AB42" i="119"/>
  <c r="AH42" i="120"/>
  <c r="AC42" i="119"/>
  <c r="AB42" i="120"/>
  <c r="AF42" i="119"/>
  <c r="AG42" i="101"/>
  <c r="AC42" i="120"/>
  <c r="AD42" i="124"/>
  <c r="AP42" i="105"/>
  <c r="AR42" i="119"/>
  <c r="AD42" i="120"/>
  <c r="AI42" i="119"/>
  <c r="AU42" i="100"/>
  <c r="AF42" i="102"/>
  <c r="AE42" i="475"/>
  <c r="AH42" i="119"/>
  <c r="AP42" i="111"/>
  <c r="AF42" i="120"/>
  <c r="AF42" i="101"/>
  <c r="AG42" i="120"/>
  <c r="AO42" i="115"/>
  <c r="AT42" i="472"/>
  <c r="AE42" i="101"/>
  <c r="AP42" i="472"/>
  <c r="AP42" i="104"/>
  <c r="AQ42" i="472"/>
  <c r="AU42" i="104"/>
  <c r="AR42" i="472"/>
  <c r="AR41" i="115"/>
  <c r="AB41" i="475"/>
  <c r="AT41" i="115"/>
  <c r="AA41" i="472"/>
  <c r="AT41" i="105"/>
  <c r="AD41" i="475"/>
  <c r="AS41" i="104"/>
  <c r="AH41" i="121"/>
  <c r="AD41" i="472"/>
  <c r="AF41" i="472"/>
  <c r="AD41" i="121"/>
  <c r="AT41" i="104"/>
  <c r="AG41" i="475"/>
  <c r="AF41" i="475"/>
  <c r="AT41" i="472"/>
  <c r="AE41" i="472"/>
  <c r="AG41" i="472"/>
  <c r="AG41" i="108"/>
  <c r="AG41" i="121"/>
  <c r="AA41" i="475"/>
  <c r="AG41" i="123"/>
  <c r="AA41" i="121"/>
  <c r="AB41" i="121"/>
  <c r="AC41" i="121"/>
  <c r="AB41" i="472"/>
  <c r="AP40" i="106"/>
  <c r="AA40" i="475"/>
  <c r="AE40" i="475"/>
  <c r="AA40" i="112"/>
  <c r="AO40" i="123"/>
  <c r="AR40" i="119"/>
  <c r="AS40" i="117"/>
  <c r="AB40" i="124"/>
  <c r="AC40" i="112"/>
  <c r="AP40" i="119"/>
  <c r="AU40" i="107"/>
  <c r="AB40" i="119"/>
  <c r="AB40" i="112"/>
  <c r="AD40" i="111"/>
  <c r="AF40" i="124"/>
  <c r="AN40" i="119"/>
  <c r="AD40" i="112"/>
  <c r="AA40" i="111"/>
  <c r="AN40" i="121"/>
  <c r="AF40" i="112"/>
  <c r="AE40" i="111"/>
  <c r="AG40" i="112"/>
  <c r="AI40" i="106"/>
  <c r="AR40" i="123"/>
  <c r="AN40" i="123"/>
  <c r="AQ40" i="123"/>
  <c r="AO40" i="121"/>
  <c r="AN40" i="117"/>
  <c r="AA40" i="124"/>
  <c r="AG40" i="114"/>
  <c r="AE40" i="112"/>
  <c r="AN40" i="100"/>
  <c r="AH40" i="112"/>
  <c r="AC40" i="111"/>
  <c r="AT40" i="121"/>
  <c r="AO40" i="119"/>
  <c r="AP40" i="117"/>
  <c r="AD40" i="124"/>
  <c r="AU40" i="123"/>
  <c r="AG40" i="124"/>
  <c r="AR40" i="106"/>
  <c r="AU40" i="106"/>
  <c r="AH40" i="101"/>
  <c r="AH40" i="107"/>
  <c r="AH42" i="123"/>
  <c r="AT39" i="472"/>
  <c r="AA42" i="123"/>
  <c r="AG38" i="117"/>
  <c r="AI38" i="472"/>
  <c r="AF41" i="108"/>
  <c r="AC41" i="108"/>
  <c r="AS42" i="104"/>
  <c r="AO41" i="104"/>
  <c r="AC39" i="121"/>
  <c r="AH38" i="120"/>
  <c r="AH39" i="121"/>
  <c r="AC41" i="117"/>
  <c r="AO38" i="106"/>
  <c r="AI41" i="100"/>
  <c r="AU41" i="104"/>
  <c r="AN39" i="475"/>
  <c r="AC42" i="116"/>
  <c r="AP41" i="108"/>
  <c r="AB39" i="121"/>
  <c r="AP41" i="104"/>
  <c r="AA41" i="100"/>
  <c r="AO42" i="103"/>
  <c r="AD39" i="115"/>
  <c r="AN41" i="104"/>
  <c r="AQ39" i="475"/>
  <c r="AG42" i="123"/>
  <c r="AR42" i="103"/>
  <c r="AC41" i="100"/>
  <c r="AI39" i="475"/>
  <c r="AB42" i="123"/>
  <c r="AA39" i="121"/>
  <c r="AE39" i="121"/>
  <c r="AA38" i="120"/>
  <c r="AH39" i="119"/>
  <c r="AT42" i="104"/>
  <c r="AR41" i="104"/>
  <c r="AP39" i="475"/>
  <c r="AR41" i="125"/>
  <c r="AA39" i="475"/>
  <c r="AD42" i="123"/>
  <c r="AI38" i="120"/>
  <c r="AP41" i="119"/>
  <c r="AN42" i="114"/>
  <c r="AF39" i="106"/>
  <c r="AS42" i="119"/>
  <c r="AC39" i="118"/>
  <c r="AF42" i="116"/>
  <c r="AQ41" i="475"/>
  <c r="AF42" i="123"/>
  <c r="AQ38" i="119"/>
  <c r="AE42" i="116"/>
  <c r="AF39" i="115"/>
  <c r="AP38" i="123"/>
  <c r="AO38" i="115"/>
  <c r="AF39" i="121"/>
  <c r="AD39" i="121"/>
  <c r="AG39" i="118"/>
  <c r="AC38" i="117"/>
  <c r="AS41" i="117"/>
  <c r="AA42" i="116"/>
  <c r="AU39" i="475"/>
  <c r="AB42" i="116"/>
  <c r="AP42" i="114"/>
  <c r="AQ41" i="111"/>
  <c r="AC41" i="101"/>
  <c r="AP42" i="103"/>
  <c r="AG42" i="124"/>
  <c r="AG39" i="121"/>
  <c r="AF38" i="117"/>
  <c r="AD42" i="116"/>
  <c r="AG41" i="111"/>
  <c r="AO42" i="105"/>
  <c r="AN42" i="103"/>
  <c r="AT42" i="103"/>
  <c r="AT42" i="116"/>
  <c r="AI42" i="123"/>
  <c r="AN41" i="119"/>
  <c r="AB38" i="115"/>
  <c r="AQ42" i="114"/>
  <c r="AE41" i="100"/>
  <c r="AF41" i="100"/>
  <c r="AC49" i="124"/>
  <c r="AO56" i="114"/>
  <c r="AI66" i="112"/>
  <c r="AA17" i="114"/>
  <c r="AB32" i="472"/>
  <c r="AR58" i="472"/>
  <c r="AH66" i="112"/>
  <c r="AA57" i="110"/>
  <c r="AS18" i="107"/>
  <c r="AI17" i="106"/>
  <c r="AD9" i="101"/>
  <c r="AS27" i="101"/>
  <c r="AR27" i="101"/>
  <c r="AP34" i="101"/>
  <c r="AU11" i="108"/>
  <c r="AS27" i="108"/>
  <c r="AU27" i="108"/>
  <c r="AT17" i="106"/>
  <c r="AQ17" i="106"/>
  <c r="AR17" i="106"/>
  <c r="AN46" i="107"/>
  <c r="AQ46" i="107"/>
  <c r="AR29" i="106"/>
  <c r="AP29" i="106"/>
  <c r="AO29" i="106"/>
  <c r="AU29" i="106"/>
  <c r="AS29" i="106"/>
  <c r="AP20" i="106"/>
  <c r="AT20" i="106"/>
  <c r="AP58" i="108"/>
  <c r="AR48" i="105"/>
  <c r="AQ48" i="105"/>
  <c r="AA45" i="121"/>
  <c r="AI59" i="124"/>
  <c r="AN71" i="116"/>
  <c r="AN70" i="116" s="1"/>
  <c r="AC21" i="116"/>
  <c r="AI21" i="116"/>
  <c r="AC25" i="116"/>
  <c r="AP69" i="124"/>
  <c r="AU63" i="116"/>
  <c r="AU25" i="116"/>
  <c r="AR42" i="116"/>
  <c r="AD25" i="116"/>
  <c r="AG32" i="472"/>
  <c r="AD66" i="112"/>
  <c r="AC32" i="472"/>
  <c r="AS58" i="472"/>
  <c r="AA13" i="111"/>
  <c r="AI57" i="110"/>
  <c r="AI49" i="107"/>
  <c r="AS49" i="107"/>
  <c r="AT18" i="107"/>
  <c r="AN20" i="106"/>
  <c r="AO66" i="103"/>
  <c r="AF14" i="101"/>
  <c r="AH66" i="106"/>
  <c r="AO16" i="106"/>
  <c r="AU16" i="106"/>
  <c r="AS16" i="106"/>
  <c r="AC64" i="114"/>
  <c r="AG56" i="112"/>
  <c r="AT4" i="100"/>
  <c r="AP4" i="100"/>
  <c r="AQ4" i="100"/>
  <c r="AI27" i="100"/>
  <c r="AH27" i="100"/>
  <c r="AA27" i="100"/>
  <c r="AE27" i="100"/>
  <c r="AA3" i="108"/>
  <c r="AA2" i="108" s="1"/>
  <c r="AD42" i="102"/>
  <c r="AB42" i="102"/>
  <c r="AI42" i="102"/>
  <c r="AH42" i="102"/>
  <c r="AE42" i="102"/>
  <c r="AT73" i="124"/>
  <c r="AT72" i="124" s="1"/>
  <c r="AP40" i="105"/>
  <c r="AN40" i="105"/>
  <c r="AU40" i="105"/>
  <c r="AF40" i="102"/>
  <c r="AH40" i="102"/>
  <c r="AD40" i="102"/>
  <c r="AQ41" i="115"/>
  <c r="AN58" i="472"/>
  <c r="AP46" i="112"/>
  <c r="AF29" i="472"/>
  <c r="AF46" i="472"/>
  <c r="AI13" i="111"/>
  <c r="AP49" i="107"/>
  <c r="AB54" i="100"/>
  <c r="AG54" i="100"/>
  <c r="AI54" i="100"/>
  <c r="AC38" i="102"/>
  <c r="AH38" i="102"/>
  <c r="AS49" i="101"/>
  <c r="AT49" i="101"/>
  <c r="AA32" i="108"/>
  <c r="AD32" i="108"/>
  <c r="AC46" i="102"/>
  <c r="AB46" i="102"/>
  <c r="AA54" i="103"/>
  <c r="AC54" i="103"/>
  <c r="AU34" i="101"/>
  <c r="AQ34" i="101"/>
  <c r="AB43" i="101"/>
  <c r="AE43" i="101"/>
  <c r="AR24" i="106"/>
  <c r="AS24" i="106"/>
  <c r="AS3" i="101"/>
  <c r="AR3" i="101"/>
  <c r="AR2" i="101" s="1"/>
  <c r="AP3" i="101"/>
  <c r="AT3" i="101"/>
  <c r="AI41" i="101"/>
  <c r="AF41" i="101"/>
  <c r="AI17" i="107"/>
  <c r="AE17" i="107"/>
  <c r="AB17" i="107"/>
  <c r="AD17" i="107"/>
  <c r="AA17" i="107"/>
  <c r="AC37" i="106"/>
  <c r="AF37" i="106"/>
  <c r="AI25" i="114"/>
  <c r="AG25" i="114"/>
  <c r="AA25" i="114"/>
  <c r="AH25" i="114"/>
  <c r="AU23" i="103"/>
  <c r="AS23" i="103"/>
  <c r="AT23" i="103"/>
  <c r="AN23" i="103"/>
  <c r="AO23" i="103"/>
  <c r="AR23" i="103"/>
  <c r="C6" i="736"/>
  <c r="AT53" i="102"/>
  <c r="AU53" i="102"/>
  <c r="AI9" i="101"/>
  <c r="AC9" i="101"/>
  <c r="AG9" i="101"/>
  <c r="AA9" i="101"/>
  <c r="AF9" i="101"/>
  <c r="AI39" i="102"/>
  <c r="AH39" i="102"/>
  <c r="AB35" i="105"/>
  <c r="AE35" i="105"/>
  <c r="AG19" i="102"/>
  <c r="AE19" i="102"/>
  <c r="AD39" i="101"/>
  <c r="AA39" i="101"/>
  <c r="AI39" i="101"/>
  <c r="AC39" i="101"/>
  <c r="AD57" i="106"/>
  <c r="AF57" i="106"/>
  <c r="AU49" i="100"/>
  <c r="AN49" i="100"/>
  <c r="AD49" i="107"/>
  <c r="AG49" i="107"/>
  <c r="AA49" i="107"/>
  <c r="AQ61" i="100"/>
  <c r="AP61" i="100"/>
  <c r="AN61" i="100"/>
  <c r="AE32" i="101"/>
  <c r="AI32" i="101"/>
  <c r="AP69" i="100"/>
  <c r="AT69" i="100"/>
  <c r="AS11" i="108"/>
  <c r="AN11" i="108"/>
  <c r="AI21" i="106"/>
  <c r="AB21" i="106"/>
  <c r="AH21" i="106"/>
  <c r="AG17" i="106"/>
  <c r="AE17" i="106"/>
  <c r="AQ18" i="105"/>
  <c r="AR18" i="105"/>
  <c r="AU18" i="105"/>
  <c r="AT35" i="103"/>
  <c r="AS35" i="103"/>
  <c r="AR35" i="103"/>
  <c r="AF31" i="100"/>
  <c r="AE31" i="100"/>
  <c r="AD31" i="100"/>
  <c r="AB31" i="100"/>
  <c r="AD9" i="106"/>
  <c r="AH9" i="106"/>
  <c r="AF9" i="106"/>
  <c r="AB31" i="111"/>
  <c r="AC31" i="111"/>
  <c r="AD19" i="106"/>
  <c r="AI57" i="105"/>
  <c r="AA25" i="106"/>
  <c r="AO54" i="105"/>
  <c r="AD40" i="106"/>
  <c r="AG17" i="108"/>
  <c r="AS18" i="105"/>
  <c r="AE38" i="102"/>
  <c r="AE9" i="101"/>
  <c r="AQ25" i="101"/>
  <c r="AN18" i="105"/>
  <c r="AI71" i="103"/>
  <c r="AI70" i="103" s="1"/>
  <c r="AG39" i="101"/>
  <c r="AD41" i="101"/>
  <c r="AH25" i="101"/>
  <c r="AO3" i="101"/>
  <c r="AE51" i="107"/>
  <c r="AE55" i="102"/>
  <c r="AA55" i="102"/>
  <c r="AB55" i="102"/>
  <c r="AT40" i="108"/>
  <c r="AP40" i="108"/>
  <c r="AE18" i="105"/>
  <c r="AH44" i="100"/>
  <c r="AE44" i="100"/>
  <c r="AT21" i="105"/>
  <c r="AP21" i="105"/>
  <c r="AN21" i="105"/>
  <c r="AI20" i="100"/>
  <c r="AA20" i="100"/>
  <c r="AH20" i="100"/>
  <c r="AF20" i="100"/>
  <c r="AE20" i="100"/>
  <c r="AE30" i="108"/>
  <c r="AI10" i="119"/>
  <c r="AD10" i="119"/>
  <c r="AH17" i="108"/>
  <c r="AB21" i="119"/>
  <c r="AF64" i="118"/>
  <c r="AU40" i="117"/>
  <c r="AB29" i="117"/>
  <c r="AQ25" i="116"/>
  <c r="AQ56" i="124"/>
  <c r="AC59" i="124"/>
  <c r="AG21" i="116"/>
  <c r="AI39" i="115"/>
  <c r="AP41" i="115"/>
  <c r="AH24" i="114"/>
  <c r="AQ78" i="472"/>
  <c r="AD31" i="111"/>
  <c r="AB29" i="472"/>
  <c r="AH31" i="111"/>
  <c r="AI42" i="108"/>
  <c r="AO34" i="108"/>
  <c r="AO30" i="106"/>
  <c r="AG32" i="108"/>
  <c r="AR49" i="107"/>
  <c r="AF56" i="108"/>
  <c r="AB30" i="108"/>
  <c r="AQ49" i="107"/>
  <c r="AU49" i="107"/>
  <c r="AN24" i="106"/>
  <c r="AI25" i="106"/>
  <c r="AP19" i="107"/>
  <c r="AE40" i="106"/>
  <c r="AE37" i="106"/>
  <c r="AD64" i="103"/>
  <c r="AG42" i="108"/>
  <c r="AN49" i="107"/>
  <c r="AA37" i="106"/>
  <c r="AG46" i="105"/>
  <c r="AD43" i="102"/>
  <c r="AS20" i="106"/>
  <c r="AD71" i="103"/>
  <c r="AD70" i="103" s="1"/>
  <c r="AH31" i="100"/>
  <c r="AQ3" i="101"/>
  <c r="AQ51" i="107"/>
  <c r="AU51" i="107"/>
  <c r="AC40" i="102"/>
  <c r="AD49" i="108"/>
  <c r="AP78" i="104"/>
  <c r="AP25" i="102"/>
  <c r="AS25" i="102"/>
  <c r="AU48" i="123"/>
  <c r="AE48" i="100"/>
  <c r="AA48" i="100"/>
  <c r="AR11" i="105"/>
  <c r="AS11" i="105"/>
  <c r="AI43" i="124"/>
  <c r="AS41" i="115"/>
  <c r="AG43" i="124"/>
  <c r="AN56" i="124"/>
  <c r="AB39" i="115"/>
  <c r="AN56" i="114"/>
  <c r="AH21" i="116"/>
  <c r="AQ23" i="114"/>
  <c r="AU58" i="472"/>
  <c r="AA24" i="114"/>
  <c r="AC27" i="111"/>
  <c r="AC29" i="472"/>
  <c r="AB27" i="111"/>
  <c r="AC32" i="108"/>
  <c r="AN9" i="111"/>
  <c r="AE42" i="108"/>
  <c r="AU58" i="108"/>
  <c r="AT27" i="108"/>
  <c r="AH56" i="108"/>
  <c r="AB49" i="107"/>
  <c r="AC57" i="106"/>
  <c r="AU24" i="106"/>
  <c r="AU2" i="101"/>
  <c r="AN35" i="103"/>
  <c r="AI38" i="102"/>
  <c r="AA54" i="100"/>
  <c r="AB9" i="106"/>
  <c r="AO20" i="106"/>
  <c r="AG32" i="101"/>
  <c r="AO61" i="100"/>
  <c r="AT31" i="125"/>
  <c r="AI54" i="124"/>
  <c r="AQ49" i="108"/>
  <c r="AA45" i="106"/>
  <c r="AC45" i="106"/>
  <c r="AR25" i="116"/>
  <c r="AF29" i="117"/>
  <c r="AE21" i="116"/>
  <c r="AU31" i="116"/>
  <c r="AA43" i="124"/>
  <c r="AP56" i="114"/>
  <c r="AD29" i="472"/>
  <c r="AT58" i="472"/>
  <c r="AG27" i="111"/>
  <c r="AS9" i="111"/>
  <c r="AE61" i="107"/>
  <c r="AF42" i="108"/>
  <c r="AO11" i="108"/>
  <c r="AH17" i="107"/>
  <c r="AS34" i="106"/>
  <c r="AG17" i="107"/>
  <c r="AP27" i="108"/>
  <c r="AO27" i="108"/>
  <c r="AP24" i="106"/>
  <c r="AP34" i="106"/>
  <c r="AA19" i="106"/>
  <c r="AG56" i="108"/>
  <c r="AB38" i="102"/>
  <c r="AP35" i="103"/>
  <c r="AE9" i="106"/>
  <c r="AD54" i="103"/>
  <c r="AR20" i="106"/>
  <c r="AU64" i="103"/>
  <c r="AR49" i="100"/>
  <c r="AU53" i="100"/>
  <c r="AC59" i="475"/>
  <c r="AI11" i="121"/>
  <c r="AH34" i="117"/>
  <c r="AB14" i="116"/>
  <c r="AA24" i="116"/>
  <c r="AE41" i="101"/>
  <c r="AN59" i="108"/>
  <c r="AG43" i="103"/>
  <c r="AE43" i="103"/>
  <c r="AD43" i="103"/>
  <c r="AC43" i="103"/>
  <c r="C15" i="736"/>
  <c r="AJ72" i="116"/>
  <c r="AP11" i="108"/>
  <c r="AO18" i="107"/>
  <c r="AF46" i="102"/>
  <c r="AG51" i="101"/>
  <c r="AC32" i="101"/>
  <c r="AI9" i="106"/>
  <c r="AF54" i="103"/>
  <c r="AU20" i="106"/>
  <c r="AD54" i="100"/>
  <c r="AN42" i="121"/>
  <c r="AT49" i="110"/>
  <c r="AQ19" i="107"/>
  <c r="AT19" i="107"/>
  <c r="AR19" i="107"/>
  <c r="AN19" i="107"/>
  <c r="AP51" i="106"/>
  <c r="AR51" i="106"/>
  <c r="AD16" i="108"/>
  <c r="AE16" i="108"/>
  <c r="AB11" i="105"/>
  <c r="AH11" i="105"/>
  <c r="AD11" i="105"/>
  <c r="AA11" i="105"/>
  <c r="AB45" i="121"/>
  <c r="AA42" i="124"/>
  <c r="AF67" i="115"/>
  <c r="AB55" i="124"/>
  <c r="AG66" i="112"/>
  <c r="AA32" i="472"/>
  <c r="AT27" i="112"/>
  <c r="AF19" i="106"/>
  <c r="AQ18" i="107"/>
  <c r="AA21" i="106"/>
  <c r="AA51" i="101"/>
  <c r="AU49" i="101"/>
  <c r="AH55" i="103"/>
  <c r="AA41" i="101"/>
  <c r="AC9" i="106"/>
  <c r="AQ20" i="106"/>
  <c r="AR61" i="100"/>
  <c r="AT52" i="115"/>
  <c r="AR56" i="112"/>
  <c r="AO56" i="112"/>
  <c r="AQ49" i="106"/>
  <c r="AU49" i="106"/>
  <c r="AG20" i="106"/>
  <c r="AC20" i="106"/>
  <c r="AO52" i="106"/>
  <c r="AR52" i="106"/>
  <c r="AS52" i="106"/>
  <c r="AD21" i="100"/>
  <c r="AH21" i="100"/>
  <c r="AP78" i="116"/>
  <c r="AC59" i="103"/>
  <c r="AG59" i="103"/>
  <c r="AT66" i="105"/>
  <c r="AR66" i="105"/>
  <c r="AI45" i="122"/>
  <c r="AR24" i="102"/>
  <c r="AP17" i="114"/>
  <c r="AG64" i="103"/>
  <c r="AA17" i="106"/>
  <c r="AO35" i="103"/>
  <c r="AF51" i="101"/>
  <c r="AB9" i="103"/>
  <c r="AI9" i="103"/>
  <c r="AC27" i="101"/>
  <c r="AG27" i="101"/>
  <c r="AI27" i="101"/>
  <c r="AU36" i="103"/>
  <c r="AN36" i="103"/>
  <c r="AH57" i="108"/>
  <c r="AP64" i="107"/>
  <c r="AS64" i="107"/>
  <c r="AO64" i="107"/>
  <c r="AN64" i="107"/>
  <c r="AC52" i="107"/>
  <c r="AI21" i="102"/>
  <c r="AA10" i="107"/>
  <c r="AH10" i="107"/>
  <c r="AE10" i="107"/>
  <c r="AC10" i="107"/>
  <c r="AH61" i="107"/>
  <c r="AI61" i="107"/>
  <c r="AA66" i="106"/>
  <c r="AD66" i="106"/>
  <c r="AD65" i="106" s="1"/>
  <c r="AF66" i="106"/>
  <c r="AQ34" i="102"/>
  <c r="AO34" i="102"/>
  <c r="AI52" i="106"/>
  <c r="AA52" i="106"/>
  <c r="AH52" i="106"/>
  <c r="AU16" i="100"/>
  <c r="AR16" i="100"/>
  <c r="AF57" i="105"/>
  <c r="AT26" i="104"/>
  <c r="AF40" i="106"/>
  <c r="AG40" i="106"/>
  <c r="AU18" i="107"/>
  <c r="AP18" i="107"/>
  <c r="AB18" i="101"/>
  <c r="AG18" i="101"/>
  <c r="AE26" i="102"/>
  <c r="AQ13" i="101"/>
  <c r="AT35" i="475"/>
  <c r="AT8" i="120"/>
  <c r="AQ9" i="107"/>
  <c r="AF41" i="118"/>
  <c r="AN37" i="106"/>
  <c r="AB25" i="101"/>
  <c r="AR20" i="105"/>
  <c r="AU39" i="100"/>
  <c r="AR37" i="112"/>
  <c r="D34" i="680"/>
  <c r="C8" i="679"/>
  <c r="AD65" i="107"/>
  <c r="AG41" i="107"/>
  <c r="AI34" i="106"/>
  <c r="AO53" i="108"/>
  <c r="AS57" i="107"/>
  <c r="AT8" i="103"/>
  <c r="AA18" i="106"/>
  <c r="AJ18" i="106" s="1"/>
  <c r="AF39" i="105"/>
  <c r="AT56" i="100"/>
  <c r="AO54" i="100"/>
  <c r="AA46" i="101"/>
  <c r="AQ24" i="123"/>
  <c r="AS57" i="117"/>
  <c r="AA31" i="114"/>
  <c r="AT15" i="111"/>
  <c r="AP26" i="102"/>
  <c r="AR64" i="117"/>
  <c r="L33" i="674"/>
  <c r="AB31" i="117"/>
  <c r="AE35" i="106"/>
  <c r="AD52" i="102"/>
  <c r="AT19" i="104"/>
  <c r="AD52" i="103"/>
  <c r="AT4" i="103"/>
  <c r="AG38" i="120"/>
  <c r="AQ53" i="111"/>
  <c r="AG35" i="111"/>
  <c r="AQ25" i="110"/>
  <c r="AD42" i="110"/>
  <c r="AI41" i="103"/>
  <c r="AR38" i="472"/>
  <c r="AN10" i="102"/>
  <c r="AT11" i="125"/>
  <c r="AO10" i="121"/>
  <c r="AH14" i="120"/>
  <c r="AJ14" i="120" s="1"/>
  <c r="AF57" i="110"/>
  <c r="AH19" i="101"/>
  <c r="AU11" i="107"/>
  <c r="AS54" i="106"/>
  <c r="AD28" i="106"/>
  <c r="AD61" i="100"/>
  <c r="AI25" i="103"/>
  <c r="AA25" i="100"/>
  <c r="AT23" i="101"/>
  <c r="AF39" i="118"/>
  <c r="AO78" i="119"/>
  <c r="AU9" i="111"/>
  <c r="AT43" i="114"/>
  <c r="AH37" i="106"/>
  <c r="AU54" i="123"/>
  <c r="AU18" i="108"/>
  <c r="AS52" i="105"/>
  <c r="AS4" i="105"/>
  <c r="AP71" i="125"/>
  <c r="AP70" i="125" s="1"/>
  <c r="AP68" i="125" s="1"/>
  <c r="AR28" i="120"/>
  <c r="AQ63" i="124"/>
  <c r="AU18" i="115"/>
  <c r="AA21" i="108"/>
  <c r="AC56" i="108"/>
  <c r="AO11" i="121"/>
  <c r="AE66" i="119"/>
  <c r="AC30" i="106"/>
  <c r="AI59" i="102"/>
  <c r="AT30" i="108"/>
  <c r="AQ57" i="108"/>
  <c r="AJ57" i="115"/>
  <c r="AF10" i="107"/>
  <c r="AG10" i="107"/>
  <c r="AH25" i="106"/>
  <c r="AD13" i="107"/>
  <c r="AE20" i="106"/>
  <c r="AI45" i="100"/>
  <c r="AE21" i="100"/>
  <c r="AE25" i="101"/>
  <c r="AH38" i="123"/>
  <c r="AU36" i="115"/>
  <c r="AT57" i="108"/>
  <c r="AO40" i="107"/>
  <c r="AU11" i="102"/>
  <c r="AP53" i="106"/>
  <c r="AS67" i="102"/>
  <c r="AH18" i="105"/>
  <c r="AP14" i="100"/>
  <c r="AD18" i="105"/>
  <c r="AF21" i="100"/>
  <c r="AG21" i="100"/>
  <c r="AF25" i="101"/>
  <c r="AC48" i="121"/>
  <c r="AE38" i="121"/>
  <c r="AP57" i="108"/>
  <c r="AP20" i="102"/>
  <c r="AT49" i="100"/>
  <c r="AH15" i="117"/>
  <c r="AP15" i="472"/>
  <c r="AC29" i="106"/>
  <c r="AC18" i="105"/>
  <c r="AB25" i="106"/>
  <c r="AS54" i="101"/>
  <c r="AB25" i="105"/>
  <c r="AE23" i="108"/>
  <c r="AS15" i="111"/>
  <c r="AT41" i="108"/>
  <c r="AA29" i="106"/>
  <c r="AU46" i="107"/>
  <c r="AN8" i="102"/>
  <c r="AC78" i="105"/>
  <c r="AE25" i="105"/>
  <c r="AE27" i="102"/>
  <c r="AS64" i="101"/>
  <c r="AH26" i="101"/>
  <c r="AF45" i="118"/>
  <c r="AP28" i="117"/>
  <c r="AU71" i="472"/>
  <c r="AU70" i="472" s="1"/>
  <c r="AC59" i="108"/>
  <c r="AB15" i="105"/>
  <c r="AG16" i="101"/>
  <c r="AP56" i="112"/>
  <c r="AB78" i="101"/>
  <c r="AT58" i="102"/>
  <c r="AG25" i="106"/>
  <c r="AE78" i="105"/>
  <c r="AT8" i="102"/>
  <c r="AO24" i="105"/>
  <c r="AU58" i="125"/>
  <c r="AH24" i="122"/>
  <c r="AR51" i="117"/>
  <c r="AD45" i="472"/>
  <c r="AH11" i="110"/>
  <c r="AG45" i="114"/>
  <c r="AR21" i="107"/>
  <c r="AE24" i="121"/>
  <c r="AU56" i="118"/>
  <c r="AU58" i="114"/>
  <c r="AG46" i="102"/>
  <c r="AI54" i="103"/>
  <c r="AS10" i="110"/>
  <c r="AU56" i="101"/>
  <c r="AF78" i="106"/>
  <c r="AG18" i="105"/>
  <c r="AU25" i="108"/>
  <c r="AF78" i="105"/>
  <c r="AG78" i="105"/>
  <c r="AU20" i="105"/>
  <c r="AR8" i="102"/>
  <c r="AP24" i="105"/>
  <c r="AE45" i="472"/>
  <c r="AA67" i="110"/>
  <c r="AA65" i="110" s="1"/>
  <c r="AG38" i="101"/>
  <c r="AB34" i="111"/>
  <c r="AN35" i="102"/>
  <c r="AR36" i="112"/>
  <c r="AS46" i="107"/>
  <c r="AR46" i="107"/>
  <c r="AB10" i="107"/>
  <c r="AP30" i="108"/>
  <c r="AE29" i="106"/>
  <c r="AS66" i="105"/>
  <c r="AF20" i="106"/>
  <c r="AN30" i="108"/>
  <c r="AD15" i="105"/>
  <c r="AF18" i="105"/>
  <c r="AF25" i="105"/>
  <c r="AT24" i="102"/>
  <c r="AT8" i="101"/>
  <c r="AR30" i="106"/>
  <c r="AH78" i="105"/>
  <c r="AO20" i="105"/>
  <c r="AN24" i="102"/>
  <c r="AR24" i="105"/>
  <c r="AE17" i="118"/>
  <c r="AN57" i="110"/>
  <c r="AC71" i="103"/>
  <c r="AC70" i="103" s="1"/>
  <c r="AH41" i="120"/>
  <c r="AQ8" i="114"/>
  <c r="AT56" i="114"/>
  <c r="AT10" i="101"/>
  <c r="AO43" i="472"/>
  <c r="AO55" i="106"/>
  <c r="AG25" i="105"/>
  <c r="AB78" i="105"/>
  <c r="AP56" i="102"/>
  <c r="AA78" i="105"/>
  <c r="AG45" i="100"/>
  <c r="AA9" i="100"/>
  <c r="AT24" i="105"/>
  <c r="AA25" i="101"/>
  <c r="AT58" i="117"/>
  <c r="AQ28" i="117"/>
  <c r="AE39" i="119"/>
  <c r="AI39" i="472"/>
  <c r="AO37" i="108"/>
  <c r="AF46" i="108"/>
  <c r="AG39" i="116"/>
  <c r="AA54" i="472"/>
  <c r="AS41" i="108"/>
  <c r="AE39" i="105"/>
  <c r="AC15" i="105"/>
  <c r="AA25" i="105"/>
  <c r="AN20" i="105"/>
  <c r="AA18" i="105"/>
  <c r="AN24" i="105"/>
  <c r="AI25" i="101"/>
  <c r="AD40" i="475"/>
  <c r="AD45" i="123"/>
  <c r="AU39" i="120"/>
  <c r="AB38" i="114"/>
  <c r="AI45" i="472"/>
  <c r="AA21" i="100"/>
  <c r="AT40" i="119"/>
  <c r="AT52" i="123"/>
  <c r="AV52" i="123" s="1"/>
  <c r="AF17" i="108"/>
  <c r="AC56" i="117"/>
  <c r="AD53" i="112"/>
  <c r="AC25" i="106"/>
  <c r="AG15" i="105"/>
  <c r="AD25" i="105"/>
  <c r="AI18" i="105"/>
  <c r="AB21" i="100"/>
  <c r="AJ19" i="100"/>
  <c r="AS24" i="105"/>
  <c r="AC25" i="101"/>
  <c r="AH30" i="120"/>
  <c r="AU66" i="105"/>
  <c r="AO16" i="111"/>
  <c r="AE25" i="106"/>
  <c r="AB32" i="108"/>
  <c r="AI48" i="103"/>
  <c r="AU41" i="100"/>
  <c r="AH15" i="105"/>
  <c r="AU24" i="105"/>
  <c r="AD25" i="101"/>
  <c r="AO36" i="115"/>
  <c r="AD16" i="111"/>
  <c r="AU15" i="116"/>
  <c r="AG59" i="102"/>
  <c r="AH59" i="102"/>
  <c r="AF59" i="102"/>
  <c r="AN59" i="124"/>
  <c r="AD59" i="102"/>
  <c r="AB59" i="102"/>
  <c r="AC59" i="102"/>
  <c r="AE59" i="102"/>
  <c r="AU59" i="107"/>
  <c r="AC37" i="108"/>
  <c r="AE37" i="108"/>
  <c r="AD37" i="108"/>
  <c r="AB37" i="108"/>
  <c r="AP37" i="106"/>
  <c r="AI37" i="108"/>
  <c r="AG37" i="108"/>
  <c r="AQ64" i="118"/>
  <c r="AO13" i="118"/>
  <c r="AN69" i="118"/>
  <c r="AP17" i="118"/>
  <c r="AP13" i="118"/>
  <c r="AT30" i="118"/>
  <c r="AN18" i="118"/>
  <c r="AN24" i="118"/>
  <c r="AC55" i="118"/>
  <c r="AR2" i="121"/>
  <c r="AP2" i="114"/>
  <c r="AP2" i="124"/>
  <c r="AN2" i="121"/>
  <c r="AQ2" i="121"/>
  <c r="AP2" i="121"/>
  <c r="AR2" i="124"/>
  <c r="AS2" i="125"/>
  <c r="AQ2" i="124"/>
  <c r="AA78" i="100"/>
  <c r="AG31" i="100"/>
  <c r="AQ13" i="100"/>
  <c r="AH49" i="111"/>
  <c r="AP11" i="111"/>
  <c r="AF57" i="111"/>
  <c r="AJ57" i="111" s="1"/>
  <c r="AP9" i="111"/>
  <c r="AT43" i="111"/>
  <c r="AQ9" i="111"/>
  <c r="AS11" i="111"/>
  <c r="AG29" i="111"/>
  <c r="AR9" i="111"/>
  <c r="AA16" i="111"/>
  <c r="AH34" i="111"/>
  <c r="AR4" i="111"/>
  <c r="AD49" i="111"/>
  <c r="AO26" i="111"/>
  <c r="AF40" i="111"/>
  <c r="AU11" i="111"/>
  <c r="AD11" i="111"/>
  <c r="AR40" i="111"/>
  <c r="C26" i="675"/>
  <c r="AR11" i="111"/>
  <c r="AS30" i="118"/>
  <c r="AE30" i="118"/>
  <c r="AT24" i="118"/>
  <c r="AB64" i="118"/>
  <c r="AN71" i="118"/>
  <c r="AN70" i="118" s="1"/>
  <c r="AU24" i="118"/>
  <c r="AD30" i="118"/>
  <c r="AQ17" i="118"/>
  <c r="AN64" i="118"/>
  <c r="AI45" i="118"/>
  <c r="AF55" i="118"/>
  <c r="AC24" i="118"/>
  <c r="AI24" i="118"/>
  <c r="AO71" i="118"/>
  <c r="AO70" i="118" s="1"/>
  <c r="AH45" i="118"/>
  <c r="AG30" i="118"/>
  <c r="AO18" i="118"/>
  <c r="AO24" i="118"/>
  <c r="AO30" i="118"/>
  <c r="AI18" i="118"/>
  <c r="AR69" i="118"/>
  <c r="AR68" i="118" s="1"/>
  <c r="AB24" i="118"/>
  <c r="AP71" i="118"/>
  <c r="AP70" i="118" s="1"/>
  <c r="AP68" i="118" s="1"/>
  <c r="AB45" i="118"/>
  <c r="AA30" i="118"/>
  <c r="AP24" i="118"/>
  <c r="AD64" i="118"/>
  <c r="AA64" i="118"/>
  <c r="AP18" i="118"/>
  <c r="AF18" i="118"/>
  <c r="AE45" i="118"/>
  <c r="AT71" i="118"/>
  <c r="AT70" i="118" s="1"/>
  <c r="AD45" i="118"/>
  <c r="AG55" i="118"/>
  <c r="AN30" i="118"/>
  <c r="AD24" i="118"/>
  <c r="AS13" i="118"/>
  <c r="AS71" i="118"/>
  <c r="AS70" i="118" s="1"/>
  <c r="AI30" i="118"/>
  <c r="AA18" i="118"/>
  <c r="AP30" i="118"/>
  <c r="AQ24" i="118"/>
  <c r="AO69" i="118"/>
  <c r="AT73" i="118"/>
  <c r="AT72" i="118" s="1"/>
  <c r="AI64" i="118"/>
  <c r="AR18" i="118"/>
  <c r="AB30" i="118"/>
  <c r="AU13" i="118"/>
  <c r="AU71" i="118"/>
  <c r="AU70" i="118" s="1"/>
  <c r="AR24" i="118"/>
  <c r="AD17" i="118"/>
  <c r="AC64" i="118"/>
  <c r="AT18" i="118"/>
  <c r="AA13" i="118"/>
  <c r="AC31" i="118"/>
  <c r="AU27" i="118"/>
  <c r="AD55" i="118"/>
  <c r="AF24" i="118"/>
  <c r="AQ13" i="118"/>
  <c r="AS18" i="118"/>
  <c r="AA48" i="118"/>
  <c r="AU30" i="118"/>
  <c r="AU18" i="118"/>
  <c r="AO64" i="118"/>
  <c r="AR17" i="118"/>
  <c r="AI78" i="118"/>
  <c r="AN31" i="118"/>
  <c r="AC27" i="118"/>
  <c r="AS64" i="118"/>
  <c r="AS17" i="118"/>
  <c r="AT64" i="118"/>
  <c r="AN17" i="118"/>
  <c r="AU17" i="118"/>
  <c r="AC45" i="118"/>
  <c r="AU64" i="118"/>
  <c r="AP64" i="118"/>
  <c r="AT17" i="118"/>
  <c r="AR64" i="118"/>
  <c r="AO17" i="118"/>
  <c r="AQ30" i="102"/>
  <c r="AU35" i="102"/>
  <c r="AA19" i="102"/>
  <c r="AN11" i="102"/>
  <c r="AR4" i="102"/>
  <c r="AR34" i="102"/>
  <c r="AP32" i="102"/>
  <c r="AR32" i="102"/>
  <c r="AO35" i="102"/>
  <c r="AO24" i="102"/>
  <c r="AI19" i="102"/>
  <c r="AO11" i="102"/>
  <c r="AT4" i="102"/>
  <c r="AS34" i="102"/>
  <c r="AC15" i="102"/>
  <c r="AR46" i="102"/>
  <c r="AU24" i="102"/>
  <c r="AT34" i="102"/>
  <c r="AU39" i="102"/>
  <c r="AU34" i="102"/>
  <c r="AR30" i="102"/>
  <c r="AR10" i="102"/>
  <c r="AE25" i="102"/>
  <c r="AB19" i="102"/>
  <c r="AP11" i="102"/>
  <c r="AN39" i="102"/>
  <c r="AS24" i="102"/>
  <c r="AQ24" i="102"/>
  <c r="AQ10" i="102"/>
  <c r="AO10" i="102"/>
  <c r="AC19" i="102"/>
  <c r="AQ11" i="102"/>
  <c r="AQ35" i="102"/>
  <c r="AP35" i="102"/>
  <c r="AQ32" i="102"/>
  <c r="AE24" i="102"/>
  <c r="AO32" i="102"/>
  <c r="AD19" i="102"/>
  <c r="AR11" i="102"/>
  <c r="AN4" i="102"/>
  <c r="AN34" i="102"/>
  <c r="AU10" i="102"/>
  <c r="AT31" i="102"/>
  <c r="AT10" i="102"/>
  <c r="AS30" i="102"/>
  <c r="AO30" i="102"/>
  <c r="AF19" i="102"/>
  <c r="AP4" i="102"/>
  <c r="AN32" i="102"/>
  <c r="AP34" i="102"/>
  <c r="AP78" i="102"/>
  <c r="AC45" i="102"/>
  <c r="AR35" i="102"/>
  <c r="AT30" i="102"/>
  <c r="AB51" i="102"/>
  <c r="AQ4" i="102"/>
  <c r="M79" i="106"/>
  <c r="M79" i="103"/>
  <c r="M79" i="104"/>
  <c r="M79" i="118"/>
  <c r="M79" i="111"/>
  <c r="M79" i="112"/>
  <c r="M79" i="108"/>
  <c r="M77" i="108" s="1"/>
  <c r="M8" i="108" s="1"/>
  <c r="M79" i="100"/>
  <c r="M79" i="122"/>
  <c r="M79" i="124"/>
  <c r="M79" i="115"/>
  <c r="M79" i="472"/>
  <c r="M79" i="116"/>
  <c r="M79" i="105"/>
  <c r="M79" i="101"/>
  <c r="M79" i="125"/>
  <c r="M79" i="119"/>
  <c r="M79" i="107"/>
  <c r="M79" i="117"/>
  <c r="M79" i="121"/>
  <c r="AJ72" i="124"/>
  <c r="AB2" i="107"/>
  <c r="AJ72" i="103"/>
  <c r="AJ72" i="100"/>
  <c r="AJ72" i="101"/>
  <c r="AJ72" i="115"/>
  <c r="AJ72" i="121"/>
  <c r="AJ72" i="107"/>
  <c r="AJ72" i="108"/>
  <c r="AO2" i="125"/>
  <c r="AJ72" i="114"/>
  <c r="M79" i="59"/>
  <c r="D10" i="418"/>
  <c r="AJ48" i="116"/>
  <c r="AJ21" i="114"/>
  <c r="AS49" i="100"/>
  <c r="AA53" i="117"/>
  <c r="AN9" i="115"/>
  <c r="AC44" i="106"/>
  <c r="AU37" i="118"/>
  <c r="AR54" i="114"/>
  <c r="AE56" i="123"/>
  <c r="AF58" i="106"/>
  <c r="AA53" i="107"/>
  <c r="AR44" i="115"/>
  <c r="AE55" i="115"/>
  <c r="AA55" i="475"/>
  <c r="AH39" i="472"/>
  <c r="AP38" i="121"/>
  <c r="AR45" i="115"/>
  <c r="AF57" i="112"/>
  <c r="AQ61" i="116"/>
  <c r="AH38" i="105"/>
  <c r="AC54" i="123"/>
  <c r="AH39" i="115"/>
  <c r="AU48" i="105"/>
  <c r="AE14" i="124"/>
  <c r="AR42" i="104"/>
  <c r="AS45" i="119"/>
  <c r="AT38" i="117"/>
  <c r="AC40" i="114"/>
  <c r="AU54" i="124"/>
  <c r="AB57" i="105"/>
  <c r="AC42" i="102"/>
  <c r="AA42" i="120"/>
  <c r="AP49" i="100"/>
  <c r="AP36" i="100"/>
  <c r="AO13" i="100"/>
  <c r="AR67" i="122"/>
  <c r="AR65" i="122" s="1"/>
  <c r="AT71" i="112"/>
  <c r="AT70" i="112" s="1"/>
  <c r="AI31" i="111"/>
  <c r="AE39" i="102"/>
  <c r="AE71" i="115"/>
  <c r="AE70" i="115" s="1"/>
  <c r="AE42" i="106"/>
  <c r="AA45" i="101"/>
  <c r="AC43" i="102"/>
  <c r="AQ71" i="472"/>
  <c r="AQ70" i="472" s="1"/>
  <c r="AT71" i="108"/>
  <c r="AT70" i="108" s="1"/>
  <c r="AU13" i="101"/>
  <c r="AR13" i="100"/>
  <c r="AE41" i="475"/>
  <c r="AS69" i="118"/>
  <c r="AT8" i="118"/>
  <c r="AN16" i="101"/>
  <c r="AN38" i="106"/>
  <c r="AF42" i="124"/>
  <c r="AQ69" i="124"/>
  <c r="AF40" i="105"/>
  <c r="AB48" i="108"/>
  <c r="AS46" i="119"/>
  <c r="AV38" i="114"/>
  <c r="AA13" i="101"/>
  <c r="AR32" i="103"/>
  <c r="AU21" i="110"/>
  <c r="AF64" i="101"/>
  <c r="AO11" i="472"/>
  <c r="AF48" i="123"/>
  <c r="AA11" i="472"/>
  <c r="AD13" i="118"/>
  <c r="AA45" i="100"/>
  <c r="AQ27" i="102"/>
  <c r="AN16" i="111"/>
  <c r="AC45" i="111"/>
  <c r="AP46" i="106"/>
  <c r="AJ46" i="115"/>
  <c r="AO49" i="100"/>
  <c r="AB69" i="112"/>
  <c r="AB68" i="112" s="1"/>
  <c r="AI51" i="107"/>
  <c r="AH19" i="102"/>
  <c r="AE13" i="124"/>
  <c r="AC46" i="124"/>
  <c r="AC20" i="108"/>
  <c r="AD53" i="105"/>
  <c r="AD41" i="124"/>
  <c r="AF55" i="103"/>
  <c r="AI38" i="100"/>
  <c r="AI41" i="108"/>
  <c r="AT13" i="100"/>
  <c r="AQ49" i="100"/>
  <c r="AU19" i="475"/>
  <c r="AP71" i="116"/>
  <c r="AP70" i="116" s="1"/>
  <c r="AP46" i="117"/>
  <c r="AA38" i="117"/>
  <c r="AB38" i="122"/>
  <c r="AD56" i="124"/>
  <c r="AO67" i="111"/>
  <c r="AO65" i="111" s="1"/>
  <c r="AO39" i="108"/>
  <c r="AU57" i="124"/>
  <c r="AD55" i="106"/>
  <c r="AN40" i="106"/>
  <c r="AE69" i="124"/>
  <c r="AE68" i="124" s="1"/>
  <c r="AU71" i="112"/>
  <c r="AU70" i="112" s="1"/>
  <c r="AA73" i="123"/>
  <c r="AF67" i="122"/>
  <c r="AD73" i="119"/>
  <c r="AT69" i="118"/>
  <c r="AR69" i="124"/>
  <c r="AR71" i="116"/>
  <c r="AR70" i="116" s="1"/>
  <c r="AA71" i="115"/>
  <c r="AA70" i="115" s="1"/>
  <c r="AE73" i="124"/>
  <c r="AO71" i="472"/>
  <c r="AO70" i="472" s="1"/>
  <c r="AO71" i="112"/>
  <c r="AO70" i="112" s="1"/>
  <c r="AO68" i="112" s="1"/>
  <c r="AU67" i="111"/>
  <c r="AO71" i="108"/>
  <c r="AO70" i="108" s="1"/>
  <c r="AP71" i="108"/>
  <c r="AP70" i="108" s="1"/>
  <c r="AS71" i="108"/>
  <c r="AS70" i="108" s="1"/>
  <c r="AF67" i="100"/>
  <c r="AF65" i="100" s="1"/>
  <c r="AS71" i="125"/>
  <c r="AS70" i="125" s="1"/>
  <c r="AS68" i="125" s="1"/>
  <c r="AO71" i="125"/>
  <c r="AO70" i="125" s="1"/>
  <c r="AO68" i="125" s="1"/>
  <c r="AI71" i="115"/>
  <c r="AI70" i="115" s="1"/>
  <c r="AN71" i="472"/>
  <c r="AN70" i="472" s="1"/>
  <c r="AU71" i="125"/>
  <c r="AU70" i="125" s="1"/>
  <c r="AU68" i="125" s="1"/>
  <c r="AN71" i="125"/>
  <c r="AN70" i="125" s="1"/>
  <c r="AS71" i="122"/>
  <c r="AS70" i="122" s="1"/>
  <c r="AG67" i="122"/>
  <c r="AH67" i="122"/>
  <c r="AU69" i="118"/>
  <c r="AA67" i="115"/>
  <c r="AC67" i="115"/>
  <c r="AD71" i="115"/>
  <c r="AD70" i="115" s="1"/>
  <c r="AP71" i="472"/>
  <c r="AP70" i="472" s="1"/>
  <c r="AQ71" i="112"/>
  <c r="AQ70" i="112" s="1"/>
  <c r="AQ67" i="111"/>
  <c r="AQ65" i="111" s="1"/>
  <c r="AN71" i="108"/>
  <c r="AN70" i="108" s="1"/>
  <c r="AH71" i="103"/>
  <c r="AH70" i="103" s="1"/>
  <c r="AH67" i="100"/>
  <c r="AH65" i="100" s="1"/>
  <c r="AC67" i="100"/>
  <c r="AC65" i="100" s="1"/>
  <c r="AQ71" i="125"/>
  <c r="AQ70" i="125" s="1"/>
  <c r="AR71" i="125"/>
  <c r="AR70" i="125" s="1"/>
  <c r="AR68" i="125" s="1"/>
  <c r="AH73" i="121"/>
  <c r="AB73" i="121"/>
  <c r="AD73" i="121"/>
  <c r="AJ72" i="118"/>
  <c r="AB71" i="115"/>
  <c r="AB70" i="115" s="1"/>
  <c r="AI73" i="124"/>
  <c r="AD67" i="115"/>
  <c r="AT71" i="472"/>
  <c r="AT70" i="472" s="1"/>
  <c r="AR71" i="472"/>
  <c r="AR70" i="472" s="1"/>
  <c r="AS71" i="472"/>
  <c r="AS70" i="472" s="1"/>
  <c r="AN71" i="112"/>
  <c r="AN70" i="112" s="1"/>
  <c r="AN68" i="112" s="1"/>
  <c r="AR67" i="111"/>
  <c r="AR65" i="111" s="1"/>
  <c r="AA71" i="103"/>
  <c r="AA70" i="103" s="1"/>
  <c r="AG67" i="100"/>
  <c r="AG65" i="100" s="1"/>
  <c r="AG71" i="115"/>
  <c r="AG70" i="115" s="1"/>
  <c r="AS71" i="112"/>
  <c r="AS70" i="112" s="1"/>
  <c r="AR71" i="108"/>
  <c r="AR70" i="108" s="1"/>
  <c r="AO73" i="104"/>
  <c r="AO72" i="104" s="1"/>
  <c r="AA73" i="121"/>
  <c r="AG69" i="124"/>
  <c r="AG68" i="124" s="1"/>
  <c r="AO71" i="116"/>
  <c r="AO70" i="116" s="1"/>
  <c r="AD73" i="124"/>
  <c r="AH71" i="115"/>
  <c r="AH70" i="115" s="1"/>
  <c r="AR71" i="112"/>
  <c r="AR70" i="112" s="1"/>
  <c r="AB71" i="103"/>
  <c r="AB70" i="103" s="1"/>
  <c r="AF71" i="103"/>
  <c r="AF70" i="103" s="1"/>
  <c r="AB67" i="100"/>
  <c r="AB65" i="100" s="1"/>
  <c r="AO71" i="122"/>
  <c r="AO70" i="122" s="1"/>
  <c r="AG73" i="121"/>
  <c r="AF73" i="121"/>
  <c r="AH69" i="124"/>
  <c r="AH68" i="124" s="1"/>
  <c r="AU71" i="116"/>
  <c r="AU70" i="116" s="1"/>
  <c r="AB73" i="124"/>
  <c r="AF71" i="115"/>
  <c r="AF70" i="115" s="1"/>
  <c r="AD67" i="100"/>
  <c r="AD65" i="100" s="1"/>
  <c r="AQ71" i="108"/>
  <c r="AQ70" i="108" s="1"/>
  <c r="AT64" i="125"/>
  <c r="AN64" i="125"/>
  <c r="AF64" i="114"/>
  <c r="AE64" i="101"/>
  <c r="AO64" i="125"/>
  <c r="AH64" i="114"/>
  <c r="AG64" i="101"/>
  <c r="AC64" i="101"/>
  <c r="AP64" i="125"/>
  <c r="AA64" i="114"/>
  <c r="AQ64" i="125"/>
  <c r="AI64" i="114"/>
  <c r="AR64" i="125"/>
  <c r="AB64" i="114"/>
  <c r="AA64" i="101"/>
  <c r="AS64" i="125"/>
  <c r="AB61" i="118"/>
  <c r="AI56" i="117"/>
  <c r="AH53" i="112"/>
  <c r="AF56" i="123"/>
  <c r="AB56" i="117"/>
  <c r="AD58" i="118"/>
  <c r="AE54" i="472"/>
  <c r="AA57" i="112"/>
  <c r="AI55" i="475"/>
  <c r="AH56" i="123"/>
  <c r="AA56" i="123"/>
  <c r="AF54" i="123"/>
  <c r="AG58" i="118"/>
  <c r="AE55" i="118"/>
  <c r="AA55" i="118"/>
  <c r="AS58" i="117"/>
  <c r="AO54" i="124"/>
  <c r="AN57" i="124"/>
  <c r="AS54" i="124"/>
  <c r="AF54" i="114"/>
  <c r="AH55" i="115"/>
  <c r="AG57" i="114"/>
  <c r="AI54" i="114"/>
  <c r="AD55" i="115"/>
  <c r="AI54" i="472"/>
  <c r="AF58" i="124"/>
  <c r="AS54" i="114"/>
  <c r="AF53" i="112"/>
  <c r="AQ55" i="110"/>
  <c r="AB57" i="110"/>
  <c r="AG53" i="107"/>
  <c r="AS57" i="110"/>
  <c r="AI57" i="108"/>
  <c r="AB58" i="106"/>
  <c r="AR53" i="106"/>
  <c r="AN54" i="107"/>
  <c r="AO57" i="105"/>
  <c r="AB55" i="106"/>
  <c r="AB53" i="105"/>
  <c r="AE53" i="105"/>
  <c r="AC57" i="105"/>
  <c r="AU58" i="102"/>
  <c r="AP55" i="100"/>
  <c r="AS54" i="123"/>
  <c r="AS57" i="105"/>
  <c r="AE56" i="117"/>
  <c r="AH56" i="117"/>
  <c r="AG56" i="117"/>
  <c r="AD57" i="112"/>
  <c r="AG57" i="112"/>
  <c r="AT54" i="114"/>
  <c r="AB53" i="112"/>
  <c r="AA53" i="112"/>
  <c r="AC57" i="108"/>
  <c r="AE58" i="106"/>
  <c r="AN56" i="101"/>
  <c r="AQ55" i="100"/>
  <c r="AH55" i="106"/>
  <c r="AS57" i="124"/>
  <c r="AJ54" i="118"/>
  <c r="AU53" i="124"/>
  <c r="AQ53" i="124"/>
  <c r="AU54" i="114"/>
  <c r="AI53" i="112"/>
  <c r="AC58" i="106"/>
  <c r="AT54" i="107"/>
  <c r="AN53" i="106"/>
  <c r="AT56" i="101"/>
  <c r="AS55" i="100"/>
  <c r="AC54" i="472"/>
  <c r="AD54" i="472"/>
  <c r="AF58" i="118"/>
  <c r="AA55" i="115"/>
  <c r="AD57" i="108"/>
  <c r="AR54" i="107"/>
  <c r="AN55" i="100"/>
  <c r="AB57" i="112"/>
  <c r="AV56" i="121"/>
  <c r="AJ54" i="121"/>
  <c r="AG54" i="472"/>
  <c r="AP54" i="114"/>
  <c r="AC53" i="112"/>
  <c r="AF55" i="475"/>
  <c r="AE57" i="475"/>
  <c r="AR53" i="125"/>
  <c r="AV53" i="125" s="1"/>
  <c r="AS58" i="125"/>
  <c r="AG54" i="122"/>
  <c r="AP54" i="121"/>
  <c r="AS54" i="120"/>
  <c r="AB55" i="118"/>
  <c r="AH58" i="118"/>
  <c r="AA58" i="124"/>
  <c r="AR57" i="124"/>
  <c r="AP53" i="124"/>
  <c r="AO53" i="124"/>
  <c r="AQ57" i="124"/>
  <c r="AD57" i="114"/>
  <c r="AF57" i="114"/>
  <c r="AS56" i="114"/>
  <c r="AF54" i="472"/>
  <c r="AC57" i="112"/>
  <c r="AN54" i="114"/>
  <c r="AE53" i="112"/>
  <c r="AS55" i="110"/>
  <c r="AE57" i="108"/>
  <c r="AF55" i="106"/>
  <c r="AG58" i="106"/>
  <c r="AD57" i="105"/>
  <c r="AQ54" i="107"/>
  <c r="AN53" i="102"/>
  <c r="AC55" i="103"/>
  <c r="AR58" i="102"/>
  <c r="AP56" i="101"/>
  <c r="AB55" i="103"/>
  <c r="AN58" i="102"/>
  <c r="AU55" i="100"/>
  <c r="AQ54" i="114"/>
  <c r="AF54" i="122"/>
  <c r="AR54" i="121"/>
  <c r="AS54" i="121"/>
  <c r="AR58" i="117"/>
  <c r="AE57" i="114"/>
  <c r="AH54" i="472"/>
  <c r="AB54" i="472"/>
  <c r="AC56" i="112"/>
  <c r="AT55" i="110"/>
  <c r="AC57" i="110"/>
  <c r="AE57" i="105"/>
  <c r="AU54" i="107"/>
  <c r="AP57" i="105"/>
  <c r="AQ57" i="105"/>
  <c r="AT53" i="124"/>
  <c r="AG53" i="105"/>
  <c r="AC51" i="107"/>
  <c r="AF51" i="107"/>
  <c r="AS51" i="106"/>
  <c r="AO51" i="106"/>
  <c r="AB51" i="107"/>
  <c r="AJ51" i="119"/>
  <c r="AD51" i="107"/>
  <c r="AG51" i="107"/>
  <c r="AH51" i="107"/>
  <c r="AA51" i="107"/>
  <c r="AS51" i="102"/>
  <c r="AV48" i="121"/>
  <c r="AA48" i="121"/>
  <c r="AO48" i="116"/>
  <c r="AD45" i="124"/>
  <c r="AC45" i="114"/>
  <c r="AE44" i="111"/>
  <c r="AS46" i="106"/>
  <c r="AR46" i="106"/>
  <c r="AG48" i="108"/>
  <c r="AO48" i="105"/>
  <c r="AH46" i="102"/>
  <c r="AG43" i="102"/>
  <c r="AD45" i="100"/>
  <c r="AI48" i="123"/>
  <c r="AT46" i="102"/>
  <c r="AE48" i="123"/>
  <c r="AR46" i="125"/>
  <c r="AB46" i="120"/>
  <c r="AQ45" i="119"/>
  <c r="AT44" i="119"/>
  <c r="AT46" i="117"/>
  <c r="AG45" i="124"/>
  <c r="AF45" i="106"/>
  <c r="AI45" i="103"/>
  <c r="AN46" i="106"/>
  <c r="AF43" i="102"/>
  <c r="AE45" i="100"/>
  <c r="AI43" i="101"/>
  <c r="AD45" i="111"/>
  <c r="AO44" i="115"/>
  <c r="AI48" i="115"/>
  <c r="AI45" i="115"/>
  <c r="AO46" i="102"/>
  <c r="AC45" i="100"/>
  <c r="AI46" i="102"/>
  <c r="AF45" i="100"/>
  <c r="AC45" i="120"/>
  <c r="AD46" i="102"/>
  <c r="AD44" i="116"/>
  <c r="AU46" i="106"/>
  <c r="AO46" i="106"/>
  <c r="AQ46" i="102"/>
  <c r="AU46" i="102"/>
  <c r="AA46" i="102"/>
  <c r="AS45" i="115"/>
  <c r="AI43" i="112"/>
  <c r="AN46" i="102"/>
  <c r="AU40" i="108"/>
  <c r="AH41" i="104"/>
  <c r="AF42" i="104"/>
  <c r="AN38" i="120"/>
  <c r="AE38" i="114"/>
  <c r="AN40" i="108"/>
  <c r="AT38" i="106"/>
  <c r="AN39" i="108"/>
  <c r="AB40" i="475"/>
  <c r="AG40" i="475"/>
  <c r="AA38" i="123"/>
  <c r="AB38" i="123"/>
  <c r="AO38" i="121"/>
  <c r="AR42" i="121"/>
  <c r="AR38" i="120"/>
  <c r="AE42" i="120"/>
  <c r="AG39" i="119"/>
  <c r="AB41" i="118"/>
  <c r="AG38" i="114"/>
  <c r="AC41" i="124"/>
  <c r="AA39" i="115"/>
  <c r="AP40" i="114"/>
  <c r="AH40" i="114"/>
  <c r="AH38" i="472"/>
  <c r="AR40" i="114"/>
  <c r="AG38" i="472"/>
  <c r="AO42" i="114"/>
  <c r="AE40" i="114"/>
  <c r="AH38" i="112"/>
  <c r="AT40" i="111"/>
  <c r="AP40" i="107"/>
  <c r="AF40" i="107"/>
  <c r="AO40" i="108"/>
  <c r="AQ39" i="108"/>
  <c r="AQ40" i="108"/>
  <c r="AB40" i="107"/>
  <c r="AQ40" i="106"/>
  <c r="AO40" i="106"/>
  <c r="AH39" i="105"/>
  <c r="AA39" i="100"/>
  <c r="AD38" i="100"/>
  <c r="AA42" i="102"/>
  <c r="AD40" i="114"/>
  <c r="AP38" i="120"/>
  <c r="AF38" i="472"/>
  <c r="AC38" i="114"/>
  <c r="AS38" i="106"/>
  <c r="AI42" i="106"/>
  <c r="AC41" i="104"/>
  <c r="AS39" i="125"/>
  <c r="AQ42" i="121"/>
  <c r="AU42" i="121"/>
  <c r="AI38" i="121"/>
  <c r="AD38" i="121"/>
  <c r="AT42" i="121"/>
  <c r="AH38" i="117"/>
  <c r="AQ40" i="117"/>
  <c r="AP41" i="116"/>
  <c r="AE38" i="117"/>
  <c r="AE41" i="124"/>
  <c r="AC39" i="115"/>
  <c r="AG39" i="472"/>
  <c r="AN41" i="108"/>
  <c r="AA39" i="472"/>
  <c r="AH38" i="100"/>
  <c r="AI41" i="104"/>
  <c r="AD41" i="104"/>
  <c r="AB41" i="104"/>
  <c r="AI38" i="114"/>
  <c r="AS40" i="108"/>
  <c r="AS40" i="107"/>
  <c r="AU40" i="100"/>
  <c r="AE41" i="104"/>
  <c r="AN40" i="114"/>
  <c r="AP38" i="106"/>
  <c r="AF41" i="104"/>
  <c r="AA38" i="100"/>
  <c r="AG38" i="123"/>
  <c r="AI38" i="123"/>
  <c r="AF41" i="124"/>
  <c r="AF39" i="103"/>
  <c r="AC38" i="100"/>
  <c r="AV20" i="118"/>
  <c r="AO25" i="110"/>
  <c r="AB21" i="108"/>
  <c r="AR21" i="110"/>
  <c r="AH35" i="105"/>
  <c r="AU25" i="103"/>
  <c r="AN32" i="103"/>
  <c r="AS28" i="117"/>
  <c r="AP27" i="102"/>
  <c r="AR16" i="111"/>
  <c r="AE21" i="108"/>
  <c r="AI35" i="105"/>
  <c r="AO32" i="103"/>
  <c r="AP32" i="103"/>
  <c r="AO27" i="102"/>
  <c r="AN27" i="102"/>
  <c r="AC24" i="123"/>
  <c r="AT28" i="117"/>
  <c r="AP16" i="111"/>
  <c r="AH30" i="118"/>
  <c r="AD21" i="108"/>
  <c r="AF21" i="108"/>
  <c r="AN21" i="110"/>
  <c r="AD35" i="105"/>
  <c r="AT32" i="103"/>
  <c r="AE24" i="123"/>
  <c r="AS16" i="111"/>
  <c r="AP30" i="106"/>
  <c r="AC15" i="111"/>
  <c r="AO21" i="110"/>
  <c r="AQ32" i="103"/>
  <c r="AU27" i="102"/>
  <c r="AU25" i="110"/>
  <c r="AA15" i="111"/>
  <c r="AD15" i="111"/>
  <c r="AD20" i="108"/>
  <c r="AP21" i="110"/>
  <c r="AF35" i="105"/>
  <c r="AE32" i="472"/>
  <c r="AC31" i="102"/>
  <c r="AE15" i="111"/>
  <c r="AC25" i="108"/>
  <c r="AT21" i="110"/>
  <c r="AF25" i="108"/>
  <c r="AG21" i="108"/>
  <c r="AS27" i="102"/>
  <c r="AR27" i="102"/>
  <c r="AN28" i="117"/>
  <c r="AR13" i="472"/>
  <c r="AC13" i="118"/>
  <c r="AE13" i="118"/>
  <c r="AI13" i="124"/>
  <c r="AS13" i="472"/>
  <c r="AF13" i="124"/>
  <c r="AA13" i="124"/>
  <c r="AF13" i="118"/>
  <c r="AB13" i="124"/>
  <c r="AG13" i="118"/>
  <c r="AC13" i="124"/>
  <c r="AD13" i="124"/>
  <c r="AG13" i="124"/>
  <c r="AI13" i="118"/>
  <c r="AF14" i="124"/>
  <c r="AD14" i="124"/>
  <c r="AD14" i="111"/>
  <c r="AA14" i="111"/>
  <c r="AE14" i="111"/>
  <c r="AO14" i="112"/>
  <c r="AH14" i="111"/>
  <c r="AI14" i="111"/>
  <c r="AT14" i="112"/>
  <c r="AR11" i="472"/>
  <c r="AT11" i="472"/>
  <c r="AA11" i="110"/>
  <c r="AS11" i="472"/>
  <c r="AG11" i="110"/>
  <c r="AF11" i="121"/>
  <c r="AG11" i="472"/>
  <c r="AN11" i="472"/>
  <c r="AH11" i="472"/>
  <c r="AD11" i="121"/>
  <c r="AE11" i="110"/>
  <c r="AC11" i="121"/>
  <c r="AC11" i="104"/>
  <c r="AB11" i="121"/>
  <c r="AI11" i="472"/>
  <c r="AB11" i="110"/>
  <c r="AC11" i="110"/>
  <c r="AU8" i="118"/>
  <c r="AO8" i="118"/>
  <c r="AR8" i="118"/>
  <c r="AE66" i="116"/>
  <c r="AB66" i="116"/>
  <c r="AH66" i="116"/>
  <c r="AN66" i="119"/>
  <c r="AO66" i="119"/>
  <c r="AH63" i="107"/>
  <c r="AD59" i="108"/>
  <c r="AB59" i="108"/>
  <c r="AD59" i="103"/>
  <c r="AB59" i="103"/>
  <c r="AU59" i="124"/>
  <c r="AI59" i="117"/>
  <c r="AD59" i="475"/>
  <c r="AB59" i="475"/>
  <c r="AE59" i="117"/>
  <c r="AE59" i="108"/>
  <c r="AN59" i="107"/>
  <c r="AG59" i="108"/>
  <c r="AF59" i="103"/>
  <c r="AB59" i="117"/>
  <c r="AE59" i="475"/>
  <c r="AO59" i="124"/>
  <c r="AT59" i="124"/>
  <c r="AR59" i="124"/>
  <c r="AH59" i="108"/>
  <c r="AP59" i="124"/>
  <c r="AT59" i="107"/>
  <c r="AP59" i="107"/>
  <c r="AA59" i="108"/>
  <c r="AE59" i="103"/>
  <c r="AI59" i="475"/>
  <c r="AA59" i="117"/>
  <c r="AH59" i="118"/>
  <c r="AS59" i="124"/>
  <c r="AF59" i="108"/>
  <c r="AI59" i="108"/>
  <c r="AF59" i="475"/>
  <c r="AI59" i="111"/>
  <c r="AI52" i="107"/>
  <c r="AJ52" i="121"/>
  <c r="AB52" i="107"/>
  <c r="AH49" i="121"/>
  <c r="AG49" i="110"/>
  <c r="AT49" i="108"/>
  <c r="AA49" i="121"/>
  <c r="AE49" i="110"/>
  <c r="AP49" i="108"/>
  <c r="AD49" i="121"/>
  <c r="AI49" i="110"/>
  <c r="AO49" i="108"/>
  <c r="AR49" i="108"/>
  <c r="AN49" i="108"/>
  <c r="AF49" i="110"/>
  <c r="AH49" i="110"/>
  <c r="AB49" i="121"/>
  <c r="AF49" i="121"/>
  <c r="AC49" i="121"/>
  <c r="AG49" i="121"/>
  <c r="AC49" i="110"/>
  <c r="AD49" i="110"/>
  <c r="AU49" i="108"/>
  <c r="AS78" i="119"/>
  <c r="AF78" i="118"/>
  <c r="AT78" i="116"/>
  <c r="AU78" i="119"/>
  <c r="AU78" i="116"/>
  <c r="AR78" i="116"/>
  <c r="AR78" i="119"/>
  <c r="AN78" i="116"/>
  <c r="AI78" i="100"/>
  <c r="AT78" i="119"/>
  <c r="AO78" i="116"/>
  <c r="AB78" i="118"/>
  <c r="AQ78" i="116"/>
  <c r="AU37" i="112"/>
  <c r="AF37" i="111"/>
  <c r="AA37" i="111"/>
  <c r="AG37" i="111"/>
  <c r="AG37" i="100"/>
  <c r="AQ37" i="112"/>
  <c r="AB37" i="111"/>
  <c r="AO37" i="112"/>
  <c r="AH37" i="111"/>
  <c r="AE37" i="100"/>
  <c r="AC37" i="100"/>
  <c r="AD37" i="100"/>
  <c r="AS37" i="112"/>
  <c r="AI37" i="100"/>
  <c r="AR10" i="121"/>
  <c r="AN10" i="119"/>
  <c r="AS10" i="121"/>
  <c r="AS10" i="119"/>
  <c r="AO10" i="119"/>
  <c r="AR10" i="110"/>
  <c r="AU10" i="121"/>
  <c r="AN10" i="121"/>
  <c r="AT10" i="119"/>
  <c r="AP10" i="119"/>
  <c r="AA14" i="116"/>
  <c r="AP10" i="110"/>
  <c r="AQ10" i="121"/>
  <c r="AQ10" i="119"/>
  <c r="AU2" i="125"/>
  <c r="AT18" i="108"/>
  <c r="AP16" i="101"/>
  <c r="AF15" i="102"/>
  <c r="AI51" i="101"/>
  <c r="AI13" i="100"/>
  <c r="AQ35" i="100"/>
  <c r="AI73" i="102"/>
  <c r="AG11" i="116"/>
  <c r="AE39" i="472"/>
  <c r="AT31" i="111"/>
  <c r="AR27" i="108"/>
  <c r="AI30" i="100"/>
  <c r="AG41" i="100"/>
  <c r="AD48" i="100"/>
  <c r="AD36" i="472"/>
  <c r="AI57" i="472"/>
  <c r="AR40" i="105"/>
  <c r="AG4" i="106"/>
  <c r="AG2" i="106" s="1"/>
  <c r="AU28" i="115"/>
  <c r="AD21" i="105"/>
  <c r="AC11" i="117"/>
  <c r="AE9" i="107"/>
  <c r="AT54" i="100"/>
  <c r="AT52" i="101"/>
  <c r="AA48" i="102"/>
  <c r="AO53" i="100"/>
  <c r="AF38" i="100"/>
  <c r="AH52" i="100"/>
  <c r="AN8" i="123"/>
  <c r="AI40" i="100"/>
  <c r="AN25" i="475"/>
  <c r="AB9" i="121"/>
  <c r="AP11" i="472"/>
  <c r="AE78" i="100"/>
  <c r="AB21" i="102"/>
  <c r="AO14" i="100"/>
  <c r="AB4" i="115"/>
  <c r="AD41" i="108"/>
  <c r="AU71" i="107"/>
  <c r="AU70" i="107" s="1"/>
  <c r="AU68" i="107" s="1"/>
  <c r="AF19" i="101"/>
  <c r="AP53" i="100"/>
  <c r="AQ40" i="100"/>
  <c r="AB32" i="101"/>
  <c r="AC45" i="123"/>
  <c r="AQ15" i="120"/>
  <c r="AV15" i="120" s="1"/>
  <c r="AH25" i="116"/>
  <c r="AH40" i="124"/>
  <c r="AG19" i="124"/>
  <c r="AJ19" i="124" s="1"/>
  <c r="AD44" i="112"/>
  <c r="AQ69" i="108"/>
  <c r="AP35" i="124"/>
  <c r="AI4" i="115"/>
  <c r="AF41" i="117"/>
  <c r="AG43" i="112"/>
  <c r="AS16" i="101"/>
  <c r="AA15" i="102"/>
  <c r="AQ53" i="100"/>
  <c r="AO35" i="100"/>
  <c r="AD32" i="101"/>
  <c r="AT2" i="101"/>
  <c r="AE51" i="122"/>
  <c r="AR45" i="120"/>
  <c r="AS49" i="124"/>
  <c r="AV49" i="124" s="1"/>
  <c r="AH34" i="114"/>
  <c r="AR69" i="108"/>
  <c r="AD41" i="100"/>
  <c r="AF66" i="108"/>
  <c r="AO2" i="121"/>
  <c r="AC17" i="114"/>
  <c r="AN52" i="101"/>
  <c r="AU16" i="101"/>
  <c r="AB15" i="102"/>
  <c r="AC31" i="100"/>
  <c r="AH32" i="101"/>
  <c r="AS53" i="100"/>
  <c r="AT73" i="117"/>
  <c r="AT72" i="117" s="1"/>
  <c r="AF69" i="106"/>
  <c r="AF68" i="106" s="1"/>
  <c r="AQ46" i="106"/>
  <c r="AA41" i="108"/>
  <c r="AA55" i="103"/>
  <c r="AC13" i="101"/>
  <c r="AC18" i="101"/>
  <c r="AU13" i="472"/>
  <c r="AN23" i="124"/>
  <c r="AT26" i="115"/>
  <c r="AR2" i="114"/>
  <c r="AC51" i="101"/>
  <c r="AT35" i="100"/>
  <c r="AF32" i="101"/>
  <c r="AQ36" i="122"/>
  <c r="AV36" i="122" s="1"/>
  <c r="AF18" i="122"/>
  <c r="AG44" i="124"/>
  <c r="AA32" i="124"/>
  <c r="AU64" i="116"/>
  <c r="AT57" i="114"/>
  <c r="AU19" i="107"/>
  <c r="AT46" i="106"/>
  <c r="AO39" i="102"/>
  <c r="AQ57" i="123"/>
  <c r="AD4" i="115"/>
  <c r="AN43" i="472"/>
  <c r="AE8" i="108"/>
  <c r="AH59" i="103"/>
  <c r="AB39" i="101"/>
  <c r="AI21" i="100"/>
  <c r="AS64" i="103"/>
  <c r="AQ39" i="100"/>
  <c r="AN14" i="100"/>
  <c r="AH42" i="114"/>
  <c r="AR10" i="101"/>
  <c r="AJ23" i="107"/>
  <c r="AS39" i="100"/>
  <c r="AQ14" i="100"/>
  <c r="AA39" i="102"/>
  <c r="AO49" i="101"/>
  <c r="AD19" i="101"/>
  <c r="AG31" i="117"/>
  <c r="AJ27" i="121"/>
  <c r="AA53" i="105"/>
  <c r="AS14" i="100"/>
  <c r="AN69" i="124"/>
  <c r="AG54" i="114"/>
  <c r="AG65" i="124"/>
  <c r="AI69" i="124"/>
  <c r="AI68" i="124" s="1"/>
  <c r="AA16" i="117"/>
  <c r="AF53" i="105"/>
  <c r="AH61" i="123"/>
  <c r="AC14" i="111"/>
  <c r="AA11" i="111"/>
  <c r="AF67" i="106"/>
  <c r="AT55" i="102"/>
  <c r="AP67" i="122"/>
  <c r="AP65" i="122" s="1"/>
  <c r="AC53" i="117"/>
  <c r="AF11" i="111"/>
  <c r="AQ40" i="107"/>
  <c r="AV3" i="125"/>
  <c r="AH3" i="121"/>
  <c r="AH2" i="121" s="1"/>
  <c r="AT3" i="120"/>
  <c r="AT4" i="118"/>
  <c r="AT2" i="118" s="1"/>
  <c r="AP4" i="118"/>
  <c r="AP2" i="118" s="1"/>
  <c r="AT4" i="117"/>
  <c r="AF3" i="124"/>
  <c r="AE4" i="108"/>
  <c r="AH4" i="103"/>
  <c r="AH4" i="106"/>
  <c r="AH2" i="106" s="1"/>
  <c r="AP4" i="117"/>
  <c r="AH3" i="124"/>
  <c r="AQ4" i="111"/>
  <c r="AI4" i="108"/>
  <c r="AD4" i="103"/>
  <c r="AC4" i="103"/>
  <c r="AA4" i="106"/>
  <c r="AV3" i="101"/>
  <c r="AU2" i="121"/>
  <c r="AJ4" i="121"/>
  <c r="AN3" i="120"/>
  <c r="AQ4" i="118"/>
  <c r="AQ4" i="117"/>
  <c r="AA3" i="124"/>
  <c r="AN4" i="111"/>
  <c r="AB4" i="108"/>
  <c r="AB2" i="108" s="1"/>
  <c r="AF4" i="108"/>
  <c r="AF2" i="108" s="1"/>
  <c r="AI4" i="106"/>
  <c r="AI2" i="106" s="1"/>
  <c r="AV3" i="114"/>
  <c r="AO3" i="120"/>
  <c r="AO2" i="120" s="1"/>
  <c r="AR4" i="118"/>
  <c r="AR2" i="118" s="1"/>
  <c r="AE4" i="116"/>
  <c r="AR4" i="117"/>
  <c r="AI3" i="124"/>
  <c r="AC4" i="108"/>
  <c r="AH4" i="108"/>
  <c r="AD4" i="106"/>
  <c r="AO3" i="100"/>
  <c r="AO2" i="100" s="1"/>
  <c r="AV4" i="114"/>
  <c r="AV3" i="121"/>
  <c r="AP3" i="120"/>
  <c r="AP2" i="120" s="1"/>
  <c r="AU4" i="118"/>
  <c r="AU4" i="117"/>
  <c r="AB3" i="124"/>
  <c r="AG4" i="108"/>
  <c r="AG2" i="108" s="1"/>
  <c r="AG4" i="103"/>
  <c r="AF4" i="106"/>
  <c r="AF2" i="106" s="1"/>
  <c r="AE4" i="106"/>
  <c r="AE2" i="106" s="1"/>
  <c r="AS4" i="102"/>
  <c r="AU4" i="111"/>
  <c r="AS3" i="120"/>
  <c r="AS2" i="120" s="1"/>
  <c r="AN4" i="118"/>
  <c r="AS4" i="117"/>
  <c r="AC3" i="124"/>
  <c r="AC3" i="114"/>
  <c r="AC2" i="114" s="1"/>
  <c r="AS4" i="111"/>
  <c r="AE4" i="103"/>
  <c r="AB4" i="106"/>
  <c r="AB2" i="106" s="1"/>
  <c r="AN2" i="125"/>
  <c r="AU3" i="120"/>
  <c r="AU2" i="120" s="1"/>
  <c r="AO4" i="118"/>
  <c r="AO2" i="118" s="1"/>
  <c r="AE3" i="124"/>
  <c r="AT4" i="111"/>
  <c r="AF4" i="103"/>
  <c r="AI11" i="117"/>
  <c r="AH17" i="114"/>
  <c r="AR21" i="103"/>
  <c r="AD39" i="102"/>
  <c r="AD40" i="100"/>
  <c r="AT48" i="125"/>
  <c r="AV48" i="125" s="1"/>
  <c r="AG18" i="118"/>
  <c r="AA48" i="115"/>
  <c r="AH24" i="124"/>
  <c r="AS10" i="101"/>
  <c r="AQ56" i="101"/>
  <c r="AH3" i="108"/>
  <c r="AT7" i="114"/>
  <c r="AU7" i="114"/>
  <c r="AN7" i="114"/>
  <c r="AO7" i="114"/>
  <c r="AP7" i="114"/>
  <c r="AQ7" i="114"/>
  <c r="AR7" i="114"/>
  <c r="AS7" i="114"/>
  <c r="AO7" i="107"/>
  <c r="AP7" i="107"/>
  <c r="AQ7" i="107"/>
  <c r="AR7" i="107"/>
  <c r="AT7" i="107"/>
  <c r="AN7" i="107"/>
  <c r="AS7" i="107"/>
  <c r="AU7" i="107"/>
  <c r="AD7" i="103"/>
  <c r="AE7" i="103"/>
  <c r="AF7" i="103"/>
  <c r="AG7" i="103"/>
  <c r="AH7" i="103"/>
  <c r="AA7" i="103"/>
  <c r="AI7" i="103"/>
  <c r="AC7" i="103"/>
  <c r="AB7" i="103"/>
  <c r="AQ7" i="119"/>
  <c r="AR7" i="119"/>
  <c r="AS7" i="119"/>
  <c r="AU7" i="119"/>
  <c r="AN7" i="119"/>
  <c r="AP7" i="119"/>
  <c r="AT7" i="119"/>
  <c r="AO7" i="119"/>
  <c r="AQ7" i="102"/>
  <c r="AR7" i="102"/>
  <c r="AS7" i="102"/>
  <c r="AT7" i="102"/>
  <c r="AN7" i="102"/>
  <c r="AU7" i="102"/>
  <c r="AO7" i="102"/>
  <c r="AP7" i="102"/>
  <c r="AG7" i="112"/>
  <c r="AH7" i="112"/>
  <c r="AA7" i="112"/>
  <c r="AI7" i="112"/>
  <c r="AB7" i="112"/>
  <c r="AC7" i="112"/>
  <c r="AD7" i="112"/>
  <c r="AE7" i="112"/>
  <c r="AF7" i="112"/>
  <c r="AD7" i="121"/>
  <c r="AE7" i="121"/>
  <c r="AF7" i="121"/>
  <c r="AH7" i="121"/>
  <c r="AA7" i="121"/>
  <c r="AI7" i="121"/>
  <c r="AB7" i="121"/>
  <c r="AC7" i="121"/>
  <c r="AG7" i="121"/>
  <c r="AD7" i="100"/>
  <c r="AA7" i="100"/>
  <c r="AE7" i="100"/>
  <c r="AG7" i="100"/>
  <c r="AF7" i="100"/>
  <c r="AH7" i="100"/>
  <c r="AI7" i="100"/>
  <c r="AB7" i="100"/>
  <c r="AC7" i="100"/>
  <c r="AG18" i="114"/>
  <c r="AH30" i="100"/>
  <c r="AE40" i="100"/>
  <c r="AG40" i="100"/>
  <c r="AT19" i="121"/>
  <c r="AV19" i="121" s="1"/>
  <c r="AS34" i="120"/>
  <c r="AV34" i="120" s="1"/>
  <c r="AG48" i="115"/>
  <c r="AF34" i="111"/>
  <c r="AT28" i="103"/>
  <c r="AC69" i="117"/>
  <c r="AC68" i="117" s="1"/>
  <c r="AQ4" i="108"/>
  <c r="AQ2" i="108" s="1"/>
  <c r="AU4" i="108"/>
  <c r="AU2" i="108" s="1"/>
  <c r="AA7" i="472"/>
  <c r="AI7" i="472"/>
  <c r="AB7" i="472"/>
  <c r="AC7" i="472"/>
  <c r="AD7" i="472"/>
  <c r="AE7" i="472"/>
  <c r="AF7" i="472"/>
  <c r="AG7" i="472"/>
  <c r="AH7" i="472"/>
  <c r="AF7" i="107"/>
  <c r="AG7" i="107"/>
  <c r="AH7" i="107"/>
  <c r="AA7" i="107"/>
  <c r="AI7" i="107"/>
  <c r="AC7" i="107"/>
  <c r="AB7" i="107"/>
  <c r="AD7" i="107"/>
  <c r="AE7" i="107"/>
  <c r="AA7" i="106"/>
  <c r="AI7" i="106"/>
  <c r="AB7" i="106"/>
  <c r="AC7" i="106"/>
  <c r="AD7" i="106"/>
  <c r="AE7" i="106"/>
  <c r="AF7" i="106"/>
  <c r="AG7" i="106"/>
  <c r="AH7" i="106"/>
  <c r="AN7" i="104"/>
  <c r="AO7" i="104"/>
  <c r="AP7" i="104"/>
  <c r="AQ7" i="104"/>
  <c r="AR7" i="104"/>
  <c r="AS7" i="104"/>
  <c r="AT7" i="104"/>
  <c r="AU7" i="104"/>
  <c r="AN7" i="115"/>
  <c r="AO7" i="115"/>
  <c r="AP7" i="115"/>
  <c r="AQ7" i="115"/>
  <c r="AR7" i="115"/>
  <c r="AS7" i="115"/>
  <c r="AT7" i="115"/>
  <c r="AU7" i="115"/>
  <c r="AQ7" i="475"/>
  <c r="AR7" i="475"/>
  <c r="AS7" i="475"/>
  <c r="AT7" i="475"/>
  <c r="AU7" i="475"/>
  <c r="AN7" i="475"/>
  <c r="AO7" i="475"/>
  <c r="AP7" i="475"/>
  <c r="AS7" i="117"/>
  <c r="AT7" i="117"/>
  <c r="AU7" i="117"/>
  <c r="AN7" i="117"/>
  <c r="AO7" i="117"/>
  <c r="AP7" i="117"/>
  <c r="AQ7" i="117"/>
  <c r="AR7" i="117"/>
  <c r="AB7" i="110"/>
  <c r="AC7" i="110"/>
  <c r="AD7" i="110"/>
  <c r="AE7" i="110"/>
  <c r="AF7" i="110"/>
  <c r="AG7" i="110"/>
  <c r="AI7" i="110"/>
  <c r="AA7" i="110"/>
  <c r="AH7" i="110"/>
  <c r="AE7" i="104"/>
  <c r="AF7" i="104"/>
  <c r="AG7" i="104"/>
  <c r="AH7" i="104"/>
  <c r="AA7" i="104"/>
  <c r="AI7" i="104"/>
  <c r="AB7" i="104"/>
  <c r="AC7" i="104"/>
  <c r="AD7" i="104"/>
  <c r="AE7" i="115"/>
  <c r="AF7" i="115"/>
  <c r="AG7" i="115"/>
  <c r="AH7" i="115"/>
  <c r="AA7" i="115"/>
  <c r="AI7" i="115"/>
  <c r="AB7" i="115"/>
  <c r="AC7" i="115"/>
  <c r="AD7" i="115"/>
  <c r="AH7" i="119"/>
  <c r="AA7" i="119"/>
  <c r="AI7" i="119"/>
  <c r="AB7" i="119"/>
  <c r="AD7" i="119"/>
  <c r="AE7" i="119"/>
  <c r="AC7" i="119"/>
  <c r="AF7" i="119"/>
  <c r="AG7" i="119"/>
  <c r="AO7" i="124"/>
  <c r="AP7" i="124"/>
  <c r="AQ7" i="124"/>
  <c r="AR7" i="124"/>
  <c r="AS7" i="124"/>
  <c r="AT7" i="124"/>
  <c r="AN7" i="124"/>
  <c r="AU7" i="124"/>
  <c r="AO7" i="101"/>
  <c r="AP7" i="101"/>
  <c r="AQ7" i="101"/>
  <c r="AR7" i="101"/>
  <c r="AS7" i="101"/>
  <c r="AU7" i="101"/>
  <c r="AN7" i="101"/>
  <c r="AT7" i="101"/>
  <c r="AF18" i="114"/>
  <c r="AO49" i="111"/>
  <c r="AB51" i="105"/>
  <c r="AA59" i="102"/>
  <c r="AC30" i="100"/>
  <c r="AP48" i="101"/>
  <c r="AA19" i="101"/>
  <c r="AN51" i="100"/>
  <c r="AQ39" i="102"/>
  <c r="AT48" i="475"/>
  <c r="AV48" i="475" s="1"/>
  <c r="AO29" i="120"/>
  <c r="AH28" i="117"/>
  <c r="AP57" i="124"/>
  <c r="AH39" i="124"/>
  <c r="AA42" i="115"/>
  <c r="AT57" i="110"/>
  <c r="AP24" i="102"/>
  <c r="AG37" i="102"/>
  <c r="AS31" i="102"/>
  <c r="AG21" i="105"/>
  <c r="AF15" i="105"/>
  <c r="AQ61" i="112"/>
  <c r="AO46" i="107"/>
  <c r="AR4" i="108"/>
  <c r="AR2" i="108" s="1"/>
  <c r="AR7" i="472"/>
  <c r="AS7" i="472"/>
  <c r="AT7" i="472"/>
  <c r="AU7" i="472"/>
  <c r="AN7" i="472"/>
  <c r="AO7" i="472"/>
  <c r="AP7" i="472"/>
  <c r="AQ7" i="472"/>
  <c r="AR7" i="106"/>
  <c r="AS7" i="106"/>
  <c r="AT7" i="106"/>
  <c r="AU7" i="106"/>
  <c r="AN7" i="106"/>
  <c r="AO7" i="106"/>
  <c r="AP7" i="106"/>
  <c r="AQ7" i="106"/>
  <c r="AF7" i="124"/>
  <c r="AG7" i="124"/>
  <c r="AH7" i="124"/>
  <c r="AA7" i="124"/>
  <c r="AI7" i="124"/>
  <c r="AB7" i="124"/>
  <c r="AC7" i="124"/>
  <c r="AD7" i="124"/>
  <c r="AE7" i="124"/>
  <c r="AH7" i="116"/>
  <c r="AA7" i="116"/>
  <c r="AI7" i="116"/>
  <c r="AB7" i="116"/>
  <c r="AC7" i="116"/>
  <c r="AD7" i="116"/>
  <c r="AE7" i="116"/>
  <c r="AF7" i="116"/>
  <c r="AG7" i="116"/>
  <c r="AF7" i="101"/>
  <c r="AC7" i="101"/>
  <c r="AG7" i="101"/>
  <c r="AH7" i="101"/>
  <c r="AA7" i="101"/>
  <c r="AI7" i="101"/>
  <c r="AB7" i="101"/>
  <c r="AD7" i="101"/>
  <c r="AE7" i="101"/>
  <c r="AS7" i="110"/>
  <c r="AT7" i="110"/>
  <c r="AU7" i="110"/>
  <c r="AN7" i="110"/>
  <c r="AO7" i="110"/>
  <c r="AP7" i="110"/>
  <c r="AQ7" i="110"/>
  <c r="AR7" i="110"/>
  <c r="AG55" i="117"/>
  <c r="AG46" i="112"/>
  <c r="AG4" i="100"/>
  <c r="AQ49" i="101"/>
  <c r="AD30" i="100"/>
  <c r="AI19" i="101"/>
  <c r="AN10" i="101"/>
  <c r="AR39" i="102"/>
  <c r="AU10" i="101"/>
  <c r="AI13" i="121"/>
  <c r="AN63" i="119"/>
  <c r="AO19" i="117"/>
  <c r="AV19" i="117" s="1"/>
  <c r="AC67" i="124"/>
  <c r="AC65" i="124" s="1"/>
  <c r="AG51" i="106"/>
  <c r="AI21" i="105"/>
  <c r="AG67" i="103"/>
  <c r="AU51" i="121"/>
  <c r="AN26" i="116"/>
  <c r="AV26" i="116" s="1"/>
  <c r="AP46" i="102"/>
  <c r="AN30" i="102"/>
  <c r="AT52" i="106"/>
  <c r="AU7" i="123"/>
  <c r="AN7" i="123"/>
  <c r="AO7" i="123"/>
  <c r="AP7" i="123"/>
  <c r="AQ7" i="123"/>
  <c r="AR7" i="123"/>
  <c r="AS7" i="123"/>
  <c r="AT7" i="123"/>
  <c r="AP7" i="118"/>
  <c r="AQ7" i="118"/>
  <c r="AN7" i="118"/>
  <c r="AO7" i="118"/>
  <c r="AR7" i="118"/>
  <c r="AS7" i="118"/>
  <c r="AT7" i="118"/>
  <c r="AU7" i="118"/>
  <c r="AH7" i="108"/>
  <c r="AA7" i="108"/>
  <c r="AI7" i="108"/>
  <c r="AB7" i="108"/>
  <c r="AC7" i="108"/>
  <c r="AD7" i="108"/>
  <c r="AE7" i="108"/>
  <c r="AG7" i="108"/>
  <c r="AF7" i="108"/>
  <c r="AF30" i="100"/>
  <c r="AB19" i="101"/>
  <c r="AG30" i="100"/>
  <c r="AS39" i="102"/>
  <c r="AO10" i="101"/>
  <c r="AG58" i="120"/>
  <c r="AB36" i="124"/>
  <c r="AJ36" i="124" s="1"/>
  <c r="AH67" i="124"/>
  <c r="AC51" i="124"/>
  <c r="AB48" i="115"/>
  <c r="AH16" i="116"/>
  <c r="AT9" i="111"/>
  <c r="AH15" i="102"/>
  <c r="AN69" i="106"/>
  <c r="AT10" i="472"/>
  <c r="AD69" i="124"/>
  <c r="AD68" i="124" s="1"/>
  <c r="AU7" i="111"/>
  <c r="AN7" i="111"/>
  <c r="AO7" i="111"/>
  <c r="AP7" i="111"/>
  <c r="AQ7" i="111"/>
  <c r="AR7" i="111"/>
  <c r="AS7" i="111"/>
  <c r="AT7" i="111"/>
  <c r="AD7" i="123"/>
  <c r="AE7" i="123"/>
  <c r="AF7" i="123"/>
  <c r="AG7" i="123"/>
  <c r="AH7" i="123"/>
  <c r="AA7" i="123"/>
  <c r="AI7" i="123"/>
  <c r="AB7" i="123"/>
  <c r="AC7" i="123"/>
  <c r="AB7" i="120"/>
  <c r="AC7" i="120"/>
  <c r="AD7" i="120"/>
  <c r="AF7" i="120"/>
  <c r="AG7" i="120"/>
  <c r="AA7" i="120"/>
  <c r="AE7" i="120"/>
  <c r="AH7" i="120"/>
  <c r="AI7" i="120"/>
  <c r="AQ7" i="116"/>
  <c r="AR7" i="116"/>
  <c r="AS7" i="116"/>
  <c r="AT7" i="116"/>
  <c r="AU7" i="116"/>
  <c r="AN7" i="116"/>
  <c r="AO7" i="116"/>
  <c r="AP7" i="116"/>
  <c r="AC19" i="101"/>
  <c r="AA40" i="100"/>
  <c r="AT39" i="102"/>
  <c r="AP10" i="101"/>
  <c r="AG64" i="118"/>
  <c r="AN61" i="121"/>
  <c r="AC48" i="115"/>
  <c r="AU40" i="111"/>
  <c r="AU20" i="108"/>
  <c r="AH43" i="101"/>
  <c r="AH35" i="475"/>
  <c r="AU3" i="118"/>
  <c r="AE63" i="101"/>
  <c r="AR18" i="114"/>
  <c r="AC7" i="114"/>
  <c r="AD7" i="114"/>
  <c r="AE7" i="114"/>
  <c r="AF7" i="114"/>
  <c r="AG7" i="114"/>
  <c r="AH7" i="114"/>
  <c r="AI7" i="114"/>
  <c r="AA7" i="114"/>
  <c r="AB7" i="114"/>
  <c r="AD7" i="111"/>
  <c r="AE7" i="111"/>
  <c r="AF7" i="111"/>
  <c r="AG7" i="111"/>
  <c r="AH7" i="111"/>
  <c r="AA7" i="111"/>
  <c r="AI7" i="111"/>
  <c r="AB7" i="111"/>
  <c r="AC7" i="111"/>
  <c r="AP7" i="105"/>
  <c r="AQ7" i="105"/>
  <c r="AR7" i="105"/>
  <c r="AS7" i="105"/>
  <c r="AT7" i="105"/>
  <c r="AU7" i="105"/>
  <c r="AN7" i="105"/>
  <c r="AO7" i="105"/>
  <c r="AH7" i="102"/>
  <c r="AA7" i="102"/>
  <c r="AI7" i="102"/>
  <c r="AB7" i="102"/>
  <c r="AC7" i="102"/>
  <c r="AD7" i="102"/>
  <c r="AF7" i="102"/>
  <c r="AG7" i="102"/>
  <c r="AE7" i="102"/>
  <c r="AB7" i="122"/>
  <c r="AC7" i="122"/>
  <c r="AD7" i="122"/>
  <c r="AE7" i="122"/>
  <c r="AF7" i="122"/>
  <c r="AG7" i="122"/>
  <c r="AA7" i="122"/>
  <c r="AH7" i="122"/>
  <c r="AI7" i="122"/>
  <c r="AG7" i="118"/>
  <c r="AH7" i="118"/>
  <c r="AB7" i="118"/>
  <c r="AC7" i="118"/>
  <c r="AD7" i="118"/>
  <c r="AE7" i="118"/>
  <c r="AF7" i="118"/>
  <c r="AI7" i="118"/>
  <c r="AA7" i="118"/>
  <c r="AQ7" i="108"/>
  <c r="AR7" i="108"/>
  <c r="AS7" i="108"/>
  <c r="AT7" i="108"/>
  <c r="AU7" i="108"/>
  <c r="AN7" i="108"/>
  <c r="AO7" i="108"/>
  <c r="AP7" i="108"/>
  <c r="AU7" i="100"/>
  <c r="AP7" i="100"/>
  <c r="AN7" i="100"/>
  <c r="AO7" i="100"/>
  <c r="AR7" i="100"/>
  <c r="AQ7" i="100"/>
  <c r="AS7" i="100"/>
  <c r="AT7" i="100"/>
  <c r="AO7" i="125"/>
  <c r="AP7" i="125"/>
  <c r="AQ7" i="125"/>
  <c r="AR7" i="125"/>
  <c r="AS7" i="125"/>
  <c r="AT7" i="125"/>
  <c r="AN7" i="125"/>
  <c r="AU7" i="125"/>
  <c r="AA11" i="117"/>
  <c r="AF17" i="114"/>
  <c r="AH67" i="115"/>
  <c r="AU36" i="112"/>
  <c r="AI27" i="107"/>
  <c r="AH4" i="100"/>
  <c r="AF4" i="100"/>
  <c r="AQ69" i="101"/>
  <c r="AE30" i="100"/>
  <c r="AQ17" i="102"/>
  <c r="AE58" i="118"/>
  <c r="AD18" i="124"/>
  <c r="AO57" i="124"/>
  <c r="AT48" i="115"/>
  <c r="AF11" i="110"/>
  <c r="AR24" i="111"/>
  <c r="AH21" i="108"/>
  <c r="AS35" i="105"/>
  <c r="AB78" i="106"/>
  <c r="AU7" i="103"/>
  <c r="AN7" i="103"/>
  <c r="AO7" i="103"/>
  <c r="AP7" i="103"/>
  <c r="AQ7" i="103"/>
  <c r="AR7" i="103"/>
  <c r="AS7" i="103"/>
  <c r="AT7" i="103"/>
  <c r="AG7" i="105"/>
  <c r="AH7" i="105"/>
  <c r="AA7" i="105"/>
  <c r="AI7" i="105"/>
  <c r="AB7" i="105"/>
  <c r="AC7" i="105"/>
  <c r="AD7" i="105"/>
  <c r="AE7" i="105"/>
  <c r="AF7" i="105"/>
  <c r="AH7" i="475"/>
  <c r="AA7" i="475"/>
  <c r="AI7" i="475"/>
  <c r="AB7" i="475"/>
  <c r="AC7" i="475"/>
  <c r="AD7" i="475"/>
  <c r="AE7" i="475"/>
  <c r="AF7" i="475"/>
  <c r="AG7" i="475"/>
  <c r="AS7" i="122"/>
  <c r="AT7" i="122"/>
  <c r="AU7" i="122"/>
  <c r="AN7" i="122"/>
  <c r="AO7" i="122"/>
  <c r="AP7" i="122"/>
  <c r="AR7" i="122"/>
  <c r="AQ7" i="122"/>
  <c r="AB7" i="117"/>
  <c r="AC7" i="117"/>
  <c r="AD7" i="117"/>
  <c r="AE7" i="117"/>
  <c r="AF7" i="117"/>
  <c r="AG7" i="117"/>
  <c r="AA7" i="117"/>
  <c r="AI7" i="117"/>
  <c r="AH7" i="117"/>
  <c r="AP7" i="112"/>
  <c r="AQ7" i="112"/>
  <c r="AR7" i="112"/>
  <c r="AS7" i="112"/>
  <c r="AT7" i="112"/>
  <c r="AU7" i="112"/>
  <c r="AN7" i="112"/>
  <c r="AO7" i="112"/>
  <c r="AS7" i="120"/>
  <c r="AT7" i="120"/>
  <c r="AU7" i="120"/>
  <c r="AO7" i="120"/>
  <c r="AP7" i="120"/>
  <c r="AN7" i="120"/>
  <c r="AQ7" i="120"/>
  <c r="AR7" i="120"/>
  <c r="AU7" i="121"/>
  <c r="AN7" i="121"/>
  <c r="AO7" i="121"/>
  <c r="AO6" i="121" s="1"/>
  <c r="AQ7" i="121"/>
  <c r="AR7" i="121"/>
  <c r="AT7" i="121"/>
  <c r="AP7" i="121"/>
  <c r="AS7" i="121"/>
  <c r="AF7" i="125"/>
  <c r="AG7" i="125"/>
  <c r="AH7" i="125"/>
  <c r="AA7" i="125"/>
  <c r="AI7" i="125"/>
  <c r="AB7" i="125"/>
  <c r="AC7" i="125"/>
  <c r="AD7" i="125"/>
  <c r="AE7" i="125"/>
  <c r="AS21" i="106"/>
  <c r="AQ4" i="103"/>
  <c r="D19" i="418"/>
  <c r="AI10" i="107"/>
  <c r="AD64" i="114"/>
  <c r="AQ43" i="111"/>
  <c r="AT21" i="106"/>
  <c r="AP66" i="112"/>
  <c r="AB45" i="107"/>
  <c r="AQ67" i="105"/>
  <c r="AC42" i="106"/>
  <c r="AN42" i="122"/>
  <c r="AU21" i="106"/>
  <c r="AQ42" i="108"/>
  <c r="AA38" i="115"/>
  <c r="AF71" i="114"/>
  <c r="AF70" i="114" s="1"/>
  <c r="AE53" i="103"/>
  <c r="AU4" i="103"/>
  <c r="AS2" i="100"/>
  <c r="D16" i="418"/>
  <c r="AD45" i="116"/>
  <c r="AS67" i="110"/>
  <c r="AD42" i="475"/>
  <c r="AH35" i="472"/>
  <c r="AF19" i="103"/>
  <c r="AR45" i="116"/>
  <c r="AI78" i="102"/>
  <c r="AD78" i="105"/>
  <c r="AP4" i="103"/>
  <c r="AD66" i="103"/>
  <c r="AP23" i="101"/>
  <c r="AT31" i="105"/>
  <c r="AP43" i="119"/>
  <c r="AE54" i="106"/>
  <c r="AR4" i="103"/>
  <c r="AI24" i="100"/>
  <c r="AJ24" i="100" s="1"/>
  <c r="AD63" i="110"/>
  <c r="AD78" i="111"/>
  <c r="AE42" i="100"/>
  <c r="AC63" i="121"/>
  <c r="AP67" i="102"/>
  <c r="AN69" i="116"/>
  <c r="AU69" i="116"/>
  <c r="AQ69" i="116"/>
  <c r="AR69" i="116"/>
  <c r="AU67" i="122"/>
  <c r="AT67" i="105"/>
  <c r="AO67" i="103"/>
  <c r="AN67" i="122"/>
  <c r="AT67" i="118"/>
  <c r="AE67" i="114"/>
  <c r="AN67" i="105"/>
  <c r="AO67" i="102"/>
  <c r="AO65" i="102" s="1"/>
  <c r="AN67" i="102"/>
  <c r="AO67" i="122"/>
  <c r="AO65" i="122" s="1"/>
  <c r="AQ67" i="102"/>
  <c r="AH67" i="123"/>
  <c r="AE65" i="100"/>
  <c r="AB66" i="119"/>
  <c r="AI66" i="119"/>
  <c r="AT66" i="112"/>
  <c r="AO66" i="112"/>
  <c r="AD66" i="119"/>
  <c r="AG66" i="119"/>
  <c r="AA66" i="119"/>
  <c r="AC66" i="119"/>
  <c r="AH66" i="119"/>
  <c r="AF66" i="475"/>
  <c r="AB63" i="121"/>
  <c r="AA63" i="121"/>
  <c r="AF63" i="110"/>
  <c r="AI63" i="101"/>
  <c r="AG63" i="100"/>
  <c r="AG63" i="121"/>
  <c r="AI63" i="110"/>
  <c r="AA63" i="101"/>
  <c r="AG63" i="101"/>
  <c r="AD63" i="121"/>
  <c r="AF63" i="121"/>
  <c r="AC63" i="110"/>
  <c r="AC63" i="101"/>
  <c r="AE63" i="121"/>
  <c r="AH63" i="121"/>
  <c r="AH63" i="110"/>
  <c r="AG63" i="110"/>
  <c r="AB63" i="101"/>
  <c r="AH63" i="101"/>
  <c r="AF63" i="101"/>
  <c r="AB63" i="110"/>
  <c r="AD63" i="101"/>
  <c r="AP61" i="121"/>
  <c r="AO61" i="114"/>
  <c r="AE45" i="104"/>
  <c r="AB45" i="120"/>
  <c r="AQ45" i="120"/>
  <c r="AA45" i="116"/>
  <c r="AF45" i="120"/>
  <c r="AD45" i="120"/>
  <c r="AT45" i="120"/>
  <c r="AI45" i="116"/>
  <c r="AA45" i="111"/>
  <c r="AN45" i="103"/>
  <c r="AA45" i="120"/>
  <c r="AN45" i="120"/>
  <c r="AE45" i="111"/>
  <c r="AI45" i="120"/>
  <c r="AS45" i="120"/>
  <c r="AO45" i="116"/>
  <c r="AH45" i="111"/>
  <c r="AE45" i="120"/>
  <c r="AO45" i="120"/>
  <c r="AI45" i="111"/>
  <c r="AI45" i="107"/>
  <c r="AB45" i="111"/>
  <c r="AD44" i="472"/>
  <c r="AF44" i="472"/>
  <c r="AN44" i="115"/>
  <c r="AP44" i="115"/>
  <c r="AH44" i="472"/>
  <c r="AB44" i="472"/>
  <c r="AQ44" i="115"/>
  <c r="AS44" i="115"/>
  <c r="AC44" i="472"/>
  <c r="AT44" i="472"/>
  <c r="AQ43" i="119"/>
  <c r="AU43" i="119"/>
  <c r="AO43" i="106"/>
  <c r="AO43" i="119"/>
  <c r="AR43" i="119"/>
  <c r="AS43" i="119"/>
  <c r="AR43" i="111"/>
  <c r="AN43" i="119"/>
  <c r="AF43" i="472"/>
  <c r="AH43" i="472"/>
  <c r="AH78" i="112"/>
  <c r="AU78" i="102"/>
  <c r="AG78" i="101"/>
  <c r="AC78" i="112"/>
  <c r="AB78" i="107"/>
  <c r="AQ78" i="102"/>
  <c r="AO78" i="102"/>
  <c r="AN78" i="102"/>
  <c r="AN78" i="100"/>
  <c r="AT78" i="111"/>
  <c r="AE78" i="112"/>
  <c r="AP78" i="111"/>
  <c r="AI78" i="101"/>
  <c r="AO78" i="100"/>
  <c r="AG78" i="112"/>
  <c r="AQ78" i="111"/>
  <c r="AC78" i="101"/>
  <c r="AQ78" i="100"/>
  <c r="AI78" i="112"/>
  <c r="AH78" i="111"/>
  <c r="AH78" i="101"/>
  <c r="AE78" i="101"/>
  <c r="AR78" i="100"/>
  <c r="AS78" i="102"/>
  <c r="AS78" i="100"/>
  <c r="AI42" i="114"/>
  <c r="AH42" i="475"/>
  <c r="AC42" i="115"/>
  <c r="AN42" i="111"/>
  <c r="AI42" i="110"/>
  <c r="AB42" i="106"/>
  <c r="AG42" i="106"/>
  <c r="AI42" i="100"/>
  <c r="AC42" i="475"/>
  <c r="AD42" i="115"/>
  <c r="AF42" i="114"/>
  <c r="AB42" i="114"/>
  <c r="AO42" i="111"/>
  <c r="AG42" i="110"/>
  <c r="AQ42" i="111"/>
  <c r="AA42" i="110"/>
  <c r="AD42" i="100"/>
  <c r="AB42" i="115"/>
  <c r="AG42" i="475"/>
  <c r="AP42" i="122"/>
  <c r="AA42" i="114"/>
  <c r="AE42" i="115"/>
  <c r="AR42" i="111"/>
  <c r="AB42" i="110"/>
  <c r="AF42" i="475"/>
  <c r="AF42" i="115"/>
  <c r="AS42" i="111"/>
  <c r="AE42" i="110"/>
  <c r="AP42" i="108"/>
  <c r="AU42" i="108"/>
  <c r="AB42" i="475"/>
  <c r="AU42" i="122"/>
  <c r="AT42" i="111"/>
  <c r="AO42" i="108"/>
  <c r="AO42" i="122"/>
  <c r="AR42" i="122"/>
  <c r="AG42" i="115"/>
  <c r="AS42" i="112"/>
  <c r="AU42" i="101"/>
  <c r="AF16" i="110"/>
  <c r="AN23" i="101"/>
  <c r="AT51" i="106"/>
  <c r="AP78" i="100"/>
  <c r="AE45" i="124"/>
  <c r="AI56" i="124"/>
  <c r="AD56" i="112"/>
  <c r="AP43" i="103"/>
  <c r="AE44" i="112"/>
  <c r="AS28" i="114"/>
  <c r="AN42" i="472"/>
  <c r="AA45" i="472"/>
  <c r="AT66" i="116"/>
  <c r="AT65" i="116" s="1"/>
  <c r="AT11" i="108"/>
  <c r="AU42" i="103"/>
  <c r="AP37" i="108"/>
  <c r="AC52" i="106"/>
  <c r="AJ52" i="106" s="1"/>
  <c r="AS46" i="117"/>
  <c r="AD56" i="117"/>
  <c r="AS66" i="112"/>
  <c r="AS65" i="112" s="1"/>
  <c r="AB45" i="472"/>
  <c r="AO4" i="103"/>
  <c r="AQ45" i="106"/>
  <c r="AF37" i="100"/>
  <c r="AF16" i="105"/>
  <c r="AR35" i="117"/>
  <c r="AG11" i="106"/>
  <c r="AJ11" i="106" s="1"/>
  <c r="AE45" i="475"/>
  <c r="AC63" i="111"/>
  <c r="AE63" i="124"/>
  <c r="AD38" i="123"/>
  <c r="AE61" i="123"/>
  <c r="AT61" i="121"/>
  <c r="AD58" i="116"/>
  <c r="AI42" i="121"/>
  <c r="AI42" i="472"/>
  <c r="AC42" i="117"/>
  <c r="AH42" i="105"/>
  <c r="AN42" i="106"/>
  <c r="AD42" i="122"/>
  <c r="AT26" i="107"/>
  <c r="AN63" i="111"/>
  <c r="AB63" i="102"/>
  <c r="AC61" i="118"/>
  <c r="AU44" i="100"/>
  <c r="AP61" i="110"/>
  <c r="AU61" i="121"/>
  <c r="AB61" i="123"/>
  <c r="AS61" i="121"/>
  <c r="AO61" i="121"/>
  <c r="AC61" i="123"/>
  <c r="AF61" i="123"/>
  <c r="AR61" i="121"/>
  <c r="AD61" i="123"/>
  <c r="AI61" i="123"/>
  <c r="AP63" i="124"/>
  <c r="AR63" i="111"/>
  <c r="AU63" i="124"/>
  <c r="AN63" i="124"/>
  <c r="AI63" i="102"/>
  <c r="AH63" i="102"/>
  <c r="AQ63" i="111"/>
  <c r="AD63" i="102"/>
  <c r="AA63" i="102"/>
  <c r="AC63" i="102"/>
  <c r="AO63" i="111"/>
  <c r="AD63" i="116"/>
  <c r="AF63" i="102"/>
  <c r="AT63" i="111"/>
  <c r="AO63" i="101"/>
  <c r="AB66" i="112"/>
  <c r="AO66" i="105"/>
  <c r="AN66" i="105"/>
  <c r="AP66" i="105"/>
  <c r="AQ66" i="105"/>
  <c r="AC65" i="107"/>
  <c r="AD69" i="106"/>
  <c r="AD68" i="106" s="1"/>
  <c r="AS63" i="110"/>
  <c r="AH63" i="111"/>
  <c r="AE63" i="111"/>
  <c r="AF63" i="115"/>
  <c r="AD63" i="115"/>
  <c r="AF63" i="111"/>
  <c r="AA63" i="111"/>
  <c r="AO63" i="103"/>
  <c r="AE63" i="115"/>
  <c r="AB63" i="111"/>
  <c r="AF63" i="105"/>
  <c r="AH61" i="118"/>
  <c r="AD61" i="118"/>
  <c r="AF61" i="118"/>
  <c r="AE61" i="118"/>
  <c r="AA61" i="118"/>
  <c r="AI61" i="118"/>
  <c r="AE61" i="101"/>
  <c r="AD45" i="117"/>
  <c r="AG45" i="117"/>
  <c r="AH45" i="117"/>
  <c r="AF44" i="116"/>
  <c r="AU43" i="116"/>
  <c r="AR43" i="116"/>
  <c r="AB44" i="116"/>
  <c r="AP43" i="116"/>
  <c r="AI45" i="117"/>
  <c r="AE44" i="116"/>
  <c r="AI44" i="116"/>
  <c r="AA45" i="117"/>
  <c r="AU45" i="472"/>
  <c r="AH44" i="112"/>
  <c r="AG43" i="111"/>
  <c r="AQ45" i="103"/>
  <c r="AC78" i="102"/>
  <c r="AO44" i="100"/>
  <c r="AB44" i="112"/>
  <c r="AS45" i="103"/>
  <c r="AQ45" i="100"/>
  <c r="AQ44" i="100"/>
  <c r="AF43" i="111"/>
  <c r="AP45" i="103"/>
  <c r="AR44" i="100"/>
  <c r="AA78" i="102"/>
  <c r="AC43" i="111"/>
  <c r="AH78" i="102"/>
  <c r="AS44" i="100"/>
  <c r="AQ44" i="124"/>
  <c r="AA43" i="111"/>
  <c r="AE78" i="102"/>
  <c r="AN44" i="100"/>
  <c r="AH43" i="111"/>
  <c r="AA45" i="107"/>
  <c r="AC42" i="122"/>
  <c r="AG42" i="105"/>
  <c r="AR42" i="106"/>
  <c r="AE42" i="122"/>
  <c r="AA42" i="121"/>
  <c r="AH42" i="472"/>
  <c r="AG42" i="122"/>
  <c r="AF42" i="472"/>
  <c r="AD42" i="117"/>
  <c r="AA42" i="122"/>
  <c r="AF42" i="105"/>
  <c r="AA42" i="105"/>
  <c r="AI42" i="122"/>
  <c r="AP42" i="106"/>
  <c r="AD42" i="105"/>
  <c r="AC42" i="105"/>
  <c r="AB42" i="122"/>
  <c r="AE42" i="105"/>
  <c r="AI42" i="105"/>
  <c r="AB42" i="105"/>
  <c r="AD2" i="108"/>
  <c r="AB4" i="116"/>
  <c r="AS34" i="112"/>
  <c r="AS13" i="100"/>
  <c r="AS42" i="116"/>
  <c r="AF4" i="116"/>
  <c r="AC4" i="116"/>
  <c r="AR71" i="103"/>
  <c r="AR70" i="103" s="1"/>
  <c r="AT29" i="106"/>
  <c r="AF67" i="108"/>
  <c r="AF67" i="105"/>
  <c r="AF65" i="105" s="1"/>
  <c r="AD78" i="119"/>
  <c r="AJ78" i="119" s="1"/>
  <c r="AD36" i="112"/>
  <c r="AE67" i="108"/>
  <c r="AE65" i="108" s="1"/>
  <c r="AU69" i="100"/>
  <c r="AO67" i="117"/>
  <c r="AQ67" i="108"/>
  <c r="AF65" i="107"/>
  <c r="AE67" i="103"/>
  <c r="AF67" i="103"/>
  <c r="AS69" i="100"/>
  <c r="AH67" i="118"/>
  <c r="AA67" i="103"/>
  <c r="AS67" i="472"/>
  <c r="AS67" i="108"/>
  <c r="AI67" i="103"/>
  <c r="AT67" i="472"/>
  <c r="AC67" i="103"/>
  <c r="AO69" i="100"/>
  <c r="AH69" i="114"/>
  <c r="AH68" i="114" s="1"/>
  <c r="AU67" i="472"/>
  <c r="AR67" i="472"/>
  <c r="AR55" i="110"/>
  <c r="AC17" i="108"/>
  <c r="AU21" i="475"/>
  <c r="AV21" i="475" s="1"/>
  <c r="AN42" i="119"/>
  <c r="AA36" i="116"/>
  <c r="AN44" i="112"/>
  <c r="AC43" i="114"/>
  <c r="AR26" i="107"/>
  <c r="AS26" i="108"/>
  <c r="AU13" i="111"/>
  <c r="AP16" i="100"/>
  <c r="AF24" i="111"/>
  <c r="AO20" i="111"/>
  <c r="AQ69" i="106"/>
  <c r="AI36" i="472"/>
  <c r="AD51" i="105"/>
  <c r="AA27" i="101"/>
  <c r="AT42" i="122"/>
  <c r="AP53" i="111"/>
  <c r="AI30" i="106"/>
  <c r="AC53" i="110"/>
  <c r="AI39" i="103"/>
  <c r="AP78" i="125"/>
  <c r="AQ66" i="116"/>
  <c r="AQ65" i="116" s="1"/>
  <c r="AD9" i="114"/>
  <c r="AQ17" i="107"/>
  <c r="AU67" i="102"/>
  <c r="AT15" i="116"/>
  <c r="AN13" i="105"/>
  <c r="AI45" i="101"/>
  <c r="AA65" i="472"/>
  <c r="AF65" i="124"/>
  <c r="AS67" i="475"/>
  <c r="AO44" i="118"/>
  <c r="AV44" i="118" s="1"/>
  <c r="AD63" i="124"/>
  <c r="AU42" i="105"/>
  <c r="AC9" i="100"/>
  <c r="AS8" i="124"/>
  <c r="AB8" i="114"/>
  <c r="AA45" i="114"/>
  <c r="AF44" i="112"/>
  <c r="AO43" i="111"/>
  <c r="AT44" i="101"/>
  <c r="AC9" i="115"/>
  <c r="AC66" i="110"/>
  <c r="AC44" i="100"/>
  <c r="AG35" i="124"/>
  <c r="AU34" i="107"/>
  <c r="AG28" i="101"/>
  <c r="AI21" i="101"/>
  <c r="AD37" i="105"/>
  <c r="AC78" i="111"/>
  <c r="AP42" i="115"/>
  <c r="AV36" i="114"/>
  <c r="AC27" i="107"/>
  <c r="AQ71" i="107"/>
  <c r="AQ70" i="107" s="1"/>
  <c r="AQ68" i="107" s="1"/>
  <c r="AF54" i="106"/>
  <c r="AN71" i="107"/>
  <c r="AN70" i="107" s="1"/>
  <c r="AN68" i="107" s="1"/>
  <c r="AF35" i="122"/>
  <c r="AU29" i="105"/>
  <c r="AC35" i="103"/>
  <c r="AR53" i="102"/>
  <c r="AP36" i="103"/>
  <c r="AQ63" i="100"/>
  <c r="AO39" i="118"/>
  <c r="AF40" i="472"/>
  <c r="AQ39" i="120"/>
  <c r="AF39" i="116"/>
  <c r="AF40" i="101"/>
  <c r="AH39" i="100"/>
  <c r="AC39" i="100"/>
  <c r="AT39" i="120"/>
  <c r="AB39" i="116"/>
  <c r="AF39" i="124"/>
  <c r="AD39" i="124"/>
  <c r="AI39" i="116"/>
  <c r="AS39" i="120"/>
  <c r="AN39" i="120"/>
  <c r="AC39" i="116"/>
  <c r="AE39" i="124"/>
  <c r="AD39" i="116"/>
  <c r="AC39" i="124"/>
  <c r="AA40" i="101"/>
  <c r="AS39" i="118"/>
  <c r="AE39" i="116"/>
  <c r="AH39" i="116"/>
  <c r="AB39" i="124"/>
  <c r="AE39" i="100"/>
  <c r="AO39" i="120"/>
  <c r="AE40" i="101"/>
  <c r="AG40" i="101"/>
  <c r="AS40" i="121"/>
  <c r="AA40" i="472"/>
  <c r="AS39" i="101"/>
  <c r="AC40" i="101"/>
  <c r="AI39" i="119"/>
  <c r="AI42" i="116"/>
  <c r="AH42" i="116"/>
  <c r="AH43" i="124"/>
  <c r="AE43" i="124"/>
  <c r="AA44" i="108"/>
  <c r="AF44" i="108"/>
  <c r="AH41" i="115"/>
  <c r="AA41" i="115"/>
  <c r="AQ43" i="115"/>
  <c r="AA42" i="106"/>
  <c r="AD42" i="106"/>
  <c r="AG42" i="100"/>
  <c r="AA42" i="100"/>
  <c r="AJ43" i="100"/>
  <c r="AP45" i="114"/>
  <c r="AN45" i="472"/>
  <c r="AR45" i="472"/>
  <c r="AA44" i="111"/>
  <c r="AF44" i="111"/>
  <c r="AF78" i="101"/>
  <c r="AA78" i="101"/>
  <c r="AB42" i="117"/>
  <c r="AI42" i="117"/>
  <c r="AG43" i="115"/>
  <c r="AC43" i="115"/>
  <c r="AF45" i="111"/>
  <c r="AA43" i="102"/>
  <c r="AF42" i="100"/>
  <c r="AC43" i="124"/>
  <c r="AH41" i="124"/>
  <c r="AB41" i="124"/>
  <c r="AF41" i="115"/>
  <c r="AB43" i="102"/>
  <c r="AE41" i="120"/>
  <c r="AH45" i="124"/>
  <c r="AI45" i="124"/>
  <c r="AU45" i="103"/>
  <c r="AR45" i="103"/>
  <c r="AS43" i="114"/>
  <c r="AS41" i="116"/>
  <c r="AE43" i="105"/>
  <c r="AD41" i="115"/>
  <c r="AC41" i="115"/>
  <c r="AD42" i="108"/>
  <c r="AB42" i="108"/>
  <c r="AS42" i="106"/>
  <c r="AH78" i="118"/>
  <c r="AC78" i="118"/>
  <c r="AE78" i="117"/>
  <c r="AD78" i="117"/>
  <c r="AI42" i="124"/>
  <c r="AA78" i="112"/>
  <c r="AF78" i="112"/>
  <c r="AN42" i="108"/>
  <c r="AR42" i="108"/>
  <c r="AS42" i="108"/>
  <c r="AO43" i="103"/>
  <c r="AH44" i="101"/>
  <c r="AC44" i="101"/>
  <c r="AU78" i="101"/>
  <c r="AD78" i="472"/>
  <c r="AN44" i="106"/>
  <c r="AA78" i="124"/>
  <c r="AE78" i="111"/>
  <c r="AH42" i="110"/>
  <c r="AC42" i="110"/>
  <c r="AC42" i="103"/>
  <c r="AH44" i="118"/>
  <c r="AI44" i="118"/>
  <c r="AC44" i="118"/>
  <c r="AI43" i="472"/>
  <c r="AA43" i="472"/>
  <c r="AC43" i="472"/>
  <c r="AS45" i="116"/>
  <c r="AU41" i="118"/>
  <c r="AT41" i="118"/>
  <c r="AH41" i="101"/>
  <c r="AG41" i="101"/>
  <c r="AN44" i="108"/>
  <c r="AP44" i="108"/>
  <c r="AB45" i="117"/>
  <c r="AF45" i="117"/>
  <c r="AS43" i="472"/>
  <c r="AR43" i="472"/>
  <c r="AG42" i="102"/>
  <c r="AA41" i="103"/>
  <c r="AC42" i="100"/>
  <c r="AU41" i="108"/>
  <c r="AG45" i="111"/>
  <c r="AC41" i="103"/>
  <c r="AA44" i="100"/>
  <c r="AI43" i="102"/>
  <c r="AO44" i="101"/>
  <c r="AT43" i="120"/>
  <c r="AN43" i="120"/>
  <c r="AC78" i="100"/>
  <c r="AD41" i="103"/>
  <c r="AF45" i="107"/>
  <c r="AE45" i="107"/>
  <c r="AI44" i="472"/>
  <c r="AA44" i="472"/>
  <c r="AA43" i="120"/>
  <c r="AE78" i="106"/>
  <c r="AN78" i="124"/>
  <c r="AI45" i="108"/>
  <c r="AP43" i="100"/>
  <c r="AO43" i="117"/>
  <c r="AU45" i="120"/>
  <c r="AH42" i="121"/>
  <c r="AA38" i="108"/>
  <c r="AD38" i="105"/>
  <c r="AS38" i="115"/>
  <c r="AB35" i="124"/>
  <c r="AP38" i="115"/>
  <c r="AH35" i="111"/>
  <c r="AG38" i="108"/>
  <c r="AI38" i="108"/>
  <c r="AH37" i="105"/>
  <c r="AR37" i="106"/>
  <c r="AC36" i="100"/>
  <c r="AU35" i="111"/>
  <c r="AS35" i="111"/>
  <c r="AV35" i="111" s="1"/>
  <c r="AI34" i="110"/>
  <c r="AE34" i="110"/>
  <c r="AU35" i="105"/>
  <c r="AT38" i="115"/>
  <c r="AQ38" i="115"/>
  <c r="AE35" i="111"/>
  <c r="AD38" i="108"/>
  <c r="AB38" i="108"/>
  <c r="AR36" i="107"/>
  <c r="AP36" i="107"/>
  <c r="AG38" i="106"/>
  <c r="AC37" i="105"/>
  <c r="AA38" i="106"/>
  <c r="AA35" i="124"/>
  <c r="AT34" i="107"/>
  <c r="AR38" i="115"/>
  <c r="AR34" i="101"/>
  <c r="AN38" i="123"/>
  <c r="AT38" i="123"/>
  <c r="AQ38" i="123"/>
  <c r="AT36" i="107"/>
  <c r="AE38" i="106"/>
  <c r="AC38" i="106"/>
  <c r="AI35" i="124"/>
  <c r="AC35" i="105"/>
  <c r="AA35" i="105"/>
  <c r="AH36" i="119"/>
  <c r="AD36" i="119"/>
  <c r="AH36" i="116"/>
  <c r="AG36" i="116"/>
  <c r="AF36" i="116"/>
  <c r="AP34" i="114"/>
  <c r="AV34" i="114" s="1"/>
  <c r="AU34" i="472"/>
  <c r="AP34" i="472"/>
  <c r="AI36" i="112"/>
  <c r="AC38" i="108"/>
  <c r="AT37" i="106"/>
  <c r="AB38" i="106"/>
  <c r="AA37" i="105"/>
  <c r="AE38" i="101"/>
  <c r="AD38" i="106"/>
  <c r="AI36" i="100"/>
  <c r="AT38" i="120"/>
  <c r="AD36" i="114"/>
  <c r="AE36" i="114"/>
  <c r="AA36" i="114"/>
  <c r="AJ36" i="114" s="1"/>
  <c r="AO36" i="119"/>
  <c r="AR36" i="119"/>
  <c r="AC38" i="121"/>
  <c r="AP37" i="112"/>
  <c r="AT37" i="112"/>
  <c r="AA37" i="108"/>
  <c r="AH37" i="108"/>
  <c r="AB38" i="100"/>
  <c r="AG38" i="100"/>
  <c r="AQ36" i="107"/>
  <c r="AF38" i="106"/>
  <c r="AS34" i="107"/>
  <c r="AO34" i="107"/>
  <c r="AQ37" i="106"/>
  <c r="AF37" i="105"/>
  <c r="AH38" i="106"/>
  <c r="AE36" i="100"/>
  <c r="AI38" i="101"/>
  <c r="AU34" i="110"/>
  <c r="AC34" i="117"/>
  <c r="AB38" i="112"/>
  <c r="AG38" i="112"/>
  <c r="AN38" i="115"/>
  <c r="AB35" i="111"/>
  <c r="AH38" i="108"/>
  <c r="AN36" i="107"/>
  <c r="AN34" i="107"/>
  <c r="AU38" i="121"/>
  <c r="AN38" i="121"/>
  <c r="AE34" i="115"/>
  <c r="AF34" i="115"/>
  <c r="AP35" i="123"/>
  <c r="AN35" i="123"/>
  <c r="AH35" i="124"/>
  <c r="AG36" i="115"/>
  <c r="AH36" i="115"/>
  <c r="AQ34" i="106"/>
  <c r="AO34" i="106"/>
  <c r="AC38" i="101"/>
  <c r="AF38" i="101"/>
  <c r="AA38" i="101"/>
  <c r="AT37" i="118"/>
  <c r="AE38" i="108"/>
  <c r="AH37" i="118"/>
  <c r="AG37" i="118"/>
  <c r="AA37" i="118"/>
  <c r="AC37" i="118"/>
  <c r="AF38" i="102"/>
  <c r="AA38" i="102"/>
  <c r="AU34" i="121"/>
  <c r="AP34" i="121"/>
  <c r="AD38" i="120"/>
  <c r="AP34" i="112"/>
  <c r="AU37" i="117"/>
  <c r="AN36" i="115"/>
  <c r="AC36" i="472"/>
  <c r="AI35" i="472"/>
  <c r="AQ37" i="472"/>
  <c r="AQ36" i="115"/>
  <c r="AT35" i="106"/>
  <c r="AT34" i="125"/>
  <c r="AF37" i="110"/>
  <c r="AE35" i="122"/>
  <c r="AS18" i="108"/>
  <c r="AB27" i="107"/>
  <c r="AC28" i="102"/>
  <c r="AB28" i="102"/>
  <c r="AE15" i="104"/>
  <c r="AN24" i="116"/>
  <c r="AV24" i="116" s="1"/>
  <c r="AI23" i="108"/>
  <c r="AT20" i="102"/>
  <c r="AC25" i="103"/>
  <c r="AS15" i="112"/>
  <c r="AQ18" i="118"/>
  <c r="AO16" i="105"/>
  <c r="AJ26" i="116"/>
  <c r="AJ16" i="114"/>
  <c r="AQ18" i="108"/>
  <c r="AO16" i="116"/>
  <c r="AU32" i="103"/>
  <c r="AD31" i="112"/>
  <c r="AG16" i="106"/>
  <c r="AV16" i="118"/>
  <c r="AD24" i="112"/>
  <c r="AG18" i="107"/>
  <c r="AP25" i="106"/>
  <c r="AN26" i="115"/>
  <c r="AG25" i="108"/>
  <c r="AG27" i="107"/>
  <c r="AC29" i="102"/>
  <c r="AJ24" i="121"/>
  <c r="AA25" i="111"/>
  <c r="AH21" i="102"/>
  <c r="AA13" i="116"/>
  <c r="AO13" i="116"/>
  <c r="AN13" i="121"/>
  <c r="AR13" i="111"/>
  <c r="AN8" i="124"/>
  <c r="AC8" i="472"/>
  <c r="AI9" i="121"/>
  <c r="AO8" i="124"/>
  <c r="AE8" i="472"/>
  <c r="AN8" i="119"/>
  <c r="AP8" i="124"/>
  <c r="AH8" i="472"/>
  <c r="AG8" i="108"/>
  <c r="AC8" i="108"/>
  <c r="AE9" i="100"/>
  <c r="AV9" i="121"/>
  <c r="AA8" i="114"/>
  <c r="AP8" i="121"/>
  <c r="AN8" i="121"/>
  <c r="AQ8" i="124"/>
  <c r="AD9" i="115"/>
  <c r="AF8" i="472"/>
  <c r="AI9" i="111"/>
  <c r="AB8" i="108"/>
  <c r="AD8" i="108"/>
  <c r="AQ8" i="121"/>
  <c r="AU8" i="124"/>
  <c r="AT8" i="121"/>
  <c r="AR8" i="124"/>
  <c r="AE8" i="114"/>
  <c r="AG8" i="472"/>
  <c r="AF9" i="111"/>
  <c r="AA9" i="111"/>
  <c r="AA8" i="108"/>
  <c r="AS9" i="100"/>
  <c r="AR8" i="121"/>
  <c r="AU8" i="121"/>
  <c r="AF8" i="114"/>
  <c r="AI8" i="472"/>
  <c r="AC9" i="111"/>
  <c r="AD9" i="111"/>
  <c r="AI8" i="108"/>
  <c r="AS8" i="121"/>
  <c r="AH8" i="114"/>
  <c r="AB8" i="472"/>
  <c r="AG9" i="111"/>
  <c r="G79" i="114"/>
  <c r="G77" i="114" s="1"/>
  <c r="G8" i="114" s="1"/>
  <c r="G79" i="102"/>
  <c r="G77" i="102" s="1"/>
  <c r="G8" i="102" s="1"/>
  <c r="AT73" i="122"/>
  <c r="AT72" i="122" s="1"/>
  <c r="AS71" i="103"/>
  <c r="AS70" i="103" s="1"/>
  <c r="AR71" i="115"/>
  <c r="AR70" i="115" s="1"/>
  <c r="AQ71" i="115"/>
  <c r="AQ70" i="115" s="1"/>
  <c r="AN71" i="103"/>
  <c r="AN70" i="103" s="1"/>
  <c r="AT71" i="103"/>
  <c r="AT70" i="103" s="1"/>
  <c r="AQ71" i="103"/>
  <c r="AQ70" i="103" s="1"/>
  <c r="AT71" i="115"/>
  <c r="AT70" i="115" s="1"/>
  <c r="AT68" i="115" s="1"/>
  <c r="AP71" i="115"/>
  <c r="AP70" i="115" s="1"/>
  <c r="AP68" i="115" s="1"/>
  <c r="AP71" i="103"/>
  <c r="AP70" i="103" s="1"/>
  <c r="AO71" i="103"/>
  <c r="AO70" i="103" s="1"/>
  <c r="AU71" i="111"/>
  <c r="AU70" i="111" s="1"/>
  <c r="AJ71" i="118"/>
  <c r="AJ70" i="118" s="1"/>
  <c r="AS69" i="110"/>
  <c r="AE69" i="106"/>
  <c r="AE68" i="106" s="1"/>
  <c r="AQ69" i="121"/>
  <c r="AH69" i="106"/>
  <c r="AH68" i="106" s="1"/>
  <c r="AT69" i="121"/>
  <c r="AR69" i="121"/>
  <c r="AA69" i="106"/>
  <c r="AA68" i="106" s="1"/>
  <c r="AP69" i="121"/>
  <c r="AS69" i="121"/>
  <c r="AU69" i="121"/>
  <c r="AI69" i="106"/>
  <c r="AI68" i="106" s="1"/>
  <c r="AB69" i="106"/>
  <c r="AB68" i="106" s="1"/>
  <c r="AC69" i="106"/>
  <c r="AC68" i="106" s="1"/>
  <c r="AE69" i="108"/>
  <c r="AE68" i="108" s="1"/>
  <c r="AR67" i="475"/>
  <c r="AN67" i="475"/>
  <c r="AU67" i="475"/>
  <c r="AO67" i="475"/>
  <c r="AO65" i="475" s="1"/>
  <c r="AQ67" i="475"/>
  <c r="AU66" i="119"/>
  <c r="AA66" i="110"/>
  <c r="AP66" i="102"/>
  <c r="AJ66" i="100"/>
  <c r="AS66" i="119"/>
  <c r="AI66" i="110"/>
  <c r="AG66" i="110"/>
  <c r="AS66" i="102"/>
  <c r="AR66" i="119"/>
  <c r="AF66" i="116"/>
  <c r="AE66" i="110"/>
  <c r="AA66" i="116"/>
  <c r="AQ66" i="102"/>
  <c r="AI66" i="116"/>
  <c r="AG66" i="116"/>
  <c r="AU66" i="102"/>
  <c r="AS63" i="119"/>
  <c r="AI63" i="124"/>
  <c r="AR63" i="100"/>
  <c r="AT63" i="119"/>
  <c r="AR63" i="119"/>
  <c r="AC63" i="124"/>
  <c r="AF63" i="124"/>
  <c r="AO63" i="119"/>
  <c r="AA63" i="115"/>
  <c r="AQ63" i="119"/>
  <c r="AI63" i="115"/>
  <c r="AI63" i="103"/>
  <c r="AB63" i="115"/>
  <c r="AH61" i="108"/>
  <c r="AN45" i="121"/>
  <c r="AO45" i="114"/>
  <c r="AN45" i="114"/>
  <c r="AD45" i="475"/>
  <c r="AT45" i="106"/>
  <c r="AN45" i="106"/>
  <c r="AQ45" i="114"/>
  <c r="AO45" i="107"/>
  <c r="AR45" i="106"/>
  <c r="AT45" i="101"/>
  <c r="AD45" i="101"/>
  <c r="AR45" i="121"/>
  <c r="AR45" i="114"/>
  <c r="AS45" i="106"/>
  <c r="AC45" i="101"/>
  <c r="AU45" i="121"/>
  <c r="AP45" i="121"/>
  <c r="AS45" i="114"/>
  <c r="AO45" i="106"/>
  <c r="AP45" i="106"/>
  <c r="AU45" i="106"/>
  <c r="AB45" i="101"/>
  <c r="AB45" i="475"/>
  <c r="AQ45" i="121"/>
  <c r="AF45" i="101"/>
  <c r="AH45" i="101"/>
  <c r="AC45" i="475"/>
  <c r="AF45" i="475"/>
  <c r="AT45" i="121"/>
  <c r="AG45" i="101"/>
  <c r="AP44" i="110"/>
  <c r="AP44" i="106"/>
  <c r="AT44" i="106"/>
  <c r="AP43" i="117"/>
  <c r="AN43" i="117"/>
  <c r="AT43" i="103"/>
  <c r="AH43" i="114"/>
  <c r="AD43" i="120"/>
  <c r="AQ43" i="117"/>
  <c r="AA43" i="114"/>
  <c r="AF43" i="114"/>
  <c r="AT43" i="117"/>
  <c r="AR43" i="117"/>
  <c r="AE43" i="120"/>
  <c r="AI43" i="120"/>
  <c r="AS43" i="117"/>
  <c r="AG43" i="114"/>
  <c r="AB43" i="114"/>
  <c r="AN43" i="103"/>
  <c r="AF43" i="120"/>
  <c r="AI43" i="114"/>
  <c r="AQ43" i="103"/>
  <c r="AH43" i="120"/>
  <c r="AU43" i="117"/>
  <c r="AB43" i="120"/>
  <c r="AS43" i="103"/>
  <c r="AC78" i="106"/>
  <c r="AT78" i="120"/>
  <c r="AG78" i="106"/>
  <c r="AH78" i="106"/>
  <c r="AA78" i="106"/>
  <c r="AI78" i="106"/>
  <c r="AD78" i="106"/>
  <c r="AT78" i="101"/>
  <c r="AB42" i="121"/>
  <c r="AG42" i="121"/>
  <c r="AE42" i="121"/>
  <c r="AG42" i="117"/>
  <c r="AE42" i="117"/>
  <c r="AA42" i="117"/>
  <c r="AF42" i="117"/>
  <c r="AF42" i="121"/>
  <c r="AD42" i="121"/>
  <c r="AC42" i="121"/>
  <c r="AQ40" i="125"/>
  <c r="AH40" i="472"/>
  <c r="AG40" i="472"/>
  <c r="AC40" i="472"/>
  <c r="AU40" i="121"/>
  <c r="AB40" i="472"/>
  <c r="AC39" i="119"/>
  <c r="AI39" i="118"/>
  <c r="AB39" i="118"/>
  <c r="AC39" i="106"/>
  <c r="AA39" i="106"/>
  <c r="AN39" i="118"/>
  <c r="AD39" i="119"/>
  <c r="AD39" i="118"/>
  <c r="AI39" i="106"/>
  <c r="AP39" i="118"/>
  <c r="AB39" i="119"/>
  <c r="AN39" i="111"/>
  <c r="AG39" i="106"/>
  <c r="AB39" i="106"/>
  <c r="AS39" i="475"/>
  <c r="AV39" i="475" s="1"/>
  <c r="AF39" i="119"/>
  <c r="AT39" i="118"/>
  <c r="AH39" i="108"/>
  <c r="AU39" i="105"/>
  <c r="AT38" i="472"/>
  <c r="AO38" i="472"/>
  <c r="AN38" i="472"/>
  <c r="AP38" i="472"/>
  <c r="AU38" i="122"/>
  <c r="AS38" i="472"/>
  <c r="AQ38" i="472"/>
  <c r="AB28" i="101"/>
  <c r="AR20" i="102"/>
  <c r="AD21" i="101"/>
  <c r="AU25" i="106"/>
  <c r="AC28" i="101"/>
  <c r="AR31" i="102"/>
  <c r="AE30" i="102"/>
  <c r="AG21" i="102"/>
  <c r="AO31" i="102"/>
  <c r="AD28" i="101"/>
  <c r="AR31" i="101"/>
  <c r="AT30" i="101"/>
  <c r="AT27" i="115"/>
  <c r="AU25" i="111"/>
  <c r="AF28" i="101"/>
  <c r="AO32" i="105"/>
  <c r="AS20" i="105"/>
  <c r="AI31" i="102"/>
  <c r="AN20" i="102"/>
  <c r="AG31" i="102"/>
  <c r="AF31" i="102"/>
  <c r="AD21" i="102"/>
  <c r="AE21" i="101"/>
  <c r="AF21" i="101"/>
  <c r="AT25" i="106"/>
  <c r="AA31" i="102"/>
  <c r="AE21" i="102"/>
  <c r="AH21" i="101"/>
  <c r="AN21" i="121"/>
  <c r="AB31" i="102"/>
  <c r="AQ20" i="105"/>
  <c r="AC21" i="102"/>
  <c r="AA30" i="101"/>
  <c r="AF21" i="102"/>
  <c r="AI20" i="102"/>
  <c r="AA21" i="101"/>
  <c r="AA21" i="102"/>
  <c r="AT24" i="110"/>
  <c r="AU30" i="115"/>
  <c r="AF18" i="107"/>
  <c r="AO18" i="115"/>
  <c r="AN18" i="115"/>
  <c r="AO18" i="114"/>
  <c r="AH18" i="107"/>
  <c r="AN18" i="122"/>
  <c r="AP18" i="114"/>
  <c r="AN18" i="114"/>
  <c r="AC18" i="107"/>
  <c r="AB18" i="107"/>
  <c r="AA18" i="107"/>
  <c r="AQ18" i="114"/>
  <c r="AP18" i="115"/>
  <c r="AS18" i="114"/>
  <c r="AT18" i="114"/>
  <c r="AD18" i="107"/>
  <c r="AH18" i="121"/>
  <c r="AT18" i="115"/>
  <c r="AQ18" i="115"/>
  <c r="AU18" i="114"/>
  <c r="AG17" i="115"/>
  <c r="AI17" i="115"/>
  <c r="AB17" i="115"/>
  <c r="AC17" i="115"/>
  <c r="AD17" i="115"/>
  <c r="AF17" i="115"/>
  <c r="AT16" i="117"/>
  <c r="AR16" i="117"/>
  <c r="AT16" i="116"/>
  <c r="AN16" i="124"/>
  <c r="AA16" i="106"/>
  <c r="AU16" i="105"/>
  <c r="AP16" i="117"/>
  <c r="AN16" i="116"/>
  <c r="AO16" i="124"/>
  <c r="AI16" i="106"/>
  <c r="AN16" i="105"/>
  <c r="AQ16" i="117"/>
  <c r="AS16" i="116"/>
  <c r="AU16" i="117"/>
  <c r="AP16" i="124"/>
  <c r="AH16" i="106"/>
  <c r="AB16" i="106"/>
  <c r="AQ16" i="105"/>
  <c r="AG16" i="103"/>
  <c r="AF16" i="106"/>
  <c r="AN16" i="117"/>
  <c r="AQ16" i="124"/>
  <c r="AD16" i="106"/>
  <c r="AS16" i="105"/>
  <c r="AS16" i="117"/>
  <c r="AR16" i="124"/>
  <c r="AE16" i="106"/>
  <c r="AT15" i="123"/>
  <c r="AA15" i="104"/>
  <c r="AU15" i="123"/>
  <c r="AR15" i="112"/>
  <c r="AA15" i="120"/>
  <c r="AQ15" i="125"/>
  <c r="AU15" i="125"/>
  <c r="AN15" i="123"/>
  <c r="AN15" i="112"/>
  <c r="AR15" i="125"/>
  <c r="AO15" i="123"/>
  <c r="AO15" i="112"/>
  <c r="AU15" i="112"/>
  <c r="AP15" i="123"/>
  <c r="AO15" i="116"/>
  <c r="AP15" i="112"/>
  <c r="AV15" i="112" s="1"/>
  <c r="AR15" i="123"/>
  <c r="AR15" i="116"/>
  <c r="AC13" i="105"/>
  <c r="AH13" i="101"/>
  <c r="AE13" i="116"/>
  <c r="AD13" i="116"/>
  <c r="AS13" i="111"/>
  <c r="AI13" i="107"/>
  <c r="AR13" i="116"/>
  <c r="AN13" i="115"/>
  <c r="AG13" i="101"/>
  <c r="AS13" i="116"/>
  <c r="AP13" i="115"/>
  <c r="AT13" i="111"/>
  <c r="AG13" i="107"/>
  <c r="AE13" i="101"/>
  <c r="AT13" i="116"/>
  <c r="AN13" i="116"/>
  <c r="AU13" i="116"/>
  <c r="AQ13" i="115"/>
  <c r="AA13" i="107"/>
  <c r="AH13" i="116"/>
  <c r="AO13" i="115"/>
  <c r="AR13" i="115"/>
  <c r="AB13" i="107"/>
  <c r="AR13" i="121"/>
  <c r="AH13" i="107"/>
  <c r="AC13" i="107"/>
  <c r="AE9" i="115"/>
  <c r="AA9" i="115"/>
  <c r="AI9" i="115"/>
  <c r="AC9" i="121"/>
  <c r="AH9" i="121"/>
  <c r="AH9" i="115"/>
  <c r="AE9" i="121"/>
  <c r="AG9" i="121"/>
  <c r="AF9" i="121"/>
  <c r="AD9" i="121"/>
  <c r="AB9" i="115"/>
  <c r="AF9" i="115"/>
  <c r="AR8" i="120"/>
  <c r="AR8" i="114"/>
  <c r="AE8" i="111"/>
  <c r="AS8" i="120"/>
  <c r="AT8" i="114"/>
  <c r="AN8" i="120"/>
  <c r="AN8" i="114"/>
  <c r="AO8" i="114"/>
  <c r="AU8" i="123"/>
  <c r="AP8" i="123"/>
  <c r="AP8" i="120"/>
  <c r="AP8" i="114"/>
  <c r="AQ8" i="120"/>
  <c r="AO8" i="120"/>
  <c r="AR8" i="123"/>
  <c r="AA26" i="102"/>
  <c r="AN53" i="100"/>
  <c r="AN39" i="100"/>
  <c r="AG57" i="105"/>
  <c r="AH42" i="106"/>
  <c r="AT49" i="107"/>
  <c r="AS13" i="105"/>
  <c r="AB42" i="472"/>
  <c r="AH57" i="110"/>
  <c r="AB26" i="102"/>
  <c r="AB39" i="103"/>
  <c r="AS63" i="100"/>
  <c r="AA63" i="103"/>
  <c r="AU4" i="116"/>
  <c r="AT31" i="101"/>
  <c r="AA36" i="100"/>
  <c r="AA37" i="102"/>
  <c r="AA16" i="101"/>
  <c r="AU24" i="114"/>
  <c r="AF42" i="103"/>
  <c r="AH37" i="475"/>
  <c r="AO4" i="116"/>
  <c r="AN4" i="116"/>
  <c r="AT49" i="105"/>
  <c r="AU9" i="100"/>
  <c r="AF21" i="103"/>
  <c r="AB37" i="102"/>
  <c r="AI37" i="102"/>
  <c r="AI16" i="101"/>
  <c r="AQ36" i="119"/>
  <c r="AN8" i="118"/>
  <c r="AU19" i="110"/>
  <c r="AT25" i="110"/>
  <c r="AA23" i="106"/>
  <c r="AI15" i="102"/>
  <c r="AD36" i="100"/>
  <c r="AI10" i="100"/>
  <c r="AC37" i="102"/>
  <c r="AC16" i="101"/>
  <c r="AR39" i="100"/>
  <c r="AD40" i="472"/>
  <c r="AR19" i="110"/>
  <c r="AV19" i="110" s="1"/>
  <c r="AF61" i="115"/>
  <c r="AR4" i="116"/>
  <c r="AB44" i="110"/>
  <c r="AH21" i="103"/>
  <c r="AD37" i="102"/>
  <c r="AP40" i="100"/>
  <c r="AD16" i="101"/>
  <c r="AC35" i="475"/>
  <c r="AE40" i="472"/>
  <c r="AH45" i="108"/>
  <c r="AC21" i="103"/>
  <c r="AT46" i="101"/>
  <c r="AE37" i="102"/>
  <c r="AG48" i="100"/>
  <c r="AE16" i="101"/>
  <c r="AB28" i="103"/>
  <c r="AC30" i="115"/>
  <c r="AJ30" i="115" s="1"/>
  <c r="AH28" i="103"/>
  <c r="AF53" i="472"/>
  <c r="AE21" i="103"/>
  <c r="AT9" i="100"/>
  <c r="AI48" i="100"/>
  <c r="AF37" i="102"/>
  <c r="AF16" i="101"/>
  <c r="AA44" i="112"/>
  <c r="AO32" i="110"/>
  <c r="AE28" i="103"/>
  <c r="AU43" i="115"/>
  <c r="AJ4" i="115"/>
  <c r="AP4" i="116"/>
  <c r="AU49" i="111"/>
  <c r="AC45" i="108"/>
  <c r="AS46" i="101"/>
  <c r="AE15" i="102"/>
  <c r="AO46" i="475"/>
  <c r="AV46" i="475" s="1"/>
  <c r="AU16" i="108"/>
  <c r="AB66" i="110"/>
  <c r="AB30" i="112"/>
  <c r="AS35" i="124"/>
  <c r="AA67" i="105"/>
  <c r="AA65" i="105" s="1"/>
  <c r="AO60" i="123"/>
  <c r="AD65" i="124"/>
  <c r="AJ66" i="121"/>
  <c r="AA24" i="111"/>
  <c r="AI27" i="111"/>
  <c r="AO49" i="106"/>
  <c r="AF65" i="106"/>
  <c r="AE24" i="111"/>
  <c r="AO59" i="107"/>
  <c r="AS44" i="112"/>
  <c r="AP67" i="110"/>
  <c r="AP65" i="110" s="1"/>
  <c r="AG24" i="111"/>
  <c r="AG64" i="114"/>
  <c r="AJ67" i="472"/>
  <c r="AD45" i="106"/>
  <c r="AG39" i="100"/>
  <c r="AQ42" i="119"/>
  <c r="AC49" i="107"/>
  <c r="AE36" i="472"/>
  <c r="AU17" i="104"/>
  <c r="AV17" i="104" s="1"/>
  <c r="AH15" i="120"/>
  <c r="AV66" i="124"/>
  <c r="AA43" i="116"/>
  <c r="AF57" i="108"/>
  <c r="AH45" i="106"/>
  <c r="AU8" i="102"/>
  <c r="AE46" i="102"/>
  <c r="AA9" i="121"/>
  <c r="AU44" i="115"/>
  <c r="AR59" i="107"/>
  <c r="AP13" i="472"/>
  <c r="AP43" i="111"/>
  <c r="AP66" i="116"/>
  <c r="AP65" i="116" s="1"/>
  <c r="AQ69" i="111"/>
  <c r="AO67" i="121"/>
  <c r="AJ67" i="107"/>
  <c r="AE69" i="112"/>
  <c r="AE68" i="112" s="1"/>
  <c r="AR67" i="110"/>
  <c r="AR65" i="110" s="1"/>
  <c r="AF67" i="110"/>
  <c r="AG66" i="108"/>
  <c r="AO69" i="106"/>
  <c r="AB69" i="124"/>
  <c r="AB68" i="124" s="1"/>
  <c r="AS66" i="122"/>
  <c r="AP67" i="121"/>
  <c r="AN66" i="116"/>
  <c r="AN65" i="116" s="1"/>
  <c r="AF69" i="112"/>
  <c r="AF68" i="112" s="1"/>
  <c r="AG67" i="110"/>
  <c r="AI66" i="108"/>
  <c r="AB67" i="105"/>
  <c r="AB65" i="105" s="1"/>
  <c r="AO67" i="105"/>
  <c r="AR69" i="106"/>
  <c r="AT69" i="106"/>
  <c r="AT66" i="122"/>
  <c r="AT65" i="122" s="1"/>
  <c r="AN66" i="122"/>
  <c r="AS67" i="121"/>
  <c r="AB67" i="110"/>
  <c r="AC69" i="112"/>
  <c r="AC68" i="112" s="1"/>
  <c r="AC67" i="110"/>
  <c r="AF66" i="110"/>
  <c r="AU67" i="108"/>
  <c r="AO67" i="110"/>
  <c r="AO65" i="110" s="1"/>
  <c r="AH66" i="108"/>
  <c r="AH67" i="105"/>
  <c r="AE67" i="105"/>
  <c r="AG66" i="103"/>
  <c r="AG65" i="103" s="1"/>
  <c r="AA69" i="124"/>
  <c r="AA68" i="124" s="1"/>
  <c r="AU66" i="116"/>
  <c r="AN67" i="121"/>
  <c r="AT67" i="121"/>
  <c r="AC69" i="124"/>
  <c r="AC68" i="124" s="1"/>
  <c r="AR65" i="112"/>
  <c r="AA69" i="112"/>
  <c r="AD69" i="112"/>
  <c r="AD68" i="112" s="1"/>
  <c r="AH67" i="110"/>
  <c r="AC66" i="108"/>
  <c r="AA66" i="108"/>
  <c r="AC67" i="105"/>
  <c r="AC65" i="105" s="1"/>
  <c r="AU67" i="105"/>
  <c r="AR67" i="121"/>
  <c r="AQ67" i="110"/>
  <c r="AQ65" i="110" s="1"/>
  <c r="AI69" i="112"/>
  <c r="AI68" i="112" s="1"/>
  <c r="AR66" i="116"/>
  <c r="AR65" i="116" s="1"/>
  <c r="AU65" i="112"/>
  <c r="AH69" i="112"/>
  <c r="AH68" i="112" s="1"/>
  <c r="AD66" i="110"/>
  <c r="AN67" i="108"/>
  <c r="AB66" i="108"/>
  <c r="AD67" i="105"/>
  <c r="AS69" i="106"/>
  <c r="AU67" i="121"/>
  <c r="AB11" i="117"/>
  <c r="AN18" i="108"/>
  <c r="AU21" i="103"/>
  <c r="AD25" i="111"/>
  <c r="AT34" i="106"/>
  <c r="AN43" i="111"/>
  <c r="AD53" i="104"/>
  <c r="AG57" i="106"/>
  <c r="AS44" i="106"/>
  <c r="AB36" i="472"/>
  <c r="AH49" i="107"/>
  <c r="AD78" i="100"/>
  <c r="AT4" i="124"/>
  <c r="AV4" i="124" s="1"/>
  <c r="AN3" i="118"/>
  <c r="AA42" i="103"/>
  <c r="AQ42" i="115"/>
  <c r="AD48" i="122"/>
  <c r="AH57" i="107"/>
  <c r="AO18" i="108"/>
  <c r="AG40" i="103"/>
  <c r="AQ42" i="116"/>
  <c r="AH46" i="124"/>
  <c r="AN56" i="110"/>
  <c r="AI25" i="111"/>
  <c r="AR20" i="108"/>
  <c r="AH30" i="106"/>
  <c r="AO17" i="472"/>
  <c r="AV17" i="472" s="1"/>
  <c r="AQ3" i="118"/>
  <c r="AV44" i="125"/>
  <c r="AC27" i="102"/>
  <c r="AU9" i="119"/>
  <c r="AT8" i="124"/>
  <c r="AB45" i="114"/>
  <c r="AG69" i="106"/>
  <c r="AA30" i="106"/>
  <c r="AF52" i="107"/>
  <c r="AI26" i="100"/>
  <c r="AO73" i="101"/>
  <c r="AO72" i="101" s="1"/>
  <c r="AF46" i="103"/>
  <c r="AS53" i="102"/>
  <c r="AU37" i="116"/>
  <c r="AU59" i="111"/>
  <c r="AG26" i="122"/>
  <c r="AQ48" i="123"/>
  <c r="AS78" i="104"/>
  <c r="AD78" i="102"/>
  <c r="AP18" i="108"/>
  <c r="AC25" i="102"/>
  <c r="AU23" i="124"/>
  <c r="AT37" i="116"/>
  <c r="AO61" i="112"/>
  <c r="AN21" i="111"/>
  <c r="AU26" i="102"/>
  <c r="AB59" i="100"/>
  <c r="AJ59" i="100" s="1"/>
  <c r="AB69" i="117"/>
  <c r="AB68" i="117" s="1"/>
  <c r="AT69" i="111"/>
  <c r="AC42" i="114"/>
  <c r="AS35" i="100"/>
  <c r="AT67" i="102"/>
  <c r="AH42" i="101"/>
  <c r="AI40" i="472"/>
  <c r="AC66" i="112"/>
  <c r="AC65" i="112" s="1"/>
  <c r="AI29" i="114"/>
  <c r="AJ29" i="114" s="1"/>
  <c r="AU42" i="106"/>
  <c r="AR16" i="105"/>
  <c r="AN26" i="102"/>
  <c r="AR43" i="103"/>
  <c r="AU66" i="111"/>
  <c r="AT42" i="105"/>
  <c r="AT3" i="106"/>
  <c r="AT2" i="106" s="1"/>
  <c r="AD69" i="117"/>
  <c r="AD68" i="117" s="1"/>
  <c r="AS69" i="111"/>
  <c r="AI69" i="111"/>
  <c r="AI68" i="111" s="1"/>
  <c r="AQ69" i="117"/>
  <c r="AH69" i="117"/>
  <c r="AH68" i="117" s="1"/>
  <c r="AN69" i="111"/>
  <c r="AO69" i="111"/>
  <c r="AR69" i="117"/>
  <c r="AE69" i="117"/>
  <c r="AE68" i="117" s="1"/>
  <c r="AP69" i="111"/>
  <c r="AE69" i="107"/>
  <c r="AE68" i="107" s="1"/>
  <c r="AF69" i="117"/>
  <c r="AF68" i="117" s="1"/>
  <c r="AU69" i="117"/>
  <c r="AS69" i="117"/>
  <c r="AO69" i="117"/>
  <c r="AA69" i="117"/>
  <c r="AR69" i="111"/>
  <c r="AG69" i="117"/>
  <c r="AG68" i="117" s="1"/>
  <c r="AI69" i="117"/>
  <c r="AI68" i="117" s="1"/>
  <c r="AU69" i="111"/>
  <c r="AH69" i="107"/>
  <c r="AH68" i="107" s="1"/>
  <c r="AB69" i="107"/>
  <c r="AB68" i="107" s="1"/>
  <c r="AC69" i="107"/>
  <c r="AC68" i="107" s="1"/>
  <c r="AD69" i="107"/>
  <c r="AD68" i="107" s="1"/>
  <c r="AA69" i="107"/>
  <c r="AA68" i="107" s="1"/>
  <c r="AG69" i="107"/>
  <c r="AG68" i="107" s="1"/>
  <c r="AI69" i="107"/>
  <c r="AI68" i="107" s="1"/>
  <c r="AS68" i="116"/>
  <c r="AF73" i="123"/>
  <c r="AI73" i="123"/>
  <c r="AD73" i="123"/>
  <c r="AP73" i="101"/>
  <c r="AP72" i="101" s="1"/>
  <c r="AB73" i="123"/>
  <c r="AC73" i="123"/>
  <c r="AG73" i="120"/>
  <c r="AE73" i="123"/>
  <c r="AH73" i="105"/>
  <c r="AB73" i="105"/>
  <c r="AH73" i="122"/>
  <c r="AD73" i="122"/>
  <c r="AH73" i="111"/>
  <c r="AC73" i="110"/>
  <c r="AJ73" i="101"/>
  <c r="AG73" i="122"/>
  <c r="AC73" i="119"/>
  <c r="AS73" i="117"/>
  <c r="AS72" i="117" s="1"/>
  <c r="AQ73" i="117"/>
  <c r="AQ72" i="117" s="1"/>
  <c r="AE73" i="110"/>
  <c r="AH73" i="110"/>
  <c r="AF73" i="102"/>
  <c r="AD73" i="110"/>
  <c r="AH73" i="119"/>
  <c r="AA73" i="122"/>
  <c r="AR73" i="117"/>
  <c r="AR72" i="117" s="1"/>
  <c r="AB73" i="110"/>
  <c r="AF73" i="110"/>
  <c r="AD73" i="102"/>
  <c r="AB73" i="102"/>
  <c r="AA73" i="102"/>
  <c r="AI73" i="122"/>
  <c r="AI73" i="119"/>
  <c r="AU73" i="117"/>
  <c r="AU72" i="117" s="1"/>
  <c r="AH73" i="115"/>
  <c r="AG73" i="110"/>
  <c r="AE73" i="102"/>
  <c r="AB73" i="122"/>
  <c r="AA73" i="119"/>
  <c r="AG73" i="119"/>
  <c r="AN73" i="117"/>
  <c r="AN72" i="117" s="1"/>
  <c r="AG73" i="102"/>
  <c r="AE73" i="119"/>
  <c r="AB73" i="119"/>
  <c r="AC73" i="122"/>
  <c r="AO73" i="117"/>
  <c r="AO72" i="117" s="1"/>
  <c r="AD73" i="111"/>
  <c r="AG73" i="115"/>
  <c r="AF73" i="115"/>
  <c r="AC73" i="106"/>
  <c r="AI73" i="106"/>
  <c r="AQ73" i="101"/>
  <c r="AQ72" i="101" s="1"/>
  <c r="AH73" i="106"/>
  <c r="AH73" i="120"/>
  <c r="AB73" i="120"/>
  <c r="AG73" i="106"/>
  <c r="AR73" i="101"/>
  <c r="AR72" i="101" s="1"/>
  <c r="AA73" i="106"/>
  <c r="AN72" i="102"/>
  <c r="AC73" i="120"/>
  <c r="AB73" i="106"/>
  <c r="AS73" i="101"/>
  <c r="AS72" i="101" s="1"/>
  <c r="AI73" i="120"/>
  <c r="AD73" i="106"/>
  <c r="AF73" i="106"/>
  <c r="AF73" i="120"/>
  <c r="AV73" i="121"/>
  <c r="AV72" i="121" s="1"/>
  <c r="AB73" i="115"/>
  <c r="AU73" i="101"/>
  <c r="AU72" i="101" s="1"/>
  <c r="AD73" i="104"/>
  <c r="AD73" i="120"/>
  <c r="AA73" i="120"/>
  <c r="AA73" i="115"/>
  <c r="AC73" i="115"/>
  <c r="AN73" i="101"/>
  <c r="AN72" i="101" s="1"/>
  <c r="AD73" i="115"/>
  <c r="AG42" i="114"/>
  <c r="AP42" i="116"/>
  <c r="AI45" i="114"/>
  <c r="AG42" i="472"/>
  <c r="AP43" i="472"/>
  <c r="AT44" i="115"/>
  <c r="AA78" i="111"/>
  <c r="AR44" i="112"/>
  <c r="AC44" i="111"/>
  <c r="AT42" i="108"/>
  <c r="AO45" i="108"/>
  <c r="AD45" i="107"/>
  <c r="AG45" i="106"/>
  <c r="AD42" i="103"/>
  <c r="AR42" i="105"/>
  <c r="AF78" i="102"/>
  <c r="AH78" i="100"/>
  <c r="AR44" i="106"/>
  <c r="AH78" i="124"/>
  <c r="AI78" i="124"/>
  <c r="AE42" i="119"/>
  <c r="AG78" i="102"/>
  <c r="AE42" i="114"/>
  <c r="AC44" i="112"/>
  <c r="AF78" i="111"/>
  <c r="AT44" i="112"/>
  <c r="AG44" i="112"/>
  <c r="AD44" i="111"/>
  <c r="AG45" i="103"/>
  <c r="AO44" i="106"/>
  <c r="AS42" i="105"/>
  <c r="AU44" i="101"/>
  <c r="AB78" i="102"/>
  <c r="AS42" i="115"/>
  <c r="AN42" i="105"/>
  <c r="AP45" i="116"/>
  <c r="AE45" i="106"/>
  <c r="AC45" i="107"/>
  <c r="AB45" i="106"/>
  <c r="AQ42" i="105"/>
  <c r="AA43" i="101"/>
  <c r="AF43" i="101"/>
  <c r="AC43" i="101"/>
  <c r="AH42" i="124"/>
  <c r="AB20" i="122"/>
  <c r="AO39" i="100"/>
  <c r="AD64" i="472"/>
  <c r="AT37" i="117"/>
  <c r="AC26" i="118"/>
  <c r="AH45" i="116"/>
  <c r="AT46" i="103"/>
  <c r="AS46" i="103"/>
  <c r="AP19" i="103"/>
  <c r="AR53" i="105"/>
  <c r="AU52" i="106"/>
  <c r="AS18" i="110"/>
  <c r="AR25" i="108"/>
  <c r="AH54" i="114"/>
  <c r="AR63" i="110"/>
  <c r="AN25" i="108"/>
  <c r="AN4" i="103"/>
  <c r="AS61" i="123"/>
  <c r="AR64" i="124"/>
  <c r="AF66" i="103"/>
  <c r="AG21" i="103"/>
  <c r="AP53" i="102"/>
  <c r="AD30" i="112"/>
  <c r="AF48" i="100"/>
  <c r="AJ40" i="121"/>
  <c r="AJ39" i="115"/>
  <c r="AR39" i="106"/>
  <c r="AD40" i="103"/>
  <c r="AD39" i="112"/>
  <c r="AO39" i="112"/>
  <c r="AT39" i="101"/>
  <c r="AA39" i="116"/>
  <c r="AJ61" i="116"/>
  <c r="AT67" i="475"/>
  <c r="AV63" i="123"/>
  <c r="AV64" i="121"/>
  <c r="AJ63" i="119"/>
  <c r="AJ64" i="119"/>
  <c r="AP64" i="103"/>
  <c r="AA52" i="103"/>
  <c r="AB67" i="108"/>
  <c r="AG67" i="108"/>
  <c r="AH52" i="103"/>
  <c r="AO59" i="118"/>
  <c r="AI67" i="108"/>
  <c r="AE61" i="102"/>
  <c r="AC52" i="103"/>
  <c r="AE52" i="103"/>
  <c r="AD56" i="100"/>
  <c r="AT54" i="124"/>
  <c r="AV69" i="125"/>
  <c r="AF66" i="472"/>
  <c r="AF65" i="472" s="1"/>
  <c r="AC67" i="108"/>
  <c r="AA67" i="108"/>
  <c r="AB67" i="115"/>
  <c r="AC67" i="111"/>
  <c r="AC65" i="111" s="1"/>
  <c r="AB65" i="107"/>
  <c r="AR61" i="123"/>
  <c r="AP64" i="117"/>
  <c r="AT63" i="110"/>
  <c r="AU61" i="123"/>
  <c r="AU60" i="123" s="1"/>
  <c r="AT64" i="117"/>
  <c r="AQ63" i="110"/>
  <c r="AR64" i="103"/>
  <c r="AN64" i="117"/>
  <c r="AN61" i="123"/>
  <c r="AU64" i="117"/>
  <c r="AP63" i="110"/>
  <c r="AQ61" i="123"/>
  <c r="AP61" i="123"/>
  <c r="AO64" i="117"/>
  <c r="AN63" i="110"/>
  <c r="AH63" i="103"/>
  <c r="AC61" i="102"/>
  <c r="AS64" i="117"/>
  <c r="AO63" i="110"/>
  <c r="AN64" i="103"/>
  <c r="AC63" i="103"/>
  <c r="AT64" i="103"/>
  <c r="AQ64" i="117"/>
  <c r="AQ64" i="103"/>
  <c r="AS52" i="472"/>
  <c r="AO52" i="472"/>
  <c r="AT51" i="108"/>
  <c r="AS57" i="106"/>
  <c r="AH52" i="107"/>
  <c r="AD58" i="106"/>
  <c r="AQ52" i="106"/>
  <c r="AG52" i="107"/>
  <c r="AO59" i="101"/>
  <c r="AQ53" i="105"/>
  <c r="AF53" i="107"/>
  <c r="AT52" i="472"/>
  <c r="AA52" i="107"/>
  <c r="AP52" i="106"/>
  <c r="AB53" i="103"/>
  <c r="AN51" i="102"/>
  <c r="AV56" i="118"/>
  <c r="AR54" i="115"/>
  <c r="AG57" i="110"/>
  <c r="AD52" i="107"/>
  <c r="AG57" i="108"/>
  <c r="AP59" i="101"/>
  <c r="AU51" i="102"/>
  <c r="AS54" i="118"/>
  <c r="AC55" i="475"/>
  <c r="AS54" i="115"/>
  <c r="AI53" i="110"/>
  <c r="AA57" i="108"/>
  <c r="AF59" i="107"/>
  <c r="AJ59" i="107" s="1"/>
  <c r="AB57" i="108"/>
  <c r="AE52" i="107"/>
  <c r="AA58" i="106"/>
  <c r="AQ51" i="102"/>
  <c r="AH58" i="106"/>
  <c r="AP51" i="102"/>
  <c r="AS78" i="101"/>
  <c r="AH42" i="100"/>
  <c r="AG78" i="100"/>
  <c r="AE41" i="108"/>
  <c r="AQ41" i="116"/>
  <c r="AG49" i="112"/>
  <c r="AN78" i="472"/>
  <c r="AR43" i="112"/>
  <c r="AG42" i="119"/>
  <c r="AD42" i="119"/>
  <c r="AI42" i="101"/>
  <c r="AH45" i="100"/>
  <c r="AH41" i="108"/>
  <c r="AP49" i="101"/>
  <c r="AT41" i="101"/>
  <c r="AF44" i="101"/>
  <c r="AS40" i="472"/>
  <c r="AI43" i="104"/>
  <c r="AG25" i="103"/>
  <c r="AS48" i="101"/>
  <c r="AN65" i="102"/>
  <c r="AQ68" i="125"/>
  <c r="AT9" i="119"/>
  <c r="AH34" i="120"/>
  <c r="AP54" i="115"/>
  <c r="AH41" i="118"/>
  <c r="AA63" i="124"/>
  <c r="AH61" i="115"/>
  <c r="AH29" i="106"/>
  <c r="AH20" i="106"/>
  <c r="AU43" i="111"/>
  <c r="AB78" i="100"/>
  <c r="AD11" i="472"/>
  <c r="AA31" i="111"/>
  <c r="AA19" i="103"/>
  <c r="AI28" i="102"/>
  <c r="AB4" i="100"/>
  <c r="AI42" i="115"/>
  <c r="AR16" i="114"/>
  <c r="AV16" i="114" s="1"/>
  <c r="AP49" i="472"/>
  <c r="AC16" i="105"/>
  <c r="AS40" i="106"/>
  <c r="AE43" i="102"/>
  <c r="AE32" i="106"/>
  <c r="AP56" i="117"/>
  <c r="AE35" i="472"/>
  <c r="AB41" i="103"/>
  <c r="AI20" i="108"/>
  <c r="AB13" i="472"/>
  <c r="AI65" i="100"/>
  <c r="AB19" i="110"/>
  <c r="AN51" i="125"/>
  <c r="AG26" i="100"/>
  <c r="AB13" i="118"/>
  <c r="AC55" i="115"/>
  <c r="AH46" i="107"/>
  <c r="AR37" i="108"/>
  <c r="AC56" i="104"/>
  <c r="AH78" i="104"/>
  <c r="AI3" i="121"/>
  <c r="AI2" i="121" s="1"/>
  <c r="AT20" i="107"/>
  <c r="AU15" i="107"/>
  <c r="AF27" i="107"/>
  <c r="AC54" i="106"/>
  <c r="AN63" i="102"/>
  <c r="AS41" i="101"/>
  <c r="AC8" i="114"/>
  <c r="AD13" i="472"/>
  <c r="AH9" i="114"/>
  <c r="AT37" i="108"/>
  <c r="AO15" i="472"/>
  <c r="AV15" i="472" s="1"/>
  <c r="AU67" i="110"/>
  <c r="AU65" i="110" s="1"/>
  <c r="AH32" i="106"/>
  <c r="AO28" i="475"/>
  <c r="AV28" i="475" s="1"/>
  <c r="AT13" i="472"/>
  <c r="AV35" i="125"/>
  <c r="AV36" i="123"/>
  <c r="AO20" i="107"/>
  <c r="AF51" i="102"/>
  <c r="AG46" i="101"/>
  <c r="AT71" i="125"/>
  <c r="AT70" i="125" s="1"/>
  <c r="AT68" i="125" s="1"/>
  <c r="AI44" i="124"/>
  <c r="AO40" i="472"/>
  <c r="AG8" i="114"/>
  <c r="AG40" i="111"/>
  <c r="AN36" i="472"/>
  <c r="AA67" i="100"/>
  <c r="AH54" i="103"/>
  <c r="AG63" i="124"/>
  <c r="AB63" i="124"/>
  <c r="AD43" i="472"/>
  <c r="AS36" i="472"/>
  <c r="AE27" i="111"/>
  <c r="AQ56" i="117"/>
  <c r="AD3" i="475"/>
  <c r="AD2" i="475" s="1"/>
  <c r="AP4" i="111"/>
  <c r="AO4" i="111"/>
  <c r="AU58" i="124"/>
  <c r="AD78" i="104"/>
  <c r="AA55" i="117"/>
  <c r="AE26" i="115"/>
  <c r="AA27" i="107"/>
  <c r="AF21" i="106"/>
  <c r="AA39" i="103"/>
  <c r="AG39" i="103"/>
  <c r="AU41" i="101"/>
  <c r="AI46" i="101"/>
  <c r="AQ10" i="101"/>
  <c r="AS63" i="124"/>
  <c r="AH63" i="124"/>
  <c r="AD8" i="114"/>
  <c r="AB64" i="472"/>
  <c r="AC11" i="472"/>
  <c r="AE43" i="472"/>
  <c r="AD23" i="108"/>
  <c r="AF25" i="106"/>
  <c r="AA27" i="111"/>
  <c r="AJ27" i="111" s="1"/>
  <c r="AE66" i="106"/>
  <c r="AJ66" i="106" s="1"/>
  <c r="AD46" i="107"/>
  <c r="AI20" i="106"/>
  <c r="AG71" i="103"/>
  <c r="AG70" i="103" s="1"/>
  <c r="AT52" i="475"/>
  <c r="AV52" i="475" s="1"/>
  <c r="AB55" i="115"/>
  <c r="AB25" i="108"/>
  <c r="AS15" i="107"/>
  <c r="AH25" i="108"/>
  <c r="AI10" i="102"/>
  <c r="AD29" i="117"/>
  <c r="AG21" i="124"/>
  <c r="AT16" i="124"/>
  <c r="AO10" i="472"/>
  <c r="AP58" i="472"/>
  <c r="AC13" i="472"/>
  <c r="AB43" i="472"/>
  <c r="AE64" i="472"/>
  <c r="AE11" i="472"/>
  <c r="AD27" i="111"/>
  <c r="AS4" i="101"/>
  <c r="AA25" i="108"/>
  <c r="AD27" i="107"/>
  <c r="AD39" i="103"/>
  <c r="AQ13" i="105"/>
  <c r="AP63" i="102"/>
  <c r="AS66" i="116"/>
  <c r="AS65" i="116" s="1"/>
  <c r="AU56" i="114"/>
  <c r="AB9" i="114"/>
  <c r="AF23" i="108"/>
  <c r="AA23" i="108"/>
  <c r="AG29" i="106"/>
  <c r="AQ37" i="108"/>
  <c r="AD25" i="108"/>
  <c r="AB10" i="102"/>
  <c r="AU64" i="475"/>
  <c r="AT57" i="123"/>
  <c r="AT24" i="121"/>
  <c r="AI11" i="116"/>
  <c r="AI8" i="114"/>
  <c r="AT34" i="101"/>
  <c r="AA44" i="124"/>
  <c r="AC46" i="107"/>
  <c r="AJ24" i="124"/>
  <c r="AN55" i="104"/>
  <c r="AJ20" i="116"/>
  <c r="AJ27" i="124"/>
  <c r="AV18" i="472"/>
  <c r="AB52" i="100"/>
  <c r="AC16" i="116"/>
  <c r="AJ16" i="116" s="1"/>
  <c r="AC29" i="112"/>
  <c r="AJ34" i="119"/>
  <c r="AA59" i="105"/>
  <c r="AH56" i="100"/>
  <c r="AH25" i="475"/>
  <c r="AU69" i="106"/>
  <c r="AD23" i="106"/>
  <c r="AF20" i="105"/>
  <c r="AJ15" i="119"/>
  <c r="AJ23" i="118"/>
  <c r="AJ28" i="472"/>
  <c r="AV28" i="114"/>
  <c r="AV25" i="124"/>
  <c r="AH51" i="105"/>
  <c r="AC56" i="100"/>
  <c r="AQ48" i="101"/>
  <c r="AR35" i="120"/>
  <c r="AV35" i="120" s="1"/>
  <c r="AB26" i="106"/>
  <c r="AR32" i="106"/>
  <c r="AI13" i="101"/>
  <c r="AA19" i="110"/>
  <c r="AA63" i="110"/>
  <c r="AP30" i="102"/>
  <c r="AN11" i="122"/>
  <c r="AV17" i="123"/>
  <c r="AE4" i="120"/>
  <c r="AB4" i="120"/>
  <c r="AR53" i="100"/>
  <c r="AG36" i="119"/>
  <c r="AH3" i="107"/>
  <c r="AE4" i="104"/>
  <c r="AV30" i="123"/>
  <c r="AO39" i="105"/>
  <c r="AF14" i="116"/>
  <c r="AQ31" i="115"/>
  <c r="AI25" i="105"/>
  <c r="AN16" i="106"/>
  <c r="AV16" i="106" s="1"/>
  <c r="AP10" i="104"/>
  <c r="AV28" i="123"/>
  <c r="AP3" i="100"/>
  <c r="AP2" i="100" s="1"/>
  <c r="AC38" i="124"/>
  <c r="AE37" i="110"/>
  <c r="AR34" i="110"/>
  <c r="AR36" i="106"/>
  <c r="AE36" i="119"/>
  <c r="AT37" i="111"/>
  <c r="AG37" i="110"/>
  <c r="AS34" i="110"/>
  <c r="AS36" i="106"/>
  <c r="AB34" i="114"/>
  <c r="AB37" i="110"/>
  <c r="AT34" i="110"/>
  <c r="AB38" i="105"/>
  <c r="AO36" i="106"/>
  <c r="AP34" i="110"/>
  <c r="AC38" i="105"/>
  <c r="AP36" i="106"/>
  <c r="AB38" i="117"/>
  <c r="AO37" i="111"/>
  <c r="AN34" i="110"/>
  <c r="AE38" i="105"/>
  <c r="AT36" i="106"/>
  <c r="AB38" i="124"/>
  <c r="AQ37" i="111"/>
  <c r="AA37" i="110"/>
  <c r="AO34" i="110"/>
  <c r="AG38" i="105"/>
  <c r="AU36" i="106"/>
  <c r="AC37" i="110"/>
  <c r="AI38" i="105"/>
  <c r="AO32" i="106"/>
  <c r="AP32" i="110"/>
  <c r="AT32" i="110"/>
  <c r="AQ32" i="110"/>
  <c r="AC32" i="102"/>
  <c r="AC32" i="106"/>
  <c r="AN32" i="110"/>
  <c r="AI32" i="124"/>
  <c r="AS32" i="110"/>
  <c r="AN32" i="106"/>
  <c r="AU32" i="106"/>
  <c r="AT32" i="106"/>
  <c r="AQ32" i="106"/>
  <c r="AS28" i="472"/>
  <c r="AA28" i="114"/>
  <c r="AE24" i="114"/>
  <c r="AI24" i="114"/>
  <c r="AT25" i="111"/>
  <c r="AA26" i="106"/>
  <c r="AE28" i="105"/>
  <c r="AR25" i="103"/>
  <c r="AA20" i="102"/>
  <c r="AF23" i="101"/>
  <c r="AO19" i="103"/>
  <c r="AG16" i="105"/>
  <c r="AR17" i="102"/>
  <c r="AT29" i="112"/>
  <c r="AV29" i="112" s="1"/>
  <c r="AI19" i="110"/>
  <c r="AN29" i="112"/>
  <c r="AE23" i="106"/>
  <c r="AV28" i="102"/>
  <c r="AT28" i="472"/>
  <c r="AE28" i="114"/>
  <c r="AB24" i="114"/>
  <c r="AU21" i="111"/>
  <c r="AD26" i="106"/>
  <c r="AI26" i="106"/>
  <c r="AT19" i="103"/>
  <c r="AG20" i="102"/>
  <c r="AH20" i="105"/>
  <c r="AD23" i="101"/>
  <c r="AH19" i="103"/>
  <c r="AH26" i="100"/>
  <c r="AI16" i="105"/>
  <c r="AS17" i="102"/>
  <c r="AB23" i="106"/>
  <c r="AH19" i="110"/>
  <c r="AN26" i="119"/>
  <c r="AF28" i="114"/>
  <c r="AC24" i="114"/>
  <c r="AR25" i="111"/>
  <c r="AD19" i="110"/>
  <c r="AP21" i="111"/>
  <c r="AG26" i="106"/>
  <c r="AI28" i="105"/>
  <c r="AS21" i="107"/>
  <c r="AE20" i="105"/>
  <c r="AG19" i="103"/>
  <c r="AA20" i="105"/>
  <c r="AE23" i="101"/>
  <c r="AC19" i="103"/>
  <c r="AB26" i="100"/>
  <c r="AE26" i="100"/>
  <c r="AD16" i="105"/>
  <c r="AT17" i="102"/>
  <c r="AS26" i="114"/>
  <c r="AV26" i="114" s="1"/>
  <c r="AU25" i="122"/>
  <c r="AQ21" i="111"/>
  <c r="AF19" i="110"/>
  <c r="AH28" i="105"/>
  <c r="AT21" i="107"/>
  <c r="AF23" i="106"/>
  <c r="AI20" i="105"/>
  <c r="AN19" i="103"/>
  <c r="AE19" i="103"/>
  <c r="AB23" i="101"/>
  <c r="AC26" i="100"/>
  <c r="AE16" i="105"/>
  <c r="AU17" i="102"/>
  <c r="AN24" i="114"/>
  <c r="AB28" i="114"/>
  <c r="AG24" i="114"/>
  <c r="AQ25" i="111"/>
  <c r="AO21" i="111"/>
  <c r="AB28" i="105"/>
  <c r="AN21" i="107"/>
  <c r="AH23" i="106"/>
  <c r="AD20" i="105"/>
  <c r="AD26" i="100"/>
  <c r="AA26" i="100"/>
  <c r="AH16" i="105"/>
  <c r="AN17" i="102"/>
  <c r="AP24" i="114"/>
  <c r="AG20" i="105"/>
  <c r="AE19" i="110"/>
  <c r="AT21" i="111"/>
  <c r="AO21" i="107"/>
  <c r="AC23" i="106"/>
  <c r="AB20" i="105"/>
  <c r="AG23" i="101"/>
  <c r="AF26" i="100"/>
  <c r="AA16" i="105"/>
  <c r="AB16" i="105"/>
  <c r="AO17" i="102"/>
  <c r="AQ19" i="119"/>
  <c r="AQ27" i="112"/>
  <c r="AD28" i="114"/>
  <c r="AD24" i="114"/>
  <c r="AP25" i="111"/>
  <c r="AQ21" i="107"/>
  <c r="AQ19" i="103"/>
  <c r="AU28" i="101"/>
  <c r="AR19" i="103"/>
  <c r="AU29" i="121"/>
  <c r="AV29" i="121" s="1"/>
  <c r="AG64" i="104"/>
  <c r="AC63" i="105"/>
  <c r="AD54" i="104"/>
  <c r="AC73" i="104"/>
  <c r="AC26" i="102"/>
  <c r="AI18" i="101"/>
  <c r="AT66" i="475"/>
  <c r="AD51" i="102"/>
  <c r="AE57" i="106"/>
  <c r="AR11" i="108"/>
  <c r="AH18" i="101"/>
  <c r="AV49" i="125"/>
  <c r="AR49" i="121"/>
  <c r="AN46" i="117"/>
  <c r="AG49" i="111"/>
  <c r="AC73" i="124"/>
  <c r="AN73" i="104"/>
  <c r="AN72" i="104" s="1"/>
  <c r="AR21" i="104"/>
  <c r="AU18" i="122"/>
  <c r="AI29" i="119"/>
  <c r="AI38" i="124"/>
  <c r="AU32" i="472"/>
  <c r="AT32" i="472"/>
  <c r="AO38" i="108"/>
  <c r="AP15" i="107"/>
  <c r="AU23" i="110"/>
  <c r="AG45" i="107"/>
  <c r="AA18" i="101"/>
  <c r="AI9" i="105"/>
  <c r="AQ69" i="100"/>
  <c r="AT73" i="101"/>
  <c r="AT72" i="101" s="1"/>
  <c r="AA4" i="104"/>
  <c r="AT24" i="120"/>
  <c r="AA23" i="120"/>
  <c r="AT53" i="119"/>
  <c r="AQ18" i="110"/>
  <c r="AS38" i="108"/>
  <c r="AN18" i="110"/>
  <c r="AG54" i="106"/>
  <c r="AH53" i="103"/>
  <c r="AS66" i="103"/>
  <c r="AA34" i="102"/>
  <c r="AI52" i="101"/>
  <c r="AI52" i="100"/>
  <c r="AI13" i="475"/>
  <c r="AJ13" i="475" s="1"/>
  <c r="AO11" i="116"/>
  <c r="AP10" i="102"/>
  <c r="AV10" i="102" s="1"/>
  <c r="AS43" i="111"/>
  <c r="AF44" i="100"/>
  <c r="AR53" i="122"/>
  <c r="AH44" i="104"/>
  <c r="AP32" i="124"/>
  <c r="AP68" i="112"/>
  <c r="AG45" i="108"/>
  <c r="AP71" i="107"/>
  <c r="AP70" i="107" s="1"/>
  <c r="AH54" i="106"/>
  <c r="AN30" i="101"/>
  <c r="AT58" i="125"/>
  <c r="AU24" i="124"/>
  <c r="AB23" i="124"/>
  <c r="AN66" i="112"/>
  <c r="AN65" i="112" s="1"/>
  <c r="AD37" i="106"/>
  <c r="AJ37" i="106" s="1"/>
  <c r="AN69" i="100"/>
  <c r="AE73" i="121"/>
  <c r="AS67" i="105"/>
  <c r="AS65" i="105" s="1"/>
  <c r="AI42" i="104"/>
  <c r="AC42" i="104"/>
  <c r="AE30" i="104"/>
  <c r="AG45" i="116"/>
  <c r="AP57" i="104"/>
  <c r="AF56" i="104"/>
  <c r="AS29" i="119"/>
  <c r="AE71" i="114"/>
  <c r="AE70" i="114" s="1"/>
  <c r="AH13" i="117"/>
  <c r="AH61" i="122"/>
  <c r="AR67" i="118"/>
  <c r="AO67" i="118"/>
  <c r="AP59" i="118"/>
  <c r="AI26" i="124"/>
  <c r="AO31" i="112"/>
  <c r="AD20" i="111"/>
  <c r="AG51" i="105"/>
  <c r="AF30" i="118"/>
  <c r="AU11" i="472"/>
  <c r="AT64" i="110"/>
  <c r="AA26" i="124"/>
  <c r="AB52" i="472"/>
  <c r="AD52" i="472"/>
  <c r="AG35" i="122"/>
  <c r="AJ35" i="122" s="1"/>
  <c r="AT45" i="104"/>
  <c r="AB54" i="104"/>
  <c r="AA73" i="104"/>
  <c r="AT73" i="123"/>
  <c r="AT72" i="123" s="1"/>
  <c r="AS73" i="123"/>
  <c r="AS72" i="123" s="1"/>
  <c r="AD61" i="122"/>
  <c r="AH20" i="122"/>
  <c r="AT68" i="116"/>
  <c r="AE8" i="116"/>
  <c r="AH52" i="472"/>
  <c r="AO54" i="112"/>
  <c r="AU39" i="112"/>
  <c r="AJ41" i="472"/>
  <c r="AG61" i="122"/>
  <c r="AD3" i="122"/>
  <c r="AF48" i="118"/>
  <c r="AG18" i="117"/>
  <c r="AD18" i="117"/>
  <c r="AF8" i="116"/>
  <c r="AA3" i="114"/>
  <c r="AA2" i="114" s="1"/>
  <c r="AO67" i="472"/>
  <c r="AA8" i="116"/>
  <c r="AE15" i="124"/>
  <c r="AB3" i="114"/>
  <c r="AB2" i="114" s="1"/>
  <c r="AT56" i="104"/>
  <c r="AU71" i="105"/>
  <c r="AU70" i="105" s="1"/>
  <c r="AP32" i="106"/>
  <c r="AF57" i="104"/>
  <c r="AE27" i="104"/>
  <c r="AO38" i="475"/>
  <c r="AH41" i="123"/>
  <c r="AC20" i="123"/>
  <c r="AB23" i="120"/>
  <c r="AT54" i="115"/>
  <c r="AR48" i="472"/>
  <c r="AO18" i="110"/>
  <c r="AS71" i="105"/>
  <c r="AS70" i="105" s="1"/>
  <c r="AP71" i="105"/>
  <c r="AP70" i="105" s="1"/>
  <c r="AD53" i="117"/>
  <c r="AH66" i="124"/>
  <c r="AH65" i="124" s="1"/>
  <c r="AD40" i="107"/>
  <c r="AH67" i="103"/>
  <c r="AC57" i="104"/>
  <c r="AH4" i="104"/>
  <c r="AQ24" i="120"/>
  <c r="AN24" i="120"/>
  <c r="AI17" i="120"/>
  <c r="AE43" i="119"/>
  <c r="AU44" i="124"/>
  <c r="AN43" i="115"/>
  <c r="AP4" i="125"/>
  <c r="AP2" i="125" s="1"/>
  <c r="AI3" i="119"/>
  <c r="AI41" i="475"/>
  <c r="AG29" i="110"/>
  <c r="AS20" i="107"/>
  <c r="AS59" i="106"/>
  <c r="AE8" i="103"/>
  <c r="AU43" i="105"/>
  <c r="AA39" i="124"/>
  <c r="AJ17" i="107"/>
  <c r="AT4" i="472"/>
  <c r="AV4" i="472" s="1"/>
  <c r="AN4" i="104"/>
  <c r="AA11" i="104"/>
  <c r="AC29" i="475"/>
  <c r="AT19" i="120"/>
  <c r="AU26" i="119"/>
  <c r="AA23" i="116"/>
  <c r="AD53" i="472"/>
  <c r="AS31" i="112"/>
  <c r="AC29" i="110"/>
  <c r="AR18" i="108"/>
  <c r="AQ39" i="105"/>
  <c r="AQ53" i="102"/>
  <c r="AG52" i="101"/>
  <c r="AO46" i="117"/>
  <c r="AU68" i="115"/>
  <c r="AE66" i="112"/>
  <c r="AG31" i="111"/>
  <c r="AQ44" i="106"/>
  <c r="AO13" i="472"/>
  <c r="AD3" i="106"/>
  <c r="AD2" i="106" s="1"/>
  <c r="AF4" i="104"/>
  <c r="AF11" i="104"/>
  <c r="AQ43" i="125"/>
  <c r="AD3" i="121"/>
  <c r="AD2" i="121" s="1"/>
  <c r="AA29" i="119"/>
  <c r="AN31" i="124"/>
  <c r="AQ4" i="116"/>
  <c r="AO44" i="124"/>
  <c r="AP35" i="472"/>
  <c r="AN39" i="112"/>
  <c r="AP31" i="112"/>
  <c r="AN8" i="111"/>
  <c r="AS44" i="110"/>
  <c r="AI29" i="110"/>
  <c r="AB29" i="102"/>
  <c r="AA29" i="102"/>
  <c r="AR39" i="105"/>
  <c r="AR14" i="122"/>
  <c r="AO24" i="114"/>
  <c r="AA34" i="114"/>
  <c r="AH9" i="101"/>
  <c r="AJ9" i="101" s="1"/>
  <c r="AS43" i="115"/>
  <c r="AQ49" i="104"/>
  <c r="AU19" i="120"/>
  <c r="AE53" i="472"/>
  <c r="AH11" i="101"/>
  <c r="AH29" i="102"/>
  <c r="AI34" i="114"/>
  <c r="AU44" i="112"/>
  <c r="AI32" i="106"/>
  <c r="AT4" i="104"/>
  <c r="AG21" i="104"/>
  <c r="AA21" i="104"/>
  <c r="AG40" i="104"/>
  <c r="AQ45" i="104"/>
  <c r="AU45" i="104"/>
  <c r="AU55" i="104"/>
  <c r="AP55" i="104"/>
  <c r="AT55" i="104"/>
  <c r="AC18" i="104"/>
  <c r="AI18" i="104"/>
  <c r="AG18" i="104"/>
  <c r="AU64" i="104"/>
  <c r="AA69" i="104"/>
  <c r="AA68" i="104" s="1"/>
  <c r="AB69" i="104"/>
  <c r="AB68" i="104" s="1"/>
  <c r="AQ4" i="104"/>
  <c r="AU4" i="104"/>
  <c r="AD37" i="104"/>
  <c r="AF37" i="104"/>
  <c r="AN52" i="122"/>
  <c r="AU52" i="122"/>
  <c r="AH3" i="122"/>
  <c r="AF78" i="120"/>
  <c r="AO23" i="114"/>
  <c r="AO73" i="122"/>
  <c r="AO72" i="122" s="1"/>
  <c r="AD48" i="120"/>
  <c r="AI43" i="119"/>
  <c r="AA45" i="475"/>
  <c r="AT13" i="118"/>
  <c r="AO4" i="101"/>
  <c r="AO2" i="101" s="1"/>
  <c r="AB18" i="115"/>
  <c r="AU59" i="106"/>
  <c r="AT4" i="105"/>
  <c r="AB32" i="102"/>
  <c r="AD21" i="103"/>
  <c r="AO64" i="103"/>
  <c r="AB21" i="103"/>
  <c r="AT59" i="101"/>
  <c r="AH10" i="100"/>
  <c r="AP41" i="125"/>
  <c r="AG61" i="118"/>
  <c r="AS40" i="119"/>
  <c r="AU8" i="114"/>
  <c r="AB38" i="101"/>
  <c r="AH3" i="475"/>
  <c r="AQ38" i="475"/>
  <c r="AN57" i="125"/>
  <c r="AU64" i="122"/>
  <c r="AT41" i="124"/>
  <c r="AP59" i="106"/>
  <c r="AI29" i="108"/>
  <c r="AI25" i="102"/>
  <c r="AN59" i="101"/>
  <c r="AO57" i="475"/>
  <c r="AS49" i="120"/>
  <c r="AV49" i="120" s="1"/>
  <c r="AH18" i="122"/>
  <c r="AG49" i="118"/>
  <c r="AJ49" i="118" s="1"/>
  <c r="AO36" i="103"/>
  <c r="AO32" i="108"/>
  <c r="AS49" i="104"/>
  <c r="AR37" i="475"/>
  <c r="AR38" i="475"/>
  <c r="AD46" i="123"/>
  <c r="AQ69" i="122"/>
  <c r="AQ68" i="122" s="1"/>
  <c r="AT18" i="122"/>
  <c r="AC67" i="120"/>
  <c r="AD23" i="120"/>
  <c r="AA20" i="119"/>
  <c r="AH8" i="119"/>
  <c r="AC67" i="118"/>
  <c r="AA48" i="117"/>
  <c r="AA20" i="117"/>
  <c r="AU68" i="108"/>
  <c r="AQ51" i="108"/>
  <c r="AQ59" i="106"/>
  <c r="AI46" i="105"/>
  <c r="AA25" i="102"/>
  <c r="AP4" i="105"/>
  <c r="AF36" i="115"/>
  <c r="AD43" i="101"/>
  <c r="AI4" i="111"/>
  <c r="AH45" i="107"/>
  <c r="AI27" i="104"/>
  <c r="AG29" i="475"/>
  <c r="AN38" i="475"/>
  <c r="AS73" i="122"/>
  <c r="AS72" i="122" s="1"/>
  <c r="AF46" i="123"/>
  <c r="AI20" i="123"/>
  <c r="AN69" i="122"/>
  <c r="AA11" i="122"/>
  <c r="AC3" i="121"/>
  <c r="AC2" i="121" s="1"/>
  <c r="AF67" i="120"/>
  <c r="AH23" i="120"/>
  <c r="AT26" i="119"/>
  <c r="AS26" i="120"/>
  <c r="AC55" i="117"/>
  <c r="AE48" i="117"/>
  <c r="AT36" i="116"/>
  <c r="AS8" i="116"/>
  <c r="AD20" i="117"/>
  <c r="AN32" i="124"/>
  <c r="AN46" i="472"/>
  <c r="AH3" i="114"/>
  <c r="AH2" i="114" s="1"/>
  <c r="AR66" i="472"/>
  <c r="AO61" i="110"/>
  <c r="AO3" i="112"/>
  <c r="AP18" i="110"/>
  <c r="AD57" i="107"/>
  <c r="AI25" i="108"/>
  <c r="AG46" i="106"/>
  <c r="AG48" i="103"/>
  <c r="AB25" i="102"/>
  <c r="AH32" i="102"/>
  <c r="AH25" i="102"/>
  <c r="AU59" i="101"/>
  <c r="AI9" i="100"/>
  <c r="AN54" i="118"/>
  <c r="AU17" i="122"/>
  <c r="AA25" i="116"/>
  <c r="AB25" i="116"/>
  <c r="AI25" i="116"/>
  <c r="AC4" i="111"/>
  <c r="AU45" i="100"/>
  <c r="AF42" i="110"/>
  <c r="AF26" i="107"/>
  <c r="AJ26" i="107" s="1"/>
  <c r="AC27" i="104"/>
  <c r="AP38" i="475"/>
  <c r="AE3" i="122"/>
  <c r="AE2" i="122" s="1"/>
  <c r="AF3" i="121"/>
  <c r="AF2" i="121" s="1"/>
  <c r="AG67" i="120"/>
  <c r="AE3" i="121"/>
  <c r="AE2" i="121" s="1"/>
  <c r="AB15" i="120"/>
  <c r="AR67" i="120"/>
  <c r="AT19" i="119"/>
  <c r="AC53" i="119"/>
  <c r="AB26" i="124"/>
  <c r="AN44" i="124"/>
  <c r="AU28" i="472"/>
  <c r="AF15" i="124"/>
  <c r="AF3" i="114"/>
  <c r="AF2" i="114" s="1"/>
  <c r="AR23" i="114"/>
  <c r="AU54" i="112"/>
  <c r="AI3" i="114"/>
  <c r="AI2" i="114" s="1"/>
  <c r="AD45" i="108"/>
  <c r="AO39" i="106"/>
  <c r="AH59" i="105"/>
  <c r="AH16" i="103"/>
  <c r="AF9" i="103"/>
  <c r="AB66" i="103"/>
  <c r="AB65" i="103" s="1"/>
  <c r="AN39" i="105"/>
  <c r="AH4" i="101"/>
  <c r="AP4" i="101"/>
  <c r="AP2" i="101" s="1"/>
  <c r="AC3" i="106"/>
  <c r="AU57" i="104"/>
  <c r="AQ55" i="104"/>
  <c r="AF78" i="104"/>
  <c r="AF31" i="104"/>
  <c r="AB31" i="104"/>
  <c r="AE78" i="104"/>
  <c r="AH69" i="104"/>
  <c r="AH68" i="104" s="1"/>
  <c r="AB27" i="104"/>
  <c r="AG11" i="104"/>
  <c r="AN49" i="104"/>
  <c r="AP4" i="104"/>
  <c r="AR4" i="104"/>
  <c r="AO4" i="104"/>
  <c r="AE40" i="104"/>
  <c r="AI40" i="104"/>
  <c r="AC64" i="104"/>
  <c r="AE37" i="104"/>
  <c r="AC37" i="104"/>
  <c r="AS2" i="118"/>
  <c r="AF43" i="104"/>
  <c r="AD43" i="104"/>
  <c r="AE43" i="104"/>
  <c r="AG78" i="104"/>
  <c r="AI78" i="104"/>
  <c r="AC32" i="104"/>
  <c r="AI32" i="104"/>
  <c r="AG32" i="104"/>
  <c r="AF32" i="104"/>
  <c r="AU13" i="104"/>
  <c r="AR13" i="104"/>
  <c r="AR57" i="104"/>
  <c r="AS57" i="104"/>
  <c r="AO45" i="104"/>
  <c r="AE18" i="104"/>
  <c r="AS38" i="475"/>
  <c r="AR42" i="123"/>
  <c r="AD20" i="122"/>
  <c r="AF20" i="122"/>
  <c r="AI11" i="122"/>
  <c r="AC21" i="119"/>
  <c r="AB67" i="118"/>
  <c r="AN9" i="117"/>
  <c r="AQ8" i="116"/>
  <c r="AN28" i="124"/>
  <c r="AU35" i="472"/>
  <c r="AC48" i="472"/>
  <c r="AA52" i="472"/>
  <c r="AO51" i="108"/>
  <c r="AD54" i="106"/>
  <c r="AD48" i="103"/>
  <c r="AN56" i="102"/>
  <c r="AQ43" i="105"/>
  <c r="AA43" i="105"/>
  <c r="AO40" i="100"/>
  <c r="AE52" i="101"/>
  <c r="AI64" i="121"/>
  <c r="AC43" i="120"/>
  <c r="AG25" i="120"/>
  <c r="AU9" i="115"/>
  <c r="AI44" i="112"/>
  <c r="AO25" i="111"/>
  <c r="AU61" i="100"/>
  <c r="AG41" i="103"/>
  <c r="AU44" i="106"/>
  <c r="AB42" i="100"/>
  <c r="AI25" i="475"/>
  <c r="AB73" i="111"/>
  <c r="AV9" i="123"/>
  <c r="AR20" i="110"/>
  <c r="AP71" i="102"/>
  <c r="AP70" i="102" s="1"/>
  <c r="AN67" i="117"/>
  <c r="AP17" i="475"/>
  <c r="AN9" i="125"/>
  <c r="AQ41" i="123"/>
  <c r="AS42" i="123"/>
  <c r="AU17" i="120"/>
  <c r="AG48" i="118"/>
  <c r="AG69" i="116"/>
  <c r="AG68" i="116" s="1"/>
  <c r="AI67" i="118"/>
  <c r="AR52" i="114"/>
  <c r="AD55" i="124"/>
  <c r="AT78" i="472"/>
  <c r="AT52" i="114"/>
  <c r="AF51" i="112"/>
  <c r="AT3" i="112"/>
  <c r="AF41" i="111"/>
  <c r="AN71" i="110"/>
  <c r="AP29" i="111"/>
  <c r="AS53" i="108"/>
  <c r="AP53" i="108"/>
  <c r="AP43" i="105"/>
  <c r="AR43" i="105"/>
  <c r="AA28" i="102"/>
  <c r="AR64" i="123"/>
  <c r="AH38" i="122"/>
  <c r="AJ38" i="122" s="1"/>
  <c r="AB49" i="120"/>
  <c r="AQ69" i="118"/>
  <c r="AQ68" i="118" s="1"/>
  <c r="AE21" i="121"/>
  <c r="AQ35" i="103"/>
  <c r="AP9" i="107"/>
  <c r="AS37" i="475"/>
  <c r="AU38" i="475"/>
  <c r="AO37" i="475"/>
  <c r="AG15" i="475"/>
  <c r="AN43" i="125"/>
  <c r="AP56" i="122"/>
  <c r="AO42" i="123"/>
  <c r="AF69" i="122"/>
  <c r="AF68" i="122" s="1"/>
  <c r="AD17" i="122"/>
  <c r="AR26" i="119"/>
  <c r="AH53" i="119"/>
  <c r="AU67" i="118"/>
  <c r="AR59" i="118"/>
  <c r="AI27" i="118"/>
  <c r="AP28" i="124"/>
  <c r="AO8" i="116"/>
  <c r="AO54" i="115"/>
  <c r="AV9" i="472"/>
  <c r="AC52" i="472"/>
  <c r="AN52" i="472"/>
  <c r="AO66" i="472"/>
  <c r="AS39" i="112"/>
  <c r="AF65" i="112"/>
  <c r="AA34" i="108"/>
  <c r="AS43" i="105"/>
  <c r="AB37" i="101"/>
  <c r="AI4" i="101"/>
  <c r="AF56" i="100"/>
  <c r="AP26" i="101"/>
  <c r="AH59" i="475"/>
  <c r="AF64" i="123"/>
  <c r="AB57" i="475"/>
  <c r="AT37" i="125"/>
  <c r="AV37" i="125" s="1"/>
  <c r="AG24" i="118"/>
  <c r="AA73" i="116"/>
  <c r="AP64" i="124"/>
  <c r="AN27" i="115"/>
  <c r="AE40" i="107"/>
  <c r="AT78" i="102"/>
  <c r="AT18" i="105"/>
  <c r="AE41" i="103"/>
  <c r="AN16" i="100"/>
  <c r="AS25" i="475"/>
  <c r="AU10" i="472"/>
  <c r="AP10" i="472"/>
  <c r="AF4" i="123"/>
  <c r="AB3" i="475"/>
  <c r="AT17" i="475"/>
  <c r="AB61" i="475"/>
  <c r="AC15" i="475"/>
  <c r="AI69" i="122"/>
  <c r="AI68" i="122" s="1"/>
  <c r="AA31" i="118"/>
  <c r="AP71" i="111"/>
  <c r="AP70" i="111" s="1"/>
  <c r="AA46" i="106"/>
  <c r="AB19" i="103"/>
  <c r="AT14" i="101"/>
  <c r="AC3" i="475"/>
  <c r="AD4" i="111"/>
  <c r="AT23" i="104"/>
  <c r="AG56" i="104"/>
  <c r="AN59" i="475"/>
  <c r="AS57" i="125"/>
  <c r="AP45" i="125"/>
  <c r="AE64" i="122"/>
  <c r="AE20" i="123"/>
  <c r="AQ36" i="120"/>
  <c r="AP21" i="119"/>
  <c r="AS37" i="117"/>
  <c r="AS9" i="117"/>
  <c r="AO65" i="116"/>
  <c r="AR20" i="117"/>
  <c r="AA52" i="114"/>
  <c r="AT35" i="472"/>
  <c r="AQ54" i="115"/>
  <c r="AG15" i="124"/>
  <c r="AE52" i="472"/>
  <c r="AO17" i="114"/>
  <c r="AR52" i="472"/>
  <c r="AG29" i="108"/>
  <c r="AR71" i="107"/>
  <c r="AR70" i="107" s="1"/>
  <c r="AH63" i="105"/>
  <c r="AQ46" i="103"/>
  <c r="AN71" i="105"/>
  <c r="AP39" i="105"/>
  <c r="AS40" i="100"/>
  <c r="AE10" i="100"/>
  <c r="AA10" i="100"/>
  <c r="AC10" i="100"/>
  <c r="AR30" i="101"/>
  <c r="AC57" i="475"/>
  <c r="AR13" i="118"/>
  <c r="AD34" i="114"/>
  <c r="AC42" i="472"/>
  <c r="AN3" i="100"/>
  <c r="AN37" i="475"/>
  <c r="AT57" i="125"/>
  <c r="AP34" i="111"/>
  <c r="AS20" i="110"/>
  <c r="AN43" i="105"/>
  <c r="AS2" i="101"/>
  <c r="AD20" i="121"/>
  <c r="AH49" i="120"/>
  <c r="AO9" i="115"/>
  <c r="AU35" i="103"/>
  <c r="AI73" i="111"/>
  <c r="AQ3" i="120"/>
  <c r="AQ2" i="120" s="1"/>
  <c r="AR2" i="120"/>
  <c r="AG52" i="472"/>
  <c r="AO43" i="105"/>
  <c r="AI48" i="121"/>
  <c r="AI16" i="110"/>
  <c r="AJ16" i="110" s="1"/>
  <c r="AF37" i="112"/>
  <c r="AS9" i="115"/>
  <c r="AD38" i="472"/>
  <c r="AI37" i="475"/>
  <c r="AU3" i="124"/>
  <c r="AU2" i="124" s="1"/>
  <c r="AR3" i="100"/>
  <c r="AR2" i="100" s="1"/>
  <c r="AT3" i="124"/>
  <c r="AS3" i="124"/>
  <c r="AS2" i="124" s="1"/>
  <c r="AO3" i="124"/>
  <c r="AO2" i="124" s="1"/>
  <c r="AN3" i="124"/>
  <c r="AT4" i="125"/>
  <c r="AT2" i="125" s="1"/>
  <c r="AQ4" i="125"/>
  <c r="AR4" i="125"/>
  <c r="AR2" i="125" s="1"/>
  <c r="AH3" i="118"/>
  <c r="AA3" i="118"/>
  <c r="AI3" i="118"/>
  <c r="AE3" i="118"/>
  <c r="AH3" i="119"/>
  <c r="AA3" i="119"/>
  <c r="AO30" i="115"/>
  <c r="AN30" i="115"/>
  <c r="AS4" i="121"/>
  <c r="AT4" i="121"/>
  <c r="AT2" i="121" s="1"/>
  <c r="AD4" i="107"/>
  <c r="AD2" i="107" s="1"/>
  <c r="AF4" i="107"/>
  <c r="AF2" i="107" s="1"/>
  <c r="AN4" i="101"/>
  <c r="AQ4" i="101"/>
  <c r="AQ2" i="101" s="1"/>
  <c r="AQ14" i="112"/>
  <c r="AR14" i="112"/>
  <c r="AS14" i="122"/>
  <c r="AP14" i="112"/>
  <c r="AS14" i="112"/>
  <c r="AN14" i="122"/>
  <c r="AO14" i="120"/>
  <c r="AP14" i="119"/>
  <c r="AD14" i="116"/>
  <c r="AC14" i="116"/>
  <c r="AE14" i="116"/>
  <c r="AU14" i="122"/>
  <c r="AO14" i="122"/>
  <c r="AG14" i="116"/>
  <c r="AP14" i="122"/>
  <c r="AU14" i="120"/>
  <c r="AP14" i="120"/>
  <c r="AQ14" i="122"/>
  <c r="AN13" i="122"/>
  <c r="AO13" i="121"/>
  <c r="AA13" i="103"/>
  <c r="AU13" i="121"/>
  <c r="AP13" i="121"/>
  <c r="AQ13" i="121"/>
  <c r="AH13" i="103"/>
  <c r="AA13" i="121"/>
  <c r="AS13" i="121"/>
  <c r="AT13" i="121"/>
  <c r="AQ10" i="105"/>
  <c r="AC11" i="122"/>
  <c r="AA11" i="116"/>
  <c r="AC10" i="102"/>
  <c r="AE11" i="112"/>
  <c r="AF10" i="100"/>
  <c r="AA11" i="112"/>
  <c r="AA9" i="117"/>
  <c r="AG9" i="117"/>
  <c r="AH8" i="107"/>
  <c r="AD8" i="118"/>
  <c r="AA8" i="118"/>
  <c r="AQ9" i="117"/>
  <c r="AA8" i="111"/>
  <c r="AH8" i="111"/>
  <c r="AA9" i="105"/>
  <c r="AB8" i="123"/>
  <c r="AG8" i="119"/>
  <c r="AG8" i="107"/>
  <c r="AD9" i="105"/>
  <c r="AG9" i="100"/>
  <c r="AC8" i="119"/>
  <c r="AP8" i="119"/>
  <c r="AA8" i="107"/>
  <c r="AU8" i="119"/>
  <c r="AB8" i="107"/>
  <c r="AB9" i="105"/>
  <c r="AG9" i="115"/>
  <c r="AD8" i="107"/>
  <c r="AF8" i="107"/>
  <c r="AG9" i="105"/>
  <c r="AC9" i="105"/>
  <c r="AE8" i="107"/>
  <c r="AR8" i="105"/>
  <c r="AH38" i="475"/>
  <c r="AE73" i="104"/>
  <c r="AE54" i="104"/>
  <c r="AH45" i="104"/>
  <c r="AI37" i="104"/>
  <c r="AG37" i="104"/>
  <c r="AP45" i="104"/>
  <c r="AB37" i="104"/>
  <c r="AF40" i="104"/>
  <c r="AV25" i="104"/>
  <c r="AR24" i="104"/>
  <c r="AH27" i="104"/>
  <c r="AH40" i="104"/>
  <c r="AQ13" i="104"/>
  <c r="AA32" i="104"/>
  <c r="AH32" i="104"/>
  <c r="AA18" i="104"/>
  <c r="AH18" i="104"/>
  <c r="AO36" i="104"/>
  <c r="AH73" i="104"/>
  <c r="AG73" i="104"/>
  <c r="AA27" i="104"/>
  <c r="AD27" i="104"/>
  <c r="AB73" i="104"/>
  <c r="AA54" i="104"/>
  <c r="AD45" i="104"/>
  <c r="AH37" i="104"/>
  <c r="AH54" i="104"/>
  <c r="AC43" i="104"/>
  <c r="AC40" i="104"/>
  <c r="AA78" i="104"/>
  <c r="AF27" i="104"/>
  <c r="AI45" i="104"/>
  <c r="AF73" i="104"/>
  <c r="AC54" i="104"/>
  <c r="AC45" i="104"/>
  <c r="AR46" i="104"/>
  <c r="AT13" i="104"/>
  <c r="AO29" i="104"/>
  <c r="AH71" i="475"/>
  <c r="AH70" i="475" s="1"/>
  <c r="AG71" i="475"/>
  <c r="AG70" i="475" s="1"/>
  <c r="AF71" i="475"/>
  <c r="AF70" i="475" s="1"/>
  <c r="AD71" i="475"/>
  <c r="AD70" i="475" s="1"/>
  <c r="AA71" i="475"/>
  <c r="AC71" i="475"/>
  <c r="AC70" i="475" s="1"/>
  <c r="AB21" i="123"/>
  <c r="AH16" i="108"/>
  <c r="AT31" i="118"/>
  <c r="AQ31" i="118"/>
  <c r="AD43" i="111"/>
  <c r="AE43" i="111"/>
  <c r="AB11" i="472"/>
  <c r="AF11" i="472"/>
  <c r="AA56" i="104"/>
  <c r="AS23" i="104"/>
  <c r="AU63" i="475"/>
  <c r="AU57" i="125"/>
  <c r="AO54" i="125"/>
  <c r="AP43" i="125"/>
  <c r="AR49" i="123"/>
  <c r="AA58" i="123"/>
  <c r="AA35" i="123"/>
  <c r="AO39" i="123"/>
  <c r="AB46" i="123"/>
  <c r="AO37" i="123"/>
  <c r="AV10" i="125"/>
  <c r="AP42" i="123"/>
  <c r="AA36" i="123"/>
  <c r="AA20" i="123"/>
  <c r="AU42" i="123"/>
  <c r="AA69" i="122"/>
  <c r="AA68" i="122" s="1"/>
  <c r="AC21" i="123"/>
  <c r="AR20" i="121"/>
  <c r="AS13" i="122"/>
  <c r="AE18" i="121"/>
  <c r="AQ19" i="120"/>
  <c r="AA67" i="120"/>
  <c r="AC43" i="119"/>
  <c r="AB53" i="119"/>
  <c r="AI53" i="119"/>
  <c r="AA40" i="119"/>
  <c r="AD67" i="118"/>
  <c r="AR11" i="119"/>
  <c r="AC59" i="118"/>
  <c r="AP37" i="117"/>
  <c r="AD48" i="117"/>
  <c r="AN18" i="117"/>
  <c r="AH63" i="116"/>
  <c r="AS14" i="119"/>
  <c r="AP44" i="124"/>
  <c r="AI38" i="115"/>
  <c r="AO28" i="124"/>
  <c r="AB8" i="116"/>
  <c r="AA69" i="114"/>
  <c r="AA68" i="114" s="1"/>
  <c r="AC26" i="124"/>
  <c r="AQ52" i="114"/>
  <c r="AP52" i="114"/>
  <c r="AB66" i="472"/>
  <c r="AB65" i="472" s="1"/>
  <c r="AH67" i="111"/>
  <c r="AQ52" i="472"/>
  <c r="AB51" i="112"/>
  <c r="AA69" i="111"/>
  <c r="AA68" i="111" s="1"/>
  <c r="AQ34" i="112"/>
  <c r="AN71" i="111"/>
  <c r="AN70" i="111" s="1"/>
  <c r="AH69" i="108"/>
  <c r="AH68" i="108" s="1"/>
  <c r="AG63" i="107"/>
  <c r="AO71" i="110"/>
  <c r="AO70" i="110" s="1"/>
  <c r="AU29" i="111"/>
  <c r="AB41" i="107"/>
  <c r="AE29" i="110"/>
  <c r="AB45" i="108"/>
  <c r="AU51" i="108"/>
  <c r="AA48" i="103"/>
  <c r="AA29" i="108"/>
  <c r="AT71" i="107"/>
  <c r="AT70" i="107" s="1"/>
  <c r="AT68" i="107" s="1"/>
  <c r="AP15" i="106"/>
  <c r="AH25" i="103"/>
  <c r="AO48" i="103"/>
  <c r="AB46" i="105"/>
  <c r="AA32" i="102"/>
  <c r="AI29" i="102"/>
  <c r="AR71" i="105"/>
  <c r="AR70" i="105" s="1"/>
  <c r="AQ9" i="100"/>
  <c r="AB56" i="100"/>
  <c r="AD52" i="100"/>
  <c r="AT14" i="122"/>
  <c r="AH57" i="118"/>
  <c r="AS19" i="475"/>
  <c r="AB46" i="117"/>
  <c r="AF21" i="121"/>
  <c r="AR46" i="117"/>
  <c r="AU56" i="116"/>
  <c r="AC23" i="124"/>
  <c r="AJ23" i="124" s="1"/>
  <c r="AD42" i="114"/>
  <c r="AU17" i="115"/>
  <c r="AG28" i="114"/>
  <c r="AS13" i="112"/>
  <c r="AQ66" i="112"/>
  <c r="AQ65" i="112" s="1"/>
  <c r="AD38" i="114"/>
  <c r="AA42" i="472"/>
  <c r="AB49" i="110"/>
  <c r="AR37" i="111"/>
  <c r="AB53" i="107"/>
  <c r="AA40" i="107"/>
  <c r="AU21" i="107"/>
  <c r="AQ51" i="106"/>
  <c r="AP39" i="100"/>
  <c r="AH41" i="103"/>
  <c r="AD42" i="101"/>
  <c r="AH16" i="117"/>
  <c r="AO30" i="117"/>
  <c r="AT30" i="117"/>
  <c r="AB13" i="117"/>
  <c r="AG35" i="472"/>
  <c r="AD35" i="472"/>
  <c r="AN40" i="472"/>
  <c r="AI73" i="110"/>
  <c r="AP67" i="105"/>
  <c r="AT66" i="102"/>
  <c r="AR66" i="102"/>
  <c r="AA20" i="108"/>
  <c r="AI58" i="123"/>
  <c r="AE21" i="123"/>
  <c r="AF44" i="123"/>
  <c r="AB19" i="120"/>
  <c r="AE26" i="118"/>
  <c r="AT26" i="117"/>
  <c r="AQ41" i="117"/>
  <c r="AB71" i="116"/>
  <c r="AB70" i="116" s="1"/>
  <c r="AQ32" i="124"/>
  <c r="AN20" i="114"/>
  <c r="AC30" i="102"/>
  <c r="AF46" i="105"/>
  <c r="AU8" i="103"/>
  <c r="AS43" i="100"/>
  <c r="AH34" i="100"/>
  <c r="AC63" i="100"/>
  <c r="AN15" i="125"/>
  <c r="AH58" i="120"/>
  <c r="AU31" i="115"/>
  <c r="AH42" i="115"/>
  <c r="AC16" i="108"/>
  <c r="AE28" i="101"/>
  <c r="AR67" i="117"/>
  <c r="AF15" i="117"/>
  <c r="AC71" i="115"/>
  <c r="AP9" i="114"/>
  <c r="AU9" i="114"/>
  <c r="AF73" i="111"/>
  <c r="AC73" i="111"/>
  <c r="AG73" i="111"/>
  <c r="AI45" i="106"/>
  <c r="AA15" i="475"/>
  <c r="AB67" i="123"/>
  <c r="AN40" i="125"/>
  <c r="AV11" i="125"/>
  <c r="AQ73" i="122"/>
  <c r="AQ72" i="122" s="1"/>
  <c r="AN73" i="122"/>
  <c r="AN72" i="122" s="1"/>
  <c r="AF21" i="123"/>
  <c r="AE44" i="123"/>
  <c r="AJ43" i="122"/>
  <c r="AG11" i="122"/>
  <c r="AU57" i="120"/>
  <c r="AR19" i="120"/>
  <c r="AF40" i="119"/>
  <c r="AA43" i="119"/>
  <c r="AC19" i="120"/>
  <c r="AH48" i="118"/>
  <c r="AR8" i="119"/>
  <c r="AF48" i="117"/>
  <c r="AG44" i="117"/>
  <c r="AS23" i="118"/>
  <c r="AD18" i="115"/>
  <c r="AS20" i="114"/>
  <c r="AC66" i="472"/>
  <c r="AC65" i="472" s="1"/>
  <c r="AD27" i="114"/>
  <c r="AH59" i="111"/>
  <c r="AB19" i="112"/>
  <c r="AE34" i="106"/>
  <c r="AC13" i="103"/>
  <c r="AU39" i="101"/>
  <c r="AD25" i="103"/>
  <c r="AU43" i="100"/>
  <c r="AH8" i="122"/>
  <c r="AS67" i="122"/>
  <c r="AH42" i="117"/>
  <c r="AU53" i="111"/>
  <c r="AI20" i="118"/>
  <c r="AA20" i="118"/>
  <c r="AQ67" i="117"/>
  <c r="AG15" i="117"/>
  <c r="AD54" i="114"/>
  <c r="AB14" i="111"/>
  <c r="AU34" i="106"/>
  <c r="AV34" i="106" s="1"/>
  <c r="AA32" i="106"/>
  <c r="AI43" i="123"/>
  <c r="AD36" i="123"/>
  <c r="AF11" i="123"/>
  <c r="AP78" i="123"/>
  <c r="AG21" i="123"/>
  <c r="AH44" i="123"/>
  <c r="AA9" i="120"/>
  <c r="AD26" i="118"/>
  <c r="AT23" i="118"/>
  <c r="AO49" i="116"/>
  <c r="AA11" i="118"/>
  <c r="AU71" i="114"/>
  <c r="AU70" i="114" s="1"/>
  <c r="AD66" i="472"/>
  <c r="AD65" i="472" s="1"/>
  <c r="AB25" i="115"/>
  <c r="AH9" i="472"/>
  <c r="AP39" i="111"/>
  <c r="AU39" i="111"/>
  <c r="AG15" i="110"/>
  <c r="AP29" i="103"/>
  <c r="AC46" i="105"/>
  <c r="AR63" i="103"/>
  <c r="AB30" i="102"/>
  <c r="AE25" i="103"/>
  <c r="AD53" i="103"/>
  <c r="AN43" i="100"/>
  <c r="AS36" i="100"/>
  <c r="AP71" i="100"/>
  <c r="AP70" i="100" s="1"/>
  <c r="AP68" i="100" s="1"/>
  <c r="AI18" i="122"/>
  <c r="AG45" i="123"/>
  <c r="AR71" i="122"/>
  <c r="AR70" i="122" s="1"/>
  <c r="AS11" i="116"/>
  <c r="AH24" i="112"/>
  <c r="AS21" i="111"/>
  <c r="AD67" i="103"/>
  <c r="AN49" i="101"/>
  <c r="AA54" i="114"/>
  <c r="AQ59" i="107"/>
  <c r="AQ57" i="125"/>
  <c r="AR40" i="125"/>
  <c r="AP9" i="125"/>
  <c r="AE67" i="123"/>
  <c r="AE65" i="123" s="1"/>
  <c r="AE36" i="123"/>
  <c r="AG11" i="123"/>
  <c r="AH36" i="123"/>
  <c r="AU78" i="123"/>
  <c r="AH10" i="123"/>
  <c r="AQ38" i="122"/>
  <c r="AD11" i="122"/>
  <c r="AS45" i="122"/>
  <c r="AF43" i="119"/>
  <c r="AP73" i="118"/>
  <c r="AP72" i="118" s="1"/>
  <c r="AF26" i="118"/>
  <c r="AS61" i="118"/>
  <c r="AA26" i="118"/>
  <c r="AT41" i="117"/>
  <c r="AO8" i="119"/>
  <c r="AO37" i="117"/>
  <c r="AB9" i="117"/>
  <c r="AO71" i="114"/>
  <c r="AO70" i="114" s="1"/>
  <c r="AN44" i="472"/>
  <c r="AU57" i="111"/>
  <c r="AR17" i="114"/>
  <c r="AD25" i="115"/>
  <c r="AB27" i="110"/>
  <c r="AC63" i="107"/>
  <c r="AD34" i="108"/>
  <c r="AD15" i="110"/>
  <c r="AQ29" i="110"/>
  <c r="AO25" i="108"/>
  <c r="AO71" i="107"/>
  <c r="AO70" i="107" s="1"/>
  <c r="AO68" i="107" s="1"/>
  <c r="AC48" i="106"/>
  <c r="AT10" i="105"/>
  <c r="AE27" i="107"/>
  <c r="AC16" i="103"/>
  <c r="AU63" i="103"/>
  <c r="AO43" i="100"/>
  <c r="AO36" i="100"/>
  <c r="AA34" i="100"/>
  <c r="AC52" i="100"/>
  <c r="AF52" i="100"/>
  <c r="AG43" i="120"/>
  <c r="AT58" i="120"/>
  <c r="AE38" i="120"/>
  <c r="AE43" i="116"/>
  <c r="AU16" i="116"/>
  <c r="AG53" i="115"/>
  <c r="AJ53" i="115" s="1"/>
  <c r="AU38" i="106"/>
  <c r="AQ42" i="106"/>
  <c r="AD44" i="100"/>
  <c r="AB42" i="101"/>
  <c r="AB15" i="117"/>
  <c r="AF28" i="117"/>
  <c r="AU30" i="106"/>
  <c r="AS30" i="106"/>
  <c r="AD20" i="106"/>
  <c r="AA20" i="106"/>
  <c r="AS36" i="107"/>
  <c r="AO36" i="107"/>
  <c r="AR9" i="125"/>
  <c r="AF67" i="123"/>
  <c r="AD11" i="123"/>
  <c r="AU9" i="125"/>
  <c r="AB36" i="123"/>
  <c r="AF43" i="123"/>
  <c r="AT39" i="123"/>
  <c r="AB61" i="121"/>
  <c r="AB60" i="121" s="1"/>
  <c r="AO57" i="120"/>
  <c r="AD10" i="122"/>
  <c r="AP19" i="119"/>
  <c r="AR73" i="118"/>
  <c r="AR72" i="118" s="1"/>
  <c r="AS27" i="118"/>
  <c r="AP18" i="117"/>
  <c r="AF63" i="116"/>
  <c r="AF10" i="116"/>
  <c r="AS63" i="116"/>
  <c r="AH38" i="115"/>
  <c r="AP71" i="114"/>
  <c r="AP70" i="114" s="1"/>
  <c r="AN23" i="114"/>
  <c r="AS17" i="114"/>
  <c r="AE25" i="115"/>
  <c r="AI51" i="112"/>
  <c r="AT39" i="111"/>
  <c r="AE16" i="472"/>
  <c r="AF69" i="111"/>
  <c r="AF68" i="111" s="1"/>
  <c r="AH27" i="110"/>
  <c r="AF26" i="108"/>
  <c r="AD48" i="106"/>
  <c r="AH46" i="106"/>
  <c r="AP63" i="103"/>
  <c r="AI30" i="102"/>
  <c r="AR29" i="105"/>
  <c r="AH17" i="105"/>
  <c r="AQ43" i="100"/>
  <c r="AA52" i="100"/>
  <c r="AP57" i="475"/>
  <c r="AS18" i="475"/>
  <c r="AV18" i="475" s="1"/>
  <c r="AA56" i="121"/>
  <c r="AJ56" i="121" s="1"/>
  <c r="AA45" i="118"/>
  <c r="AV52" i="124"/>
  <c r="AU24" i="111"/>
  <c r="AO57" i="110"/>
  <c r="AU63" i="111"/>
  <c r="AT42" i="106"/>
  <c r="AG63" i="102"/>
  <c r="AB18" i="105"/>
  <c r="AT11" i="102"/>
  <c r="AV11" i="102" s="1"/>
  <c r="AQ40" i="119"/>
  <c r="AE28" i="117"/>
  <c r="AO27" i="124"/>
  <c r="AQ27" i="124"/>
  <c r="AP27" i="472"/>
  <c r="AU27" i="472"/>
  <c r="AI23" i="106"/>
  <c r="AN24" i="110"/>
  <c r="AU24" i="110"/>
  <c r="AC64" i="111"/>
  <c r="AF64" i="111"/>
  <c r="AI19" i="103"/>
  <c r="AP69" i="106"/>
  <c r="AA67" i="123"/>
  <c r="AB32" i="123"/>
  <c r="AA21" i="123"/>
  <c r="AP68" i="120"/>
  <c r="AH67" i="120"/>
  <c r="AE40" i="119"/>
  <c r="AI52" i="119"/>
  <c r="AU18" i="117"/>
  <c r="AP43" i="112"/>
  <c r="AR37" i="107"/>
  <c r="AO71" i="106"/>
  <c r="AO70" i="106" s="1"/>
  <c r="AC34" i="108"/>
  <c r="AI32" i="107"/>
  <c r="AH36" i="101"/>
  <c r="AA30" i="102"/>
  <c r="AO29" i="105"/>
  <c r="AH30" i="102"/>
  <c r="AT43" i="100"/>
  <c r="AO15" i="125"/>
  <c r="AA20" i="121"/>
  <c r="AD18" i="118"/>
  <c r="AC18" i="118"/>
  <c r="AQ78" i="118"/>
  <c r="AH21" i="124"/>
  <c r="AJ21" i="124" s="1"/>
  <c r="AD43" i="114"/>
  <c r="AG44" i="100"/>
  <c r="AO45" i="472"/>
  <c r="AV45" i="472" s="1"/>
  <c r="AQ30" i="106"/>
  <c r="AF78" i="100"/>
  <c r="AD32" i="106"/>
  <c r="AG68" i="106"/>
  <c r="AE61" i="475"/>
  <c r="AG66" i="123"/>
  <c r="AD37" i="123"/>
  <c r="AR23" i="123"/>
  <c r="AS54" i="119"/>
  <c r="AR49" i="118"/>
  <c r="AN61" i="118"/>
  <c r="AN49" i="118"/>
  <c r="AB23" i="116"/>
  <c r="AF15" i="116"/>
  <c r="AF52" i="114"/>
  <c r="AN42" i="112"/>
  <c r="AQ57" i="472"/>
  <c r="AD58" i="112"/>
  <c r="AO46" i="112"/>
  <c r="AA29" i="111"/>
  <c r="AQ55" i="106"/>
  <c r="AU48" i="106"/>
  <c r="AB18" i="108"/>
  <c r="AH73" i="123"/>
  <c r="AQ27" i="120"/>
  <c r="AS27" i="120"/>
  <c r="AS13" i="119"/>
  <c r="AQ13" i="119"/>
  <c r="AN13" i="119"/>
  <c r="AH78" i="117"/>
  <c r="AF78" i="117"/>
  <c r="AH46" i="117"/>
  <c r="AR48" i="116"/>
  <c r="AH59" i="124"/>
  <c r="AA59" i="124"/>
  <c r="AF9" i="119"/>
  <c r="AB9" i="119"/>
  <c r="AG20" i="112"/>
  <c r="AC20" i="112"/>
  <c r="AN38" i="117"/>
  <c r="AS38" i="117"/>
  <c r="AO38" i="117"/>
  <c r="AR38" i="117"/>
  <c r="AA31" i="116"/>
  <c r="AF31" i="116"/>
  <c r="AI31" i="116"/>
  <c r="AH31" i="116"/>
  <c r="AG31" i="116"/>
  <c r="AH25" i="110"/>
  <c r="AE25" i="110"/>
  <c r="AO34" i="115"/>
  <c r="AR34" i="115"/>
  <c r="AT25" i="114"/>
  <c r="AU25" i="114"/>
  <c r="AE13" i="111"/>
  <c r="AB13" i="111"/>
  <c r="AD13" i="111"/>
  <c r="AC27" i="115"/>
  <c r="AB27" i="115"/>
  <c r="AU40" i="114"/>
  <c r="AT40" i="114"/>
  <c r="AQ44" i="108"/>
  <c r="AR44" i="108"/>
  <c r="AO44" i="108"/>
  <c r="AC13" i="111"/>
  <c r="AI63" i="111"/>
  <c r="AG63" i="111"/>
  <c r="AR25" i="110"/>
  <c r="AN25" i="110"/>
  <c r="AH30" i="108"/>
  <c r="AC30" i="108"/>
  <c r="AS78" i="111"/>
  <c r="AN78" i="111"/>
  <c r="AQ26" i="111"/>
  <c r="AU37" i="106"/>
  <c r="AO37" i="106"/>
  <c r="AG55" i="102"/>
  <c r="AF55" i="102"/>
  <c r="AT24" i="106"/>
  <c r="AO24" i="106"/>
  <c r="AV24" i="106" s="1"/>
  <c r="AI64" i="101"/>
  <c r="AB64" i="101"/>
  <c r="AD64" i="101"/>
  <c r="AG35" i="105"/>
  <c r="AJ35" i="105" s="1"/>
  <c r="AF40" i="100"/>
  <c r="AB40" i="100"/>
  <c r="AH40" i="100"/>
  <c r="AF43" i="103"/>
  <c r="AH43" i="103"/>
  <c r="T17" i="107"/>
  <c r="AS55" i="104"/>
  <c r="AG55" i="104"/>
  <c r="AO55" i="104"/>
  <c r="AI54" i="104"/>
  <c r="AA42" i="104"/>
  <c r="AH43" i="104"/>
  <c r="AB78" i="104"/>
  <c r="AE32" i="104"/>
  <c r="AE21" i="104"/>
  <c r="AU23" i="104"/>
  <c r="AF18" i="104"/>
  <c r="AR10" i="104"/>
  <c r="AF35" i="104"/>
  <c r="AT49" i="104"/>
  <c r="AT8" i="104"/>
  <c r="AR29" i="104"/>
  <c r="AG38" i="475"/>
  <c r="AE71" i="475"/>
  <c r="AE70" i="475" s="1"/>
  <c r="AO32" i="475"/>
  <c r="AQ45" i="125"/>
  <c r="AO43" i="125"/>
  <c r="AD58" i="123"/>
  <c r="AG40" i="123"/>
  <c r="AT60" i="123"/>
  <c r="AQ39" i="123"/>
  <c r="AC9" i="123"/>
  <c r="AS41" i="123"/>
  <c r="AU11" i="123"/>
  <c r="AC66" i="123"/>
  <c r="AC43" i="123"/>
  <c r="AR78" i="123"/>
  <c r="AH69" i="122"/>
  <c r="AH68" i="122" s="1"/>
  <c r="AB48" i="122"/>
  <c r="AH21" i="123"/>
  <c r="AA10" i="123"/>
  <c r="AC44" i="123"/>
  <c r="AS25" i="122"/>
  <c r="AO52" i="122"/>
  <c r="AB17" i="122"/>
  <c r="AS23" i="123"/>
  <c r="AE48" i="122"/>
  <c r="AU45" i="122"/>
  <c r="AI37" i="123"/>
  <c r="AG69" i="122"/>
  <c r="AG68" i="122" s="1"/>
  <c r="AG29" i="122"/>
  <c r="AT13" i="122"/>
  <c r="AU13" i="122"/>
  <c r="AI71" i="121"/>
  <c r="AI70" i="121" s="1"/>
  <c r="AB67" i="120"/>
  <c r="AE10" i="122"/>
  <c r="AP11" i="122"/>
  <c r="AI40" i="119"/>
  <c r="AF21" i="119"/>
  <c r="AR26" i="120"/>
  <c r="AC52" i="119"/>
  <c r="AA53" i="119"/>
  <c r="AH43" i="119"/>
  <c r="AR57" i="120"/>
  <c r="AQ73" i="118"/>
  <c r="AQ72" i="118" s="1"/>
  <c r="AQ61" i="118"/>
  <c r="AD28" i="118"/>
  <c r="AP61" i="118"/>
  <c r="AP49" i="118"/>
  <c r="AH19" i="119"/>
  <c r="AI26" i="118"/>
  <c r="AB31" i="118"/>
  <c r="AD55" i="117"/>
  <c r="AG21" i="119"/>
  <c r="AQ8" i="119"/>
  <c r="AS18" i="117"/>
  <c r="AH9" i="117"/>
  <c r="AI48" i="118"/>
  <c r="AD44" i="117"/>
  <c r="AT9" i="117"/>
  <c r="AH26" i="118"/>
  <c r="AU20" i="117"/>
  <c r="AD32" i="116"/>
  <c r="AD23" i="116"/>
  <c r="AC15" i="116"/>
  <c r="AH20" i="117"/>
  <c r="AS11" i="115"/>
  <c r="AA38" i="124"/>
  <c r="AT31" i="124"/>
  <c r="AI10" i="124"/>
  <c r="AG38" i="115"/>
  <c r="AB46" i="116"/>
  <c r="AF38" i="115"/>
  <c r="AH71" i="116"/>
  <c r="AH70" i="116" s="1"/>
  <c r="AQ18" i="117"/>
  <c r="AN57" i="472"/>
  <c r="AF26" i="115"/>
  <c r="AF48" i="472"/>
  <c r="AO48" i="472"/>
  <c r="AR20" i="114"/>
  <c r="AH51" i="112"/>
  <c r="AU48" i="472"/>
  <c r="AU17" i="114"/>
  <c r="AP52" i="472"/>
  <c r="AG27" i="114"/>
  <c r="AU31" i="112"/>
  <c r="AI11" i="111"/>
  <c r="AR8" i="472"/>
  <c r="AS71" i="111"/>
  <c r="AS70" i="111" s="1"/>
  <c r="AN34" i="111"/>
  <c r="AO39" i="111"/>
  <c r="AS45" i="108"/>
  <c r="AS29" i="111"/>
  <c r="AH29" i="111"/>
  <c r="AT26" i="108"/>
  <c r="AE34" i="108"/>
  <c r="AS56" i="107"/>
  <c r="AD29" i="110"/>
  <c r="AF45" i="108"/>
  <c r="AB15" i="110"/>
  <c r="AN51" i="108"/>
  <c r="AP71" i="106"/>
  <c r="AP70" i="106" s="1"/>
  <c r="AE59" i="105"/>
  <c r="AS25" i="108"/>
  <c r="AT49" i="103"/>
  <c r="AQ11" i="107"/>
  <c r="AH34" i="106"/>
  <c r="AQ15" i="106"/>
  <c r="AH18" i="108"/>
  <c r="AG32" i="107"/>
  <c r="AS71" i="106"/>
  <c r="AS70" i="106" s="1"/>
  <c r="AQ71" i="106"/>
  <c r="AQ70" i="106" s="1"/>
  <c r="AF16" i="103"/>
  <c r="AO55" i="102"/>
  <c r="AU56" i="102"/>
  <c r="AH61" i="100"/>
  <c r="AQ65" i="105"/>
  <c r="AG43" i="105"/>
  <c r="AN41" i="105"/>
  <c r="AC39" i="103"/>
  <c r="AC9" i="103"/>
  <c r="AG26" i="102"/>
  <c r="AR48" i="101"/>
  <c r="AU63" i="100"/>
  <c r="AD10" i="100"/>
  <c r="AP42" i="101"/>
  <c r="AA52" i="101"/>
  <c r="AH30" i="101"/>
  <c r="AP39" i="125"/>
  <c r="AQ67" i="122"/>
  <c r="AQ65" i="122" s="1"/>
  <c r="AI45" i="123"/>
  <c r="AG8" i="122"/>
  <c r="AF8" i="122"/>
  <c r="AE8" i="122"/>
  <c r="AP24" i="121"/>
  <c r="AC13" i="121"/>
  <c r="AN24" i="123"/>
  <c r="AV24" i="123" s="1"/>
  <c r="AU58" i="117"/>
  <c r="AH32" i="118"/>
  <c r="AF32" i="118"/>
  <c r="AI24" i="116"/>
  <c r="AN61" i="116"/>
  <c r="AN71" i="115"/>
  <c r="AN70" i="115" s="1"/>
  <c r="AN68" i="115" s="1"/>
  <c r="AO71" i="115"/>
  <c r="AO70" i="115" s="1"/>
  <c r="AO68" i="115" s="1"/>
  <c r="AI49" i="124"/>
  <c r="AA49" i="124"/>
  <c r="AC40" i="124"/>
  <c r="AE40" i="124"/>
  <c r="AT61" i="116"/>
  <c r="AG46" i="124"/>
  <c r="AI46" i="124"/>
  <c r="AA46" i="124"/>
  <c r="AH55" i="116"/>
  <c r="AI55" i="116"/>
  <c r="AC42" i="124"/>
  <c r="AE42" i="124"/>
  <c r="AP46" i="115"/>
  <c r="AT31" i="115"/>
  <c r="AR31" i="115"/>
  <c r="AO31" i="115"/>
  <c r="AN31" i="115"/>
  <c r="AS31" i="116"/>
  <c r="AR31" i="116"/>
  <c r="AN31" i="116"/>
  <c r="AG56" i="124"/>
  <c r="AB56" i="124"/>
  <c r="AA56" i="124"/>
  <c r="AC56" i="124"/>
  <c r="AS27" i="115"/>
  <c r="AA38" i="472"/>
  <c r="AI40" i="111"/>
  <c r="AB40" i="111"/>
  <c r="AD32" i="472"/>
  <c r="AJ32" i="472" s="1"/>
  <c r="AT53" i="106"/>
  <c r="AU53" i="106"/>
  <c r="AQ53" i="106"/>
  <c r="AP37" i="111"/>
  <c r="AS53" i="111"/>
  <c r="AQ30" i="108"/>
  <c r="AU30" i="108"/>
  <c r="AR30" i="108"/>
  <c r="AU26" i="111"/>
  <c r="AP53" i="105"/>
  <c r="AN53" i="105"/>
  <c r="AU53" i="105"/>
  <c r="AS53" i="105"/>
  <c r="AB43" i="103"/>
  <c r="AS23" i="106"/>
  <c r="AQ23" i="106"/>
  <c r="AP23" i="106"/>
  <c r="AO23" i="106"/>
  <c r="AG67" i="105"/>
  <c r="AG65" i="105" s="1"/>
  <c r="AI67" i="105"/>
  <c r="AI65" i="105" s="1"/>
  <c r="AT64" i="107"/>
  <c r="AR64" i="107"/>
  <c r="AI19" i="106"/>
  <c r="AG19" i="106"/>
  <c r="AE19" i="106"/>
  <c r="AT14" i="100"/>
  <c r="AU14" i="100"/>
  <c r="AG66" i="107"/>
  <c r="AG65" i="107" s="1"/>
  <c r="AT20" i="103"/>
  <c r="AU20" i="103"/>
  <c r="AR20" i="103"/>
  <c r="AH57" i="106"/>
  <c r="AI57" i="106"/>
  <c r="AA57" i="106"/>
  <c r="AU25" i="102"/>
  <c r="AN25" i="102"/>
  <c r="AB44" i="100"/>
  <c r="AU43" i="103"/>
  <c r="AR49" i="101"/>
  <c r="AA37" i="123"/>
  <c r="AB27" i="122"/>
  <c r="AI29" i="122"/>
  <c r="AT49" i="118"/>
  <c r="AS51" i="115"/>
  <c r="AI29" i="111"/>
  <c r="AD8" i="105"/>
  <c r="AN49" i="103"/>
  <c r="AF8" i="105"/>
  <c r="AO78" i="101"/>
  <c r="AT40" i="101"/>
  <c r="AF23" i="123"/>
  <c r="AI23" i="123"/>
  <c r="AC23" i="123"/>
  <c r="AA23" i="123"/>
  <c r="AH27" i="475"/>
  <c r="AG27" i="475"/>
  <c r="AQ66" i="125"/>
  <c r="AP66" i="125"/>
  <c r="AC53" i="120"/>
  <c r="AG53" i="120"/>
  <c r="AP27" i="120"/>
  <c r="AG19" i="117"/>
  <c r="AF19" i="117"/>
  <c r="AB19" i="117"/>
  <c r="AP36" i="119"/>
  <c r="AR54" i="120"/>
  <c r="AV54" i="120" s="1"/>
  <c r="AH35" i="118"/>
  <c r="AB35" i="118"/>
  <c r="AU69" i="124"/>
  <c r="AR32" i="117"/>
  <c r="AS32" i="117"/>
  <c r="AO32" i="117"/>
  <c r="AT43" i="116"/>
  <c r="AS43" i="116"/>
  <c r="AN43" i="116"/>
  <c r="AR18" i="115"/>
  <c r="AS18" i="115"/>
  <c r="AF24" i="110"/>
  <c r="AA24" i="110"/>
  <c r="AF18" i="112"/>
  <c r="AA18" i="112"/>
  <c r="AT25" i="115"/>
  <c r="AQ25" i="115"/>
  <c r="AI35" i="111"/>
  <c r="AA35" i="111"/>
  <c r="AU78" i="111"/>
  <c r="AU42" i="114"/>
  <c r="AF48" i="108"/>
  <c r="AE48" i="108"/>
  <c r="AA48" i="108"/>
  <c r="AI48" i="108"/>
  <c r="AQ59" i="108"/>
  <c r="AP59" i="108"/>
  <c r="AT59" i="108"/>
  <c r="AI43" i="103"/>
  <c r="AC40" i="105"/>
  <c r="AA40" i="105"/>
  <c r="AG40" i="105"/>
  <c r="AI48" i="102"/>
  <c r="AH48" i="102"/>
  <c r="AE48" i="102"/>
  <c r="AQ34" i="107"/>
  <c r="AR34" i="107"/>
  <c r="AC42" i="108"/>
  <c r="AP44" i="100"/>
  <c r="AT44" i="100"/>
  <c r="AT48" i="105"/>
  <c r="AP48" i="105"/>
  <c r="AI31" i="100"/>
  <c r="AA31" i="100"/>
  <c r="AE32" i="108"/>
  <c r="AI32" i="108"/>
  <c r="AF32" i="108"/>
  <c r="AD35" i="104"/>
  <c r="AP63" i="475"/>
  <c r="AE48" i="475"/>
  <c r="AD48" i="475"/>
  <c r="AT10" i="123"/>
  <c r="AF48" i="122"/>
  <c r="AI78" i="123"/>
  <c r="AD27" i="122"/>
  <c r="AC48" i="122"/>
  <c r="AA29" i="122"/>
  <c r="AN58" i="121"/>
  <c r="AI19" i="122"/>
  <c r="AG10" i="122"/>
  <c r="AG19" i="119"/>
  <c r="AT26" i="120"/>
  <c r="AD19" i="119"/>
  <c r="AD53" i="119"/>
  <c r="AT61" i="118"/>
  <c r="AG14" i="118"/>
  <c r="AU61" i="118"/>
  <c r="AN55" i="117"/>
  <c r="AT55" i="117"/>
  <c r="AG11" i="118"/>
  <c r="AO41" i="124"/>
  <c r="AT63" i="115"/>
  <c r="AT11" i="115"/>
  <c r="AT37" i="472"/>
  <c r="AT59" i="116"/>
  <c r="AO20" i="114"/>
  <c r="AQ25" i="472"/>
  <c r="AU71" i="124"/>
  <c r="AU70" i="124" s="1"/>
  <c r="AE29" i="111"/>
  <c r="AT48" i="106"/>
  <c r="AP61" i="102"/>
  <c r="AE8" i="105"/>
  <c r="AO64" i="105"/>
  <c r="AG36" i="101"/>
  <c r="AE66" i="102"/>
  <c r="AF61" i="100"/>
  <c r="AQ54" i="100"/>
  <c r="AR39" i="120"/>
  <c r="AF15" i="122"/>
  <c r="AJ15" i="122" s="1"/>
  <c r="AG15" i="122"/>
  <c r="AG58" i="117"/>
  <c r="AD58" i="117"/>
  <c r="AU39" i="118"/>
  <c r="AR39" i="118"/>
  <c r="AQ39" i="118"/>
  <c r="AG20" i="121"/>
  <c r="AJ20" i="121" s="1"/>
  <c r="AH45" i="120"/>
  <c r="AG45" i="120"/>
  <c r="AH58" i="117"/>
  <c r="AS14" i="120"/>
  <c r="AT14" i="120"/>
  <c r="AQ14" i="120"/>
  <c r="AR14" i="120"/>
  <c r="AB34" i="117"/>
  <c r="AU78" i="118"/>
  <c r="AE19" i="117"/>
  <c r="AG13" i="116"/>
  <c r="AF13" i="116"/>
  <c r="AS14" i="124"/>
  <c r="AT14" i="124"/>
  <c r="AG28" i="115"/>
  <c r="AC28" i="115"/>
  <c r="AB28" i="115"/>
  <c r="AA28" i="115"/>
  <c r="AI28" i="115"/>
  <c r="AI28" i="124"/>
  <c r="AA28" i="124"/>
  <c r="AT64" i="116"/>
  <c r="AN64" i="116"/>
  <c r="AH43" i="116"/>
  <c r="AI43" i="116"/>
  <c r="AI37" i="472"/>
  <c r="AJ37" i="472" s="1"/>
  <c r="AU45" i="115"/>
  <c r="AN45" i="115"/>
  <c r="AG21" i="115"/>
  <c r="AA21" i="115"/>
  <c r="AI21" i="115"/>
  <c r="AH21" i="115"/>
  <c r="AB21" i="115"/>
  <c r="AD58" i="114"/>
  <c r="AG58" i="114"/>
  <c r="AT45" i="114"/>
  <c r="AU45" i="114"/>
  <c r="AE38" i="472"/>
  <c r="AG49" i="114"/>
  <c r="AH49" i="114"/>
  <c r="AS67" i="111"/>
  <c r="AS65" i="111" s="1"/>
  <c r="AP67" i="111"/>
  <c r="AS24" i="111"/>
  <c r="AO24" i="111"/>
  <c r="AP24" i="111"/>
  <c r="AH32" i="110"/>
  <c r="AB32" i="110"/>
  <c r="AA32" i="110"/>
  <c r="AC21" i="115"/>
  <c r="AU43" i="114"/>
  <c r="AV43" i="114" s="1"/>
  <c r="AH37" i="110"/>
  <c r="AP13" i="111"/>
  <c r="AP40" i="111"/>
  <c r="AS40" i="111"/>
  <c r="AI67" i="110"/>
  <c r="AS21" i="105"/>
  <c r="AU21" i="105"/>
  <c r="AT20" i="105"/>
  <c r="AP20" i="105"/>
  <c r="AD31" i="102"/>
  <c r="AE31" i="102"/>
  <c r="AE22" i="102" s="1"/>
  <c r="AI55" i="106"/>
  <c r="AA55" i="106"/>
  <c r="AE55" i="106"/>
  <c r="AB78" i="111"/>
  <c r="AB40" i="105"/>
  <c r="AI42" i="103"/>
  <c r="AH42" i="103"/>
  <c r="AB42" i="103"/>
  <c r="AC18" i="103"/>
  <c r="AU31" i="102"/>
  <c r="AP31" i="102"/>
  <c r="AN31" i="102"/>
  <c r="AS61" i="100"/>
  <c r="AB39" i="100"/>
  <c r="AD39" i="100"/>
  <c r="AB16" i="101"/>
  <c r="AH16" i="101"/>
  <c r="AG46" i="100"/>
  <c r="AF46" i="100"/>
  <c r="AB46" i="100"/>
  <c r="AD46" i="100"/>
  <c r="AH42" i="108"/>
  <c r="AR51" i="102"/>
  <c r="AT51" i="102"/>
  <c r="AP8" i="102"/>
  <c r="AS8" i="102"/>
  <c r="AQ8" i="102"/>
  <c r="AO23" i="104"/>
  <c r="AG69" i="104"/>
  <c r="AG68" i="104" s="1"/>
  <c r="AE64" i="104"/>
  <c r="AO10" i="104"/>
  <c r="AA30" i="104"/>
  <c r="AF23" i="104"/>
  <c r="AI61" i="475"/>
  <c r="AD38" i="475"/>
  <c r="AH61" i="475"/>
  <c r="AH48" i="475"/>
  <c r="AD15" i="475"/>
  <c r="AB41" i="123"/>
  <c r="AQ10" i="123"/>
  <c r="AO46" i="123"/>
  <c r="AQ58" i="123"/>
  <c r="AG32" i="123"/>
  <c r="AE9" i="123"/>
  <c r="AB69" i="122"/>
  <c r="AB68" i="122" s="1"/>
  <c r="AH48" i="122"/>
  <c r="AA78" i="123"/>
  <c r="AP69" i="122"/>
  <c r="AP68" i="122" s="1"/>
  <c r="AB44" i="123"/>
  <c r="AA27" i="122"/>
  <c r="AU73" i="122"/>
  <c r="AU72" i="122" s="1"/>
  <c r="AF19" i="122"/>
  <c r="AA48" i="122"/>
  <c r="AH29" i="122"/>
  <c r="AI48" i="122"/>
  <c r="AO58" i="121"/>
  <c r="AE45" i="121"/>
  <c r="AE8" i="121"/>
  <c r="AA10" i="122"/>
  <c r="AH9" i="120"/>
  <c r="AF17" i="120"/>
  <c r="AE53" i="119"/>
  <c r="AN26" i="120"/>
  <c r="AF53" i="119"/>
  <c r="AS19" i="119"/>
  <c r="AI31" i="118"/>
  <c r="AE67" i="118"/>
  <c r="AN55" i="116"/>
  <c r="AP23" i="118"/>
  <c r="AU55" i="117"/>
  <c r="AE45" i="116"/>
  <c r="AH10" i="116"/>
  <c r="AC11" i="118"/>
  <c r="AI48" i="124"/>
  <c r="AU63" i="115"/>
  <c r="AN41" i="124"/>
  <c r="AG48" i="124"/>
  <c r="AG48" i="472"/>
  <c r="AU59" i="116"/>
  <c r="AS46" i="112"/>
  <c r="AV25" i="112"/>
  <c r="AP20" i="114"/>
  <c r="AP57" i="112"/>
  <c r="AN71" i="124"/>
  <c r="AN70" i="124" s="1"/>
  <c r="AN43" i="112"/>
  <c r="AG11" i="112"/>
  <c r="AV56" i="110"/>
  <c r="AF29" i="111"/>
  <c r="AA29" i="110"/>
  <c r="AF29" i="110"/>
  <c r="AN57" i="107"/>
  <c r="AS15" i="106"/>
  <c r="AP25" i="108"/>
  <c r="AD63" i="105"/>
  <c r="AB46" i="106"/>
  <c r="AH8" i="105"/>
  <c r="AU63" i="101"/>
  <c r="AG28" i="106"/>
  <c r="AN61" i="105"/>
  <c r="AE16" i="103"/>
  <c r="AP29" i="105"/>
  <c r="AS39" i="105"/>
  <c r="AA16" i="103"/>
  <c r="AQ78" i="101"/>
  <c r="AO48" i="100"/>
  <c r="AU36" i="100"/>
  <c r="AU38" i="101"/>
  <c r="AP40" i="101"/>
  <c r="AO54" i="101"/>
  <c r="AS30" i="101"/>
  <c r="AG19" i="475"/>
  <c r="AB19" i="475"/>
  <c r="AS31" i="123"/>
  <c r="AR31" i="123"/>
  <c r="AI46" i="120"/>
  <c r="AU25" i="121"/>
  <c r="AR25" i="121"/>
  <c r="AO30" i="120"/>
  <c r="AQ30" i="120"/>
  <c r="AP17" i="122"/>
  <c r="AQ17" i="122"/>
  <c r="AH32" i="121"/>
  <c r="AJ32" i="121" s="1"/>
  <c r="AU36" i="121"/>
  <c r="AR36" i="121"/>
  <c r="AO27" i="120"/>
  <c r="AQ58" i="120"/>
  <c r="AO13" i="119"/>
  <c r="AS34" i="123"/>
  <c r="AV34" i="123" s="1"/>
  <c r="AE46" i="117"/>
  <c r="AH44" i="116"/>
  <c r="AA44" i="116"/>
  <c r="AG44" i="116"/>
  <c r="AC64" i="124"/>
  <c r="AB64" i="124"/>
  <c r="AB66" i="124"/>
  <c r="AI66" i="124"/>
  <c r="AI65" i="124" s="1"/>
  <c r="AB51" i="124"/>
  <c r="AG14" i="124"/>
  <c r="AA14" i="124"/>
  <c r="AI14" i="124"/>
  <c r="AC14" i="124"/>
  <c r="AB14" i="124"/>
  <c r="AH14" i="124"/>
  <c r="AS64" i="124"/>
  <c r="AQ24" i="472"/>
  <c r="AN24" i="472"/>
  <c r="AP24" i="472"/>
  <c r="AT57" i="116"/>
  <c r="AN57" i="116"/>
  <c r="AU42" i="115"/>
  <c r="AF25" i="472"/>
  <c r="AI25" i="472"/>
  <c r="AG25" i="472"/>
  <c r="AB25" i="472"/>
  <c r="AA25" i="472"/>
  <c r="AH19" i="114"/>
  <c r="AG19" i="114"/>
  <c r="AE78" i="472"/>
  <c r="AI78" i="472"/>
  <c r="AA78" i="472"/>
  <c r="AC38" i="472"/>
  <c r="AO13" i="112"/>
  <c r="AP13" i="112"/>
  <c r="AS49" i="114"/>
  <c r="AP49" i="114"/>
  <c r="AT49" i="114"/>
  <c r="AU54" i="472"/>
  <c r="AD42" i="472"/>
  <c r="AU32" i="110"/>
  <c r="AR32" i="110"/>
  <c r="AI32" i="114"/>
  <c r="AH32" i="114"/>
  <c r="AA32" i="114"/>
  <c r="AG32" i="114"/>
  <c r="AN25" i="111"/>
  <c r="AI37" i="110"/>
  <c r="AQ13" i="111"/>
  <c r="AS63" i="111"/>
  <c r="AP63" i="111"/>
  <c r="AR40" i="107"/>
  <c r="AU49" i="110"/>
  <c r="AI78" i="111"/>
  <c r="AH66" i="107"/>
  <c r="AH65" i="107" s="1"/>
  <c r="AC17" i="106"/>
  <c r="AU51" i="106"/>
  <c r="AU28" i="103"/>
  <c r="AV28" i="103" s="1"/>
  <c r="AN34" i="101"/>
  <c r="AT61" i="100"/>
  <c r="AA30" i="100"/>
  <c r="AF39" i="100"/>
  <c r="AB48" i="100"/>
  <c r="AP13" i="101"/>
  <c r="AN13" i="101"/>
  <c r="AF36" i="100"/>
  <c r="AB36" i="100"/>
  <c r="AH36" i="100"/>
  <c r="AT16" i="100"/>
  <c r="AQ38" i="106"/>
  <c r="AP16" i="105"/>
  <c r="AT39" i="100"/>
  <c r="AG38" i="102"/>
  <c r="AH26" i="106"/>
  <c r="AE26" i="106"/>
  <c r="AC26" i="106"/>
  <c r="AH38" i="101"/>
  <c r="AD38" i="101"/>
  <c r="AE35" i="104"/>
  <c r="AB13" i="104"/>
  <c r="AG13" i="104"/>
  <c r="AP23" i="104"/>
  <c r="AI35" i="104"/>
  <c r="AG35" i="104"/>
  <c r="AN10" i="104"/>
  <c r="AR27" i="104"/>
  <c r="AS10" i="104"/>
  <c r="AQ23" i="104"/>
  <c r="AS56" i="104"/>
  <c r="AF54" i="104"/>
  <c r="AA35" i="104"/>
  <c r="AH35" i="104"/>
  <c r="AT57" i="104"/>
  <c r="AV30" i="104"/>
  <c r="AB46" i="104"/>
  <c r="AD32" i="104"/>
  <c r="AV51" i="104"/>
  <c r="AR36" i="104"/>
  <c r="AI30" i="104"/>
  <c r="AO27" i="104"/>
  <c r="AU10" i="104"/>
  <c r="AH13" i="104"/>
  <c r="AR23" i="104"/>
  <c r="AB18" i="104"/>
  <c r="AF30" i="104"/>
  <c r="AU45" i="475"/>
  <c r="AC61" i="475"/>
  <c r="AF48" i="475"/>
  <c r="AU32" i="475"/>
  <c r="AE15" i="475"/>
  <c r="AS45" i="125"/>
  <c r="AU40" i="125"/>
  <c r="AI67" i="123"/>
  <c r="AN39" i="123"/>
  <c r="AD41" i="123"/>
  <c r="AE37" i="123"/>
  <c r="AS10" i="123"/>
  <c r="AS69" i="122"/>
  <c r="AD44" i="123"/>
  <c r="AH19" i="122"/>
  <c r="AB29" i="122"/>
  <c r="AQ58" i="121"/>
  <c r="AG9" i="120"/>
  <c r="AI67" i="120"/>
  <c r="AI10" i="122"/>
  <c r="AC69" i="120"/>
  <c r="AC68" i="120" s="1"/>
  <c r="AC9" i="120"/>
  <c r="AQ26" i="120"/>
  <c r="AE52" i="119"/>
  <c r="AB56" i="119"/>
  <c r="AF19" i="119"/>
  <c r="AN57" i="118"/>
  <c r="AI14" i="118"/>
  <c r="AO49" i="118"/>
  <c r="AQ11" i="119"/>
  <c r="AO57" i="118"/>
  <c r="AI28" i="118"/>
  <c r="AS55" i="117"/>
  <c r="AR14" i="119"/>
  <c r="AR23" i="118"/>
  <c r="AP55" i="117"/>
  <c r="AF45" i="116"/>
  <c r="AB11" i="118"/>
  <c r="AN63" i="115"/>
  <c r="AV58" i="115"/>
  <c r="AH38" i="124"/>
  <c r="AS31" i="124"/>
  <c r="AN8" i="116"/>
  <c r="AH26" i="115"/>
  <c r="AT51" i="472"/>
  <c r="AU46" i="112"/>
  <c r="AU51" i="114"/>
  <c r="AN54" i="112"/>
  <c r="AI11" i="112"/>
  <c r="AI52" i="472"/>
  <c r="AN64" i="111"/>
  <c r="AG27" i="112"/>
  <c r="AR64" i="111"/>
  <c r="AO26" i="108"/>
  <c r="AH34" i="108"/>
  <c r="AF39" i="108"/>
  <c r="AS8" i="108"/>
  <c r="AB29" i="110"/>
  <c r="AQ25" i="108"/>
  <c r="AO57" i="106"/>
  <c r="AI66" i="102"/>
  <c r="AB8" i="105"/>
  <c r="AD66" i="102"/>
  <c r="AT54" i="105"/>
  <c r="AB27" i="102"/>
  <c r="AU54" i="100"/>
  <c r="AI28" i="106"/>
  <c r="AG52" i="103"/>
  <c r="AH26" i="102"/>
  <c r="AT39" i="105"/>
  <c r="AA25" i="103"/>
  <c r="AQ46" i="101"/>
  <c r="AN36" i="100"/>
  <c r="AU48" i="101"/>
  <c r="AG26" i="101"/>
  <c r="AO63" i="100"/>
  <c r="AQ23" i="102"/>
  <c r="AS42" i="100"/>
  <c r="AH41" i="475"/>
  <c r="AH19" i="475"/>
  <c r="AU20" i="475"/>
  <c r="AN20" i="475"/>
  <c r="AT8" i="123"/>
  <c r="AO8" i="123"/>
  <c r="AS8" i="123"/>
  <c r="AQ8" i="123"/>
  <c r="AR30" i="120"/>
  <c r="AO36" i="121"/>
  <c r="AT31" i="123"/>
  <c r="AE10" i="121"/>
  <c r="AA10" i="121"/>
  <c r="AF10" i="121"/>
  <c r="AB10" i="121"/>
  <c r="AE46" i="120"/>
  <c r="AQ61" i="121"/>
  <c r="AQ78" i="119"/>
  <c r="AN78" i="119"/>
  <c r="AF13" i="119"/>
  <c r="AG13" i="119"/>
  <c r="AD13" i="119"/>
  <c r="AE13" i="119"/>
  <c r="AT69" i="117"/>
  <c r="AP69" i="117"/>
  <c r="AC9" i="119"/>
  <c r="AD18" i="119"/>
  <c r="AB18" i="119"/>
  <c r="AO43" i="116"/>
  <c r="AA78" i="118"/>
  <c r="AE78" i="118"/>
  <c r="AS24" i="124"/>
  <c r="AQ24" i="124"/>
  <c r="AT63" i="124"/>
  <c r="AO63" i="124"/>
  <c r="AO41" i="115"/>
  <c r="AN41" i="115"/>
  <c r="AB24" i="110"/>
  <c r="AG39" i="124"/>
  <c r="AE66" i="124"/>
  <c r="AE65" i="124" s="1"/>
  <c r="AR21" i="115"/>
  <c r="AV21" i="115" s="1"/>
  <c r="AF25" i="112"/>
  <c r="AG25" i="112"/>
  <c r="AD25" i="112"/>
  <c r="AR46" i="115"/>
  <c r="AU10" i="110"/>
  <c r="AE42" i="472"/>
  <c r="AG34" i="111"/>
  <c r="AD34" i="111"/>
  <c r="AJ34" i="111" s="1"/>
  <c r="AQ57" i="110"/>
  <c r="AE49" i="472"/>
  <c r="AT66" i="106"/>
  <c r="AT40" i="107"/>
  <c r="AN49" i="110"/>
  <c r="AD27" i="108"/>
  <c r="AA27" i="108"/>
  <c r="AI27" i="108"/>
  <c r="AG78" i="111"/>
  <c r="AE66" i="107"/>
  <c r="AO42" i="106"/>
  <c r="AT24" i="107"/>
  <c r="AR24" i="107"/>
  <c r="AQ24" i="107"/>
  <c r="AO24" i="107"/>
  <c r="AH17" i="106"/>
  <c r="AB17" i="106"/>
  <c r="AD18" i="103"/>
  <c r="AN24" i="101"/>
  <c r="AQ24" i="101"/>
  <c r="AG34" i="107"/>
  <c r="AC34" i="107"/>
  <c r="AE39" i="101"/>
  <c r="AH39" i="101"/>
  <c r="AF39" i="101"/>
  <c r="AH48" i="100"/>
  <c r="AC21" i="108"/>
  <c r="AS19" i="103"/>
  <c r="AD51" i="101"/>
  <c r="AB51" i="101"/>
  <c r="AF13" i="101"/>
  <c r="AB13" i="101"/>
  <c r="AD13" i="101"/>
  <c r="AI52" i="111"/>
  <c r="AO51" i="102"/>
  <c r="AT16" i="105"/>
  <c r="AA38" i="105"/>
  <c r="AC13" i="104"/>
  <c r="AN56" i="104"/>
  <c r="AS27" i="104"/>
  <c r="AA46" i="104"/>
  <c r="AB35" i="104"/>
  <c r="AB30" i="104"/>
  <c r="AT10" i="104"/>
  <c r="AH31" i="104"/>
  <c r="AI69" i="104"/>
  <c r="AI68" i="104" s="1"/>
  <c r="AI56" i="104"/>
  <c r="AQ37" i="475"/>
  <c r="AA48" i="475"/>
  <c r="AN32" i="475"/>
  <c r="AF15" i="475"/>
  <c r="AA39" i="123"/>
  <c r="AS11" i="123"/>
  <c r="AB19" i="122"/>
  <c r="AP23" i="123"/>
  <c r="AO45" i="122"/>
  <c r="AD29" i="122"/>
  <c r="AS58" i="121"/>
  <c r="AB10" i="122"/>
  <c r="AI9" i="120"/>
  <c r="AO26" i="120"/>
  <c r="AP26" i="120"/>
  <c r="AH52" i="119"/>
  <c r="AA19" i="119"/>
  <c r="AP57" i="118"/>
  <c r="AD14" i="118"/>
  <c r="AR61" i="118"/>
  <c r="AU28" i="118"/>
  <c r="AC28" i="118"/>
  <c r="AN14" i="118"/>
  <c r="AU55" i="116"/>
  <c r="AT23" i="116"/>
  <c r="AQ55" i="117"/>
  <c r="AB15" i="116"/>
  <c r="AP41" i="124"/>
  <c r="AI30" i="124"/>
  <c r="AE27" i="116"/>
  <c r="AG38" i="124"/>
  <c r="AH52" i="114"/>
  <c r="AN37" i="472"/>
  <c r="AB26" i="115"/>
  <c r="AD52" i="114"/>
  <c r="AS51" i="472"/>
  <c r="AQ51" i="114"/>
  <c r="AP54" i="112"/>
  <c r="AT65" i="112"/>
  <c r="AH11" i="112"/>
  <c r="AT68" i="112"/>
  <c r="AP61" i="114"/>
  <c r="AP17" i="108"/>
  <c r="AU56" i="107"/>
  <c r="AT25" i="108"/>
  <c r="AQ48" i="106"/>
  <c r="AN54" i="105"/>
  <c r="AE28" i="106"/>
  <c r="AC17" i="105"/>
  <c r="AG63" i="103"/>
  <c r="AI13" i="106"/>
  <c r="AD17" i="105"/>
  <c r="AI14" i="101"/>
  <c r="AO15" i="100"/>
  <c r="AO48" i="101"/>
  <c r="AG14" i="101"/>
  <c r="AE56" i="100"/>
  <c r="AR34" i="125"/>
  <c r="AQ34" i="125"/>
  <c r="AI45" i="475"/>
  <c r="AH45" i="475"/>
  <c r="AH42" i="122"/>
  <c r="AF42" i="122"/>
  <c r="AT69" i="120"/>
  <c r="AT68" i="120" s="1"/>
  <c r="AO69" i="120"/>
  <c r="AO68" i="120" s="1"/>
  <c r="AQ21" i="121"/>
  <c r="AQ49" i="121"/>
  <c r="AE9" i="119"/>
  <c r="AO24" i="121"/>
  <c r="AC73" i="116"/>
  <c r="AB18" i="124"/>
  <c r="AC18" i="124"/>
  <c r="AG54" i="124"/>
  <c r="AC54" i="124"/>
  <c r="AA54" i="124"/>
  <c r="AB54" i="124"/>
  <c r="AR16" i="116"/>
  <c r="AT44" i="108"/>
  <c r="AU64" i="124"/>
  <c r="AO64" i="124"/>
  <c r="AN64" i="124"/>
  <c r="AI11" i="110"/>
  <c r="AQ49" i="472"/>
  <c r="AS49" i="472"/>
  <c r="AP49" i="112"/>
  <c r="AS49" i="112"/>
  <c r="AQ49" i="112"/>
  <c r="AP25" i="110"/>
  <c r="AB32" i="111"/>
  <c r="AD32" i="111"/>
  <c r="AD45" i="114"/>
  <c r="AQ46" i="115"/>
  <c r="AS24" i="112"/>
  <c r="AQ24" i="112"/>
  <c r="AD35" i="111"/>
  <c r="AU32" i="114"/>
  <c r="AP32" i="114"/>
  <c r="AS32" i="114"/>
  <c r="AN24" i="111"/>
  <c r="AE24" i="110"/>
  <c r="AI13" i="110"/>
  <c r="AE13" i="110"/>
  <c r="AA73" i="105"/>
  <c r="AI73" i="105"/>
  <c r="AG73" i="105"/>
  <c r="AC73" i="105"/>
  <c r="AT16" i="101"/>
  <c r="AR16" i="101"/>
  <c r="AR41" i="108"/>
  <c r="AO41" i="108"/>
  <c r="AT36" i="103"/>
  <c r="AR36" i="103"/>
  <c r="AI18" i="107"/>
  <c r="AE18" i="107"/>
  <c r="AE63" i="102"/>
  <c r="AE54" i="100"/>
  <c r="AH54" i="100"/>
  <c r="AF54" i="100"/>
  <c r="AC25" i="100"/>
  <c r="AU71" i="103"/>
  <c r="AB40" i="101"/>
  <c r="AU24" i="101"/>
  <c r="AI32" i="115"/>
  <c r="AE32" i="115"/>
  <c r="AO56" i="104"/>
  <c r="AV26" i="104"/>
  <c r="AF69" i="104"/>
  <c r="AF68" i="104" s="1"/>
  <c r="AE56" i="104"/>
  <c r="AD56" i="104"/>
  <c r="AA57" i="104"/>
  <c r="AQ56" i="104"/>
  <c r="AP64" i="104"/>
  <c r="AQ37" i="104"/>
  <c r="AD42" i="104"/>
  <c r="AI31" i="104"/>
  <c r="AR32" i="104"/>
  <c r="AR32" i="475"/>
  <c r="AB15" i="475"/>
  <c r="AO45" i="125"/>
  <c r="AO40" i="125"/>
  <c r="AA41" i="123"/>
  <c r="AR10" i="123"/>
  <c r="AH66" i="123"/>
  <c r="AC37" i="123"/>
  <c r="AD66" i="123"/>
  <c r="AB43" i="123"/>
  <c r="AN78" i="123"/>
  <c r="AD69" i="122"/>
  <c r="AD68" i="122" s="1"/>
  <c r="AQ23" i="123"/>
  <c r="AQ11" i="122"/>
  <c r="AG71" i="121"/>
  <c r="AG70" i="121" s="1"/>
  <c r="AT57" i="120"/>
  <c r="AC10" i="122"/>
  <c r="AA34" i="120"/>
  <c r="AI21" i="119"/>
  <c r="AB52" i="119"/>
  <c r="AS57" i="118"/>
  <c r="AQ49" i="118"/>
  <c r="AC23" i="120"/>
  <c r="AG26" i="118"/>
  <c r="AN14" i="119"/>
  <c r="AR55" i="117"/>
  <c r="AB36" i="117"/>
  <c r="AN51" i="115"/>
  <c r="AG45" i="115"/>
  <c r="AC45" i="116"/>
  <c r="AT28" i="124"/>
  <c r="AF69" i="114"/>
  <c r="AF68" i="114" s="1"/>
  <c r="AA26" i="115"/>
  <c r="AB52" i="114"/>
  <c r="AI67" i="115"/>
  <c r="AN48" i="472"/>
  <c r="AQ48" i="472"/>
  <c r="AC11" i="112"/>
  <c r="AU68" i="112"/>
  <c r="AD16" i="472"/>
  <c r="AT29" i="111"/>
  <c r="AN37" i="107"/>
  <c r="AS39" i="106"/>
  <c r="AA39" i="108"/>
  <c r="AS51" i="108"/>
  <c r="AN56" i="107"/>
  <c r="AH15" i="110"/>
  <c r="AR51" i="108"/>
  <c r="AT55" i="106"/>
  <c r="AB63" i="105"/>
  <c r="AA54" i="106"/>
  <c r="AH48" i="106"/>
  <c r="AO15" i="106"/>
  <c r="AU55" i="106"/>
  <c r="AR48" i="106"/>
  <c r="AE63" i="103"/>
  <c r="AS8" i="103"/>
  <c r="AQ29" i="105"/>
  <c r="AG17" i="105"/>
  <c r="AP13" i="106"/>
  <c r="AH46" i="105"/>
  <c r="AE39" i="103"/>
  <c r="AI26" i="102"/>
  <c r="AS54" i="100"/>
  <c r="AE40" i="103"/>
  <c r="AO53" i="102"/>
  <c r="AE17" i="105"/>
  <c r="AH51" i="102"/>
  <c r="AH37" i="101"/>
  <c r="AQ36" i="100"/>
  <c r="AB10" i="100"/>
  <c r="AG37" i="101"/>
  <c r="AT64" i="475"/>
  <c r="AO64" i="475"/>
  <c r="AC38" i="123"/>
  <c r="AG46" i="475"/>
  <c r="AG24" i="122"/>
  <c r="AJ24" i="122" s="1"/>
  <c r="AR45" i="123"/>
  <c r="AV45" i="123" s="1"/>
  <c r="AE11" i="121"/>
  <c r="AA11" i="121"/>
  <c r="AH39" i="118"/>
  <c r="AE39" i="118"/>
  <c r="AE13" i="121"/>
  <c r="AC10" i="121"/>
  <c r="AF18" i="119"/>
  <c r="AR21" i="121"/>
  <c r="AG61" i="123"/>
  <c r="AS52" i="117"/>
  <c r="AT52" i="117"/>
  <c r="AP35" i="117"/>
  <c r="AO35" i="117"/>
  <c r="AT35" i="117"/>
  <c r="AS38" i="120"/>
  <c r="AO38" i="120"/>
  <c r="AG9" i="119"/>
  <c r="AB78" i="117"/>
  <c r="AI14" i="116"/>
  <c r="AH14" i="116"/>
  <c r="AG45" i="118"/>
  <c r="AB57" i="118"/>
  <c r="AI73" i="116"/>
  <c r="AG41" i="124"/>
  <c r="AI41" i="124"/>
  <c r="AA41" i="124"/>
  <c r="AS48" i="115"/>
  <c r="AU48" i="115"/>
  <c r="AF43" i="116"/>
  <c r="AI39" i="124"/>
  <c r="AR42" i="115"/>
  <c r="AH63" i="115"/>
  <c r="AG63" i="115"/>
  <c r="AU13" i="115"/>
  <c r="AS13" i="115"/>
  <c r="AE46" i="472"/>
  <c r="AI46" i="472"/>
  <c r="AA46" i="472"/>
  <c r="AC35" i="111"/>
  <c r="AA49" i="472"/>
  <c r="AI49" i="472"/>
  <c r="AG37" i="112"/>
  <c r="AI37" i="112"/>
  <c r="AD37" i="112"/>
  <c r="AB24" i="112"/>
  <c r="AE24" i="112"/>
  <c r="AG24" i="112"/>
  <c r="AP51" i="111"/>
  <c r="AS51" i="111"/>
  <c r="AF31" i="115"/>
  <c r="AJ31" i="115" s="1"/>
  <c r="AI37" i="111"/>
  <c r="AC37" i="111"/>
  <c r="AE37" i="111"/>
  <c r="AO39" i="115"/>
  <c r="AR39" i="115"/>
  <c r="AI63" i="472"/>
  <c r="AA63" i="472"/>
  <c r="AG17" i="112"/>
  <c r="AD17" i="112"/>
  <c r="AT67" i="110"/>
  <c r="AT65" i="110" s="1"/>
  <c r="AN67" i="110"/>
  <c r="AN65" i="110" s="1"/>
  <c r="AN40" i="107"/>
  <c r="AO31" i="111"/>
  <c r="AS31" i="111"/>
  <c r="AN31" i="111"/>
  <c r="AS19" i="106"/>
  <c r="AT19" i="106"/>
  <c r="AQ19" i="106"/>
  <c r="AH53" i="107"/>
  <c r="AE53" i="107"/>
  <c r="AD53" i="107"/>
  <c r="AI53" i="107"/>
  <c r="AI55" i="103"/>
  <c r="AG55" i="103"/>
  <c r="AD55" i="103"/>
  <c r="AT35" i="102"/>
  <c r="AS35" i="102"/>
  <c r="AA34" i="110"/>
  <c r="AB34" i="110"/>
  <c r="AG39" i="102"/>
  <c r="AC39" i="102"/>
  <c r="AF39" i="102"/>
  <c r="AR78" i="102"/>
  <c r="AH28" i="101"/>
  <c r="AE25" i="100"/>
  <c r="AR56" i="101"/>
  <c r="AS56" i="101"/>
  <c r="AD40" i="101"/>
  <c r="AH44" i="106"/>
  <c r="AE44" i="106"/>
  <c r="AA44" i="106"/>
  <c r="AI40" i="101"/>
  <c r="AH64" i="101"/>
  <c r="AJ39" i="475"/>
  <c r="AJ72" i="123"/>
  <c r="AJ8" i="123"/>
  <c r="AQ68" i="120"/>
  <c r="AT2" i="120"/>
  <c r="AV27" i="115"/>
  <c r="AN65" i="472"/>
  <c r="AJ19" i="102"/>
  <c r="AJ9" i="475"/>
  <c r="AV59" i="122"/>
  <c r="AJ67" i="122"/>
  <c r="AV28" i="115"/>
  <c r="AV26" i="107"/>
  <c r="AO2" i="106"/>
  <c r="AV25" i="105"/>
  <c r="AV4" i="104"/>
  <c r="AR68" i="120"/>
  <c r="AV4" i="110"/>
  <c r="AT2" i="100"/>
  <c r="AV58" i="104"/>
  <c r="AV19" i="104"/>
  <c r="AV24" i="125"/>
  <c r="AQ68" i="115"/>
  <c r="AP65" i="112"/>
  <c r="AR68" i="112"/>
  <c r="AJ26" i="117"/>
  <c r="AT68" i="100"/>
  <c r="AJ9" i="122"/>
  <c r="AJ35" i="117"/>
  <c r="AS68" i="115"/>
  <c r="AQ2" i="100"/>
  <c r="D13" i="418"/>
  <c r="D17" i="418"/>
  <c r="D14" i="418"/>
  <c r="C21" i="418"/>
  <c r="C13" i="418"/>
  <c r="C23" i="418"/>
  <c r="E23" i="418" s="1"/>
  <c r="C22" i="418"/>
  <c r="E22" i="418" s="1"/>
  <c r="C17" i="418"/>
  <c r="C9" i="418"/>
  <c r="C6" i="418"/>
  <c r="E6" i="418" s="1"/>
  <c r="E4" i="418"/>
  <c r="D15" i="418"/>
  <c r="D9" i="418"/>
  <c r="C7" i="418"/>
  <c r="C19" i="418"/>
  <c r="C14" i="418"/>
  <c r="C16" i="418"/>
  <c r="C12" i="418"/>
  <c r="E12" i="418" s="1"/>
  <c r="C20" i="418"/>
  <c r="D8" i="418"/>
  <c r="D18" i="418"/>
  <c r="D11" i="418"/>
  <c r="C8" i="418"/>
  <c r="C15" i="418"/>
  <c r="AC36" i="104"/>
  <c r="AB36" i="104"/>
  <c r="AP73" i="104"/>
  <c r="AP72" i="104" s="1"/>
  <c r="AF36" i="104"/>
  <c r="AC21" i="104"/>
  <c r="AD21" i="104"/>
  <c r="AR73" i="104"/>
  <c r="AR72" i="104" s="1"/>
  <c r="AC17" i="104"/>
  <c r="AI57" i="104"/>
  <c r="AR49" i="104"/>
  <c r="AE42" i="104"/>
  <c r="AU29" i="104"/>
  <c r="AB57" i="104"/>
  <c r="AH42" i="104"/>
  <c r="AB45" i="104"/>
  <c r="AS46" i="104"/>
  <c r="AA23" i="104"/>
  <c r="AQ29" i="104"/>
  <c r="AG23" i="104"/>
  <c r="AG4" i="104"/>
  <c r="AU36" i="104"/>
  <c r="AA36" i="104"/>
  <c r="AD31" i="104"/>
  <c r="AN23" i="104"/>
  <c r="AB11" i="104"/>
  <c r="AC49" i="475"/>
  <c r="AB49" i="475"/>
  <c r="AG49" i="475"/>
  <c r="AA49" i="475"/>
  <c r="AH49" i="475"/>
  <c r="AF49" i="475"/>
  <c r="AE49" i="475"/>
  <c r="AI49" i="475"/>
  <c r="AD49" i="475"/>
  <c r="AN43" i="475"/>
  <c r="AS43" i="475"/>
  <c r="AQ43" i="475"/>
  <c r="AP43" i="475"/>
  <c r="AR43" i="475"/>
  <c r="AO43" i="475"/>
  <c r="AU43" i="475"/>
  <c r="AT43" i="475"/>
  <c r="AG44" i="475"/>
  <c r="AB44" i="475"/>
  <c r="AA44" i="475"/>
  <c r="AH44" i="475"/>
  <c r="AE44" i="475"/>
  <c r="AD44" i="475"/>
  <c r="AI44" i="475"/>
  <c r="AP8" i="125"/>
  <c r="AN8" i="125"/>
  <c r="AU8" i="125"/>
  <c r="AT8" i="125"/>
  <c r="AS8" i="125"/>
  <c r="AR8" i="125"/>
  <c r="AQ8" i="125"/>
  <c r="AO8" i="125"/>
  <c r="O37" i="475"/>
  <c r="P37" i="475" s="1"/>
  <c r="AV40" i="475"/>
  <c r="G79" i="123"/>
  <c r="G77" i="123" s="1"/>
  <c r="G8" i="123" s="1"/>
  <c r="AF17" i="123"/>
  <c r="AE17" i="123"/>
  <c r="AD17" i="123"/>
  <c r="AB17" i="123"/>
  <c r="AI17" i="123"/>
  <c r="AA17" i="123"/>
  <c r="AH17" i="123"/>
  <c r="AG17" i="123"/>
  <c r="AC17" i="123"/>
  <c r="AE66" i="104"/>
  <c r="AU73" i="104"/>
  <c r="AU72" i="104" s="1"/>
  <c r="AN36" i="104"/>
  <c r="AO32" i="104"/>
  <c r="AI36" i="104"/>
  <c r="AE31" i="104"/>
  <c r="AD11" i="104"/>
  <c r="AO49" i="104"/>
  <c r="AP49" i="104"/>
  <c r="AC30" i="104"/>
  <c r="AD30" i="104"/>
  <c r="AQ51" i="475"/>
  <c r="AP51" i="475"/>
  <c r="AU51" i="475"/>
  <c r="AS51" i="475"/>
  <c r="AR51" i="475"/>
  <c r="AO51" i="475"/>
  <c r="AT51" i="475"/>
  <c r="AN51" i="475"/>
  <c r="AH64" i="475"/>
  <c r="AV4" i="475"/>
  <c r="AC10" i="475"/>
  <c r="AP59" i="125"/>
  <c r="AO59" i="125"/>
  <c r="AN59" i="125"/>
  <c r="AU59" i="125"/>
  <c r="AT59" i="125"/>
  <c r="AS59" i="125"/>
  <c r="AR59" i="125"/>
  <c r="AQ59" i="125"/>
  <c r="AQ63" i="121"/>
  <c r="AN63" i="121"/>
  <c r="AU63" i="121"/>
  <c r="AT63" i="121"/>
  <c r="AS63" i="121"/>
  <c r="AR63" i="121"/>
  <c r="AP63" i="121"/>
  <c r="AO63" i="121"/>
  <c r="AE53" i="121"/>
  <c r="AB53" i="121"/>
  <c r="AI53" i="121"/>
  <c r="AA53" i="121"/>
  <c r="AH53" i="121"/>
  <c r="AG53" i="121"/>
  <c r="AC53" i="121"/>
  <c r="AF53" i="121"/>
  <c r="AD53" i="121"/>
  <c r="AC34" i="121"/>
  <c r="AD34" i="121"/>
  <c r="AG34" i="121"/>
  <c r="AF34" i="121"/>
  <c r="AE34" i="121"/>
  <c r="AB34" i="121"/>
  <c r="AI34" i="121"/>
  <c r="AA34" i="121"/>
  <c r="AN70" i="106"/>
  <c r="AS73" i="104"/>
  <c r="AS72" i="104" s="1"/>
  <c r="AT73" i="104"/>
  <c r="AT72" i="104" s="1"/>
  <c r="AN37" i="104"/>
  <c r="AP21" i="104"/>
  <c r="AP37" i="104"/>
  <c r="AP27" i="104"/>
  <c r="AF21" i="104"/>
  <c r="AP36" i="104"/>
  <c r="AO21" i="104"/>
  <c r="AB42" i="104"/>
  <c r="AU21" i="104"/>
  <c r="AD36" i="104"/>
  <c r="AG31" i="104"/>
  <c r="AD23" i="104"/>
  <c r="AE11" i="104"/>
  <c r="AB43" i="104"/>
  <c r="AA43" i="104"/>
  <c r="AA40" i="104"/>
  <c r="AD40" i="104"/>
  <c r="G79" i="475"/>
  <c r="G77" i="475" s="1"/>
  <c r="G8" i="475" s="1"/>
  <c r="AG66" i="475"/>
  <c r="AE66" i="475"/>
  <c r="AT42" i="475"/>
  <c r="AQ42" i="475"/>
  <c r="AP42" i="475"/>
  <c r="AO42" i="475"/>
  <c r="AU42" i="475"/>
  <c r="AS42" i="475"/>
  <c r="AR42" i="475"/>
  <c r="AN42" i="475"/>
  <c r="AC44" i="475"/>
  <c r="AR8" i="475"/>
  <c r="AU8" i="475"/>
  <c r="AN8" i="475"/>
  <c r="AT8" i="475"/>
  <c r="AS8" i="475"/>
  <c r="AQ8" i="475"/>
  <c r="AO8" i="475"/>
  <c r="AP8" i="475"/>
  <c r="AJ3" i="475"/>
  <c r="AB10" i="475"/>
  <c r="AS51" i="125"/>
  <c r="AU51" i="125"/>
  <c r="AT51" i="125"/>
  <c r="AR51" i="125"/>
  <c r="AQ51" i="125"/>
  <c r="AP51" i="125"/>
  <c r="AV31" i="125"/>
  <c r="AF59" i="121"/>
  <c r="AH59" i="121"/>
  <c r="AE59" i="121"/>
  <c r="AG59" i="121"/>
  <c r="AD59" i="121"/>
  <c r="AC59" i="121"/>
  <c r="AB59" i="121"/>
  <c r="AI59" i="121"/>
  <c r="AA59" i="121"/>
  <c r="AF52" i="123"/>
  <c r="AB52" i="123"/>
  <c r="AI52" i="123"/>
  <c r="AG52" i="123"/>
  <c r="AD52" i="123"/>
  <c r="AA52" i="123"/>
  <c r="AH52" i="123"/>
  <c r="AE52" i="123"/>
  <c r="AC52" i="123"/>
  <c r="AQ72" i="125"/>
  <c r="AV73" i="125"/>
  <c r="AV72" i="125" s="1"/>
  <c r="AA9" i="125"/>
  <c r="AB9" i="125"/>
  <c r="AH9" i="125"/>
  <c r="AF9" i="125"/>
  <c r="AE9" i="125"/>
  <c r="AD9" i="125"/>
  <c r="AI9" i="125"/>
  <c r="AG9" i="125"/>
  <c r="AC9" i="125"/>
  <c r="AN20" i="123"/>
  <c r="AU20" i="123"/>
  <c r="AT20" i="123"/>
  <c r="AR20" i="123"/>
  <c r="AQ20" i="123"/>
  <c r="AP20" i="123"/>
  <c r="AO20" i="123"/>
  <c r="AS20" i="123"/>
  <c r="AG59" i="123"/>
  <c r="AD59" i="123"/>
  <c r="AC59" i="123"/>
  <c r="AH59" i="123"/>
  <c r="AE59" i="123"/>
  <c r="AI59" i="123"/>
  <c r="AF59" i="123"/>
  <c r="AB59" i="123"/>
  <c r="AA59" i="123"/>
  <c r="AI57" i="122"/>
  <c r="AE57" i="122"/>
  <c r="AC57" i="122"/>
  <c r="AA57" i="122"/>
  <c r="AD57" i="122"/>
  <c r="AB57" i="122"/>
  <c r="AH57" i="122"/>
  <c r="AF57" i="122"/>
  <c r="AG57" i="122"/>
  <c r="AC64" i="475"/>
  <c r="AG64" i="475"/>
  <c r="AB64" i="475"/>
  <c r="AE64" i="475"/>
  <c r="AD64" i="475"/>
  <c r="AI64" i="475"/>
  <c r="AF64" i="475"/>
  <c r="AU54" i="475"/>
  <c r="AT54" i="475"/>
  <c r="AQ54" i="475"/>
  <c r="AN54" i="475"/>
  <c r="AS54" i="475"/>
  <c r="AR54" i="475"/>
  <c r="AP54" i="475"/>
  <c r="AO54" i="475"/>
  <c r="AO52" i="125"/>
  <c r="AN52" i="125"/>
  <c r="AU52" i="125"/>
  <c r="AT52" i="125"/>
  <c r="AS52" i="125"/>
  <c r="AR52" i="125"/>
  <c r="AQ52" i="125"/>
  <c r="AP52" i="125"/>
  <c r="AT51" i="123"/>
  <c r="AP51" i="123"/>
  <c r="AS51" i="123"/>
  <c r="AQ51" i="123"/>
  <c r="AN51" i="123"/>
  <c r="AR51" i="123"/>
  <c r="AO51" i="123"/>
  <c r="AU51" i="123"/>
  <c r="AS69" i="123"/>
  <c r="AP69" i="123"/>
  <c r="AO69" i="123"/>
  <c r="AQ69" i="123"/>
  <c r="AT69" i="123"/>
  <c r="AR69" i="123"/>
  <c r="AN69" i="123"/>
  <c r="AU69" i="123"/>
  <c r="AR44" i="123"/>
  <c r="AP44" i="123"/>
  <c r="AT44" i="123"/>
  <c r="AN44" i="123"/>
  <c r="AU44" i="123"/>
  <c r="AS44" i="123"/>
  <c r="AO44" i="123"/>
  <c r="AQ44" i="123"/>
  <c r="AR64" i="104"/>
  <c r="AS37" i="104"/>
  <c r="AT37" i="104"/>
  <c r="AH57" i="104"/>
  <c r="AQ73" i="104"/>
  <c r="AQ72" i="104" s="1"/>
  <c r="AG42" i="104"/>
  <c r="AU37" i="104"/>
  <c r="AC46" i="104"/>
  <c r="AE46" i="104"/>
  <c r="AD46" i="104"/>
  <c r="AS24" i="104"/>
  <c r="AE23" i="104"/>
  <c r="AT32" i="104"/>
  <c r="AH36" i="104"/>
  <c r="AP24" i="104"/>
  <c r="AH11" i="104"/>
  <c r="AU56" i="104"/>
  <c r="AP56" i="104"/>
  <c r="AV56" i="104" s="1"/>
  <c r="AE13" i="104"/>
  <c r="AF13" i="104"/>
  <c r="AI13" i="104"/>
  <c r="AD13" i="104"/>
  <c r="AH30" i="104"/>
  <c r="AP30" i="475"/>
  <c r="AO30" i="475"/>
  <c r="AS30" i="475"/>
  <c r="AR30" i="475"/>
  <c r="AU30" i="475"/>
  <c r="AT30" i="475"/>
  <c r="AQ30" i="475"/>
  <c r="AN30" i="475"/>
  <c r="AP16" i="125"/>
  <c r="AN16" i="125"/>
  <c r="AU16" i="125"/>
  <c r="AT16" i="125"/>
  <c r="AR16" i="125"/>
  <c r="AS16" i="125"/>
  <c r="AQ16" i="125"/>
  <c r="AO16" i="125"/>
  <c r="AG26" i="123"/>
  <c r="AF26" i="123"/>
  <c r="AE26" i="123"/>
  <c r="AC26" i="123"/>
  <c r="AB26" i="123"/>
  <c r="AI26" i="123"/>
  <c r="AA26" i="123"/>
  <c r="AH26" i="123"/>
  <c r="AD26" i="123"/>
  <c r="AP32" i="123"/>
  <c r="AQ32" i="123"/>
  <c r="AO32" i="123"/>
  <c r="AN32" i="123"/>
  <c r="AU32" i="123"/>
  <c r="AT32" i="123"/>
  <c r="AS32" i="123"/>
  <c r="AR32" i="123"/>
  <c r="AN15" i="122"/>
  <c r="AT15" i="122"/>
  <c r="AS15" i="122"/>
  <c r="AP15" i="122"/>
  <c r="AO15" i="122"/>
  <c r="AU15" i="122"/>
  <c r="AR15" i="122"/>
  <c r="AQ15" i="122"/>
  <c r="AJ26" i="122"/>
  <c r="AS13" i="104"/>
  <c r="AT27" i="104"/>
  <c r="AU27" i="104"/>
  <c r="AT53" i="475"/>
  <c r="AS53" i="475"/>
  <c r="AP53" i="475"/>
  <c r="AU53" i="475"/>
  <c r="AO53" i="475"/>
  <c r="AN53" i="475"/>
  <c r="AQ53" i="475"/>
  <c r="AR53" i="475"/>
  <c r="AV29" i="475"/>
  <c r="AT17" i="125"/>
  <c r="AR17" i="125"/>
  <c r="AQ17" i="125"/>
  <c r="AP17" i="125"/>
  <c r="AS17" i="125"/>
  <c r="AU17" i="125"/>
  <c r="AO17" i="125"/>
  <c r="AN17" i="125"/>
  <c r="AU23" i="475"/>
  <c r="AT23" i="475"/>
  <c r="AP23" i="475"/>
  <c r="AO23" i="475"/>
  <c r="AS23" i="475"/>
  <c r="AR23" i="475"/>
  <c r="AQ23" i="475"/>
  <c r="AN23" i="475"/>
  <c r="AA10" i="475"/>
  <c r="AD10" i="475"/>
  <c r="AH10" i="475"/>
  <c r="AG10" i="475"/>
  <c r="AI10" i="475"/>
  <c r="AF10" i="475"/>
  <c r="AT36" i="125"/>
  <c r="AS36" i="125"/>
  <c r="AR36" i="125"/>
  <c r="AQ36" i="125"/>
  <c r="AO36" i="125"/>
  <c r="AN36" i="125"/>
  <c r="AU36" i="125"/>
  <c r="AR38" i="125"/>
  <c r="AQ38" i="125"/>
  <c r="AT38" i="125"/>
  <c r="AO38" i="125"/>
  <c r="AP38" i="125"/>
  <c r="AS38" i="125"/>
  <c r="AN38" i="125"/>
  <c r="AU38" i="125"/>
  <c r="AG30" i="123"/>
  <c r="AF30" i="123"/>
  <c r="AE30" i="123"/>
  <c r="AD30" i="123"/>
  <c r="AB30" i="123"/>
  <c r="AA30" i="123"/>
  <c r="AI30" i="123"/>
  <c r="AH30" i="123"/>
  <c r="AC30" i="123"/>
  <c r="AU68" i="122"/>
  <c r="AD69" i="121"/>
  <c r="AD68" i="121" s="1"/>
  <c r="AI69" i="121"/>
  <c r="AI68" i="121" s="1"/>
  <c r="AB69" i="121"/>
  <c r="AB68" i="121" s="1"/>
  <c r="AA69" i="121"/>
  <c r="AH69" i="121"/>
  <c r="AH68" i="121" s="1"/>
  <c r="AG69" i="121"/>
  <c r="AG68" i="121" s="1"/>
  <c r="AC69" i="121"/>
  <c r="AC68" i="121" s="1"/>
  <c r="AF69" i="121"/>
  <c r="AF68" i="121" s="1"/>
  <c r="AT19" i="122"/>
  <c r="AR19" i="122"/>
  <c r="AP19" i="122"/>
  <c r="AU19" i="122"/>
  <c r="AQ19" i="122"/>
  <c r="AO19" i="122"/>
  <c r="AN19" i="122"/>
  <c r="AS19" i="122"/>
  <c r="AD51" i="121"/>
  <c r="AI51" i="121"/>
  <c r="AA51" i="121"/>
  <c r="AG51" i="121"/>
  <c r="AF51" i="121"/>
  <c r="AH51" i="121"/>
  <c r="AE51" i="121"/>
  <c r="AC51" i="121"/>
  <c r="AB51" i="121"/>
  <c r="AT24" i="104"/>
  <c r="AG36" i="104"/>
  <c r="AH56" i="104"/>
  <c r="AB56" i="104"/>
  <c r="AC31" i="104"/>
  <c r="AA31" i="104"/>
  <c r="AC69" i="104"/>
  <c r="AC68" i="104" s="1"/>
  <c r="AD69" i="104"/>
  <c r="AD68" i="104" s="1"/>
  <c r="AE69" i="104"/>
  <c r="AE68" i="104" s="1"/>
  <c r="AU46" i="104"/>
  <c r="AR45" i="104"/>
  <c r="AS45" i="104"/>
  <c r="AS36" i="104"/>
  <c r="AN21" i="104"/>
  <c r="AO37" i="104"/>
  <c r="AB21" i="104"/>
  <c r="AC4" i="104"/>
  <c r="AP8" i="104"/>
  <c r="AI11" i="104"/>
  <c r="AV15" i="104"/>
  <c r="AQ27" i="104"/>
  <c r="AD66" i="475"/>
  <c r="AA66" i="475"/>
  <c r="AI66" i="475"/>
  <c r="AC66" i="475"/>
  <c r="AB66" i="475"/>
  <c r="AH66" i="475"/>
  <c r="AT13" i="125"/>
  <c r="AR13" i="125"/>
  <c r="AQ13" i="125"/>
  <c r="AP13" i="125"/>
  <c r="AO13" i="125"/>
  <c r="AN13" i="125"/>
  <c r="AU13" i="125"/>
  <c r="AS13" i="125"/>
  <c r="AO10" i="475"/>
  <c r="AP10" i="475"/>
  <c r="AN10" i="475"/>
  <c r="AU10" i="475"/>
  <c r="AT10" i="475"/>
  <c r="AQ10" i="475"/>
  <c r="AS10" i="475"/>
  <c r="AG49" i="123"/>
  <c r="AE49" i="123"/>
  <c r="AA49" i="123"/>
  <c r="AI49" i="123"/>
  <c r="AH49" i="123"/>
  <c r="AF49" i="123"/>
  <c r="AD49" i="123"/>
  <c r="AB49" i="123"/>
  <c r="AG27" i="123"/>
  <c r="AB27" i="123"/>
  <c r="AA27" i="123"/>
  <c r="AI27" i="123"/>
  <c r="AF27" i="123"/>
  <c r="AE27" i="123"/>
  <c r="AD27" i="123"/>
  <c r="AC27" i="123"/>
  <c r="AH27" i="123"/>
  <c r="AD58" i="121"/>
  <c r="AA58" i="121"/>
  <c r="AI58" i="121"/>
  <c r="AB58" i="121"/>
  <c r="AI36" i="121"/>
  <c r="AA36" i="121"/>
  <c r="AF36" i="121"/>
  <c r="AD36" i="121"/>
  <c r="AC36" i="121"/>
  <c r="AB36" i="121"/>
  <c r="AH36" i="121"/>
  <c r="AE36" i="121"/>
  <c r="AT28" i="122"/>
  <c r="AP28" i="122"/>
  <c r="AR28" i="122"/>
  <c r="AR3" i="122"/>
  <c r="AR2" i="122" s="1"/>
  <c r="AN3" i="122"/>
  <c r="AS3" i="122"/>
  <c r="AS2" i="122" s="1"/>
  <c r="AQ3" i="122"/>
  <c r="AQ2" i="122" s="1"/>
  <c r="AP3" i="122"/>
  <c r="AP2" i="122" s="1"/>
  <c r="AC13" i="122"/>
  <c r="AD13" i="122"/>
  <c r="AA13" i="122"/>
  <c r="AI13" i="122"/>
  <c r="AB13" i="122"/>
  <c r="AP18" i="121"/>
  <c r="AQ18" i="121"/>
  <c r="AV53" i="120"/>
  <c r="AT40" i="120"/>
  <c r="AU40" i="120"/>
  <c r="AO40" i="120"/>
  <c r="AN40" i="120"/>
  <c r="AR40" i="120"/>
  <c r="AQ40" i="120"/>
  <c r="AP40" i="120"/>
  <c r="AS40" i="120"/>
  <c r="AP42" i="120"/>
  <c r="AU42" i="120"/>
  <c r="AQ37" i="120"/>
  <c r="AN37" i="120"/>
  <c r="AU37" i="120"/>
  <c r="AT37" i="120"/>
  <c r="AR37" i="120"/>
  <c r="AP37" i="120"/>
  <c r="AO37" i="120"/>
  <c r="AS37" i="120"/>
  <c r="AF27" i="120"/>
  <c r="AA27" i="120"/>
  <c r="AH27" i="120"/>
  <c r="AG27" i="120"/>
  <c r="AD27" i="120"/>
  <c r="AC27" i="120"/>
  <c r="AB27" i="120"/>
  <c r="AI27" i="120"/>
  <c r="AE27" i="120"/>
  <c r="AO42" i="120"/>
  <c r="AH44" i="120"/>
  <c r="AE44" i="120"/>
  <c r="AI44" i="120"/>
  <c r="AA44" i="120"/>
  <c r="AG44" i="120"/>
  <c r="AF44" i="120"/>
  <c r="AD44" i="120"/>
  <c r="AC44" i="120"/>
  <c r="AB44" i="120"/>
  <c r="AP66" i="120"/>
  <c r="AU66" i="120"/>
  <c r="AT66" i="120"/>
  <c r="AT65" i="120" s="1"/>
  <c r="AR66" i="120"/>
  <c r="AQ66" i="120"/>
  <c r="AS66" i="120"/>
  <c r="AO66" i="120"/>
  <c r="AN66" i="120"/>
  <c r="AN16" i="119"/>
  <c r="AU16" i="119"/>
  <c r="AT16" i="119"/>
  <c r="AS16" i="119"/>
  <c r="AP16" i="119"/>
  <c r="AO16" i="119"/>
  <c r="AQ16" i="119"/>
  <c r="AR16" i="119"/>
  <c r="AH8" i="120"/>
  <c r="AF8" i="120"/>
  <c r="AD8" i="120"/>
  <c r="AC8" i="120"/>
  <c r="AG37" i="119"/>
  <c r="AD37" i="119"/>
  <c r="AI37" i="119"/>
  <c r="AH37" i="119"/>
  <c r="AC37" i="119"/>
  <c r="AB37" i="119"/>
  <c r="AA37" i="119"/>
  <c r="AF37" i="119"/>
  <c r="AE37" i="119"/>
  <c r="AQ39" i="119"/>
  <c r="AO39" i="119"/>
  <c r="AP39" i="119"/>
  <c r="AN39" i="119"/>
  <c r="AU39" i="119"/>
  <c r="AS39" i="119"/>
  <c r="AR39" i="119"/>
  <c r="AV51" i="120"/>
  <c r="AQ59" i="119"/>
  <c r="AN59" i="119"/>
  <c r="AT59" i="119"/>
  <c r="AD69" i="119"/>
  <c r="AD68" i="119" s="1"/>
  <c r="AB69" i="119"/>
  <c r="AB68" i="119" s="1"/>
  <c r="AG69" i="119"/>
  <c r="AG68" i="119" s="1"/>
  <c r="AF69" i="119"/>
  <c r="AF68" i="119" s="1"/>
  <c r="AE69" i="119"/>
  <c r="AE68" i="119" s="1"/>
  <c r="AI69" i="119"/>
  <c r="AI68" i="119" s="1"/>
  <c r="AH69" i="119"/>
  <c r="AH68" i="119" s="1"/>
  <c r="AC69" i="119"/>
  <c r="AC68" i="119" s="1"/>
  <c r="AA69" i="119"/>
  <c r="AV28" i="120"/>
  <c r="AE49" i="119"/>
  <c r="AC49" i="119"/>
  <c r="AH49" i="119"/>
  <c r="AG49" i="119"/>
  <c r="AI49" i="119"/>
  <c r="AF49" i="119"/>
  <c r="AD49" i="119"/>
  <c r="AB49" i="119"/>
  <c r="AA49" i="119"/>
  <c r="AS20" i="119"/>
  <c r="AP20" i="119"/>
  <c r="AO20" i="119"/>
  <c r="AH28" i="119"/>
  <c r="AE28" i="119"/>
  <c r="AI28" i="119"/>
  <c r="AG28" i="119"/>
  <c r="AF28" i="119"/>
  <c r="AB28" i="119"/>
  <c r="AA28" i="119"/>
  <c r="AD28" i="119"/>
  <c r="AC28" i="119"/>
  <c r="AB52" i="118"/>
  <c r="AG52" i="118"/>
  <c r="AE52" i="118"/>
  <c r="AD52" i="118"/>
  <c r="AC52" i="118"/>
  <c r="AA52" i="118"/>
  <c r="AI52" i="118"/>
  <c r="AH52" i="118"/>
  <c r="AF52" i="118"/>
  <c r="AR32" i="118"/>
  <c r="AQ32" i="118"/>
  <c r="AR23" i="119"/>
  <c r="AO23" i="119"/>
  <c r="AS23" i="119"/>
  <c r="AQ23" i="119"/>
  <c r="AP23" i="119"/>
  <c r="AU23" i="119"/>
  <c r="AT23" i="119"/>
  <c r="AN23" i="119"/>
  <c r="AI9" i="118"/>
  <c r="AA9" i="118"/>
  <c r="AG9" i="118"/>
  <c r="AH9" i="118"/>
  <c r="AF9" i="118"/>
  <c r="AE9" i="118"/>
  <c r="AD9" i="118"/>
  <c r="AC9" i="118"/>
  <c r="AB9" i="118"/>
  <c r="AH26" i="119"/>
  <c r="AG26" i="119"/>
  <c r="AE26" i="119"/>
  <c r="AA26" i="119"/>
  <c r="AD26" i="119"/>
  <c r="AB26" i="119"/>
  <c r="AT39" i="119"/>
  <c r="AF25" i="119"/>
  <c r="AA25" i="119"/>
  <c r="AC25" i="119"/>
  <c r="AP32" i="118"/>
  <c r="AU29" i="118"/>
  <c r="AT29" i="118"/>
  <c r="AN29" i="118"/>
  <c r="AP29" i="118"/>
  <c r="AG16" i="118"/>
  <c r="AE16" i="118"/>
  <c r="AD16" i="118"/>
  <c r="AC16" i="118"/>
  <c r="AB16" i="118"/>
  <c r="AA16" i="118"/>
  <c r="AH16" i="118"/>
  <c r="AF16" i="118"/>
  <c r="AI16" i="118"/>
  <c r="AN38" i="119"/>
  <c r="AR38" i="119"/>
  <c r="AP38" i="119"/>
  <c r="AO38" i="119"/>
  <c r="AU38" i="119"/>
  <c r="AS38" i="119"/>
  <c r="AN32" i="118"/>
  <c r="AF64" i="117"/>
  <c r="AE64" i="117"/>
  <c r="AD64" i="117"/>
  <c r="AC64" i="117"/>
  <c r="AH64" i="117"/>
  <c r="AG64" i="117"/>
  <c r="AA64" i="117"/>
  <c r="AI64" i="117"/>
  <c r="AB64" i="117"/>
  <c r="AV51" i="117"/>
  <c r="AH54" i="117"/>
  <c r="AG54" i="117"/>
  <c r="AF54" i="117"/>
  <c r="AC54" i="117"/>
  <c r="AB54" i="117"/>
  <c r="AI54" i="117"/>
  <c r="AE54" i="117"/>
  <c r="AD54" i="117"/>
  <c r="AA54" i="117"/>
  <c r="AT36" i="117"/>
  <c r="AS36" i="117"/>
  <c r="AR36" i="117"/>
  <c r="AO36" i="117"/>
  <c r="AN36" i="117"/>
  <c r="AQ36" i="117"/>
  <c r="AP36" i="117"/>
  <c r="AU36" i="117"/>
  <c r="AO44" i="116"/>
  <c r="AP44" i="116"/>
  <c r="AR44" i="116"/>
  <c r="AQ44" i="116"/>
  <c r="AN44" i="116"/>
  <c r="AS44" i="116"/>
  <c r="AN58" i="116"/>
  <c r="AR58" i="116"/>
  <c r="AQ58" i="116"/>
  <c r="AP58" i="116"/>
  <c r="AT44" i="116"/>
  <c r="AI71" i="117"/>
  <c r="AI70" i="117" s="1"/>
  <c r="AA71" i="117"/>
  <c r="AH71" i="117"/>
  <c r="AH70" i="117" s="1"/>
  <c r="AG71" i="117"/>
  <c r="AG70" i="117" s="1"/>
  <c r="AF71" i="117"/>
  <c r="AF70" i="117" s="1"/>
  <c r="AC71" i="117"/>
  <c r="AC70" i="117" s="1"/>
  <c r="AB71" i="117"/>
  <c r="AB70" i="117" s="1"/>
  <c r="AD71" i="117"/>
  <c r="AD70" i="117" s="1"/>
  <c r="AE71" i="117"/>
  <c r="AE70" i="117" s="1"/>
  <c r="AA64" i="116"/>
  <c r="AI64" i="116"/>
  <c r="AD64" i="116"/>
  <c r="AC64" i="116"/>
  <c r="AB64" i="116"/>
  <c r="AP51" i="116"/>
  <c r="AO51" i="116"/>
  <c r="AU51" i="116"/>
  <c r="AQ51" i="116"/>
  <c r="AT51" i="116"/>
  <c r="AS51" i="116"/>
  <c r="AR51" i="116"/>
  <c r="AN51" i="116"/>
  <c r="AR54" i="116"/>
  <c r="AS54" i="116"/>
  <c r="AP54" i="116"/>
  <c r="AO54" i="116"/>
  <c r="AT54" i="116"/>
  <c r="AU54" i="116"/>
  <c r="AQ54" i="116"/>
  <c r="AN54" i="116"/>
  <c r="AE59" i="116"/>
  <c r="AH59" i="116"/>
  <c r="AF59" i="116"/>
  <c r="AC59" i="116"/>
  <c r="AG78" i="116"/>
  <c r="AE78" i="116"/>
  <c r="AD78" i="116"/>
  <c r="AH78" i="116"/>
  <c r="AI78" i="116"/>
  <c r="AF78" i="116"/>
  <c r="AC78" i="116"/>
  <c r="AB78" i="116"/>
  <c r="AA78" i="116"/>
  <c r="AG37" i="116"/>
  <c r="AE37" i="116"/>
  <c r="AD37" i="116"/>
  <c r="AH37" i="116"/>
  <c r="AI37" i="116"/>
  <c r="AF37" i="116"/>
  <c r="AC37" i="116"/>
  <c r="AB37" i="116"/>
  <c r="AA37" i="116"/>
  <c r="AF34" i="116"/>
  <c r="AD34" i="116"/>
  <c r="AC34" i="116"/>
  <c r="AG34" i="116"/>
  <c r="AA34" i="116"/>
  <c r="AI34" i="116"/>
  <c r="AH34" i="116"/>
  <c r="AE34" i="116"/>
  <c r="AB34" i="116"/>
  <c r="AD28" i="116"/>
  <c r="AB28" i="116"/>
  <c r="AI28" i="116"/>
  <c r="AA28" i="116"/>
  <c r="AC28" i="116"/>
  <c r="AH28" i="116"/>
  <c r="AG28" i="116"/>
  <c r="AF28" i="116"/>
  <c r="AE28" i="116"/>
  <c r="AI53" i="124"/>
  <c r="AA53" i="124"/>
  <c r="AB53" i="124"/>
  <c r="AH53" i="124"/>
  <c r="AG53" i="124"/>
  <c r="AF53" i="124"/>
  <c r="AE53" i="124"/>
  <c r="AD53" i="124"/>
  <c r="AC53" i="124"/>
  <c r="AN45" i="124"/>
  <c r="AU45" i="124"/>
  <c r="AT45" i="124"/>
  <c r="AS45" i="124"/>
  <c r="AR45" i="124"/>
  <c r="AQ45" i="124"/>
  <c r="AP45" i="124"/>
  <c r="AO45" i="124"/>
  <c r="AN42" i="124"/>
  <c r="AU42" i="124"/>
  <c r="AT42" i="124"/>
  <c r="AS42" i="124"/>
  <c r="AR42" i="124"/>
  <c r="AQ42" i="124"/>
  <c r="AP42" i="124"/>
  <c r="AO42" i="124"/>
  <c r="AN34" i="124"/>
  <c r="AU34" i="124"/>
  <c r="AT34" i="124"/>
  <c r="AS34" i="124"/>
  <c r="AR34" i="124"/>
  <c r="AQ34" i="124"/>
  <c r="AP34" i="124"/>
  <c r="AO34" i="124"/>
  <c r="AH13" i="115"/>
  <c r="AG13" i="115"/>
  <c r="AF13" i="115"/>
  <c r="AD13" i="115"/>
  <c r="AI13" i="115"/>
  <c r="AE13" i="115"/>
  <c r="AC13" i="115"/>
  <c r="AB13" i="115"/>
  <c r="AA13" i="115"/>
  <c r="AH56" i="114"/>
  <c r="AG56" i="114"/>
  <c r="AF56" i="114"/>
  <c r="AD56" i="114"/>
  <c r="AE56" i="114"/>
  <c r="AC56" i="114"/>
  <c r="AB56" i="114"/>
  <c r="AA56" i="114"/>
  <c r="AI56" i="114"/>
  <c r="AF19" i="116"/>
  <c r="AD19" i="116"/>
  <c r="AC19" i="116"/>
  <c r="AG19" i="116"/>
  <c r="AE19" i="116"/>
  <c r="AB19" i="116"/>
  <c r="AA19" i="116"/>
  <c r="AI19" i="116"/>
  <c r="AH19" i="116"/>
  <c r="AN67" i="124"/>
  <c r="AT67" i="124"/>
  <c r="AT65" i="124" s="1"/>
  <c r="AS67" i="124"/>
  <c r="AS65" i="124" s="1"/>
  <c r="AP67" i="124"/>
  <c r="AP65" i="124" s="1"/>
  <c r="AO67" i="124"/>
  <c r="AO65" i="124" s="1"/>
  <c r="AU67" i="124"/>
  <c r="AU65" i="124" s="1"/>
  <c r="AR67" i="124"/>
  <c r="AR65" i="124" s="1"/>
  <c r="AQ67" i="124"/>
  <c r="AQ65" i="124" s="1"/>
  <c r="AR46" i="124"/>
  <c r="AS46" i="124"/>
  <c r="AR78" i="124"/>
  <c r="AS78" i="124"/>
  <c r="AR39" i="124"/>
  <c r="AS39" i="124"/>
  <c r="AC46" i="116"/>
  <c r="AU3" i="115"/>
  <c r="AU2" i="115" s="1"/>
  <c r="AT3" i="115"/>
  <c r="AT2" i="115" s="1"/>
  <c r="AS3" i="115"/>
  <c r="AS2" i="115" s="1"/>
  <c r="AQ3" i="115"/>
  <c r="AQ2" i="115" s="1"/>
  <c r="AR3" i="115"/>
  <c r="AR2" i="115" s="1"/>
  <c r="AP3" i="115"/>
  <c r="AP2" i="115" s="1"/>
  <c r="AO3" i="115"/>
  <c r="AO2" i="115" s="1"/>
  <c r="AN3" i="115"/>
  <c r="AI15" i="114"/>
  <c r="AA15" i="114"/>
  <c r="AH15" i="114"/>
  <c r="AF15" i="114"/>
  <c r="AE15" i="114"/>
  <c r="AD15" i="114"/>
  <c r="AB15" i="114"/>
  <c r="AG15" i="114"/>
  <c r="AC15" i="114"/>
  <c r="AB27" i="117"/>
  <c r="AH27" i="117"/>
  <c r="AE27" i="117"/>
  <c r="AD27" i="117"/>
  <c r="AF27" i="117"/>
  <c r="AC27" i="117"/>
  <c r="AA27" i="117"/>
  <c r="AI27" i="117"/>
  <c r="AG27" i="117"/>
  <c r="AV25" i="116"/>
  <c r="AI25" i="124"/>
  <c r="AA25" i="124"/>
  <c r="AH25" i="124"/>
  <c r="AG25" i="124"/>
  <c r="AF25" i="124"/>
  <c r="AE25" i="124"/>
  <c r="AD25" i="124"/>
  <c r="AC25" i="124"/>
  <c r="AB25" i="124"/>
  <c r="AI66" i="115"/>
  <c r="AA66" i="115"/>
  <c r="AH66" i="115"/>
  <c r="AH65" i="115" s="1"/>
  <c r="AG66" i="115"/>
  <c r="AG65" i="115" s="1"/>
  <c r="AF66" i="115"/>
  <c r="AF65" i="115" s="1"/>
  <c r="AE66" i="115"/>
  <c r="AE65" i="115" s="1"/>
  <c r="AD66" i="115"/>
  <c r="AC66" i="115"/>
  <c r="AC65" i="115" s="1"/>
  <c r="AB66" i="115"/>
  <c r="AP19" i="124"/>
  <c r="AO19" i="124"/>
  <c r="AN19" i="124"/>
  <c r="AU19" i="124"/>
  <c r="AT19" i="124"/>
  <c r="AS19" i="124"/>
  <c r="AR19" i="124"/>
  <c r="AQ19" i="124"/>
  <c r="AN67" i="114"/>
  <c r="AU67" i="114"/>
  <c r="AT67" i="114"/>
  <c r="AR67" i="114"/>
  <c r="AS67" i="114"/>
  <c r="AP67" i="114"/>
  <c r="AO67" i="114"/>
  <c r="AQ67" i="114"/>
  <c r="AQ78" i="124"/>
  <c r="AG17" i="124"/>
  <c r="AF17" i="124"/>
  <c r="AB17" i="124"/>
  <c r="AI19" i="115"/>
  <c r="AA19" i="115"/>
  <c r="AH19" i="115"/>
  <c r="AG19" i="115"/>
  <c r="AE19" i="115"/>
  <c r="AF19" i="115"/>
  <c r="AD19" i="115"/>
  <c r="AC19" i="115"/>
  <c r="AB19" i="115"/>
  <c r="AV35" i="115"/>
  <c r="AI29" i="115"/>
  <c r="AA29" i="115"/>
  <c r="AH29" i="115"/>
  <c r="AG29" i="115"/>
  <c r="AE29" i="115"/>
  <c r="AC29" i="115"/>
  <c r="AB29" i="115"/>
  <c r="AF29" i="115"/>
  <c r="AD29" i="115"/>
  <c r="AP66" i="114"/>
  <c r="AO66" i="114"/>
  <c r="AN66" i="114"/>
  <c r="AT66" i="114"/>
  <c r="AQ66" i="114"/>
  <c r="AU66" i="114"/>
  <c r="AS66" i="114"/>
  <c r="AR66" i="114"/>
  <c r="AH10" i="472"/>
  <c r="AE10" i="472"/>
  <c r="AC10" i="472"/>
  <c r="AF10" i="472"/>
  <c r="AB10" i="472"/>
  <c r="AI48" i="114"/>
  <c r="AA48" i="114"/>
  <c r="AH48" i="114"/>
  <c r="AG48" i="114"/>
  <c r="AE48" i="114"/>
  <c r="AB48" i="114"/>
  <c r="AF48" i="114"/>
  <c r="AD48" i="114"/>
  <c r="AC48" i="114"/>
  <c r="AE41" i="114"/>
  <c r="AD41" i="114"/>
  <c r="AC41" i="114"/>
  <c r="AH41" i="114"/>
  <c r="AB41" i="114"/>
  <c r="AA41" i="114"/>
  <c r="AI41" i="114"/>
  <c r="AG41" i="114"/>
  <c r="AF41" i="114"/>
  <c r="AE39" i="114"/>
  <c r="AD39" i="114"/>
  <c r="AC39" i="114"/>
  <c r="AH39" i="114"/>
  <c r="AB39" i="114"/>
  <c r="AA39" i="114"/>
  <c r="AI39" i="114"/>
  <c r="AG39" i="114"/>
  <c r="AF39" i="114"/>
  <c r="AE37" i="114"/>
  <c r="AD37" i="114"/>
  <c r="AC37" i="114"/>
  <c r="AH37" i="114"/>
  <c r="AB37" i="114"/>
  <c r="AA37" i="114"/>
  <c r="AI37" i="114"/>
  <c r="AG37" i="114"/>
  <c r="AF37" i="114"/>
  <c r="AT78" i="112"/>
  <c r="AQ78" i="112"/>
  <c r="AO78" i="112"/>
  <c r="AR78" i="112"/>
  <c r="AP78" i="112"/>
  <c r="AU78" i="112"/>
  <c r="AS78" i="112"/>
  <c r="AN78" i="112"/>
  <c r="AI24" i="472"/>
  <c r="AU29" i="472"/>
  <c r="AR10" i="114"/>
  <c r="AQ10" i="114"/>
  <c r="AU10" i="114"/>
  <c r="AP10" i="114"/>
  <c r="AO10" i="114"/>
  <c r="AN10" i="114"/>
  <c r="AT10" i="114"/>
  <c r="AS10" i="114"/>
  <c r="AE55" i="472"/>
  <c r="AB55" i="472"/>
  <c r="AI55" i="472"/>
  <c r="AA55" i="472"/>
  <c r="AH55" i="472"/>
  <c r="AG55" i="472"/>
  <c r="AF55" i="472"/>
  <c r="AD55" i="472"/>
  <c r="AC55" i="472"/>
  <c r="AD27" i="472"/>
  <c r="AI27" i="472"/>
  <c r="AA27" i="472"/>
  <c r="AH27" i="472"/>
  <c r="AG27" i="472"/>
  <c r="AF27" i="472"/>
  <c r="AE27" i="472"/>
  <c r="AB27" i="472"/>
  <c r="AC27" i="472"/>
  <c r="AA67" i="114"/>
  <c r="AU59" i="114"/>
  <c r="AU39" i="472"/>
  <c r="AP39" i="472"/>
  <c r="AO39" i="472"/>
  <c r="AS39" i="472"/>
  <c r="AR39" i="472"/>
  <c r="AE21" i="472"/>
  <c r="AG14" i="472"/>
  <c r="AD14" i="472"/>
  <c r="AC14" i="472"/>
  <c r="AB14" i="472"/>
  <c r="AE14" i="472"/>
  <c r="AA14" i="472"/>
  <c r="AI14" i="472"/>
  <c r="AH14" i="472"/>
  <c r="AF14" i="472"/>
  <c r="AC13" i="112"/>
  <c r="AH13" i="112"/>
  <c r="AG13" i="112"/>
  <c r="AF13" i="112"/>
  <c r="AA13" i="112"/>
  <c r="AI13" i="112"/>
  <c r="AE13" i="112"/>
  <c r="AD13" i="112"/>
  <c r="AB13" i="112"/>
  <c r="AH31" i="124"/>
  <c r="AS14" i="115"/>
  <c r="AR14" i="115"/>
  <c r="AQ14" i="115"/>
  <c r="AO14" i="115"/>
  <c r="AU14" i="115"/>
  <c r="AT14" i="115"/>
  <c r="AP14" i="115"/>
  <c r="AN14" i="115"/>
  <c r="AS59" i="472"/>
  <c r="AP59" i="472"/>
  <c r="AO59" i="472"/>
  <c r="AN59" i="472"/>
  <c r="AU59" i="472"/>
  <c r="AT59" i="472"/>
  <c r="AR59" i="472"/>
  <c r="AQ59" i="472"/>
  <c r="AT45" i="111"/>
  <c r="AP45" i="111"/>
  <c r="AU45" i="111"/>
  <c r="AS45" i="111"/>
  <c r="AR45" i="111"/>
  <c r="AQ45" i="111"/>
  <c r="AO45" i="111"/>
  <c r="AN45" i="111"/>
  <c r="AS53" i="112"/>
  <c r="AD55" i="112"/>
  <c r="AN52" i="111"/>
  <c r="AU52" i="111"/>
  <c r="AP52" i="111"/>
  <c r="AQ52" i="111"/>
  <c r="AO52" i="111"/>
  <c r="AT52" i="111"/>
  <c r="AS52" i="111"/>
  <c r="AR52" i="111"/>
  <c r="AU3" i="472"/>
  <c r="AU2" i="472" s="1"/>
  <c r="AR3" i="472"/>
  <c r="AR2" i="472" s="1"/>
  <c r="AP3" i="472"/>
  <c r="AP2" i="472" s="1"/>
  <c r="AT3" i="472"/>
  <c r="AT2" i="472" s="1"/>
  <c r="AS3" i="472"/>
  <c r="AS2" i="472" s="1"/>
  <c r="AQ3" i="472"/>
  <c r="AQ2" i="472" s="1"/>
  <c r="AO3" i="472"/>
  <c r="AO2" i="472" s="1"/>
  <c r="AN3" i="472"/>
  <c r="AR9" i="112"/>
  <c r="AO9" i="112"/>
  <c r="AU9" i="112"/>
  <c r="AN9" i="112"/>
  <c r="AT9" i="112"/>
  <c r="AS9" i="112"/>
  <c r="AQ9" i="112"/>
  <c r="AP9" i="112"/>
  <c r="AH3" i="112"/>
  <c r="AE3" i="112"/>
  <c r="AI3" i="112"/>
  <c r="AB3" i="112"/>
  <c r="AC3" i="112"/>
  <c r="AA3" i="112"/>
  <c r="AG3" i="112"/>
  <c r="AF3" i="112"/>
  <c r="AD3" i="112"/>
  <c r="AT65" i="111"/>
  <c r="AT16" i="472"/>
  <c r="AO19" i="112"/>
  <c r="AT19" i="112"/>
  <c r="AR19" i="112"/>
  <c r="AP19" i="112"/>
  <c r="AN19" i="112"/>
  <c r="AS19" i="112"/>
  <c r="AQ19" i="112"/>
  <c r="AU19" i="112"/>
  <c r="AS20" i="112"/>
  <c r="AE21" i="111"/>
  <c r="AA21" i="111"/>
  <c r="AD21" i="111"/>
  <c r="AC21" i="111"/>
  <c r="AB21" i="111"/>
  <c r="AI21" i="111"/>
  <c r="AH21" i="111"/>
  <c r="AG21" i="111"/>
  <c r="AF21" i="111"/>
  <c r="AR10" i="111"/>
  <c r="AU10" i="111"/>
  <c r="AO10" i="111"/>
  <c r="AN10" i="111"/>
  <c r="AT10" i="111"/>
  <c r="AS10" i="111"/>
  <c r="AQ10" i="111"/>
  <c r="AP10" i="111"/>
  <c r="AG24" i="472"/>
  <c r="AD61" i="110"/>
  <c r="AG61" i="110"/>
  <c r="AC61" i="110"/>
  <c r="AA61" i="110"/>
  <c r="AI61" i="110"/>
  <c r="AH61" i="110"/>
  <c r="AE61" i="110"/>
  <c r="AB61" i="110"/>
  <c r="AF61" i="110"/>
  <c r="AG28" i="110"/>
  <c r="AE28" i="110"/>
  <c r="AB28" i="110"/>
  <c r="AA28" i="110"/>
  <c r="AI28" i="110"/>
  <c r="AF28" i="110"/>
  <c r="AD28" i="110"/>
  <c r="AC28" i="110"/>
  <c r="AH28" i="110"/>
  <c r="AS20" i="111"/>
  <c r="AQ20" i="111"/>
  <c r="AP20" i="111"/>
  <c r="AN20" i="111"/>
  <c r="AR36" i="110"/>
  <c r="AT36" i="110"/>
  <c r="AS36" i="110"/>
  <c r="AQ36" i="110"/>
  <c r="AP36" i="110"/>
  <c r="AU36" i="110"/>
  <c r="AN36" i="110"/>
  <c r="AO36" i="110"/>
  <c r="AU8" i="110"/>
  <c r="AT8" i="110"/>
  <c r="AS8" i="110"/>
  <c r="AO8" i="110"/>
  <c r="AN8" i="110"/>
  <c r="AQ8" i="110"/>
  <c r="AP8" i="110"/>
  <c r="AR8" i="110"/>
  <c r="AB3" i="111"/>
  <c r="AB2" i="111" s="1"/>
  <c r="AE3" i="111"/>
  <c r="AE2" i="111" s="1"/>
  <c r="AI3" i="111"/>
  <c r="AI2" i="111" s="1"/>
  <c r="AH3" i="111"/>
  <c r="AH2" i="111" s="1"/>
  <c r="AG3" i="111"/>
  <c r="AG2" i="111" s="1"/>
  <c r="AF3" i="111"/>
  <c r="AF2" i="111" s="1"/>
  <c r="AD3" i="111"/>
  <c r="AA3" i="111"/>
  <c r="AC3" i="111"/>
  <c r="AU59" i="110"/>
  <c r="AB23" i="110"/>
  <c r="AG23" i="110"/>
  <c r="AF23" i="110"/>
  <c r="AE23" i="110"/>
  <c r="AI23" i="110"/>
  <c r="AH23" i="110"/>
  <c r="AD23" i="110"/>
  <c r="AA23" i="110"/>
  <c r="AC23" i="110"/>
  <c r="AB23" i="111"/>
  <c r="AE23" i="111"/>
  <c r="AH23" i="111"/>
  <c r="AC23" i="111"/>
  <c r="AA23" i="111"/>
  <c r="AI23" i="111"/>
  <c r="AG23" i="111"/>
  <c r="AF23" i="111"/>
  <c r="AD23" i="111"/>
  <c r="AQ59" i="110"/>
  <c r="AG10" i="110"/>
  <c r="AF10" i="110"/>
  <c r="AE10" i="110"/>
  <c r="AI10" i="110"/>
  <c r="AH10" i="110"/>
  <c r="AD10" i="110"/>
  <c r="AB10" i="110"/>
  <c r="AA10" i="110"/>
  <c r="AC10" i="110"/>
  <c r="AR56" i="108"/>
  <c r="AP56" i="108"/>
  <c r="AO56" i="108"/>
  <c r="AT56" i="108"/>
  <c r="AS56" i="108"/>
  <c r="AN56" i="108"/>
  <c r="AU56" i="108"/>
  <c r="AQ56" i="108"/>
  <c r="AQ38" i="110"/>
  <c r="AT38" i="110"/>
  <c r="AP38" i="110"/>
  <c r="AN38" i="110"/>
  <c r="AU38" i="110"/>
  <c r="AO38" i="110"/>
  <c r="AS38" i="110"/>
  <c r="AR38" i="110"/>
  <c r="AP53" i="107"/>
  <c r="AS53" i="107"/>
  <c r="AN53" i="107"/>
  <c r="AI78" i="108"/>
  <c r="AA78" i="108"/>
  <c r="AH78" i="108"/>
  <c r="AE78" i="108"/>
  <c r="AD78" i="108"/>
  <c r="AG78" i="108"/>
  <c r="AF78" i="108"/>
  <c r="AC78" i="108"/>
  <c r="AB78" i="108"/>
  <c r="AN43" i="108"/>
  <c r="AU43" i="108"/>
  <c r="AR43" i="108"/>
  <c r="AQ43" i="108"/>
  <c r="AT43" i="108"/>
  <c r="AS43" i="108"/>
  <c r="AP43" i="108"/>
  <c r="AO43" i="108"/>
  <c r="AQ55" i="107"/>
  <c r="AP55" i="107"/>
  <c r="AT55" i="107"/>
  <c r="AU55" i="107"/>
  <c r="AR55" i="107"/>
  <c r="AO55" i="107"/>
  <c r="AS55" i="107"/>
  <c r="AN55" i="107"/>
  <c r="AR52" i="107"/>
  <c r="AQ52" i="107"/>
  <c r="AO52" i="107"/>
  <c r="AN52" i="107"/>
  <c r="AS52" i="107"/>
  <c r="AT11" i="106"/>
  <c r="AS11" i="106"/>
  <c r="AP11" i="106"/>
  <c r="AU11" i="106"/>
  <c r="AQ11" i="106"/>
  <c r="AN11" i="106"/>
  <c r="AR11" i="106"/>
  <c r="AO11" i="106"/>
  <c r="AG31" i="110"/>
  <c r="AS78" i="108"/>
  <c r="AR78" i="108"/>
  <c r="AO78" i="108"/>
  <c r="AN78" i="108"/>
  <c r="AQ78" i="108"/>
  <c r="AP78" i="108"/>
  <c r="AU78" i="108"/>
  <c r="AT78" i="108"/>
  <c r="AG36" i="107"/>
  <c r="AB36" i="107"/>
  <c r="AA36" i="107"/>
  <c r="AI36" i="107"/>
  <c r="AH36" i="107"/>
  <c r="AE36" i="107"/>
  <c r="AD36" i="107"/>
  <c r="AF36" i="107"/>
  <c r="AC36" i="107"/>
  <c r="AF53" i="106"/>
  <c r="AD53" i="106"/>
  <c r="AC53" i="106"/>
  <c r="AB52" i="108"/>
  <c r="AH52" i="108"/>
  <c r="AG52" i="108"/>
  <c r="AD52" i="108"/>
  <c r="AC52" i="108"/>
  <c r="AI52" i="108"/>
  <c r="AF52" i="108"/>
  <c r="AE52" i="108"/>
  <c r="AA52" i="108"/>
  <c r="AU15" i="108"/>
  <c r="AT15" i="108"/>
  <c r="AQ15" i="108"/>
  <c r="AP15" i="108"/>
  <c r="AS15" i="108"/>
  <c r="AR15" i="108"/>
  <c r="AO15" i="108"/>
  <c r="AN15" i="108"/>
  <c r="AG14" i="108"/>
  <c r="AF14" i="108"/>
  <c r="AC14" i="108"/>
  <c r="AB14" i="108"/>
  <c r="AE14" i="108"/>
  <c r="AD14" i="108"/>
  <c r="AA14" i="108"/>
  <c r="AI14" i="108"/>
  <c r="AH14" i="108"/>
  <c r="AQ73" i="107"/>
  <c r="AQ72" i="107" s="1"/>
  <c r="AP73" i="107"/>
  <c r="AP72" i="107" s="1"/>
  <c r="AT73" i="107"/>
  <c r="AT72" i="107" s="1"/>
  <c r="AU73" i="107"/>
  <c r="AU72" i="107" s="1"/>
  <c r="AS73" i="107"/>
  <c r="AS72" i="107" s="1"/>
  <c r="AO73" i="107"/>
  <c r="AO72" i="107" s="1"/>
  <c r="AN73" i="107"/>
  <c r="AR73" i="107"/>
  <c r="AR72" i="107" s="1"/>
  <c r="AQ54" i="110"/>
  <c r="AG71" i="106"/>
  <c r="AG70" i="106" s="1"/>
  <c r="AA71" i="106"/>
  <c r="AE63" i="106"/>
  <c r="AD63" i="106"/>
  <c r="AC63" i="106"/>
  <c r="AB63" i="106"/>
  <c r="AG63" i="106"/>
  <c r="AI63" i="106"/>
  <c r="AH63" i="106"/>
  <c r="AF63" i="106"/>
  <c r="AA63" i="106"/>
  <c r="AC43" i="107"/>
  <c r="AF43" i="107"/>
  <c r="AI43" i="107"/>
  <c r="AH43" i="107"/>
  <c r="AG43" i="107"/>
  <c r="AD43" i="107"/>
  <c r="AB43" i="107"/>
  <c r="AE43" i="107"/>
  <c r="AA43" i="107"/>
  <c r="AO28" i="107"/>
  <c r="AT28" i="107"/>
  <c r="AS28" i="107"/>
  <c r="AR28" i="107"/>
  <c r="AQ28" i="107"/>
  <c r="AN28" i="107"/>
  <c r="AU28" i="107"/>
  <c r="AP28" i="107"/>
  <c r="AQ73" i="106"/>
  <c r="AQ72" i="106" s="1"/>
  <c r="AR73" i="106"/>
  <c r="AR72" i="106" s="1"/>
  <c r="AP73" i="106"/>
  <c r="AP72" i="106" s="1"/>
  <c r="AO73" i="106"/>
  <c r="AO72" i="106" s="1"/>
  <c r="AN73" i="106"/>
  <c r="AT73" i="106"/>
  <c r="AT72" i="106" s="1"/>
  <c r="AU73" i="106"/>
  <c r="AU72" i="106" s="1"/>
  <c r="AS73" i="106"/>
  <c r="AS72" i="106" s="1"/>
  <c r="AC14" i="106"/>
  <c r="AB14" i="106"/>
  <c r="AG14" i="106"/>
  <c r="AI14" i="106"/>
  <c r="AF14" i="106"/>
  <c r="AD14" i="106"/>
  <c r="AA14" i="106"/>
  <c r="AH14" i="106"/>
  <c r="AE14" i="106"/>
  <c r="AO59" i="105"/>
  <c r="AU59" i="105"/>
  <c r="AB36" i="105"/>
  <c r="AH36" i="105"/>
  <c r="AF36" i="105"/>
  <c r="AD36" i="105"/>
  <c r="AC36" i="105"/>
  <c r="AA36" i="105"/>
  <c r="AG36" i="105"/>
  <c r="AE36" i="105"/>
  <c r="AI36" i="105"/>
  <c r="AB15" i="107"/>
  <c r="AA15" i="107"/>
  <c r="AD15" i="107"/>
  <c r="AG15" i="107"/>
  <c r="AE15" i="107"/>
  <c r="AC15" i="107"/>
  <c r="AS29" i="107"/>
  <c r="AU10" i="107"/>
  <c r="AP78" i="106"/>
  <c r="AO78" i="106"/>
  <c r="AN78" i="106"/>
  <c r="AS78" i="106"/>
  <c r="AR78" i="106"/>
  <c r="AQ78" i="106"/>
  <c r="AU78" i="106"/>
  <c r="AT78" i="106"/>
  <c r="AC42" i="107"/>
  <c r="AF42" i="107"/>
  <c r="AE42" i="107"/>
  <c r="AD42" i="107"/>
  <c r="AB42" i="107"/>
  <c r="AA42" i="107"/>
  <c r="AI42" i="107"/>
  <c r="AH42" i="107"/>
  <c r="AG42" i="107"/>
  <c r="AO61" i="106"/>
  <c r="AN61" i="106"/>
  <c r="AU61" i="106"/>
  <c r="AT61" i="106"/>
  <c r="AQ61" i="106"/>
  <c r="AR61" i="106"/>
  <c r="AP61" i="106"/>
  <c r="AS61" i="106"/>
  <c r="AI65" i="107"/>
  <c r="AE28" i="107"/>
  <c r="AI28" i="107"/>
  <c r="AH28" i="107"/>
  <c r="AG28" i="107"/>
  <c r="AF28" i="107"/>
  <c r="AC28" i="107"/>
  <c r="AB28" i="107"/>
  <c r="AD28" i="107"/>
  <c r="AA28" i="107"/>
  <c r="AH67" i="106"/>
  <c r="AH65" i="106" s="1"/>
  <c r="AC67" i="106"/>
  <c r="AC65" i="106" s="1"/>
  <c r="AB67" i="106"/>
  <c r="AB65" i="106" s="1"/>
  <c r="AO27" i="107"/>
  <c r="AN27" i="107"/>
  <c r="AT27" i="107"/>
  <c r="AR27" i="107"/>
  <c r="AQ27" i="107"/>
  <c r="AS27" i="107"/>
  <c r="AP27" i="107"/>
  <c r="AR64" i="106"/>
  <c r="AQ64" i="106"/>
  <c r="AP64" i="106"/>
  <c r="AO64" i="106"/>
  <c r="AT64" i="106"/>
  <c r="AU64" i="106"/>
  <c r="AS64" i="106"/>
  <c r="AN64" i="106"/>
  <c r="AH53" i="106"/>
  <c r="AT69" i="105"/>
  <c r="AS69" i="105"/>
  <c r="AP69" i="105"/>
  <c r="AN69" i="105"/>
  <c r="AU69" i="105"/>
  <c r="AR69" i="105"/>
  <c r="AQ69" i="105"/>
  <c r="AO69" i="105"/>
  <c r="AO68" i="105" s="1"/>
  <c r="AD45" i="105"/>
  <c r="AC45" i="105"/>
  <c r="AG45" i="105"/>
  <c r="AE45" i="105"/>
  <c r="AA45" i="105"/>
  <c r="AI45" i="105"/>
  <c r="AH45" i="105"/>
  <c r="AF45" i="105"/>
  <c r="AB45" i="105"/>
  <c r="AR15" i="105"/>
  <c r="AP15" i="105"/>
  <c r="AU15" i="105"/>
  <c r="AT15" i="105"/>
  <c r="AS15" i="105"/>
  <c r="AQ15" i="105"/>
  <c r="AO15" i="105"/>
  <c r="AN15" i="105"/>
  <c r="AO30" i="105"/>
  <c r="AS30" i="105"/>
  <c r="AQ30" i="105"/>
  <c r="AU30" i="105"/>
  <c r="AT30" i="105"/>
  <c r="AR30" i="105"/>
  <c r="AP30" i="105"/>
  <c r="AN30" i="105"/>
  <c r="AA29" i="103"/>
  <c r="AI29" i="103"/>
  <c r="AG29" i="103"/>
  <c r="AE29" i="103"/>
  <c r="AD29" i="103"/>
  <c r="AB29" i="103"/>
  <c r="AG54" i="102"/>
  <c r="AI54" i="102"/>
  <c r="AH54" i="102"/>
  <c r="AF54" i="102"/>
  <c r="AE54" i="102"/>
  <c r="AD54" i="102"/>
  <c r="AC54" i="102"/>
  <c r="AB54" i="102"/>
  <c r="AA54" i="102"/>
  <c r="AS59" i="105"/>
  <c r="AQ34" i="105"/>
  <c r="AR34" i="105"/>
  <c r="AO34" i="105"/>
  <c r="AU34" i="105"/>
  <c r="AT34" i="105"/>
  <c r="AS34" i="105"/>
  <c r="AP34" i="105"/>
  <c r="AN34" i="105"/>
  <c r="AS26" i="105"/>
  <c r="AP26" i="105"/>
  <c r="AN26" i="105"/>
  <c r="AT26" i="105"/>
  <c r="AR26" i="105"/>
  <c r="AU26" i="105"/>
  <c r="AQ26" i="105"/>
  <c r="AO26" i="105"/>
  <c r="AD31" i="103"/>
  <c r="AB31" i="103"/>
  <c r="AG31" i="103"/>
  <c r="AI31" i="103"/>
  <c r="AH31" i="103"/>
  <c r="AF31" i="103"/>
  <c r="AE31" i="103"/>
  <c r="AC31" i="103"/>
  <c r="AA31" i="103"/>
  <c r="AF29" i="103"/>
  <c r="AQ69" i="102"/>
  <c r="AO69" i="102"/>
  <c r="AO68" i="102" s="1"/>
  <c r="AU69" i="102"/>
  <c r="AT69" i="102"/>
  <c r="AS69" i="102"/>
  <c r="AR69" i="102"/>
  <c r="AP69" i="102"/>
  <c r="AN69" i="102"/>
  <c r="AC56" i="101"/>
  <c r="AI56" i="101"/>
  <c r="AA56" i="101"/>
  <c r="AJ66" i="105"/>
  <c r="AD24" i="105"/>
  <c r="AA24" i="105"/>
  <c r="AH24" i="105"/>
  <c r="AE24" i="105"/>
  <c r="AC24" i="105"/>
  <c r="AF24" i="105"/>
  <c r="AB24" i="105"/>
  <c r="AI24" i="105"/>
  <c r="AG24" i="105"/>
  <c r="AI69" i="103"/>
  <c r="AI68" i="103" s="1"/>
  <c r="AA69" i="103"/>
  <c r="AG69" i="103"/>
  <c r="AG68" i="103" s="1"/>
  <c r="AD69" i="103"/>
  <c r="AD68" i="103" s="1"/>
  <c r="AH69" i="103"/>
  <c r="AH68" i="103" s="1"/>
  <c r="AF69" i="103"/>
  <c r="AF68" i="103" s="1"/>
  <c r="AE69" i="103"/>
  <c r="AE68" i="103" s="1"/>
  <c r="AC69" i="103"/>
  <c r="AC68" i="103" s="1"/>
  <c r="AB69" i="103"/>
  <c r="AB68" i="103" s="1"/>
  <c r="AN64" i="102"/>
  <c r="AO64" i="102"/>
  <c r="AU64" i="102"/>
  <c r="AT64" i="102"/>
  <c r="AS64" i="102"/>
  <c r="AR64" i="102"/>
  <c r="AQ64" i="102"/>
  <c r="AP64" i="102"/>
  <c r="AG56" i="101"/>
  <c r="AQ46" i="105"/>
  <c r="AO46" i="105"/>
  <c r="AT46" i="105"/>
  <c r="AR46" i="105"/>
  <c r="AP46" i="105"/>
  <c r="AE19" i="105"/>
  <c r="AC19" i="105"/>
  <c r="AH19" i="105"/>
  <c r="AG19" i="105"/>
  <c r="AF19" i="105"/>
  <c r="AD19" i="105"/>
  <c r="AB19" i="105"/>
  <c r="AA19" i="105"/>
  <c r="AI19" i="105"/>
  <c r="AI14" i="105"/>
  <c r="AA14" i="105"/>
  <c r="AG14" i="105"/>
  <c r="AD14" i="105"/>
  <c r="AC14" i="105"/>
  <c r="AH14" i="105"/>
  <c r="AF14" i="105"/>
  <c r="AE14" i="105"/>
  <c r="AB14" i="105"/>
  <c r="AA51" i="103"/>
  <c r="AD11" i="103"/>
  <c r="AB11" i="103"/>
  <c r="AG11" i="103"/>
  <c r="AH11" i="103"/>
  <c r="AF11" i="103"/>
  <c r="AE11" i="103"/>
  <c r="AC11" i="103"/>
  <c r="AA11" i="103"/>
  <c r="AI11" i="103"/>
  <c r="AT52" i="102"/>
  <c r="AO52" i="102"/>
  <c r="AN52" i="102"/>
  <c r="AU52" i="102"/>
  <c r="AS52" i="102"/>
  <c r="AR52" i="102"/>
  <c r="AQ52" i="102"/>
  <c r="AP52" i="102"/>
  <c r="AN32" i="101"/>
  <c r="AR32" i="101"/>
  <c r="AP32" i="101"/>
  <c r="AN21" i="101"/>
  <c r="AU21" i="101"/>
  <c r="AT21" i="101"/>
  <c r="AS21" i="101"/>
  <c r="AR21" i="101"/>
  <c r="AP21" i="101"/>
  <c r="AQ21" i="101"/>
  <c r="AO21" i="101"/>
  <c r="AI14" i="100"/>
  <c r="AE14" i="100"/>
  <c r="AC14" i="100"/>
  <c r="AA14" i="100"/>
  <c r="AH51" i="103"/>
  <c r="AC34" i="103"/>
  <c r="AE52" i="102"/>
  <c r="AB52" i="102"/>
  <c r="AI52" i="102"/>
  <c r="AG52" i="102"/>
  <c r="AF52" i="102"/>
  <c r="AB11" i="102"/>
  <c r="AI11" i="102"/>
  <c r="AA11" i="102"/>
  <c r="AH11" i="102"/>
  <c r="AG11" i="102"/>
  <c r="AF11" i="102"/>
  <c r="AE11" i="102"/>
  <c r="AD11" i="102"/>
  <c r="AC11" i="102"/>
  <c r="AO66" i="101"/>
  <c r="AN66" i="101"/>
  <c r="AU66" i="101"/>
  <c r="AT66" i="101"/>
  <c r="AS66" i="101"/>
  <c r="AS65" i="101" s="1"/>
  <c r="AR66" i="101"/>
  <c r="AQ66" i="101"/>
  <c r="AP66" i="101"/>
  <c r="AD4" i="105"/>
  <c r="AN67" i="103"/>
  <c r="AE44" i="103"/>
  <c r="AC44" i="103"/>
  <c r="AH44" i="103"/>
  <c r="AF44" i="103"/>
  <c r="AD44" i="103"/>
  <c r="AB44" i="103"/>
  <c r="AA44" i="103"/>
  <c r="AI44" i="103"/>
  <c r="AG44" i="103"/>
  <c r="AF32" i="103"/>
  <c r="AD32" i="103"/>
  <c r="AI32" i="103"/>
  <c r="AA32" i="103"/>
  <c r="AG32" i="103"/>
  <c r="AE32" i="103"/>
  <c r="AC32" i="103"/>
  <c r="AB32" i="103"/>
  <c r="AH32" i="103"/>
  <c r="AR41" i="102"/>
  <c r="AQ41" i="102"/>
  <c r="AP41" i="102"/>
  <c r="AO41" i="102"/>
  <c r="AN41" i="102"/>
  <c r="AU41" i="102"/>
  <c r="AT41" i="102"/>
  <c r="AS41" i="102"/>
  <c r="AC67" i="101"/>
  <c r="AB67" i="101"/>
  <c r="AI67" i="101"/>
  <c r="AA67" i="101"/>
  <c r="AH67" i="101"/>
  <c r="AG67" i="101"/>
  <c r="AF67" i="101"/>
  <c r="AE67" i="101"/>
  <c r="AD67" i="101"/>
  <c r="AP30" i="100"/>
  <c r="AN30" i="100"/>
  <c r="AU30" i="100"/>
  <c r="AT30" i="100"/>
  <c r="AR30" i="100"/>
  <c r="AS30" i="100"/>
  <c r="AQ30" i="100"/>
  <c r="AO30" i="100"/>
  <c r="AC52" i="105"/>
  <c r="AU41" i="105"/>
  <c r="AP67" i="103"/>
  <c r="AT30" i="103"/>
  <c r="AR30" i="103"/>
  <c r="AO30" i="103"/>
  <c r="AU30" i="103"/>
  <c r="AS30" i="103"/>
  <c r="AQ30" i="103"/>
  <c r="AP30" i="103"/>
  <c r="AN30" i="103"/>
  <c r="AD17" i="103"/>
  <c r="AB17" i="103"/>
  <c r="AG17" i="103"/>
  <c r="AH17" i="103"/>
  <c r="AF17" i="103"/>
  <c r="AE17" i="103"/>
  <c r="AC17" i="103"/>
  <c r="AA17" i="103"/>
  <c r="AI17" i="103"/>
  <c r="AP54" i="102"/>
  <c r="AS54" i="102"/>
  <c r="AR54" i="102"/>
  <c r="AQ54" i="102"/>
  <c r="AO54" i="102"/>
  <c r="AN54" i="102"/>
  <c r="AU54" i="102"/>
  <c r="AT54" i="102"/>
  <c r="AR35" i="106"/>
  <c r="AP2" i="105"/>
  <c r="AO65" i="103"/>
  <c r="AF24" i="102"/>
  <c r="AE14" i="102"/>
  <c r="AD14" i="102"/>
  <c r="AC14" i="102"/>
  <c r="AB14" i="102"/>
  <c r="AI14" i="102"/>
  <c r="AA14" i="102"/>
  <c r="AH14" i="102"/>
  <c r="AG14" i="102"/>
  <c r="AF14" i="102"/>
  <c r="AB56" i="101"/>
  <c r="AI8" i="101"/>
  <c r="AG8" i="101"/>
  <c r="AA8" i="101"/>
  <c r="AR67" i="100"/>
  <c r="AP67" i="100"/>
  <c r="AO67" i="100"/>
  <c r="AN67" i="100"/>
  <c r="AT67" i="100"/>
  <c r="AU67" i="100"/>
  <c r="AS67" i="100"/>
  <c r="AQ67" i="100"/>
  <c r="AR69" i="101"/>
  <c r="AT38" i="100"/>
  <c r="AR38" i="100"/>
  <c r="AP38" i="100"/>
  <c r="AD45" i="102"/>
  <c r="AE13" i="102"/>
  <c r="AD13" i="102"/>
  <c r="AC13" i="102"/>
  <c r="AB13" i="102"/>
  <c r="AI13" i="102"/>
  <c r="AA13" i="102"/>
  <c r="AH13" i="102"/>
  <c r="AG13" i="102"/>
  <c r="AF13" i="102"/>
  <c r="AP31" i="101"/>
  <c r="AN31" i="101"/>
  <c r="AR41" i="100"/>
  <c r="AU37" i="100"/>
  <c r="AG66" i="102"/>
  <c r="AD48" i="101"/>
  <c r="AB48" i="101"/>
  <c r="AN52" i="105"/>
  <c r="AC48" i="101"/>
  <c r="AN44" i="101"/>
  <c r="AP44" i="101"/>
  <c r="AR44" i="101"/>
  <c r="AP27" i="101"/>
  <c r="AN27" i="101"/>
  <c r="AN29" i="100"/>
  <c r="AT29" i="100"/>
  <c r="AS29" i="100"/>
  <c r="AR29" i="100"/>
  <c r="AP29" i="100"/>
  <c r="AO29" i="100"/>
  <c r="AQ29" i="100"/>
  <c r="AU29" i="100"/>
  <c r="AI13" i="103"/>
  <c r="AC8" i="101"/>
  <c r="AG17" i="100"/>
  <c r="AE17" i="100"/>
  <c r="AD17" i="100"/>
  <c r="AC17" i="100"/>
  <c r="AI17" i="100"/>
  <c r="AA17" i="100"/>
  <c r="AB17" i="100"/>
  <c r="AF17" i="100"/>
  <c r="AH17" i="100"/>
  <c r="AG9" i="102"/>
  <c r="AQ51" i="101"/>
  <c r="AU45" i="101"/>
  <c r="AI24" i="101"/>
  <c r="AQ46" i="100"/>
  <c r="AR19" i="100"/>
  <c r="AP19" i="100"/>
  <c r="AO19" i="100"/>
  <c r="AN19" i="100"/>
  <c r="AT19" i="100"/>
  <c r="AU19" i="100"/>
  <c r="AS19" i="100"/>
  <c r="AQ19" i="100"/>
  <c r="AH9" i="102"/>
  <c r="AU64" i="101"/>
  <c r="AC69" i="100"/>
  <c r="AC58" i="100"/>
  <c r="AT48" i="100"/>
  <c r="AQ11" i="100"/>
  <c r="AR64" i="100"/>
  <c r="AS45" i="475"/>
  <c r="AO45" i="475"/>
  <c r="AT45" i="475"/>
  <c r="AN45" i="475"/>
  <c r="AP56" i="475"/>
  <c r="AO56" i="475"/>
  <c r="AT56" i="475"/>
  <c r="AN56" i="475"/>
  <c r="AU56" i="475"/>
  <c r="AS56" i="475"/>
  <c r="AR56" i="475"/>
  <c r="AQ56" i="475"/>
  <c r="AP45" i="475"/>
  <c r="AU78" i="475"/>
  <c r="AR78" i="475"/>
  <c r="AN78" i="475"/>
  <c r="AQ78" i="475"/>
  <c r="AP78" i="475"/>
  <c r="AO78" i="475"/>
  <c r="AT78" i="475"/>
  <c r="AS78" i="475"/>
  <c r="AQ9" i="475"/>
  <c r="AP9" i="475"/>
  <c r="AT9" i="475"/>
  <c r="AU9" i="475"/>
  <c r="AS9" i="475"/>
  <c r="AR9" i="475"/>
  <c r="AO9" i="475"/>
  <c r="AN9" i="475"/>
  <c r="AB14" i="475"/>
  <c r="AI14" i="475"/>
  <c r="AA14" i="475"/>
  <c r="AE14" i="475"/>
  <c r="AH14" i="475"/>
  <c r="AG14" i="475"/>
  <c r="AF14" i="475"/>
  <c r="AC14" i="475"/>
  <c r="AD14" i="475"/>
  <c r="AI43" i="475"/>
  <c r="AF32" i="475"/>
  <c r="AC32" i="475"/>
  <c r="AB32" i="475"/>
  <c r="AA32" i="475"/>
  <c r="AI32" i="475"/>
  <c r="AS14" i="475"/>
  <c r="AR14" i="475"/>
  <c r="AN14" i="475"/>
  <c r="AO14" i="475"/>
  <c r="AU14" i="475"/>
  <c r="AT14" i="475"/>
  <c r="AP14" i="475"/>
  <c r="AQ14" i="475"/>
  <c r="AJ25" i="475"/>
  <c r="AE4" i="475"/>
  <c r="AE2" i="475" s="1"/>
  <c r="AB4" i="475"/>
  <c r="AB2" i="475" s="1"/>
  <c r="AH4" i="475"/>
  <c r="AH2" i="475" s="1"/>
  <c r="AF4" i="475"/>
  <c r="AG4" i="475"/>
  <c r="AO63" i="125"/>
  <c r="AN63" i="125"/>
  <c r="AU63" i="125"/>
  <c r="AT63" i="125"/>
  <c r="AS63" i="125"/>
  <c r="AR63" i="125"/>
  <c r="AQ63" i="125"/>
  <c r="AP63" i="125"/>
  <c r="AE32" i="475"/>
  <c r="AD16" i="475"/>
  <c r="AC16" i="475"/>
  <c r="AG16" i="475"/>
  <c r="AI16" i="475"/>
  <c r="AH16" i="475"/>
  <c r="AF16" i="475"/>
  <c r="AE16" i="475"/>
  <c r="AB16" i="475"/>
  <c r="AA16" i="475"/>
  <c r="AB19" i="125"/>
  <c r="AH19" i="125"/>
  <c r="AG19" i="125"/>
  <c r="AF19" i="125"/>
  <c r="AD19" i="125"/>
  <c r="AI19" i="125"/>
  <c r="AE19" i="125"/>
  <c r="AA19" i="125"/>
  <c r="AC19" i="125"/>
  <c r="AD57" i="125"/>
  <c r="AC57" i="125"/>
  <c r="AB57" i="125"/>
  <c r="AI57" i="125"/>
  <c r="AA57" i="125"/>
  <c r="AH57" i="125"/>
  <c r="AG57" i="125"/>
  <c r="AF57" i="125"/>
  <c r="AE57" i="125"/>
  <c r="AD43" i="475"/>
  <c r="AV36" i="475"/>
  <c r="AD61" i="125"/>
  <c r="AC61" i="125"/>
  <c r="AB61" i="125"/>
  <c r="AI61" i="125"/>
  <c r="AA61" i="125"/>
  <c r="AH61" i="125"/>
  <c r="AG61" i="125"/>
  <c r="AF61" i="125"/>
  <c r="AE61" i="125"/>
  <c r="AU67" i="125"/>
  <c r="AU65" i="125" s="1"/>
  <c r="AT67" i="125"/>
  <c r="AT65" i="125" s="1"/>
  <c r="AS67" i="125"/>
  <c r="AS65" i="125" s="1"/>
  <c r="AR67" i="125"/>
  <c r="AR65" i="125" s="1"/>
  <c r="AQ67" i="125"/>
  <c r="AP67" i="125"/>
  <c r="AO67" i="125"/>
  <c r="AO65" i="125" s="1"/>
  <c r="AN67" i="125"/>
  <c r="AB28" i="125"/>
  <c r="AH28" i="125"/>
  <c r="AG28" i="125"/>
  <c r="AF28" i="125"/>
  <c r="AA28" i="125"/>
  <c r="AI28" i="125"/>
  <c r="AE28" i="125"/>
  <c r="AD28" i="125"/>
  <c r="AC28" i="125"/>
  <c r="AT42" i="125"/>
  <c r="AS42" i="125"/>
  <c r="AV27" i="475"/>
  <c r="AI3" i="125"/>
  <c r="AA3" i="125"/>
  <c r="AG3" i="125"/>
  <c r="AF3" i="125"/>
  <c r="AE3" i="125"/>
  <c r="AD3" i="125"/>
  <c r="AB3" i="125"/>
  <c r="AH3" i="125"/>
  <c r="AC3" i="125"/>
  <c r="AG31" i="123"/>
  <c r="AB31" i="123"/>
  <c r="AA31" i="123"/>
  <c r="AI31" i="123"/>
  <c r="AF31" i="123"/>
  <c r="AE31" i="123"/>
  <c r="AD31" i="123"/>
  <c r="AC31" i="123"/>
  <c r="AH31" i="123"/>
  <c r="AG25" i="123"/>
  <c r="AF25" i="123"/>
  <c r="AE25" i="123"/>
  <c r="AC25" i="123"/>
  <c r="AB25" i="123"/>
  <c r="AI25" i="123"/>
  <c r="AA25" i="123"/>
  <c r="AH25" i="123"/>
  <c r="AD25" i="123"/>
  <c r="AS67" i="123"/>
  <c r="AQ67" i="123"/>
  <c r="AT67" i="123"/>
  <c r="AT58" i="123"/>
  <c r="AE56" i="122"/>
  <c r="AA56" i="122"/>
  <c r="AO49" i="123"/>
  <c r="AT49" i="123"/>
  <c r="AS49" i="123"/>
  <c r="AP49" i="123"/>
  <c r="AN49" i="123"/>
  <c r="AP63" i="122"/>
  <c r="AO63" i="122"/>
  <c r="AN63" i="122"/>
  <c r="AT63" i="122"/>
  <c r="AR63" i="122"/>
  <c r="AQ63" i="122"/>
  <c r="AU63" i="122"/>
  <c r="AS63" i="122"/>
  <c r="AB66" i="123"/>
  <c r="AB65" i="123" s="1"/>
  <c r="AR58" i="123"/>
  <c r="AE32" i="123"/>
  <c r="AA32" i="123"/>
  <c r="AI32" i="123"/>
  <c r="AH32" i="123"/>
  <c r="AC32" i="123"/>
  <c r="AF9" i="123"/>
  <c r="AG28" i="122"/>
  <c r="AH43" i="123"/>
  <c r="AB78" i="123"/>
  <c r="AJ72" i="122"/>
  <c r="AR69" i="122"/>
  <c r="AG35" i="123"/>
  <c r="AI10" i="123"/>
  <c r="AD56" i="122"/>
  <c r="AR37" i="122"/>
  <c r="AO55" i="121"/>
  <c r="AT55" i="121"/>
  <c r="AS55" i="121"/>
  <c r="AR55" i="121"/>
  <c r="AQ55" i="121"/>
  <c r="AP55" i="121"/>
  <c r="AU55" i="121"/>
  <c r="AN55" i="121"/>
  <c r="AG39" i="123"/>
  <c r="AS28" i="122"/>
  <c r="AG13" i="122"/>
  <c r="AD9" i="123"/>
  <c r="AC49" i="122"/>
  <c r="AI49" i="122"/>
  <c r="AA49" i="122"/>
  <c r="AG49" i="122"/>
  <c r="AE49" i="122"/>
  <c r="AH49" i="122"/>
  <c r="AF49" i="122"/>
  <c r="AD49" i="122"/>
  <c r="AB49" i="122"/>
  <c r="AQ37" i="122"/>
  <c r="AE13" i="122"/>
  <c r="AP57" i="121"/>
  <c r="AU57" i="121"/>
  <c r="AT57" i="121"/>
  <c r="AS57" i="121"/>
  <c r="AR57" i="121"/>
  <c r="AQ57" i="121"/>
  <c r="AO57" i="121"/>
  <c r="AN57" i="121"/>
  <c r="AS52" i="121"/>
  <c r="AP52" i="121"/>
  <c r="AO52" i="121"/>
  <c r="AN52" i="121"/>
  <c r="AU52" i="121"/>
  <c r="AT52" i="121"/>
  <c r="AR52" i="121"/>
  <c r="AQ52" i="121"/>
  <c r="AB44" i="121"/>
  <c r="AO37" i="121"/>
  <c r="AU37" i="121"/>
  <c r="AT37" i="121"/>
  <c r="AN37" i="121"/>
  <c r="AS37" i="121"/>
  <c r="AR37" i="121"/>
  <c r="AQ37" i="121"/>
  <c r="AP37" i="121"/>
  <c r="AB31" i="121"/>
  <c r="AH31" i="121"/>
  <c r="AD31" i="121"/>
  <c r="AC31" i="121"/>
  <c r="AA31" i="121"/>
  <c r="AI31" i="121"/>
  <c r="AG31" i="121"/>
  <c r="AF31" i="121"/>
  <c r="AE31" i="121"/>
  <c r="AN46" i="121"/>
  <c r="AT46" i="121"/>
  <c r="AS46" i="121"/>
  <c r="AU46" i="121"/>
  <c r="AR46" i="121"/>
  <c r="AQ46" i="121"/>
  <c r="AP46" i="121"/>
  <c r="AO46" i="121"/>
  <c r="AT31" i="121"/>
  <c r="AR31" i="121"/>
  <c r="AP31" i="121"/>
  <c r="AO31" i="121"/>
  <c r="AN31" i="121"/>
  <c r="AU31" i="121"/>
  <c r="AS31" i="121"/>
  <c r="AQ31" i="121"/>
  <c r="AO20" i="121"/>
  <c r="AB71" i="121"/>
  <c r="AP58" i="121"/>
  <c r="AN16" i="121"/>
  <c r="AR16" i="121"/>
  <c r="AP16" i="121"/>
  <c r="AO16" i="121"/>
  <c r="AU16" i="121"/>
  <c r="AT16" i="121"/>
  <c r="AS16" i="121"/>
  <c r="AQ16" i="121"/>
  <c r="AQ32" i="122"/>
  <c r="AO32" i="122"/>
  <c r="AU32" i="122"/>
  <c r="AS32" i="122"/>
  <c r="AT32" i="122"/>
  <c r="AP32" i="122"/>
  <c r="AN32" i="122"/>
  <c r="AR32" i="122"/>
  <c r="AD44" i="121"/>
  <c r="AU14" i="121"/>
  <c r="AS14" i="121"/>
  <c r="AQ14" i="121"/>
  <c r="AP14" i="121"/>
  <c r="AO14" i="121"/>
  <c r="AN14" i="121"/>
  <c r="AT14" i="121"/>
  <c r="AR14" i="121"/>
  <c r="AA44" i="121"/>
  <c r="AD16" i="121"/>
  <c r="AG16" i="121"/>
  <c r="AE16" i="121"/>
  <c r="AC16" i="121"/>
  <c r="AB16" i="121"/>
  <c r="AA16" i="121"/>
  <c r="AI16" i="121"/>
  <c r="AH16" i="121"/>
  <c r="AF16" i="121"/>
  <c r="AE34" i="120"/>
  <c r="AE15" i="120"/>
  <c r="AF8" i="121"/>
  <c r="AQ18" i="120"/>
  <c r="AN18" i="120"/>
  <c r="AU18" i="120"/>
  <c r="AR18" i="120"/>
  <c r="AP18" i="120"/>
  <c r="AO18" i="120"/>
  <c r="AT18" i="120"/>
  <c r="AS18" i="120"/>
  <c r="AN42" i="120"/>
  <c r="AR32" i="120"/>
  <c r="AO32" i="120"/>
  <c r="AN32" i="120"/>
  <c r="AU32" i="120"/>
  <c r="AS32" i="120"/>
  <c r="AQ32" i="120"/>
  <c r="AP32" i="120"/>
  <c r="AT32" i="120"/>
  <c r="AR63" i="120"/>
  <c r="AO63" i="120"/>
  <c r="AN63" i="120"/>
  <c r="AT63" i="120"/>
  <c r="AS63" i="120"/>
  <c r="AP63" i="120"/>
  <c r="AU63" i="120"/>
  <c r="AQ63" i="120"/>
  <c r="AF69" i="120"/>
  <c r="AF68" i="120" s="1"/>
  <c r="AB39" i="120"/>
  <c r="AE39" i="120"/>
  <c r="AD39" i="120"/>
  <c r="AC39" i="120"/>
  <c r="AA39" i="120"/>
  <c r="AH39" i="120"/>
  <c r="AG39" i="120"/>
  <c r="AF39" i="120"/>
  <c r="AI39" i="120"/>
  <c r="AI8" i="120"/>
  <c r="AA69" i="120"/>
  <c r="AG66" i="120"/>
  <c r="AD66" i="120"/>
  <c r="AC66" i="120"/>
  <c r="AI66" i="120"/>
  <c r="AA66" i="120"/>
  <c r="AH66" i="120"/>
  <c r="AF66" i="120"/>
  <c r="AE66" i="120"/>
  <c r="AB66" i="120"/>
  <c r="AG56" i="119"/>
  <c r="AE13" i="120"/>
  <c r="AH13" i="120"/>
  <c r="AF13" i="120"/>
  <c r="AB13" i="120"/>
  <c r="AA13" i="120"/>
  <c r="AI13" i="120"/>
  <c r="AG13" i="120"/>
  <c r="AD13" i="120"/>
  <c r="AC13" i="120"/>
  <c r="AE56" i="119"/>
  <c r="AB20" i="120"/>
  <c r="AE20" i="120"/>
  <c r="AC20" i="120"/>
  <c r="AH20" i="120"/>
  <c r="AG20" i="120"/>
  <c r="AF20" i="120"/>
  <c r="AA20" i="120"/>
  <c r="AI20" i="120"/>
  <c r="AD20" i="120"/>
  <c r="AS17" i="120"/>
  <c r="AT17" i="120"/>
  <c r="AR17" i="120"/>
  <c r="AP17" i="120"/>
  <c r="AN17" i="120"/>
  <c r="AD56" i="119"/>
  <c r="AT38" i="119"/>
  <c r="AQ20" i="119"/>
  <c r="AG8" i="120"/>
  <c r="AI44" i="119"/>
  <c r="AA44" i="119"/>
  <c r="AG44" i="119"/>
  <c r="AD44" i="119"/>
  <c r="AC44" i="119"/>
  <c r="AE44" i="119"/>
  <c r="AB44" i="119"/>
  <c r="AH44" i="119"/>
  <c r="AF44" i="119"/>
  <c r="AV23" i="120"/>
  <c r="AJ11" i="120"/>
  <c r="AQ58" i="119"/>
  <c r="AO58" i="119"/>
  <c r="AT58" i="119"/>
  <c r="AS58" i="119"/>
  <c r="AN58" i="119"/>
  <c r="AU58" i="119"/>
  <c r="AR58" i="119"/>
  <c r="AP58" i="119"/>
  <c r="AC56" i="119"/>
  <c r="AD3" i="120"/>
  <c r="AB3" i="120"/>
  <c r="AG3" i="120"/>
  <c r="AF3" i="120"/>
  <c r="AE3" i="120"/>
  <c r="AH3" i="120"/>
  <c r="AC3" i="120"/>
  <c r="AA3" i="120"/>
  <c r="AI3" i="120"/>
  <c r="AI2" i="120" s="1"/>
  <c r="AN69" i="119"/>
  <c r="AT69" i="119"/>
  <c r="AQ69" i="119"/>
  <c r="AP69" i="119"/>
  <c r="AO69" i="119"/>
  <c r="AS69" i="119"/>
  <c r="AR69" i="119"/>
  <c r="AU69" i="119"/>
  <c r="AO25" i="119"/>
  <c r="AT25" i="119"/>
  <c r="AS25" i="119"/>
  <c r="AR25" i="119"/>
  <c r="AQ25" i="119"/>
  <c r="AU25" i="119"/>
  <c r="AP25" i="119"/>
  <c r="AN25" i="119"/>
  <c r="AU18" i="119"/>
  <c r="AS31" i="120"/>
  <c r="AU31" i="120"/>
  <c r="AT31" i="120"/>
  <c r="AR31" i="120"/>
  <c r="AP31" i="120"/>
  <c r="AO31" i="120"/>
  <c r="AN31" i="120"/>
  <c r="AQ31" i="120"/>
  <c r="AU20" i="119"/>
  <c r="AN32" i="119"/>
  <c r="AS32" i="119"/>
  <c r="AU32" i="119"/>
  <c r="AT32" i="119"/>
  <c r="AR32" i="119"/>
  <c r="AO32" i="119"/>
  <c r="AQ32" i="119"/>
  <c r="AP32" i="119"/>
  <c r="AO54" i="119"/>
  <c r="AU32" i="118"/>
  <c r="AR28" i="119"/>
  <c r="AO28" i="119"/>
  <c r="AU28" i="119"/>
  <c r="AT28" i="119"/>
  <c r="AS28" i="119"/>
  <c r="AN28" i="119"/>
  <c r="AP28" i="119"/>
  <c r="AQ28" i="119"/>
  <c r="AF46" i="118"/>
  <c r="AD46" i="118"/>
  <c r="AI46" i="118"/>
  <c r="AH46" i="118"/>
  <c r="AG46" i="118"/>
  <c r="AE46" i="118"/>
  <c r="AC46" i="118"/>
  <c r="AB46" i="118"/>
  <c r="AA46" i="118"/>
  <c r="AI56" i="119"/>
  <c r="AT52" i="118"/>
  <c r="AQ52" i="118"/>
  <c r="AO52" i="118"/>
  <c r="AS52" i="118"/>
  <c r="AR52" i="118"/>
  <c r="AP52" i="118"/>
  <c r="AN52" i="118"/>
  <c r="AU52" i="118"/>
  <c r="AT35" i="118"/>
  <c r="AQ35" i="118"/>
  <c r="AP35" i="118"/>
  <c r="AQ27" i="119"/>
  <c r="AN27" i="119"/>
  <c r="AU27" i="119"/>
  <c r="AT27" i="119"/>
  <c r="AS27" i="119"/>
  <c r="AO27" i="119"/>
  <c r="AR27" i="119"/>
  <c r="AP27" i="119"/>
  <c r="AC48" i="118"/>
  <c r="AS32" i="118"/>
  <c r="AD63" i="118"/>
  <c r="AB63" i="118"/>
  <c r="AG63" i="118"/>
  <c r="AE63" i="118"/>
  <c r="AI63" i="118"/>
  <c r="AH63" i="118"/>
  <c r="AF63" i="118"/>
  <c r="AC63" i="118"/>
  <c r="AA63" i="118"/>
  <c r="AT40" i="118"/>
  <c r="AR40" i="118"/>
  <c r="AO40" i="118"/>
  <c r="AN40" i="118"/>
  <c r="AU40" i="118"/>
  <c r="AS40" i="118"/>
  <c r="AQ40" i="118"/>
  <c r="AP40" i="118"/>
  <c r="AQ17" i="119"/>
  <c r="AT17" i="119"/>
  <c r="AS17" i="119"/>
  <c r="AR17" i="119"/>
  <c r="AN17" i="119"/>
  <c r="AU17" i="119"/>
  <c r="AP17" i="119"/>
  <c r="AO17" i="119"/>
  <c r="AI59" i="118"/>
  <c r="AG59" i="118"/>
  <c r="AD59" i="118"/>
  <c r="AB59" i="118"/>
  <c r="AA59" i="118"/>
  <c r="AE59" i="118"/>
  <c r="AH17" i="120"/>
  <c r="AG51" i="118"/>
  <c r="AG73" i="117"/>
  <c r="AF73" i="117"/>
  <c r="AE73" i="117"/>
  <c r="AD73" i="117"/>
  <c r="AI73" i="117"/>
  <c r="AA73" i="117"/>
  <c r="AH73" i="117"/>
  <c r="AC73" i="117"/>
  <c r="AB73" i="117"/>
  <c r="AS59" i="117"/>
  <c r="AR59" i="117"/>
  <c r="AQ59" i="117"/>
  <c r="AP59" i="117"/>
  <c r="AU59" i="117"/>
  <c r="AT59" i="117"/>
  <c r="AO59" i="117"/>
  <c r="AN59" i="117"/>
  <c r="AR78" i="117"/>
  <c r="AQ78" i="117"/>
  <c r="AP78" i="117"/>
  <c r="AU78" i="117"/>
  <c r="AT78" i="117"/>
  <c r="AS78" i="117"/>
  <c r="AO78" i="117"/>
  <c r="AN78" i="117"/>
  <c r="AH41" i="117"/>
  <c r="AG27" i="118"/>
  <c r="AF27" i="118"/>
  <c r="AE27" i="118"/>
  <c r="AD27" i="118"/>
  <c r="AH27" i="118"/>
  <c r="AB27" i="118"/>
  <c r="AI61" i="117"/>
  <c r="AA61" i="117"/>
  <c r="AH61" i="117"/>
  <c r="AG61" i="117"/>
  <c r="AF61" i="117"/>
  <c r="AC61" i="117"/>
  <c r="AB61" i="117"/>
  <c r="AE61" i="117"/>
  <c r="AD61" i="117"/>
  <c r="AJ29" i="117"/>
  <c r="AB59" i="116"/>
  <c r="AJ53" i="117"/>
  <c r="AH28" i="118"/>
  <c r="AG28" i="118"/>
  <c r="AF28" i="118"/>
  <c r="AA28" i="118"/>
  <c r="AB28" i="118"/>
  <c r="AG8" i="116"/>
  <c r="AO29" i="116"/>
  <c r="AU29" i="116"/>
  <c r="AT29" i="116"/>
  <c r="AS29" i="116"/>
  <c r="AR29" i="116"/>
  <c r="AQ29" i="116"/>
  <c r="AP29" i="116"/>
  <c r="AN29" i="116"/>
  <c r="AI11" i="118"/>
  <c r="AD36" i="117"/>
  <c r="AC36" i="117"/>
  <c r="AI20" i="117"/>
  <c r="AN26" i="124"/>
  <c r="AU26" i="124"/>
  <c r="AT26" i="124"/>
  <c r="AS26" i="124"/>
  <c r="AR26" i="124"/>
  <c r="AQ26" i="124"/>
  <c r="AP26" i="124"/>
  <c r="AO26" i="124"/>
  <c r="AD25" i="117"/>
  <c r="AB25" i="117"/>
  <c r="AG25" i="117"/>
  <c r="AF25" i="117"/>
  <c r="AI25" i="117"/>
  <c r="AH25" i="117"/>
  <c r="AE25" i="117"/>
  <c r="AC25" i="117"/>
  <c r="AA25" i="117"/>
  <c r="AN73" i="114"/>
  <c r="AU73" i="114"/>
  <c r="AU72" i="114" s="1"/>
  <c r="AT73" i="114"/>
  <c r="AT72" i="114" s="1"/>
  <c r="AR73" i="114"/>
  <c r="AR72" i="114" s="1"/>
  <c r="AP73" i="114"/>
  <c r="AP72" i="114" s="1"/>
  <c r="AS73" i="114"/>
  <c r="AS72" i="114" s="1"/>
  <c r="AQ73" i="114"/>
  <c r="AQ72" i="114" s="1"/>
  <c r="AO73" i="114"/>
  <c r="AO72" i="114" s="1"/>
  <c r="AI51" i="114"/>
  <c r="AA51" i="114"/>
  <c r="AH51" i="114"/>
  <c r="AG51" i="114"/>
  <c r="AE51" i="114"/>
  <c r="AD51" i="114"/>
  <c r="AC51" i="114"/>
  <c r="AB51" i="114"/>
  <c r="AF51" i="114"/>
  <c r="AG21" i="117"/>
  <c r="AE21" i="117"/>
  <c r="AB21" i="117"/>
  <c r="AI21" i="117"/>
  <c r="AA21" i="117"/>
  <c r="AF21" i="117"/>
  <c r="AD21" i="117"/>
  <c r="AC21" i="117"/>
  <c r="AH21" i="117"/>
  <c r="AG29" i="116"/>
  <c r="AI29" i="116"/>
  <c r="AH29" i="116"/>
  <c r="AD30" i="124"/>
  <c r="AH30" i="124"/>
  <c r="AF30" i="124"/>
  <c r="AE30" i="124"/>
  <c r="AA10" i="124"/>
  <c r="AN63" i="116"/>
  <c r="AR32" i="124"/>
  <c r="AS32" i="124"/>
  <c r="AV23" i="117"/>
  <c r="AJ72" i="117"/>
  <c r="AQ63" i="116"/>
  <c r="AT46" i="124"/>
  <c r="AT59" i="115"/>
  <c r="AS59" i="115"/>
  <c r="AR59" i="115"/>
  <c r="AQ59" i="115"/>
  <c r="AP59" i="115"/>
  <c r="AU59" i="115"/>
  <c r="AO59" i="115"/>
  <c r="AN59" i="115"/>
  <c r="AV10" i="116"/>
  <c r="AU41" i="116"/>
  <c r="AR41" i="116"/>
  <c r="AO41" i="116"/>
  <c r="AN41" i="116"/>
  <c r="AH40" i="115"/>
  <c r="AG40" i="115"/>
  <c r="AF40" i="115"/>
  <c r="AE40" i="115"/>
  <c r="AD40" i="115"/>
  <c r="AC40" i="115"/>
  <c r="AB40" i="115"/>
  <c r="AA40" i="115"/>
  <c r="AI40" i="115"/>
  <c r="AG59" i="114"/>
  <c r="AF59" i="114"/>
  <c r="AE59" i="114"/>
  <c r="AC59" i="114"/>
  <c r="AH59" i="114"/>
  <c r="AB59" i="114"/>
  <c r="AA59" i="114"/>
  <c r="AI59" i="114"/>
  <c r="AD59" i="114"/>
  <c r="AD20" i="115"/>
  <c r="AC20" i="115"/>
  <c r="AB20" i="115"/>
  <c r="AH20" i="115"/>
  <c r="AF20" i="115"/>
  <c r="AE20" i="115"/>
  <c r="AA20" i="115"/>
  <c r="AI20" i="115"/>
  <c r="AG20" i="115"/>
  <c r="AU10" i="115"/>
  <c r="AT10" i="115"/>
  <c r="AS10" i="115"/>
  <c r="AQ10" i="115"/>
  <c r="AP10" i="115"/>
  <c r="AO10" i="115"/>
  <c r="AN10" i="115"/>
  <c r="AR10" i="115"/>
  <c r="AI9" i="472"/>
  <c r="AE9" i="472"/>
  <c r="AD9" i="472"/>
  <c r="AU37" i="124"/>
  <c r="C18" i="418"/>
  <c r="AG4" i="116"/>
  <c r="AI4" i="116"/>
  <c r="AH4" i="116"/>
  <c r="AE55" i="124"/>
  <c r="AC17" i="124"/>
  <c r="AO51" i="115"/>
  <c r="AV17" i="115"/>
  <c r="AS63" i="472"/>
  <c r="AQ63" i="472"/>
  <c r="AP63" i="472"/>
  <c r="AR59" i="116"/>
  <c r="AH15" i="124"/>
  <c r="AB30" i="472"/>
  <c r="AG30" i="472"/>
  <c r="AF30" i="472"/>
  <c r="AE30" i="472"/>
  <c r="AH30" i="472"/>
  <c r="AD30" i="472"/>
  <c r="AC30" i="472"/>
  <c r="AA30" i="472"/>
  <c r="AI30" i="472"/>
  <c r="AE78" i="114"/>
  <c r="AD78" i="114"/>
  <c r="AC78" i="114"/>
  <c r="AH78" i="114"/>
  <c r="AB78" i="114"/>
  <c r="AA78" i="114"/>
  <c r="AI78" i="114"/>
  <c r="AG78" i="114"/>
  <c r="AF78" i="114"/>
  <c r="AO41" i="114"/>
  <c r="AN41" i="114"/>
  <c r="AU41" i="114"/>
  <c r="AR41" i="114"/>
  <c r="AQ41" i="114"/>
  <c r="AP41" i="114"/>
  <c r="AT41" i="114"/>
  <c r="AS41" i="114"/>
  <c r="AO39" i="114"/>
  <c r="AN39" i="114"/>
  <c r="AU39" i="114"/>
  <c r="AR39" i="114"/>
  <c r="AQ39" i="114"/>
  <c r="AP39" i="114"/>
  <c r="AT39" i="114"/>
  <c r="AS39" i="114"/>
  <c r="AO37" i="114"/>
  <c r="AN37" i="114"/>
  <c r="AU37" i="114"/>
  <c r="AR37" i="114"/>
  <c r="AQ37" i="114"/>
  <c r="AP37" i="114"/>
  <c r="AT37" i="114"/>
  <c r="AS37" i="114"/>
  <c r="AU23" i="114"/>
  <c r="AT63" i="472"/>
  <c r="AH4" i="472"/>
  <c r="AE4" i="472"/>
  <c r="AC4" i="472"/>
  <c r="AA4" i="472"/>
  <c r="AF4" i="472"/>
  <c r="AD4" i="472"/>
  <c r="AB4" i="472"/>
  <c r="AI4" i="472"/>
  <c r="AG4" i="472"/>
  <c r="AT55" i="112"/>
  <c r="AQ55" i="112"/>
  <c r="AO55" i="112"/>
  <c r="AP55" i="112"/>
  <c r="AN55" i="112"/>
  <c r="AU55" i="112"/>
  <c r="AS55" i="112"/>
  <c r="AR55" i="112"/>
  <c r="AP71" i="124"/>
  <c r="AP70" i="124" s="1"/>
  <c r="AC55" i="114"/>
  <c r="AB55" i="114"/>
  <c r="AI55" i="114"/>
  <c r="AA55" i="114"/>
  <c r="AG55" i="114"/>
  <c r="AF55" i="114"/>
  <c r="AD55" i="114"/>
  <c r="AH55" i="114"/>
  <c r="AE55" i="114"/>
  <c r="AN51" i="472"/>
  <c r="AR32" i="472"/>
  <c r="AQ32" i="472"/>
  <c r="AO32" i="472"/>
  <c r="AN32" i="472"/>
  <c r="AB24" i="472"/>
  <c r="AF25" i="115"/>
  <c r="AV19" i="115"/>
  <c r="AH27" i="114"/>
  <c r="AP51" i="472"/>
  <c r="AN29" i="472"/>
  <c r="AR51" i="114"/>
  <c r="AU63" i="472"/>
  <c r="AH58" i="112"/>
  <c r="AG58" i="112"/>
  <c r="AE58" i="112"/>
  <c r="AC58" i="112"/>
  <c r="AB58" i="112"/>
  <c r="AN61" i="124"/>
  <c r="AU61" i="124"/>
  <c r="AQ61" i="124"/>
  <c r="AQ60" i="124" s="1"/>
  <c r="AP61" i="124"/>
  <c r="AO61" i="124"/>
  <c r="AT61" i="124"/>
  <c r="AS61" i="124"/>
  <c r="AR61" i="124"/>
  <c r="AR60" i="124" s="1"/>
  <c r="AH67" i="114"/>
  <c r="AO59" i="114"/>
  <c r="AH26" i="114"/>
  <c r="AG26" i="114"/>
  <c r="AF26" i="114"/>
  <c r="AA26" i="114"/>
  <c r="AI26" i="114"/>
  <c r="AE26" i="114"/>
  <c r="AD26" i="114"/>
  <c r="AC26" i="114"/>
  <c r="AB26" i="114"/>
  <c r="AQ41" i="472"/>
  <c r="AO21" i="472"/>
  <c r="AT21" i="472"/>
  <c r="AS21" i="472"/>
  <c r="AR21" i="472"/>
  <c r="AN21" i="472"/>
  <c r="AU21" i="472"/>
  <c r="AQ21" i="472"/>
  <c r="AP21" i="472"/>
  <c r="AI20" i="472"/>
  <c r="AA20" i="472"/>
  <c r="AF20" i="472"/>
  <c r="AE20" i="472"/>
  <c r="AD20" i="472"/>
  <c r="AH20" i="472"/>
  <c r="AC20" i="472"/>
  <c r="AG20" i="472"/>
  <c r="AB20" i="472"/>
  <c r="AO63" i="112"/>
  <c r="AT63" i="112"/>
  <c r="AR63" i="112"/>
  <c r="AQ63" i="112"/>
  <c r="AP63" i="112"/>
  <c r="AU63" i="112"/>
  <c r="AS63" i="112"/>
  <c r="AN63" i="112"/>
  <c r="AF58" i="112"/>
  <c r="AA31" i="124"/>
  <c r="AS48" i="472"/>
  <c r="AT58" i="112"/>
  <c r="AN58" i="112"/>
  <c r="AS58" i="112"/>
  <c r="AQ58" i="112"/>
  <c r="AP58" i="112"/>
  <c r="AI23" i="472"/>
  <c r="AA23" i="472"/>
  <c r="AF23" i="472"/>
  <c r="AE23" i="472"/>
  <c r="AD23" i="472"/>
  <c r="AC23" i="472"/>
  <c r="AB23" i="472"/>
  <c r="AH23" i="472"/>
  <c r="AG23" i="472"/>
  <c r="AT8" i="112"/>
  <c r="AQ8" i="112"/>
  <c r="AO8" i="112"/>
  <c r="AN8" i="112"/>
  <c r="AR8" i="112"/>
  <c r="AU8" i="112"/>
  <c r="AS8" i="112"/>
  <c r="AP8" i="112"/>
  <c r="AG61" i="111"/>
  <c r="AG60" i="111" s="1"/>
  <c r="AC61" i="111"/>
  <c r="AB61" i="111"/>
  <c r="AE61" i="111"/>
  <c r="AI61" i="111"/>
  <c r="AH61" i="111"/>
  <c r="AF61" i="111"/>
  <c r="AD61" i="111"/>
  <c r="AD60" i="111" s="1"/>
  <c r="AA61" i="111"/>
  <c r="AU53" i="112"/>
  <c r="AE55" i="112"/>
  <c r="AU20" i="111"/>
  <c r="AC4" i="112"/>
  <c r="AH4" i="112"/>
  <c r="AA4" i="112"/>
  <c r="AD4" i="112"/>
  <c r="AF4" i="112"/>
  <c r="AE4" i="112"/>
  <c r="AB4" i="112"/>
  <c r="AI4" i="112"/>
  <c r="AG4" i="112"/>
  <c r="AC3" i="472"/>
  <c r="AH3" i="472"/>
  <c r="AF3" i="472"/>
  <c r="AG3" i="472"/>
  <c r="AE3" i="472"/>
  <c r="AI3" i="472"/>
  <c r="AD3" i="472"/>
  <c r="AB3" i="472"/>
  <c r="AA3" i="472"/>
  <c r="AS49" i="111"/>
  <c r="AR49" i="111"/>
  <c r="AQ49" i="111"/>
  <c r="AP49" i="111"/>
  <c r="AU16" i="472"/>
  <c r="AU20" i="112"/>
  <c r="AT49" i="111"/>
  <c r="AF16" i="472"/>
  <c r="AH16" i="472"/>
  <c r="AQ42" i="112"/>
  <c r="AA27" i="112"/>
  <c r="AU15" i="110"/>
  <c r="AT15" i="110"/>
  <c r="AS15" i="110"/>
  <c r="AR15" i="110"/>
  <c r="AQ15" i="110"/>
  <c r="AP15" i="110"/>
  <c r="AO15" i="110"/>
  <c r="AN15" i="110"/>
  <c r="AQ61" i="114"/>
  <c r="AQ17" i="111"/>
  <c r="AR17" i="111"/>
  <c r="AU17" i="111"/>
  <c r="AO17" i="111"/>
  <c r="AN17" i="111"/>
  <c r="AT17" i="111"/>
  <c r="AS17" i="111"/>
  <c r="AP17" i="111"/>
  <c r="AE78" i="110"/>
  <c r="AH78" i="110"/>
  <c r="AD78" i="110"/>
  <c r="AB78" i="110"/>
  <c r="AA78" i="110"/>
  <c r="AI78" i="110"/>
  <c r="AG78" i="110"/>
  <c r="AF78" i="110"/>
  <c r="AC78" i="110"/>
  <c r="AD55" i="110"/>
  <c r="AP26" i="110"/>
  <c r="AP28" i="111"/>
  <c r="AU28" i="111"/>
  <c r="AO28" i="111"/>
  <c r="AS28" i="111"/>
  <c r="AR28" i="111"/>
  <c r="AQ28" i="111"/>
  <c r="AN28" i="111"/>
  <c r="AT28" i="111"/>
  <c r="AB55" i="110"/>
  <c r="AC27" i="110"/>
  <c r="AA27" i="110"/>
  <c r="AS3" i="111"/>
  <c r="AS2" i="111" s="1"/>
  <c r="AN3" i="111"/>
  <c r="AU3" i="111"/>
  <c r="AT3" i="111"/>
  <c r="AT2" i="111" s="1"/>
  <c r="AR3" i="111"/>
  <c r="AQ3" i="111"/>
  <c r="AP3" i="111"/>
  <c r="AO3" i="111"/>
  <c r="AO2" i="111" s="1"/>
  <c r="AC58" i="110"/>
  <c r="AF58" i="110"/>
  <c r="AG58" i="110"/>
  <c r="AD58" i="110"/>
  <c r="AB58" i="110"/>
  <c r="AA58" i="110"/>
  <c r="AH58" i="110"/>
  <c r="AE58" i="110"/>
  <c r="AI58" i="110"/>
  <c r="AB48" i="110"/>
  <c r="AE48" i="110"/>
  <c r="AC48" i="110"/>
  <c r="AI48" i="110"/>
  <c r="AH48" i="110"/>
  <c r="AG48" i="110"/>
  <c r="AA48" i="110"/>
  <c r="AF48" i="110"/>
  <c r="AD48" i="110"/>
  <c r="AQ27" i="110"/>
  <c r="AU27" i="110"/>
  <c r="AR27" i="110"/>
  <c r="AP27" i="110"/>
  <c r="AO27" i="110"/>
  <c r="AS27" i="110"/>
  <c r="AN27" i="110"/>
  <c r="AT27" i="110"/>
  <c r="AS59" i="110"/>
  <c r="AQ71" i="110"/>
  <c r="AQ70" i="110" s="1"/>
  <c r="AN59" i="110"/>
  <c r="AI36" i="110"/>
  <c r="AA36" i="110"/>
  <c r="AC36" i="110"/>
  <c r="AH36" i="110"/>
  <c r="AG36" i="110"/>
  <c r="AF36" i="110"/>
  <c r="AE36" i="110"/>
  <c r="AD36" i="110"/>
  <c r="AB36" i="110"/>
  <c r="AG55" i="110"/>
  <c r="AF43" i="110"/>
  <c r="AI43" i="110"/>
  <c r="AA43" i="110"/>
  <c r="AE43" i="110"/>
  <c r="AC43" i="110"/>
  <c r="AB43" i="110"/>
  <c r="AG43" i="110"/>
  <c r="AD43" i="110"/>
  <c r="AH43" i="110"/>
  <c r="AQ26" i="110"/>
  <c r="AS23" i="108"/>
  <c r="AP23" i="108"/>
  <c r="AT23" i="108"/>
  <c r="AQ39" i="107"/>
  <c r="AT39" i="107"/>
  <c r="AU39" i="107"/>
  <c r="AS39" i="107"/>
  <c r="AR39" i="107"/>
  <c r="AP39" i="107"/>
  <c r="AN39" i="107"/>
  <c r="AO39" i="107"/>
  <c r="AT29" i="108"/>
  <c r="AT45" i="107"/>
  <c r="AN45" i="107"/>
  <c r="AT35" i="107"/>
  <c r="AU35" i="107"/>
  <c r="AS35" i="107"/>
  <c r="AR35" i="107"/>
  <c r="AP35" i="107"/>
  <c r="AO35" i="107"/>
  <c r="AQ35" i="107"/>
  <c r="AN35" i="107"/>
  <c r="AD55" i="108"/>
  <c r="AB55" i="108"/>
  <c r="AI55" i="108"/>
  <c r="AA55" i="108"/>
  <c r="AF55" i="108"/>
  <c r="AE55" i="108"/>
  <c r="AC55" i="108"/>
  <c r="AH55" i="108"/>
  <c r="AG55" i="108"/>
  <c r="AQ45" i="107"/>
  <c r="AA37" i="107"/>
  <c r="AE67" i="106"/>
  <c r="AG49" i="105"/>
  <c r="AF49" i="105"/>
  <c r="AC49" i="105"/>
  <c r="AA49" i="105"/>
  <c r="AH49" i="105"/>
  <c r="AE49" i="105"/>
  <c r="AD49" i="105"/>
  <c r="AI49" i="105"/>
  <c r="AB49" i="105"/>
  <c r="AJ29" i="110"/>
  <c r="AI3" i="110"/>
  <c r="AA3" i="110"/>
  <c r="AH3" i="110"/>
  <c r="AG3" i="110"/>
  <c r="AF3" i="110"/>
  <c r="AE3" i="110"/>
  <c r="AD3" i="110"/>
  <c r="AC3" i="110"/>
  <c r="AB3" i="110"/>
  <c r="AN23" i="108"/>
  <c r="AP56" i="107"/>
  <c r="AI39" i="108"/>
  <c r="AN29" i="108"/>
  <c r="AN55" i="108"/>
  <c r="AT55" i="108"/>
  <c r="AS55" i="108"/>
  <c r="AP55" i="108"/>
  <c r="AO55" i="108"/>
  <c r="AU55" i="108"/>
  <c r="AR55" i="108"/>
  <c r="AQ55" i="108"/>
  <c r="AR54" i="110"/>
  <c r="AC15" i="110"/>
  <c r="AS2" i="108"/>
  <c r="AQ44" i="107"/>
  <c r="AT44" i="107"/>
  <c r="AP44" i="107"/>
  <c r="AO44" i="107"/>
  <c r="AN44" i="107"/>
  <c r="AU44" i="107"/>
  <c r="AS44" i="107"/>
  <c r="AR44" i="107"/>
  <c r="AB20" i="107"/>
  <c r="AF20" i="107"/>
  <c r="AE20" i="107"/>
  <c r="AD20" i="107"/>
  <c r="AC20" i="107"/>
  <c r="AI20" i="107"/>
  <c r="AH20" i="107"/>
  <c r="AG20" i="107"/>
  <c r="AA20" i="107"/>
  <c r="AT29" i="110"/>
  <c r="AT64" i="108"/>
  <c r="AS64" i="108"/>
  <c r="AR64" i="108"/>
  <c r="AO64" i="108"/>
  <c r="AN64" i="108"/>
  <c r="AU64" i="108"/>
  <c r="AQ64" i="108"/>
  <c r="AP64" i="108"/>
  <c r="AD36" i="108"/>
  <c r="AC36" i="108"/>
  <c r="AH36" i="108"/>
  <c r="AG36" i="108"/>
  <c r="AI36" i="108"/>
  <c r="AF36" i="108"/>
  <c r="AE36" i="108"/>
  <c r="AB36" i="108"/>
  <c r="AA36" i="108"/>
  <c r="AQ20" i="107"/>
  <c r="AU20" i="107"/>
  <c r="AR20" i="107"/>
  <c r="AN11" i="107"/>
  <c r="AH31" i="106"/>
  <c r="AG31" i="106"/>
  <c r="AF31" i="106"/>
  <c r="AC31" i="106"/>
  <c r="AI31" i="106"/>
  <c r="AE31" i="106"/>
  <c r="AD31" i="106"/>
  <c r="AB31" i="106"/>
  <c r="AA31" i="106"/>
  <c r="AA9" i="107"/>
  <c r="AI9" i="107"/>
  <c r="AG9" i="107"/>
  <c r="AC9" i="107"/>
  <c r="AB9" i="107"/>
  <c r="AF9" i="107"/>
  <c r="AD9" i="107"/>
  <c r="AI71" i="106"/>
  <c r="AI70" i="106" s="1"/>
  <c r="AU14" i="106"/>
  <c r="AT14" i="106"/>
  <c r="AQ14" i="106"/>
  <c r="AN14" i="106"/>
  <c r="AR14" i="106"/>
  <c r="AP14" i="106"/>
  <c r="AO14" i="106"/>
  <c r="AS14" i="106"/>
  <c r="AR2" i="106"/>
  <c r="AF29" i="108"/>
  <c r="AT29" i="107"/>
  <c r="AV29" i="106"/>
  <c r="AP55" i="106"/>
  <c r="AN43" i="106"/>
  <c r="AV59" i="107"/>
  <c r="AP65" i="106"/>
  <c r="AA34" i="106"/>
  <c r="AV4" i="106"/>
  <c r="AR19" i="108"/>
  <c r="AQ19" i="108"/>
  <c r="AN19" i="108"/>
  <c r="AU19" i="108"/>
  <c r="AO19" i="108"/>
  <c r="AT19" i="108"/>
  <c r="AS19" i="108"/>
  <c r="AP19" i="108"/>
  <c r="AA18" i="108"/>
  <c r="AB31" i="107"/>
  <c r="AF31" i="107"/>
  <c r="AE31" i="107"/>
  <c r="AD31" i="107"/>
  <c r="AC31" i="107"/>
  <c r="AI31" i="107"/>
  <c r="AH31" i="107"/>
  <c r="AA31" i="107"/>
  <c r="AG31" i="107"/>
  <c r="AA32" i="107"/>
  <c r="AS10" i="107"/>
  <c r="AR54" i="106"/>
  <c r="AI51" i="105"/>
  <c r="AE51" i="105"/>
  <c r="AA51" i="105"/>
  <c r="AV49" i="107"/>
  <c r="AA53" i="106"/>
  <c r="AE65" i="105"/>
  <c r="AT59" i="105"/>
  <c r="AG4" i="105"/>
  <c r="AB48" i="103"/>
  <c r="AH48" i="103"/>
  <c r="AF48" i="103"/>
  <c r="AE48" i="103"/>
  <c r="AC48" i="103"/>
  <c r="AQ37" i="103"/>
  <c r="AO37" i="103"/>
  <c r="AT37" i="103"/>
  <c r="AU37" i="103"/>
  <c r="AS37" i="103"/>
  <c r="AR37" i="103"/>
  <c r="AP37" i="103"/>
  <c r="AN37" i="103"/>
  <c r="AH29" i="103"/>
  <c r="AQ14" i="103"/>
  <c r="AO14" i="103"/>
  <c r="AT14" i="103"/>
  <c r="AU14" i="103"/>
  <c r="AS14" i="103"/>
  <c r="AR14" i="103"/>
  <c r="AP14" i="103"/>
  <c r="AN14" i="103"/>
  <c r="AP13" i="103"/>
  <c r="AB58" i="102"/>
  <c r="AI58" i="102"/>
  <c r="AH58" i="102"/>
  <c r="AG58" i="102"/>
  <c r="AF58" i="102"/>
  <c r="AE58" i="102"/>
  <c r="AD58" i="102"/>
  <c r="AC58" i="102"/>
  <c r="AA58" i="102"/>
  <c r="AT21" i="102"/>
  <c r="AS21" i="102"/>
  <c r="AR21" i="102"/>
  <c r="AQ21" i="102"/>
  <c r="AP21" i="102"/>
  <c r="AO21" i="102"/>
  <c r="AN21" i="102"/>
  <c r="AU21" i="102"/>
  <c r="AP67" i="101"/>
  <c r="AN67" i="101"/>
  <c r="AS18" i="106"/>
  <c r="AR18" i="106"/>
  <c r="AO18" i="106"/>
  <c r="AU18" i="106"/>
  <c r="AT18" i="106"/>
  <c r="AP18" i="106"/>
  <c r="AN18" i="106"/>
  <c r="AQ18" i="106"/>
  <c r="AU29" i="103"/>
  <c r="AU53" i="101"/>
  <c r="AT53" i="101"/>
  <c r="AS53" i="101"/>
  <c r="AR53" i="101"/>
  <c r="AQ53" i="101"/>
  <c r="AO53" i="101"/>
  <c r="AN53" i="101"/>
  <c r="AP53" i="101"/>
  <c r="AR54" i="105"/>
  <c r="AN19" i="105"/>
  <c r="AT19" i="105"/>
  <c r="AQ19" i="105"/>
  <c r="AP19" i="105"/>
  <c r="AU19" i="105"/>
  <c r="AS19" i="105"/>
  <c r="AR19" i="105"/>
  <c r="AO19" i="105"/>
  <c r="AC4" i="105"/>
  <c r="AN11" i="103"/>
  <c r="AT11" i="103"/>
  <c r="AQ11" i="103"/>
  <c r="AU11" i="103"/>
  <c r="AS11" i="103"/>
  <c r="AR11" i="103"/>
  <c r="AP11" i="103"/>
  <c r="AO11" i="103"/>
  <c r="AU10" i="103"/>
  <c r="AS10" i="103"/>
  <c r="AP10" i="103"/>
  <c r="AQ10" i="103"/>
  <c r="AO10" i="103"/>
  <c r="AN10" i="103"/>
  <c r="AT10" i="103"/>
  <c r="AR10" i="103"/>
  <c r="AB24" i="102"/>
  <c r="AN18" i="102"/>
  <c r="AU18" i="102"/>
  <c r="AT18" i="102"/>
  <c r="AS18" i="102"/>
  <c r="AR18" i="102"/>
  <c r="AQ18" i="102"/>
  <c r="AP18" i="102"/>
  <c r="AO18" i="102"/>
  <c r="AI11" i="101"/>
  <c r="AA11" i="101"/>
  <c r="AE11" i="101"/>
  <c r="AC11" i="101"/>
  <c r="AA28" i="106"/>
  <c r="AP64" i="105"/>
  <c r="AR61" i="105"/>
  <c r="AG46" i="103"/>
  <c r="AD46" i="103"/>
  <c r="AA46" i="103"/>
  <c r="AI46" i="103"/>
  <c r="AS56" i="102"/>
  <c r="AT38" i="102"/>
  <c r="AO38" i="102"/>
  <c r="AN38" i="102"/>
  <c r="AU38" i="102"/>
  <c r="AS38" i="102"/>
  <c r="AR38" i="102"/>
  <c r="AQ38" i="102"/>
  <c r="AP38" i="102"/>
  <c r="AB34" i="102"/>
  <c r="AH34" i="102"/>
  <c r="AF34" i="102"/>
  <c r="AE34" i="102"/>
  <c r="AD34" i="102"/>
  <c r="AB58" i="101"/>
  <c r="AI58" i="101"/>
  <c r="AA58" i="101"/>
  <c r="AH58" i="101"/>
  <c r="AG58" i="101"/>
  <c r="AF58" i="101"/>
  <c r="AE58" i="101"/>
  <c r="AD58" i="101"/>
  <c r="AC58" i="101"/>
  <c r="AV20" i="106"/>
  <c r="AU38" i="105"/>
  <c r="AS38" i="105"/>
  <c r="AQ38" i="105"/>
  <c r="AO38" i="105"/>
  <c r="AN38" i="105"/>
  <c r="AT38" i="105"/>
  <c r="AR38" i="105"/>
  <c r="AP38" i="105"/>
  <c r="AI37" i="105"/>
  <c r="AE37" i="105"/>
  <c r="AB37" i="105"/>
  <c r="AE4" i="105"/>
  <c r="AN46" i="103"/>
  <c r="AE64" i="102"/>
  <c r="AD64" i="102"/>
  <c r="AC64" i="102"/>
  <c r="AB64" i="102"/>
  <c r="AA64" i="102"/>
  <c r="AA60" i="102" s="1"/>
  <c r="AI64" i="102"/>
  <c r="AH64" i="102"/>
  <c r="AG64" i="102"/>
  <c r="AF64" i="102"/>
  <c r="AR56" i="102"/>
  <c r="AP15" i="102"/>
  <c r="AO15" i="102"/>
  <c r="AN15" i="102"/>
  <c r="AU15" i="102"/>
  <c r="AT15" i="102"/>
  <c r="AS15" i="102"/>
  <c r="AR15" i="102"/>
  <c r="AQ15" i="102"/>
  <c r="AC4" i="102"/>
  <c r="AB4" i="102"/>
  <c r="AI4" i="102"/>
  <c r="AA4" i="102"/>
  <c r="AH4" i="102"/>
  <c r="AG4" i="102"/>
  <c r="AF4" i="102"/>
  <c r="AE4" i="102"/>
  <c r="AD4" i="102"/>
  <c r="AF36" i="101"/>
  <c r="AF73" i="100"/>
  <c r="AS59" i="100"/>
  <c r="AG13" i="106"/>
  <c r="AG52" i="105"/>
  <c r="AQ41" i="105"/>
  <c r="AS67" i="103"/>
  <c r="AS65" i="103" s="1"/>
  <c r="AH40" i="103"/>
  <c r="AN17" i="103"/>
  <c r="AT17" i="103"/>
  <c r="AQ17" i="103"/>
  <c r="AU17" i="103"/>
  <c r="AS17" i="103"/>
  <c r="AR17" i="103"/>
  <c r="AP17" i="103"/>
  <c r="AO17" i="103"/>
  <c r="AP8" i="103"/>
  <c r="AG61" i="102"/>
  <c r="AD61" i="102"/>
  <c r="AB61" i="102"/>
  <c r="AI61" i="102"/>
  <c r="AG25" i="102"/>
  <c r="AR11" i="107"/>
  <c r="AU35" i="106"/>
  <c r="AS49" i="105"/>
  <c r="AR49" i="105"/>
  <c r="AQ49" i="105"/>
  <c r="AU49" i="105"/>
  <c r="AN49" i="105"/>
  <c r="AI43" i="105"/>
  <c r="AU4" i="105"/>
  <c r="AU2" i="105" s="1"/>
  <c r="AD13" i="103"/>
  <c r="AR61" i="102"/>
  <c r="AI41" i="102"/>
  <c r="AA41" i="102"/>
  <c r="AG41" i="102"/>
  <c r="AF41" i="102"/>
  <c r="AE41" i="102"/>
  <c r="AD41" i="102"/>
  <c r="AC41" i="102"/>
  <c r="AB41" i="102"/>
  <c r="AH41" i="102"/>
  <c r="AF32" i="102"/>
  <c r="AF29" i="102"/>
  <c r="AF61" i="101"/>
  <c r="AQ44" i="101"/>
  <c r="AS69" i="101"/>
  <c r="AB61" i="100"/>
  <c r="AQ48" i="100"/>
  <c r="AB32" i="100"/>
  <c r="AH32" i="100"/>
  <c r="AG32" i="100"/>
  <c r="AF32" i="100"/>
  <c r="AD32" i="100"/>
  <c r="AI32" i="100"/>
  <c r="AE32" i="100"/>
  <c r="AC32" i="100"/>
  <c r="AA32" i="100"/>
  <c r="AQ15" i="100"/>
  <c r="AU2" i="100"/>
  <c r="AQ26" i="101"/>
  <c r="AU15" i="101"/>
  <c r="AT15" i="101"/>
  <c r="AS15" i="101"/>
  <c r="AR15" i="101"/>
  <c r="AQ15" i="101"/>
  <c r="AO15" i="101"/>
  <c r="AP15" i="101"/>
  <c r="AN15" i="101"/>
  <c r="AE45" i="102"/>
  <c r="AD26" i="102"/>
  <c r="AN41" i="101"/>
  <c r="AR41" i="101"/>
  <c r="AP41" i="101"/>
  <c r="AO38" i="101"/>
  <c r="AU31" i="101"/>
  <c r="AQ71" i="100"/>
  <c r="AQ70" i="100" s="1"/>
  <c r="AS41" i="100"/>
  <c r="AC13" i="100"/>
  <c r="AG13" i="100"/>
  <c r="AN18" i="100"/>
  <c r="AT18" i="100"/>
  <c r="AS18" i="100"/>
  <c r="AR18" i="100"/>
  <c r="AP18" i="100"/>
  <c r="AO18" i="100"/>
  <c r="AU18" i="100"/>
  <c r="AQ18" i="100"/>
  <c r="AQ40" i="101"/>
  <c r="AB4" i="101"/>
  <c r="AO52" i="105"/>
  <c r="AJ23" i="102"/>
  <c r="AR23" i="102"/>
  <c r="AR22" i="102" s="1"/>
  <c r="AE48" i="101"/>
  <c r="AQ42" i="101"/>
  <c r="AU27" i="101"/>
  <c r="AN45" i="100"/>
  <c r="AS38" i="100"/>
  <c r="AD10" i="102"/>
  <c r="AP54" i="101"/>
  <c r="AU43" i="101"/>
  <c r="AS25" i="101"/>
  <c r="AE24" i="101"/>
  <c r="AD8" i="101"/>
  <c r="AD29" i="100"/>
  <c r="AB29" i="100"/>
  <c r="AI29" i="100"/>
  <c r="AA29" i="100"/>
  <c r="AH29" i="100"/>
  <c r="AF29" i="100"/>
  <c r="AG29" i="100"/>
  <c r="AE29" i="100"/>
  <c r="AC29" i="100"/>
  <c r="AR21" i="100"/>
  <c r="AP21" i="100"/>
  <c r="AO21" i="100"/>
  <c r="AN21" i="100"/>
  <c r="AT21" i="100"/>
  <c r="AU21" i="100"/>
  <c r="AS21" i="100"/>
  <c r="AQ21" i="100"/>
  <c r="AQ17" i="100"/>
  <c r="AO17" i="100"/>
  <c r="AN17" i="100"/>
  <c r="AU17" i="100"/>
  <c r="AS17" i="100"/>
  <c r="AT17" i="100"/>
  <c r="AR17" i="100"/>
  <c r="AP17" i="100"/>
  <c r="AR51" i="101"/>
  <c r="AO45" i="101"/>
  <c r="AB24" i="101"/>
  <c r="AS51" i="100"/>
  <c r="AR46" i="100"/>
  <c r="AA9" i="102"/>
  <c r="AN64" i="101"/>
  <c r="AO52" i="101"/>
  <c r="AU52" i="101"/>
  <c r="AR52" i="101"/>
  <c r="AS52" i="101"/>
  <c r="AQ52" i="101"/>
  <c r="AF52" i="101"/>
  <c r="AD69" i="100"/>
  <c r="AD68" i="100" s="1"/>
  <c r="AG58" i="100"/>
  <c r="AR11" i="100"/>
  <c r="AT64" i="100"/>
  <c r="AU61" i="475"/>
  <c r="AT61" i="475"/>
  <c r="AQ61" i="475"/>
  <c r="AQ60" i="475" s="1"/>
  <c r="AR61" i="475"/>
  <c r="AP61" i="475"/>
  <c r="AO61" i="475"/>
  <c r="AN61" i="475"/>
  <c r="AS61" i="475"/>
  <c r="AQ45" i="475"/>
  <c r="AN49" i="475"/>
  <c r="AU49" i="475"/>
  <c r="AR49" i="475"/>
  <c r="AQ49" i="475"/>
  <c r="AO49" i="475"/>
  <c r="AT41" i="475"/>
  <c r="AO41" i="475"/>
  <c r="AV55" i="475"/>
  <c r="AT59" i="475"/>
  <c r="AS59" i="475"/>
  <c r="AQ59" i="475"/>
  <c r="AO59" i="475"/>
  <c r="AP59" i="475"/>
  <c r="AJ72" i="475"/>
  <c r="AR41" i="475"/>
  <c r="AC11" i="475"/>
  <c r="AB11" i="475"/>
  <c r="AF11" i="475"/>
  <c r="AI11" i="475"/>
  <c r="AH11" i="475"/>
  <c r="AG11" i="475"/>
  <c r="AE11" i="475"/>
  <c r="AA11" i="475"/>
  <c r="AD11" i="475"/>
  <c r="AJ27" i="475"/>
  <c r="AF2" i="475"/>
  <c r="AN24" i="475"/>
  <c r="AU24" i="475"/>
  <c r="AQ24" i="475"/>
  <c r="AP24" i="475"/>
  <c r="AR24" i="475"/>
  <c r="AO24" i="475"/>
  <c r="AT24" i="475"/>
  <c r="AS24" i="475"/>
  <c r="AT13" i="475"/>
  <c r="AS13" i="475"/>
  <c r="AO13" i="475"/>
  <c r="AU13" i="475"/>
  <c r="AR13" i="475"/>
  <c r="AQ13" i="475"/>
  <c r="AN13" i="475"/>
  <c r="AP13" i="475"/>
  <c r="AC58" i="475"/>
  <c r="AB58" i="475"/>
  <c r="AG58" i="475"/>
  <c r="AF58" i="475"/>
  <c r="AE58" i="475"/>
  <c r="AD58" i="475"/>
  <c r="AA58" i="475"/>
  <c r="AH58" i="475"/>
  <c r="AI58" i="475"/>
  <c r="AJ40" i="475"/>
  <c r="AQ56" i="125"/>
  <c r="AP56" i="125"/>
  <c r="AO56" i="125"/>
  <c r="AN56" i="125"/>
  <c r="AU56" i="125"/>
  <c r="AT56" i="125"/>
  <c r="AS56" i="125"/>
  <c r="AR56" i="125"/>
  <c r="AP30" i="125"/>
  <c r="AN30" i="125"/>
  <c r="AU30" i="125"/>
  <c r="AT30" i="125"/>
  <c r="AO30" i="125"/>
  <c r="AS30" i="125"/>
  <c r="AR30" i="125"/>
  <c r="AQ30" i="125"/>
  <c r="AF43" i="475"/>
  <c r="AE24" i="475"/>
  <c r="AD24" i="475"/>
  <c r="AH24" i="475"/>
  <c r="AG24" i="475"/>
  <c r="AB24" i="475"/>
  <c r="AA24" i="475"/>
  <c r="AI24" i="475"/>
  <c r="AF24" i="475"/>
  <c r="AC24" i="475"/>
  <c r="AT28" i="125"/>
  <c r="AR28" i="125"/>
  <c r="AQ28" i="125"/>
  <c r="AP28" i="125"/>
  <c r="AS28" i="125"/>
  <c r="AN28" i="125"/>
  <c r="AU28" i="125"/>
  <c r="AO28" i="125"/>
  <c r="AR27" i="125"/>
  <c r="AP27" i="125"/>
  <c r="AO27" i="125"/>
  <c r="AN27" i="125"/>
  <c r="AT27" i="125"/>
  <c r="AQ27" i="125"/>
  <c r="AU27" i="125"/>
  <c r="AS27" i="125"/>
  <c r="AO66" i="123"/>
  <c r="AT66" i="123"/>
  <c r="AS66" i="123"/>
  <c r="AU66" i="123"/>
  <c r="AQ66" i="123"/>
  <c r="AN66" i="123"/>
  <c r="AR66" i="123"/>
  <c r="AP66" i="123"/>
  <c r="AO56" i="123"/>
  <c r="AT56" i="123"/>
  <c r="AS56" i="123"/>
  <c r="AN56" i="123"/>
  <c r="AU56" i="123"/>
  <c r="AR56" i="123"/>
  <c r="AQ56" i="123"/>
  <c r="AP56" i="123"/>
  <c r="AS43" i="123"/>
  <c r="AQ43" i="123"/>
  <c r="AO43" i="123"/>
  <c r="AU43" i="123"/>
  <c r="AR43" i="123"/>
  <c r="AP43" i="123"/>
  <c r="AN43" i="123"/>
  <c r="AT43" i="123"/>
  <c r="AT19" i="123"/>
  <c r="AS19" i="123"/>
  <c r="AR19" i="123"/>
  <c r="AP19" i="123"/>
  <c r="AO19" i="123"/>
  <c r="AN19" i="123"/>
  <c r="AU19" i="123"/>
  <c r="AQ19" i="123"/>
  <c r="AS21" i="125"/>
  <c r="AQ21" i="125"/>
  <c r="AP21" i="125"/>
  <c r="AO21" i="125"/>
  <c r="AR21" i="125"/>
  <c r="AN21" i="125"/>
  <c r="AU21" i="125"/>
  <c r="AT21" i="125"/>
  <c r="AD39" i="123"/>
  <c r="AN29" i="125"/>
  <c r="AT29" i="125"/>
  <c r="AS29" i="125"/>
  <c r="AR29" i="125"/>
  <c r="AO29" i="125"/>
  <c r="AU29" i="125"/>
  <c r="AQ29" i="125"/>
  <c r="AP29" i="125"/>
  <c r="AH65" i="123"/>
  <c r="AO58" i="123"/>
  <c r="AP21" i="123"/>
  <c r="AO21" i="123"/>
  <c r="AN21" i="123"/>
  <c r="AT21" i="123"/>
  <c r="AS21" i="123"/>
  <c r="AR21" i="123"/>
  <c r="AQ21" i="123"/>
  <c r="AU21" i="123"/>
  <c r="AP55" i="122"/>
  <c r="AN55" i="122"/>
  <c r="AT55" i="122"/>
  <c r="AR55" i="122"/>
  <c r="AQ55" i="122"/>
  <c r="AS55" i="122"/>
  <c r="AO55" i="122"/>
  <c r="AU55" i="122"/>
  <c r="AP29" i="122"/>
  <c r="AN29" i="122"/>
  <c r="AT29" i="122"/>
  <c r="AR29" i="122"/>
  <c r="AS29" i="122"/>
  <c r="AO29" i="122"/>
  <c r="AU29" i="122"/>
  <c r="AQ29" i="122"/>
  <c r="AU58" i="123"/>
  <c r="AS46" i="123"/>
  <c r="AR46" i="123"/>
  <c r="AT46" i="123"/>
  <c r="AN46" i="123"/>
  <c r="AI40" i="123"/>
  <c r="AC40" i="123"/>
  <c r="AJ24" i="123"/>
  <c r="AC78" i="123"/>
  <c r="AB10" i="123"/>
  <c r="AF56" i="122"/>
  <c r="AP46" i="122"/>
  <c r="AN46" i="122"/>
  <c r="AT46" i="122"/>
  <c r="AR46" i="122"/>
  <c r="AS46" i="122"/>
  <c r="AQ46" i="122"/>
  <c r="AO46" i="122"/>
  <c r="AU46" i="122"/>
  <c r="AP31" i="122"/>
  <c r="AN31" i="122"/>
  <c r="AT31" i="122"/>
  <c r="AR31" i="122"/>
  <c r="AU31" i="122"/>
  <c r="AS31" i="122"/>
  <c r="AQ31" i="122"/>
  <c r="AO31" i="122"/>
  <c r="AR64" i="122"/>
  <c r="AP64" i="122"/>
  <c r="AN64" i="122"/>
  <c r="AC36" i="122"/>
  <c r="AI36" i="122"/>
  <c r="AA36" i="122"/>
  <c r="AG36" i="122"/>
  <c r="AE36" i="122"/>
  <c r="AH36" i="122"/>
  <c r="AD36" i="122"/>
  <c r="AB36" i="122"/>
  <c r="AF36" i="122"/>
  <c r="AP23" i="122"/>
  <c r="AN23" i="122"/>
  <c r="AT23" i="122"/>
  <c r="AU23" i="122"/>
  <c r="AR23" i="122"/>
  <c r="AQ23" i="122"/>
  <c r="AO23" i="122"/>
  <c r="AS23" i="122"/>
  <c r="AF17" i="122"/>
  <c r="AG17" i="122"/>
  <c r="AE17" i="122"/>
  <c r="AC17" i="122"/>
  <c r="AU28" i="122"/>
  <c r="AN26" i="122"/>
  <c r="AT26" i="122"/>
  <c r="AR26" i="122"/>
  <c r="AP26" i="122"/>
  <c r="AU26" i="122"/>
  <c r="AS26" i="122"/>
  <c r="AQ26" i="122"/>
  <c r="AO26" i="122"/>
  <c r="AQ21" i="122"/>
  <c r="AO21" i="122"/>
  <c r="AU21" i="122"/>
  <c r="AT21" i="122"/>
  <c r="AR21" i="122"/>
  <c r="AP21" i="122"/>
  <c r="AN21" i="122"/>
  <c r="AS21" i="122"/>
  <c r="AD14" i="122"/>
  <c r="AI14" i="122"/>
  <c r="AA14" i="122"/>
  <c r="AH14" i="122"/>
  <c r="AG14" i="122"/>
  <c r="AF14" i="122"/>
  <c r="AE14" i="122"/>
  <c r="AC14" i="122"/>
  <c r="AB14" i="122"/>
  <c r="AU3" i="122"/>
  <c r="AU2" i="122" s="1"/>
  <c r="AS37" i="122"/>
  <c r="AT3" i="122"/>
  <c r="AT2" i="122" s="1"/>
  <c r="AE67" i="121"/>
  <c r="AE65" i="121" s="1"/>
  <c r="AB67" i="121"/>
  <c r="AB65" i="121" s="1"/>
  <c r="AI67" i="121"/>
  <c r="AI65" i="121" s="1"/>
  <c r="AA67" i="121"/>
  <c r="AH67" i="121"/>
  <c r="AH65" i="121" s="1"/>
  <c r="AG67" i="121"/>
  <c r="AG65" i="121" s="1"/>
  <c r="AF67" i="121"/>
  <c r="AF65" i="121" s="1"/>
  <c r="AD67" i="121"/>
  <c r="AD65" i="121" s="1"/>
  <c r="AC67" i="121"/>
  <c r="AC65" i="121" s="1"/>
  <c r="AD61" i="121"/>
  <c r="AD60" i="121" s="1"/>
  <c r="AE61" i="121"/>
  <c r="AE60" i="121" s="1"/>
  <c r="AI16" i="122"/>
  <c r="AG16" i="122"/>
  <c r="AE16" i="122"/>
  <c r="AF16" i="122"/>
  <c r="AD16" i="122"/>
  <c r="AC16" i="122"/>
  <c r="AB16" i="122"/>
  <c r="AA16" i="122"/>
  <c r="AH16" i="122"/>
  <c r="AV34" i="122"/>
  <c r="AH13" i="122"/>
  <c r="AC44" i="121"/>
  <c r="AH44" i="121"/>
  <c r="AG44" i="121"/>
  <c r="AQ20" i="121"/>
  <c r="AC71" i="121"/>
  <c r="AC70" i="121" s="1"/>
  <c r="AO39" i="121"/>
  <c r="AU39" i="121"/>
  <c r="AT39" i="121"/>
  <c r="AQ39" i="121"/>
  <c r="AP39" i="121"/>
  <c r="AN39" i="121"/>
  <c r="AS39" i="121"/>
  <c r="AR39" i="121"/>
  <c r="AJ13" i="123"/>
  <c r="AS43" i="121"/>
  <c r="AQ43" i="121"/>
  <c r="AP43" i="121"/>
  <c r="AU43" i="121"/>
  <c r="AT43" i="121"/>
  <c r="AR43" i="121"/>
  <c r="AO43" i="121"/>
  <c r="AN43" i="121"/>
  <c r="AO3" i="122"/>
  <c r="AO2" i="122" s="1"/>
  <c r="AS20" i="121"/>
  <c r="AR15" i="121"/>
  <c r="AT15" i="121"/>
  <c r="AQ15" i="121"/>
  <c r="AP15" i="121"/>
  <c r="AO15" i="121"/>
  <c r="AN15" i="121"/>
  <c r="AU15" i="121"/>
  <c r="AS15" i="121"/>
  <c r="AS46" i="120"/>
  <c r="AP46" i="120"/>
  <c r="AT46" i="120"/>
  <c r="AQ46" i="120"/>
  <c r="AO46" i="120"/>
  <c r="AN46" i="120"/>
  <c r="AU46" i="120"/>
  <c r="AR46" i="120"/>
  <c r="AI8" i="121"/>
  <c r="AU41" i="120"/>
  <c r="AN41" i="120"/>
  <c r="AP41" i="120"/>
  <c r="AO41" i="120"/>
  <c r="AS41" i="120"/>
  <c r="AR41" i="120"/>
  <c r="AQ41" i="120"/>
  <c r="AT41" i="120"/>
  <c r="AH17" i="121"/>
  <c r="AF17" i="121"/>
  <c r="AD17" i="121"/>
  <c r="AC17" i="121"/>
  <c r="AB17" i="121"/>
  <c r="AA17" i="121"/>
  <c r="AI17" i="121"/>
  <c r="AG17" i="121"/>
  <c r="AE17" i="121"/>
  <c r="AB34" i="120"/>
  <c r="AQ73" i="119"/>
  <c r="AQ72" i="119" s="1"/>
  <c r="AO73" i="119"/>
  <c r="AO72" i="119" s="1"/>
  <c r="AT73" i="119"/>
  <c r="AT72" i="119" s="1"/>
  <c r="AS73" i="119"/>
  <c r="AS72" i="119" s="1"/>
  <c r="AR73" i="119"/>
  <c r="AR72" i="119" s="1"/>
  <c r="AU73" i="119"/>
  <c r="AU72" i="119" s="1"/>
  <c r="AP73" i="119"/>
  <c r="AP72" i="119" s="1"/>
  <c r="AN73" i="119"/>
  <c r="AD45" i="119"/>
  <c r="AB45" i="119"/>
  <c r="AG45" i="119"/>
  <c r="AF45" i="119"/>
  <c r="AC45" i="119"/>
  <c r="AA45" i="119"/>
  <c r="AI45" i="119"/>
  <c r="AH45" i="119"/>
  <c r="AE45" i="119"/>
  <c r="AA8" i="120"/>
  <c r="AI69" i="120"/>
  <c r="AI68" i="120" s="1"/>
  <c r="AS64" i="120"/>
  <c r="AP64" i="120"/>
  <c r="AO64" i="120"/>
  <c r="AU64" i="120"/>
  <c r="AT64" i="120"/>
  <c r="AQ64" i="120"/>
  <c r="AN64" i="120"/>
  <c r="AR64" i="120"/>
  <c r="AI67" i="119"/>
  <c r="AI65" i="119" s="1"/>
  <c r="AA67" i="119"/>
  <c r="AG67" i="119"/>
  <c r="AD67" i="119"/>
  <c r="AD65" i="119" s="1"/>
  <c r="AC67" i="119"/>
  <c r="AC65" i="119" s="1"/>
  <c r="AF67" i="119"/>
  <c r="AF65" i="119" s="1"/>
  <c r="AE67" i="119"/>
  <c r="AE65" i="119" s="1"/>
  <c r="AB67" i="119"/>
  <c r="AB65" i="119" s="1"/>
  <c r="AH67" i="119"/>
  <c r="AH65" i="119" s="1"/>
  <c r="AQ61" i="119"/>
  <c r="AO61" i="119"/>
  <c r="AT61" i="119"/>
  <c r="AS61" i="119"/>
  <c r="AU61" i="119"/>
  <c r="AR61" i="119"/>
  <c r="AP61" i="119"/>
  <c r="AN61" i="119"/>
  <c r="AE20" i="119"/>
  <c r="AU11" i="119"/>
  <c r="AT11" i="119"/>
  <c r="AN78" i="120"/>
  <c r="AU78" i="120"/>
  <c r="AF15" i="120"/>
  <c r="AF56" i="119"/>
  <c r="AO51" i="118"/>
  <c r="AT51" i="118"/>
  <c r="AR51" i="118"/>
  <c r="AU51" i="118"/>
  <c r="AS51" i="118"/>
  <c r="AQ51" i="118"/>
  <c r="AP51" i="118"/>
  <c r="AN51" i="118"/>
  <c r="AT64" i="119"/>
  <c r="AR64" i="119"/>
  <c r="AO64" i="119"/>
  <c r="AN64" i="119"/>
  <c r="AU64" i="119"/>
  <c r="AS64" i="119"/>
  <c r="AQ64" i="119"/>
  <c r="AP64" i="119"/>
  <c r="AT52" i="119"/>
  <c r="AR52" i="119"/>
  <c r="AO52" i="119"/>
  <c r="AN52" i="119"/>
  <c r="AU52" i="119"/>
  <c r="AS52" i="119"/>
  <c r="AQ52" i="119"/>
  <c r="AP52" i="119"/>
  <c r="AH20" i="119"/>
  <c r="AU57" i="119"/>
  <c r="AS57" i="119"/>
  <c r="AP57" i="119"/>
  <c r="AO57" i="119"/>
  <c r="AT57" i="119"/>
  <c r="AR57" i="119"/>
  <c r="AQ57" i="119"/>
  <c r="AN57" i="119"/>
  <c r="AD32" i="119"/>
  <c r="AI32" i="119"/>
  <c r="AA32" i="119"/>
  <c r="AH32" i="119"/>
  <c r="AG32" i="119"/>
  <c r="AF32" i="119"/>
  <c r="AB32" i="119"/>
  <c r="AE32" i="119"/>
  <c r="AC32" i="119"/>
  <c r="AI26" i="119"/>
  <c r="AP54" i="119"/>
  <c r="AD66" i="118"/>
  <c r="AB66" i="118"/>
  <c r="AG66" i="118"/>
  <c r="AF66" i="118"/>
  <c r="AE66" i="118"/>
  <c r="AI66" i="118"/>
  <c r="AH66" i="118"/>
  <c r="AC66" i="118"/>
  <c r="AA66" i="118"/>
  <c r="AO32" i="118"/>
  <c r="AN21" i="118"/>
  <c r="AT21" i="118"/>
  <c r="AU21" i="118"/>
  <c r="AS21" i="118"/>
  <c r="AR21" i="118"/>
  <c r="AQ21" i="118"/>
  <c r="AO21" i="118"/>
  <c r="AP21" i="118"/>
  <c r="AV3" i="119"/>
  <c r="AN63" i="118"/>
  <c r="AT63" i="118"/>
  <c r="AQ63" i="118"/>
  <c r="AO63" i="118"/>
  <c r="AP63" i="118"/>
  <c r="AU63" i="118"/>
  <c r="AS63" i="118"/>
  <c r="AR63" i="118"/>
  <c r="AT59" i="118"/>
  <c r="AS59" i="118"/>
  <c r="AN19" i="118"/>
  <c r="AT19" i="118"/>
  <c r="AO19" i="118"/>
  <c r="AU19" i="118"/>
  <c r="AR19" i="118"/>
  <c r="AQ19" i="118"/>
  <c r="AP19" i="118"/>
  <c r="AS19" i="118"/>
  <c r="AO11" i="119"/>
  <c r="AS26" i="118"/>
  <c r="AQ26" i="118"/>
  <c r="AT26" i="118"/>
  <c r="AR26" i="118"/>
  <c r="AP26" i="118"/>
  <c r="AO26" i="118"/>
  <c r="AU26" i="118"/>
  <c r="AN26" i="118"/>
  <c r="AO48" i="118"/>
  <c r="AT48" i="118"/>
  <c r="AR48" i="118"/>
  <c r="AU48" i="118"/>
  <c r="AS48" i="118"/>
  <c r="AQ48" i="118"/>
  <c r="AP48" i="118"/>
  <c r="AN48" i="118"/>
  <c r="AU35" i="118"/>
  <c r="AC14" i="118"/>
  <c r="AB14" i="118"/>
  <c r="AR15" i="117"/>
  <c r="AU15" i="117"/>
  <c r="AT15" i="117"/>
  <c r="AQ15" i="117"/>
  <c r="AP15" i="117"/>
  <c r="AO15" i="117"/>
  <c r="AN15" i="117"/>
  <c r="AS15" i="117"/>
  <c r="AN63" i="117"/>
  <c r="AU63" i="117"/>
  <c r="AT63" i="117"/>
  <c r="AS63" i="117"/>
  <c r="AP63" i="117"/>
  <c r="AO63" i="117"/>
  <c r="AR63" i="117"/>
  <c r="AQ63" i="117"/>
  <c r="AG49" i="117"/>
  <c r="AF49" i="117"/>
  <c r="AE49" i="117"/>
  <c r="AB49" i="117"/>
  <c r="AI49" i="117"/>
  <c r="AA49" i="117"/>
  <c r="AH49" i="117"/>
  <c r="AD49" i="117"/>
  <c r="AC49" i="117"/>
  <c r="AH69" i="116"/>
  <c r="AH68" i="116" s="1"/>
  <c r="AE44" i="117"/>
  <c r="AR45" i="117"/>
  <c r="AQ45" i="117"/>
  <c r="AN45" i="117"/>
  <c r="AT66" i="117"/>
  <c r="AT65" i="117" s="1"/>
  <c r="AS66" i="117"/>
  <c r="AS65" i="117" s="1"/>
  <c r="AR66" i="117"/>
  <c r="AQ66" i="117"/>
  <c r="AN66" i="117"/>
  <c r="AU66" i="117"/>
  <c r="AU65" i="117" s="1"/>
  <c r="AP66" i="117"/>
  <c r="AP65" i="117" s="1"/>
  <c r="AO66" i="117"/>
  <c r="AI63" i="116"/>
  <c r="AN28" i="116"/>
  <c r="AT28" i="116"/>
  <c r="AS28" i="116"/>
  <c r="AQ28" i="116"/>
  <c r="AP28" i="116"/>
  <c r="AO28" i="116"/>
  <c r="AU28" i="116"/>
  <c r="AR28" i="116"/>
  <c r="AT20" i="116"/>
  <c r="AR20" i="116"/>
  <c r="AO20" i="116"/>
  <c r="AN20" i="116"/>
  <c r="AJ52" i="117"/>
  <c r="AJ4" i="117"/>
  <c r="AA57" i="124"/>
  <c r="AG57" i="124"/>
  <c r="AF57" i="124"/>
  <c r="AE57" i="124"/>
  <c r="AB57" i="124"/>
  <c r="AG36" i="117"/>
  <c r="AV29" i="117"/>
  <c r="AN20" i="117"/>
  <c r="AP20" i="117"/>
  <c r="AU27" i="116"/>
  <c r="AS27" i="116"/>
  <c r="AR27" i="116"/>
  <c r="AO27" i="116"/>
  <c r="AN27" i="116"/>
  <c r="AT27" i="116"/>
  <c r="AQ27" i="116"/>
  <c r="AP27" i="116"/>
  <c r="AC18" i="116"/>
  <c r="AI18" i="116"/>
  <c r="AA18" i="116"/>
  <c r="AH18" i="116"/>
  <c r="AD18" i="116"/>
  <c r="AB18" i="116"/>
  <c r="AG18" i="116"/>
  <c r="AF18" i="116"/>
  <c r="AE18" i="116"/>
  <c r="AD52" i="124"/>
  <c r="AA52" i="124"/>
  <c r="AI52" i="124"/>
  <c r="AH52" i="124"/>
  <c r="AG52" i="124"/>
  <c r="AF52" i="124"/>
  <c r="AE52" i="124"/>
  <c r="AC52" i="124"/>
  <c r="AB52" i="124"/>
  <c r="AU21" i="114"/>
  <c r="AT21" i="114"/>
  <c r="AS21" i="114"/>
  <c r="AR21" i="114"/>
  <c r="AO21" i="114"/>
  <c r="AN21" i="114"/>
  <c r="AQ21" i="114"/>
  <c r="AP21" i="114"/>
  <c r="AF71" i="124"/>
  <c r="AF70" i="124" s="1"/>
  <c r="AD71" i="124"/>
  <c r="AD70" i="124" s="1"/>
  <c r="AC71" i="124"/>
  <c r="AC70" i="124" s="1"/>
  <c r="AB71" i="124"/>
  <c r="AB70" i="124" s="1"/>
  <c r="AA71" i="124"/>
  <c r="AI71" i="124"/>
  <c r="AI70" i="124" s="1"/>
  <c r="AH71" i="124"/>
  <c r="AH70" i="124" s="1"/>
  <c r="AG71" i="124"/>
  <c r="AG70" i="124" s="1"/>
  <c r="AE71" i="124"/>
  <c r="AE70" i="124" s="1"/>
  <c r="AO38" i="124"/>
  <c r="AN38" i="124"/>
  <c r="AU38" i="124"/>
  <c r="AT38" i="124"/>
  <c r="AS38" i="124"/>
  <c r="AR38" i="124"/>
  <c r="AQ38" i="124"/>
  <c r="AP38" i="124"/>
  <c r="AH45" i="115"/>
  <c r="AF27" i="116"/>
  <c r="AF10" i="124"/>
  <c r="AE10" i="124"/>
  <c r="AP3" i="117"/>
  <c r="AR3" i="117"/>
  <c r="AO3" i="117"/>
  <c r="AO2" i="117" s="1"/>
  <c r="AN3" i="117"/>
  <c r="AQ3" i="117"/>
  <c r="AT3" i="117"/>
  <c r="AS3" i="117"/>
  <c r="AS2" i="117" s="1"/>
  <c r="AU3" i="117"/>
  <c r="AG71" i="116"/>
  <c r="AG70" i="116" s="1"/>
  <c r="AR63" i="116"/>
  <c r="AG10" i="124"/>
  <c r="AU9" i="124"/>
  <c r="AT9" i="124"/>
  <c r="AS9" i="124"/>
  <c r="AR9" i="124"/>
  <c r="AQ9" i="124"/>
  <c r="AP9" i="124"/>
  <c r="AO9" i="124"/>
  <c r="AN9" i="124"/>
  <c r="AB56" i="115"/>
  <c r="AH52" i="115"/>
  <c r="AG52" i="115"/>
  <c r="AF52" i="115"/>
  <c r="AE52" i="115"/>
  <c r="AD52" i="115"/>
  <c r="AI52" i="115"/>
  <c r="AC52" i="115"/>
  <c r="AB52" i="115"/>
  <c r="AA52" i="115"/>
  <c r="AB29" i="124"/>
  <c r="AI29" i="124"/>
  <c r="AA29" i="124"/>
  <c r="AH29" i="124"/>
  <c r="AG29" i="124"/>
  <c r="AF29" i="124"/>
  <c r="AE29" i="124"/>
  <c r="AD29" i="124"/>
  <c r="AC29" i="124"/>
  <c r="AG44" i="115"/>
  <c r="AF44" i="115"/>
  <c r="AE44" i="115"/>
  <c r="AD44" i="115"/>
  <c r="AC44" i="115"/>
  <c r="AI44" i="115"/>
  <c r="AH44" i="115"/>
  <c r="AB44" i="115"/>
  <c r="AA44" i="115"/>
  <c r="AG69" i="114"/>
  <c r="AG68" i="114" s="1"/>
  <c r="AE69" i="114"/>
  <c r="AE68" i="114" s="1"/>
  <c r="AD69" i="114"/>
  <c r="AD68" i="114" s="1"/>
  <c r="AC69" i="114"/>
  <c r="AC68" i="114" s="1"/>
  <c r="AN41" i="472"/>
  <c r="AN37" i="124"/>
  <c r="AN32" i="115"/>
  <c r="AU32" i="115"/>
  <c r="AT32" i="115"/>
  <c r="AS32" i="115"/>
  <c r="AR32" i="115"/>
  <c r="AQ32" i="115"/>
  <c r="AP32" i="115"/>
  <c r="AO32" i="115"/>
  <c r="AV4" i="115"/>
  <c r="AV52" i="116"/>
  <c r="AF55" i="124"/>
  <c r="AO17" i="124"/>
  <c r="AN17" i="124"/>
  <c r="AU17" i="124"/>
  <c r="AT17" i="124"/>
  <c r="AS17" i="124"/>
  <c r="AR17" i="124"/>
  <c r="AQ17" i="124"/>
  <c r="AP17" i="124"/>
  <c r="AD17" i="124"/>
  <c r="AQ16" i="115"/>
  <c r="AP16" i="115"/>
  <c r="AO16" i="115"/>
  <c r="AU16" i="115"/>
  <c r="AT16" i="115"/>
  <c r="AS16" i="115"/>
  <c r="AR16" i="115"/>
  <c r="AN16" i="115"/>
  <c r="AD58" i="472"/>
  <c r="AI58" i="472"/>
  <c r="AA58" i="472"/>
  <c r="AH58" i="472"/>
  <c r="AG58" i="472"/>
  <c r="AE58" i="472"/>
  <c r="AC58" i="472"/>
  <c r="AB58" i="472"/>
  <c r="AF58" i="472"/>
  <c r="AN59" i="116"/>
  <c r="AG56" i="115"/>
  <c r="AA15" i="124"/>
  <c r="AT30" i="472"/>
  <c r="AQ30" i="472"/>
  <c r="AP30" i="472"/>
  <c r="AO30" i="472"/>
  <c r="AN30" i="472"/>
  <c r="AU30" i="472"/>
  <c r="AS30" i="472"/>
  <c r="AR30" i="472"/>
  <c r="AT35" i="112"/>
  <c r="AQ35" i="112"/>
  <c r="AO35" i="112"/>
  <c r="AR35" i="112"/>
  <c r="AP35" i="112"/>
  <c r="AU35" i="112"/>
  <c r="AS35" i="112"/>
  <c r="AN35" i="112"/>
  <c r="AE44" i="114"/>
  <c r="AD44" i="114"/>
  <c r="AC44" i="114"/>
  <c r="AH44" i="114"/>
  <c r="AB44" i="114"/>
  <c r="AA44" i="114"/>
  <c r="AI44" i="114"/>
  <c r="AG44" i="114"/>
  <c r="AF44" i="114"/>
  <c r="AO78" i="114"/>
  <c r="AN78" i="114"/>
  <c r="AU78" i="114"/>
  <c r="AR78" i="114"/>
  <c r="AQ78" i="114"/>
  <c r="AP78" i="114"/>
  <c r="AT78" i="114"/>
  <c r="AS78" i="114"/>
  <c r="AN31" i="472"/>
  <c r="AS31" i="472"/>
  <c r="AR31" i="472"/>
  <c r="AQ31" i="472"/>
  <c r="AU31" i="472"/>
  <c r="AT31" i="472"/>
  <c r="AP31" i="472"/>
  <c r="AO31" i="472"/>
  <c r="AS71" i="124"/>
  <c r="AS70" i="124" s="1"/>
  <c r="AS68" i="124" s="1"/>
  <c r="AE61" i="114"/>
  <c r="AD61" i="114"/>
  <c r="AC61" i="114"/>
  <c r="AI61" i="114"/>
  <c r="AA61" i="114"/>
  <c r="AH61" i="114"/>
  <c r="AF61" i="114"/>
  <c r="AB61" i="114"/>
  <c r="AG61" i="114"/>
  <c r="AU25" i="472"/>
  <c r="AE24" i="472"/>
  <c r="AG25" i="115"/>
  <c r="T17" i="114"/>
  <c r="AA27" i="114"/>
  <c r="AQ51" i="472"/>
  <c r="AO29" i="472"/>
  <c r="AS51" i="114"/>
  <c r="AB17" i="114"/>
  <c r="AG17" i="114"/>
  <c r="AE17" i="114"/>
  <c r="AD17" i="114"/>
  <c r="AN63" i="472"/>
  <c r="AB67" i="114"/>
  <c r="AP59" i="114"/>
  <c r="AD15" i="472"/>
  <c r="AI15" i="472"/>
  <c r="AA15" i="472"/>
  <c r="AH15" i="472"/>
  <c r="AG15" i="472"/>
  <c r="AC15" i="472"/>
  <c r="AB15" i="472"/>
  <c r="AF15" i="472"/>
  <c r="AE15" i="472"/>
  <c r="AA9" i="472"/>
  <c r="AB71" i="111"/>
  <c r="AB70" i="111" s="1"/>
  <c r="AG71" i="111"/>
  <c r="AG70" i="111" s="1"/>
  <c r="AI71" i="111"/>
  <c r="AI70" i="111" s="1"/>
  <c r="AH71" i="111"/>
  <c r="AH70" i="111" s="1"/>
  <c r="AA71" i="111"/>
  <c r="AE71" i="111"/>
  <c r="AE70" i="111" s="1"/>
  <c r="AD71" i="111"/>
  <c r="AD70" i="111" s="1"/>
  <c r="AC71" i="111"/>
  <c r="AC70" i="111" s="1"/>
  <c r="AF71" i="111"/>
  <c r="AF70" i="111" s="1"/>
  <c r="AI31" i="124"/>
  <c r="AB56" i="472"/>
  <c r="AG56" i="472"/>
  <c r="AF56" i="472"/>
  <c r="AE56" i="472"/>
  <c r="AI56" i="472"/>
  <c r="AH56" i="472"/>
  <c r="AD56" i="472"/>
  <c r="AC56" i="472"/>
  <c r="AA56" i="472"/>
  <c r="AP32" i="472"/>
  <c r="AO53" i="112"/>
  <c r="AH21" i="112"/>
  <c r="AE21" i="112"/>
  <c r="AC21" i="112"/>
  <c r="AF21" i="112"/>
  <c r="AD21" i="112"/>
  <c r="AI21" i="112"/>
  <c r="AG21" i="112"/>
  <c r="AB21" i="112"/>
  <c r="AA21" i="112"/>
  <c r="AG55" i="112"/>
  <c r="AR36" i="111"/>
  <c r="AS36" i="111"/>
  <c r="AN36" i="111"/>
  <c r="AU36" i="111"/>
  <c r="AT36" i="111"/>
  <c r="AQ36" i="111"/>
  <c r="AP36" i="111"/>
  <c r="AO36" i="111"/>
  <c r="AE20" i="111"/>
  <c r="AI20" i="111"/>
  <c r="AG20" i="111"/>
  <c r="AF20" i="111"/>
  <c r="AC20" i="111"/>
  <c r="AB20" i="111"/>
  <c r="AA20" i="111"/>
  <c r="AV66" i="110"/>
  <c r="AQ42" i="110"/>
  <c r="AN42" i="110"/>
  <c r="AT42" i="110"/>
  <c r="AS42" i="110"/>
  <c r="AR42" i="110"/>
  <c r="AO42" i="110"/>
  <c r="AO19" i="472"/>
  <c r="AT19" i="472"/>
  <c r="AS19" i="472"/>
  <c r="AR19" i="472"/>
  <c r="AU19" i="472"/>
  <c r="AP19" i="472"/>
  <c r="AN19" i="472"/>
  <c r="AQ19" i="472"/>
  <c r="AB28" i="112"/>
  <c r="AG28" i="112"/>
  <c r="AE28" i="112"/>
  <c r="AC28" i="112"/>
  <c r="AA28" i="112"/>
  <c r="AH28" i="112"/>
  <c r="AF28" i="112"/>
  <c r="AD28" i="112"/>
  <c r="AI28" i="112"/>
  <c r="AT43" i="112"/>
  <c r="AS43" i="112"/>
  <c r="AQ43" i="112"/>
  <c r="AG19" i="112"/>
  <c r="AE19" i="112"/>
  <c r="AT11" i="112"/>
  <c r="AQ11" i="112"/>
  <c r="AU11" i="112"/>
  <c r="AS11" i="112"/>
  <c r="AP11" i="112"/>
  <c r="AO11" i="112"/>
  <c r="AN11" i="112"/>
  <c r="AR11" i="112"/>
  <c r="AN16" i="472"/>
  <c r="AV67" i="112"/>
  <c r="AB39" i="112"/>
  <c r="AI39" i="112"/>
  <c r="AH39" i="112"/>
  <c r="AA39" i="112"/>
  <c r="AF39" i="112"/>
  <c r="AE39" i="112"/>
  <c r="AC39" i="112"/>
  <c r="AP20" i="112"/>
  <c r="AD69" i="111"/>
  <c r="AD68" i="111" s="1"/>
  <c r="AC69" i="111"/>
  <c r="AC68" i="111" s="1"/>
  <c r="AO34" i="111"/>
  <c r="G79" i="110"/>
  <c r="G77" i="110" s="1"/>
  <c r="G8" i="110" s="1"/>
  <c r="AG16" i="472"/>
  <c r="AD10" i="472"/>
  <c r="AB27" i="112"/>
  <c r="AA19" i="112"/>
  <c r="AR61" i="114"/>
  <c r="AJ52" i="111"/>
  <c r="AB42" i="111"/>
  <c r="AE42" i="111"/>
  <c r="AI42" i="111"/>
  <c r="AH42" i="111"/>
  <c r="AF42" i="111"/>
  <c r="AD42" i="111"/>
  <c r="AC42" i="111"/>
  <c r="AA42" i="111"/>
  <c r="AJ44" i="111"/>
  <c r="AC31" i="110"/>
  <c r="AT14" i="110"/>
  <c r="AS14" i="110"/>
  <c r="AR14" i="110"/>
  <c r="AP14" i="110"/>
  <c r="AO14" i="110"/>
  <c r="AN14" i="110"/>
  <c r="AU14" i="110"/>
  <c r="AQ14" i="110"/>
  <c r="AJ48" i="112"/>
  <c r="AG28" i="111"/>
  <c r="AB28" i="111"/>
  <c r="AE28" i="111"/>
  <c r="AF28" i="111"/>
  <c r="AD28" i="111"/>
  <c r="AC28" i="111"/>
  <c r="AA28" i="111"/>
  <c r="AI28" i="111"/>
  <c r="AH28" i="111"/>
  <c r="AN26" i="110"/>
  <c r="AS48" i="110"/>
  <c r="AN48" i="110"/>
  <c r="AO48" i="110"/>
  <c r="AU48" i="110"/>
  <c r="AT48" i="110"/>
  <c r="AR48" i="110"/>
  <c r="AQ48" i="110"/>
  <c r="AP48" i="110"/>
  <c r="AC14" i="110"/>
  <c r="AB14" i="110"/>
  <c r="AI14" i="110"/>
  <c r="AA14" i="110"/>
  <c r="AD14" i="110"/>
  <c r="AH14" i="110"/>
  <c r="AF14" i="110"/>
  <c r="AE14" i="110"/>
  <c r="AG14" i="110"/>
  <c r="AJ15" i="112"/>
  <c r="AF11" i="112"/>
  <c r="AB52" i="110"/>
  <c r="AE52" i="110"/>
  <c r="AF52" i="110"/>
  <c r="AC52" i="110"/>
  <c r="AA52" i="110"/>
  <c r="AI52" i="110"/>
  <c r="AH52" i="110"/>
  <c r="AG52" i="110"/>
  <c r="AD52" i="110"/>
  <c r="AC41" i="110"/>
  <c r="AF41" i="110"/>
  <c r="AE41" i="110"/>
  <c r="AB41" i="110"/>
  <c r="AA41" i="110"/>
  <c r="AI41" i="110"/>
  <c r="AH41" i="110"/>
  <c r="AG41" i="110"/>
  <c r="AD41" i="110"/>
  <c r="AD61" i="108"/>
  <c r="AR71" i="110"/>
  <c r="AR70" i="110" s="1"/>
  <c r="AT58" i="110"/>
  <c r="AO58" i="110"/>
  <c r="AR58" i="110"/>
  <c r="AP58" i="110"/>
  <c r="AN58" i="110"/>
  <c r="AU58" i="110"/>
  <c r="AS58" i="110"/>
  <c r="AQ58" i="110"/>
  <c r="AD54" i="110"/>
  <c r="AG54" i="110"/>
  <c r="AB54" i="110"/>
  <c r="AI54" i="110"/>
  <c r="AH54" i="110"/>
  <c r="AF54" i="110"/>
  <c r="AE54" i="110"/>
  <c r="AC54" i="110"/>
  <c r="AA54" i="110"/>
  <c r="AU13" i="110"/>
  <c r="AT13" i="110"/>
  <c r="AS13" i="110"/>
  <c r="AN13" i="110"/>
  <c r="AR13" i="110"/>
  <c r="AP13" i="110"/>
  <c r="AO13" i="110"/>
  <c r="AQ13" i="110"/>
  <c r="AI55" i="110"/>
  <c r="AQ51" i="110"/>
  <c r="AT51" i="110"/>
  <c r="AP51" i="110"/>
  <c r="AN51" i="110"/>
  <c r="AU51" i="110"/>
  <c r="AS51" i="110"/>
  <c r="AR51" i="110"/>
  <c r="AO51" i="110"/>
  <c r="AO43" i="110"/>
  <c r="AR43" i="110"/>
  <c r="AQ43" i="110"/>
  <c r="AN43" i="110"/>
  <c r="AU43" i="110"/>
  <c r="AT43" i="110"/>
  <c r="AS43" i="110"/>
  <c r="AP43" i="110"/>
  <c r="AU11" i="110"/>
  <c r="AT11" i="110"/>
  <c r="AS11" i="110"/>
  <c r="AO11" i="110"/>
  <c r="AN11" i="110"/>
  <c r="AQ11" i="110"/>
  <c r="AP11" i="110"/>
  <c r="AR11" i="110"/>
  <c r="AD64" i="107"/>
  <c r="AC64" i="107"/>
  <c r="AG64" i="107"/>
  <c r="AG60" i="107" s="1"/>
  <c r="AA64" i="107"/>
  <c r="AI64" i="107"/>
  <c r="AF64" i="107"/>
  <c r="AE64" i="107"/>
  <c r="AH64" i="107"/>
  <c r="AH60" i="107" s="1"/>
  <c r="AB64" i="107"/>
  <c r="AP52" i="107"/>
  <c r="AG39" i="108"/>
  <c r="AC73" i="108"/>
  <c r="AD73" i="108"/>
  <c r="AA73" i="108"/>
  <c r="AI73" i="108"/>
  <c r="AF73" i="108"/>
  <c r="AE73" i="108"/>
  <c r="AH73" i="108"/>
  <c r="AG73" i="108"/>
  <c r="AB73" i="108"/>
  <c r="AN36" i="108"/>
  <c r="AU36" i="108"/>
  <c r="AR36" i="108"/>
  <c r="AQ36" i="108"/>
  <c r="AT36" i="108"/>
  <c r="AS36" i="108"/>
  <c r="AP36" i="108"/>
  <c r="AO36" i="108"/>
  <c r="AT48" i="107"/>
  <c r="AS48" i="107"/>
  <c r="AO48" i="107"/>
  <c r="AP48" i="107"/>
  <c r="AN48" i="107"/>
  <c r="AU48" i="107"/>
  <c r="AR48" i="107"/>
  <c r="AQ48" i="107"/>
  <c r="AG29" i="107"/>
  <c r="AE29" i="107"/>
  <c r="AD29" i="107"/>
  <c r="AC29" i="107"/>
  <c r="AB29" i="107"/>
  <c r="AI29" i="107"/>
  <c r="AH29" i="107"/>
  <c r="AF29" i="107"/>
  <c r="AA29" i="107"/>
  <c r="AR29" i="110"/>
  <c r="AT53" i="108"/>
  <c r="AP29" i="108"/>
  <c r="AO23" i="108"/>
  <c r="AG55" i="107"/>
  <c r="AF55" i="107"/>
  <c r="AB55" i="107"/>
  <c r="AI55" i="107"/>
  <c r="AH55" i="107"/>
  <c r="AE55" i="107"/>
  <c r="AC55" i="107"/>
  <c r="AA55" i="107"/>
  <c r="AD55" i="107"/>
  <c r="AB35" i="107"/>
  <c r="AA35" i="107"/>
  <c r="AI35" i="107"/>
  <c r="AH35" i="107"/>
  <c r="AG35" i="107"/>
  <c r="AE35" i="107"/>
  <c r="AD35" i="107"/>
  <c r="AF35" i="107"/>
  <c r="AC35" i="107"/>
  <c r="AO23" i="107"/>
  <c r="AN23" i="107"/>
  <c r="AS23" i="107"/>
  <c r="AQ23" i="107"/>
  <c r="AT23" i="107"/>
  <c r="AP23" i="107"/>
  <c r="AH40" i="108"/>
  <c r="AG40" i="108"/>
  <c r="AD40" i="108"/>
  <c r="AC40" i="108"/>
  <c r="AE40" i="108"/>
  <c r="AB40" i="108"/>
  <c r="AA40" i="108"/>
  <c r="AI40" i="108"/>
  <c r="AF40" i="108"/>
  <c r="AQ23" i="108"/>
  <c r="AU66" i="107"/>
  <c r="AT66" i="107"/>
  <c r="AP66" i="107"/>
  <c r="AR66" i="107"/>
  <c r="AQ66" i="107"/>
  <c r="AO66" i="107"/>
  <c r="AN66" i="107"/>
  <c r="AS66" i="107"/>
  <c r="AU8" i="107"/>
  <c r="AP8" i="107"/>
  <c r="AO8" i="107"/>
  <c r="AN8" i="107"/>
  <c r="AR8" i="107"/>
  <c r="AT8" i="107"/>
  <c r="AS8" i="107"/>
  <c r="AQ8" i="107"/>
  <c r="AO63" i="106"/>
  <c r="AN63" i="106"/>
  <c r="AU63" i="106"/>
  <c r="AT63" i="106"/>
  <c r="AQ63" i="106"/>
  <c r="AR63" i="106"/>
  <c r="AP63" i="106"/>
  <c r="AS63" i="106"/>
  <c r="AO56" i="106"/>
  <c r="AN56" i="106"/>
  <c r="AU56" i="106"/>
  <c r="AT56" i="106"/>
  <c r="AQ56" i="106"/>
  <c r="AS56" i="106"/>
  <c r="AR56" i="106"/>
  <c r="AP56" i="106"/>
  <c r="AV61" i="108"/>
  <c r="AT52" i="108"/>
  <c r="AR52" i="108"/>
  <c r="AQ52" i="108"/>
  <c r="AN52" i="108"/>
  <c r="AU52" i="108"/>
  <c r="AS52" i="108"/>
  <c r="AP52" i="108"/>
  <c r="AO52" i="108"/>
  <c r="AD39" i="108"/>
  <c r="AO29" i="108"/>
  <c r="AN17" i="108"/>
  <c r="AP45" i="107"/>
  <c r="AS54" i="110"/>
  <c r="AO2" i="108"/>
  <c r="AU29" i="110"/>
  <c r="AT67" i="108"/>
  <c r="AP67" i="108"/>
  <c r="AO67" i="108"/>
  <c r="AP57" i="107"/>
  <c r="AO57" i="107"/>
  <c r="AU57" i="107"/>
  <c r="AT57" i="107"/>
  <c r="AQ57" i="107"/>
  <c r="AU43" i="107"/>
  <c r="AP43" i="107"/>
  <c r="AT43" i="107"/>
  <c r="AS43" i="107"/>
  <c r="AQ43" i="107"/>
  <c r="AO43" i="107"/>
  <c r="AR43" i="107"/>
  <c r="AN43" i="107"/>
  <c r="AT43" i="106"/>
  <c r="AU42" i="107"/>
  <c r="AP42" i="107"/>
  <c r="AR42" i="107"/>
  <c r="AQ42" i="107"/>
  <c r="AO42" i="107"/>
  <c r="AN42" i="107"/>
  <c r="AT42" i="107"/>
  <c r="AS42" i="107"/>
  <c r="AQ25" i="107"/>
  <c r="AU25" i="107"/>
  <c r="AT25" i="107"/>
  <c r="AS25" i="107"/>
  <c r="AR25" i="107"/>
  <c r="AO25" i="107"/>
  <c r="AN25" i="107"/>
  <c r="AP25" i="107"/>
  <c r="AP43" i="106"/>
  <c r="AS2" i="106"/>
  <c r="AR78" i="105"/>
  <c r="AQ78" i="105"/>
  <c r="AT78" i="105"/>
  <c r="AP78" i="105"/>
  <c r="AO78" i="105"/>
  <c r="AN78" i="105"/>
  <c r="AU78" i="105"/>
  <c r="AS78" i="105"/>
  <c r="AV35" i="105"/>
  <c r="AQ15" i="107"/>
  <c r="AN15" i="107"/>
  <c r="AR15" i="107"/>
  <c r="AN29" i="107"/>
  <c r="AR4" i="107"/>
  <c r="AN4" i="107"/>
  <c r="AU4" i="107"/>
  <c r="AT4" i="107"/>
  <c r="AP4" i="107"/>
  <c r="AQ4" i="107"/>
  <c r="AO4" i="107"/>
  <c r="AS4" i="107"/>
  <c r="AD34" i="106"/>
  <c r="AQ43" i="106"/>
  <c r="AI18" i="108"/>
  <c r="AQ9" i="108"/>
  <c r="AP9" i="108"/>
  <c r="AT9" i="108"/>
  <c r="AS9" i="108"/>
  <c r="AR9" i="108"/>
  <c r="AO9" i="108"/>
  <c r="AN9" i="108"/>
  <c r="AU9" i="108"/>
  <c r="AB32" i="107"/>
  <c r="AN10" i="107"/>
  <c r="AG67" i="106"/>
  <c r="AG65" i="106" s="1"/>
  <c r="AU54" i="106"/>
  <c r="AP26" i="106"/>
  <c r="AT51" i="103"/>
  <c r="AQ51" i="103"/>
  <c r="AN51" i="103"/>
  <c r="AG73" i="107"/>
  <c r="AF73" i="107"/>
  <c r="AB73" i="107"/>
  <c r="AI73" i="107"/>
  <c r="AH73" i="107"/>
  <c r="AE73" i="107"/>
  <c r="AD73" i="107"/>
  <c r="AA73" i="107"/>
  <c r="AC73" i="107"/>
  <c r="AC38" i="107"/>
  <c r="AF38" i="107"/>
  <c r="AE38" i="107"/>
  <c r="AD38" i="107"/>
  <c r="AB38" i="107"/>
  <c r="AA38" i="107"/>
  <c r="AI38" i="107"/>
  <c r="AH38" i="107"/>
  <c r="AG38" i="107"/>
  <c r="AV21" i="107"/>
  <c r="AH64" i="106"/>
  <c r="AG64" i="106"/>
  <c r="AF64" i="106"/>
  <c r="AE64" i="106"/>
  <c r="AB64" i="106"/>
  <c r="AC64" i="106"/>
  <c r="AA64" i="106"/>
  <c r="AI64" i="106"/>
  <c r="AD64" i="106"/>
  <c r="AI53" i="106"/>
  <c r="AV23" i="106"/>
  <c r="AG58" i="105"/>
  <c r="AF58" i="105"/>
  <c r="AC58" i="105"/>
  <c r="AD58" i="105"/>
  <c r="AA58" i="105"/>
  <c r="AI58" i="105"/>
  <c r="AH58" i="105"/>
  <c r="AE58" i="105"/>
  <c r="AB58" i="105"/>
  <c r="AN59" i="105"/>
  <c r="AS17" i="105"/>
  <c r="AQ17" i="105"/>
  <c r="AN17" i="105"/>
  <c r="AU17" i="105"/>
  <c r="AO17" i="105"/>
  <c r="AT17" i="105"/>
  <c r="AR17" i="105"/>
  <c r="AP17" i="105"/>
  <c r="AN31" i="103"/>
  <c r="AT31" i="103"/>
  <c r="AQ31" i="103"/>
  <c r="AO31" i="103"/>
  <c r="AU31" i="103"/>
  <c r="AS31" i="103"/>
  <c r="AR31" i="103"/>
  <c r="AP31" i="103"/>
  <c r="AG71" i="102"/>
  <c r="AG70" i="102" s="1"/>
  <c r="AE71" i="102"/>
  <c r="AE70" i="102" s="1"/>
  <c r="AD71" i="102"/>
  <c r="AD70" i="102" s="1"/>
  <c r="AC71" i="102"/>
  <c r="AC70" i="102" s="1"/>
  <c r="AB71" i="102"/>
  <c r="AB70" i="102" s="1"/>
  <c r="AA71" i="102"/>
  <c r="AI71" i="102"/>
  <c r="AI70" i="102" s="1"/>
  <c r="AH71" i="102"/>
  <c r="AH70" i="102" s="1"/>
  <c r="AF71" i="102"/>
  <c r="AF70" i="102" s="1"/>
  <c r="AP57" i="102"/>
  <c r="AU57" i="102"/>
  <c r="AT57" i="102"/>
  <c r="AS57" i="102"/>
  <c r="AR57" i="102"/>
  <c r="AQ57" i="102"/>
  <c r="AO57" i="102"/>
  <c r="AN57" i="102"/>
  <c r="AG54" i="101"/>
  <c r="AF54" i="101"/>
  <c r="AE54" i="101"/>
  <c r="AD54" i="101"/>
  <c r="AC54" i="101"/>
  <c r="AI54" i="101"/>
  <c r="AA54" i="101"/>
  <c r="AH54" i="101"/>
  <c r="AB54" i="101"/>
  <c r="AT11" i="101"/>
  <c r="AS11" i="101"/>
  <c r="AR11" i="101"/>
  <c r="AQ11" i="101"/>
  <c r="AP11" i="101"/>
  <c r="AN11" i="101"/>
  <c r="AU11" i="101"/>
  <c r="AO11" i="101"/>
  <c r="AC23" i="105"/>
  <c r="AE23" i="105"/>
  <c r="AB23" i="105"/>
  <c r="AH23" i="105"/>
  <c r="AG23" i="105"/>
  <c r="AD23" i="105"/>
  <c r="AA23" i="105"/>
  <c r="AI23" i="105"/>
  <c r="AF23" i="105"/>
  <c r="AT42" i="102"/>
  <c r="AN42" i="102"/>
  <c r="AU42" i="102"/>
  <c r="AS42" i="102"/>
  <c r="AR42" i="102"/>
  <c r="AQ42" i="102"/>
  <c r="AP42" i="102"/>
  <c r="AO42" i="102"/>
  <c r="AQ13" i="106"/>
  <c r="AN13" i="106"/>
  <c r="AS64" i="105"/>
  <c r="AU54" i="105"/>
  <c r="AC44" i="105"/>
  <c r="AB44" i="105"/>
  <c r="AG44" i="105"/>
  <c r="AE44" i="105"/>
  <c r="AA44" i="105"/>
  <c r="AI44" i="105"/>
  <c r="AH44" i="105"/>
  <c r="AF44" i="105"/>
  <c r="AD44" i="105"/>
  <c r="AV20" i="105"/>
  <c r="AO13" i="105"/>
  <c r="AT13" i="105"/>
  <c r="AR13" i="105"/>
  <c r="AP13" i="105"/>
  <c r="AT2" i="105"/>
  <c r="AQ56" i="103"/>
  <c r="AO56" i="103"/>
  <c r="AT56" i="103"/>
  <c r="AP56" i="103"/>
  <c r="AN56" i="103"/>
  <c r="AU56" i="103"/>
  <c r="AS56" i="103"/>
  <c r="AR56" i="103"/>
  <c r="AB38" i="103"/>
  <c r="AH38" i="103"/>
  <c r="AE38" i="103"/>
  <c r="AC38" i="103"/>
  <c r="AA38" i="103"/>
  <c r="AI38" i="103"/>
  <c r="AG38" i="103"/>
  <c r="AF38" i="103"/>
  <c r="AD38" i="103"/>
  <c r="AO56" i="102"/>
  <c r="AQ56" i="102"/>
  <c r="AR44" i="102"/>
  <c r="AO44" i="102"/>
  <c r="AN44" i="102"/>
  <c r="AU44" i="102"/>
  <c r="AT44" i="102"/>
  <c r="AS44" i="102"/>
  <c r="AQ44" i="102"/>
  <c r="AP44" i="102"/>
  <c r="AI10" i="101"/>
  <c r="AA10" i="101"/>
  <c r="AH10" i="101"/>
  <c r="AG10" i="101"/>
  <c r="AF10" i="101"/>
  <c r="AE10" i="101"/>
  <c r="AC10" i="101"/>
  <c r="AD10" i="101"/>
  <c r="AB10" i="101"/>
  <c r="AI35" i="100"/>
  <c r="AE35" i="100"/>
  <c r="AC35" i="100"/>
  <c r="AA35" i="100"/>
  <c r="AB28" i="106"/>
  <c r="AU13" i="106"/>
  <c r="AQ64" i="105"/>
  <c r="AU61" i="105"/>
  <c r="AD46" i="105"/>
  <c r="AJ20" i="105"/>
  <c r="AC40" i="103"/>
  <c r="AO8" i="103"/>
  <c r="AF66" i="102"/>
  <c r="AU55" i="102"/>
  <c r="AI27" i="102"/>
  <c r="AO71" i="101"/>
  <c r="AO70" i="101" s="1"/>
  <c r="AN71" i="101"/>
  <c r="AU71" i="101"/>
  <c r="AU70" i="101" s="1"/>
  <c r="AT71" i="101"/>
  <c r="AT70" i="101" s="1"/>
  <c r="AS71" i="101"/>
  <c r="AS70" i="101" s="1"/>
  <c r="AR71" i="101"/>
  <c r="AR70" i="101" s="1"/>
  <c r="AQ71" i="101"/>
  <c r="AQ70" i="101" s="1"/>
  <c r="AQ68" i="101" s="1"/>
  <c r="AP71" i="101"/>
  <c r="AP70" i="101" s="1"/>
  <c r="AO57" i="101"/>
  <c r="AN57" i="101"/>
  <c r="AU57" i="101"/>
  <c r="AT57" i="101"/>
  <c r="AS57" i="101"/>
  <c r="AR57" i="101"/>
  <c r="AQ57" i="101"/>
  <c r="AP57" i="101"/>
  <c r="AG73" i="100"/>
  <c r="AV32" i="105"/>
  <c r="AH4" i="105"/>
  <c r="AH46" i="103"/>
  <c r="AN8" i="103"/>
  <c r="AU3" i="103"/>
  <c r="AU2" i="103" s="1"/>
  <c r="AS3" i="103"/>
  <c r="AS2" i="103" s="1"/>
  <c r="AQ3" i="103"/>
  <c r="AQ2" i="103" s="1"/>
  <c r="AP3" i="103"/>
  <c r="AP2" i="103" s="1"/>
  <c r="AO3" i="103"/>
  <c r="AO2" i="103" s="1"/>
  <c r="AN3" i="103"/>
  <c r="AT3" i="103"/>
  <c r="AT2" i="103" s="1"/>
  <c r="AR3" i="103"/>
  <c r="AR2" i="103" s="1"/>
  <c r="AD56" i="102"/>
  <c r="AE56" i="102"/>
  <c r="AC56" i="102"/>
  <c r="AB56" i="102"/>
  <c r="AA56" i="102"/>
  <c r="AI56" i="102"/>
  <c r="AH56" i="102"/>
  <c r="AG56" i="102"/>
  <c r="AF56" i="102"/>
  <c r="AS44" i="101"/>
  <c r="AS28" i="101"/>
  <c r="AF11" i="101"/>
  <c r="AP26" i="100"/>
  <c r="AN26" i="100"/>
  <c r="AU26" i="100"/>
  <c r="AT26" i="100"/>
  <c r="AR26" i="100"/>
  <c r="AQ26" i="100"/>
  <c r="AO26" i="100"/>
  <c r="AS26" i="100"/>
  <c r="AP10" i="100"/>
  <c r="AN10" i="100"/>
  <c r="AU10" i="100"/>
  <c r="AT10" i="100"/>
  <c r="AR10" i="100"/>
  <c r="AS10" i="100"/>
  <c r="AQ10" i="100"/>
  <c r="AO10" i="100"/>
  <c r="AB13" i="106"/>
  <c r="AI52" i="105"/>
  <c r="AO41" i="105"/>
  <c r="AG37" i="105"/>
  <c r="AU67" i="103"/>
  <c r="AH64" i="103"/>
  <c r="AF64" i="103"/>
  <c r="AE64" i="103"/>
  <c r="AC64" i="103"/>
  <c r="AB64" i="103"/>
  <c r="AR46" i="103"/>
  <c r="AB40" i="103"/>
  <c r="AR8" i="103"/>
  <c r="AG67" i="102"/>
  <c r="AI67" i="102"/>
  <c r="AH67" i="102"/>
  <c r="AF67" i="102"/>
  <c r="AE67" i="102"/>
  <c r="AE65" i="102" s="1"/>
  <c r="AD67" i="102"/>
  <c r="AD65" i="102" s="1"/>
  <c r="AC67" i="102"/>
  <c r="AB67" i="102"/>
  <c r="AB65" i="102" s="1"/>
  <c r="AA67" i="102"/>
  <c r="AG32" i="102"/>
  <c r="AG24" i="102"/>
  <c r="AN35" i="106"/>
  <c r="AT8" i="106"/>
  <c r="AS8" i="106"/>
  <c r="AP8" i="106"/>
  <c r="AU8" i="106"/>
  <c r="AQ8" i="106"/>
  <c r="AO8" i="106"/>
  <c r="AN8" i="106"/>
  <c r="AR8" i="106"/>
  <c r="AH65" i="105"/>
  <c r="AB43" i="105"/>
  <c r="AN4" i="105"/>
  <c r="AT38" i="103"/>
  <c r="AR38" i="103"/>
  <c r="AO38" i="103"/>
  <c r="AQ38" i="103"/>
  <c r="AP38" i="103"/>
  <c r="AN38" i="103"/>
  <c r="AU38" i="103"/>
  <c r="AS38" i="103"/>
  <c r="AN21" i="103"/>
  <c r="AT21" i="103"/>
  <c r="AS21" i="103"/>
  <c r="AQ21" i="103"/>
  <c r="AP21" i="103"/>
  <c r="AH61" i="102"/>
  <c r="AQ55" i="102"/>
  <c r="AP40" i="102"/>
  <c r="AS40" i="102"/>
  <c r="AR40" i="102"/>
  <c r="AQ40" i="102"/>
  <c r="AO40" i="102"/>
  <c r="AN40" i="102"/>
  <c r="AU40" i="102"/>
  <c r="AT40" i="102"/>
  <c r="AF26" i="102"/>
  <c r="AQ32" i="101"/>
  <c r="AQ59" i="101"/>
  <c r="AD26" i="101"/>
  <c r="AB26" i="101"/>
  <c r="AT32" i="100"/>
  <c r="AR32" i="100"/>
  <c r="AQ32" i="100"/>
  <c r="AP32" i="100"/>
  <c r="AN32" i="100"/>
  <c r="AU32" i="100"/>
  <c r="AS32" i="100"/>
  <c r="AO32" i="100"/>
  <c r="AA26" i="101"/>
  <c r="AR26" i="101"/>
  <c r="AG64" i="100"/>
  <c r="AE64" i="100"/>
  <c r="AD64" i="100"/>
  <c r="AC64" i="100"/>
  <c r="AI64" i="100"/>
  <c r="AA64" i="100"/>
  <c r="AH64" i="100"/>
  <c r="AF64" i="100"/>
  <c r="AB64" i="100"/>
  <c r="AT42" i="100"/>
  <c r="AR42" i="100"/>
  <c r="AP42" i="100"/>
  <c r="AF45" i="102"/>
  <c r="AP38" i="101"/>
  <c r="AS29" i="101"/>
  <c r="AA4" i="101"/>
  <c r="AB34" i="100"/>
  <c r="AB13" i="100"/>
  <c r="AN78" i="101"/>
  <c r="AR78" i="101"/>
  <c r="AP78" i="101"/>
  <c r="AR40" i="101"/>
  <c r="AU17" i="101"/>
  <c r="AT17" i="101"/>
  <c r="AS17" i="101"/>
  <c r="AR17" i="101"/>
  <c r="AQ17" i="101"/>
  <c r="AO17" i="101"/>
  <c r="AP17" i="101"/>
  <c r="AN17" i="101"/>
  <c r="AH14" i="101"/>
  <c r="AC4" i="101"/>
  <c r="AR52" i="105"/>
  <c r="AI52" i="103"/>
  <c r="AS23" i="102"/>
  <c r="AS22" i="102" s="1"/>
  <c r="AJ43" i="102"/>
  <c r="AF48" i="101"/>
  <c r="AR42" i="101"/>
  <c r="AR20" i="101"/>
  <c r="AQ20" i="101"/>
  <c r="AP20" i="101"/>
  <c r="AO20" i="101"/>
  <c r="AN20" i="101"/>
  <c r="AT20" i="101"/>
  <c r="AU20" i="101"/>
  <c r="AS20" i="101"/>
  <c r="AO45" i="100"/>
  <c r="AN42" i="100"/>
  <c r="AU38" i="100"/>
  <c r="AC16" i="100"/>
  <c r="AI16" i="100"/>
  <c r="AA16" i="100"/>
  <c r="AH16" i="100"/>
  <c r="AG16" i="100"/>
  <c r="AE16" i="100"/>
  <c r="AB16" i="100"/>
  <c r="AF16" i="100"/>
  <c r="AD16" i="100"/>
  <c r="AO9" i="102"/>
  <c r="AQ54" i="101"/>
  <c r="AU25" i="101"/>
  <c r="AQ23" i="101"/>
  <c r="AO23" i="101"/>
  <c r="AU23" i="101"/>
  <c r="AS23" i="101"/>
  <c r="AE8" i="101"/>
  <c r="AG56" i="100"/>
  <c r="AP15" i="100"/>
  <c r="AJ11" i="105"/>
  <c r="AI16" i="103"/>
  <c r="AP3" i="102"/>
  <c r="AP2" i="102" s="1"/>
  <c r="AO3" i="102"/>
  <c r="AO2" i="102" s="1"/>
  <c r="AN3" i="102"/>
  <c r="AU3" i="102"/>
  <c r="AU2" i="102" s="1"/>
  <c r="AT3" i="102"/>
  <c r="AT2" i="102" s="1"/>
  <c r="AS3" i="102"/>
  <c r="AS2" i="102" s="1"/>
  <c r="AR3" i="102"/>
  <c r="AR2" i="102" s="1"/>
  <c r="AQ3" i="102"/>
  <c r="AQ2" i="102" s="1"/>
  <c r="AS51" i="101"/>
  <c r="AP45" i="101"/>
  <c r="AB30" i="101"/>
  <c r="AD30" i="101"/>
  <c r="AO28" i="101"/>
  <c r="AC24" i="101"/>
  <c r="AU51" i="100"/>
  <c r="AS46" i="100"/>
  <c r="AN25" i="100"/>
  <c r="AT25" i="100"/>
  <c r="AS25" i="100"/>
  <c r="AR25" i="100"/>
  <c r="AP25" i="100"/>
  <c r="AO25" i="100"/>
  <c r="AU25" i="100"/>
  <c r="AQ25" i="100"/>
  <c r="AI9" i="102"/>
  <c r="AO64" i="101"/>
  <c r="AO41" i="101"/>
  <c r="AI30" i="101"/>
  <c r="AN19" i="101"/>
  <c r="AU19" i="101"/>
  <c r="AT19" i="101"/>
  <c r="AS19" i="101"/>
  <c r="AR19" i="101"/>
  <c r="AP19" i="101"/>
  <c r="AQ19" i="101"/>
  <c r="AO19" i="101"/>
  <c r="AF69" i="100"/>
  <c r="AF68" i="100" s="1"/>
  <c r="AI58" i="100"/>
  <c r="AT11" i="100"/>
  <c r="AS64" i="100"/>
  <c r="AO44" i="475"/>
  <c r="AT44" i="475"/>
  <c r="AR44" i="475"/>
  <c r="AQ44" i="475"/>
  <c r="AP44" i="475"/>
  <c r="AU44" i="475"/>
  <c r="AS44" i="475"/>
  <c r="AN44" i="475"/>
  <c r="AA70" i="475"/>
  <c r="AS66" i="475"/>
  <c r="AS65" i="475" s="1"/>
  <c r="AG61" i="475"/>
  <c r="AF61" i="475"/>
  <c r="AN41" i="475"/>
  <c r="AO17" i="475"/>
  <c r="AN17" i="475"/>
  <c r="AS17" i="475"/>
  <c r="AQ17" i="475"/>
  <c r="AR17" i="475"/>
  <c r="AT32" i="475"/>
  <c r="AI34" i="475"/>
  <c r="AA34" i="475"/>
  <c r="AH34" i="475"/>
  <c r="AD34" i="475"/>
  <c r="AC34" i="475"/>
  <c r="AB34" i="475"/>
  <c r="AG34" i="475"/>
  <c r="AF34" i="475"/>
  <c r="AE34" i="475"/>
  <c r="AS63" i="475"/>
  <c r="AO63" i="475"/>
  <c r="AN63" i="475"/>
  <c r="AT63" i="475"/>
  <c r="AT58" i="475"/>
  <c r="AS58" i="475"/>
  <c r="AP58" i="475"/>
  <c r="AN58" i="475"/>
  <c r="AU58" i="475"/>
  <c r="AR58" i="475"/>
  <c r="AQ58" i="475"/>
  <c r="AO58" i="475"/>
  <c r="AI48" i="475"/>
  <c r="AU16" i="475"/>
  <c r="AT16" i="475"/>
  <c r="AP16" i="475"/>
  <c r="AS16" i="475"/>
  <c r="AR16" i="475"/>
  <c r="AQ16" i="475"/>
  <c r="AN16" i="475"/>
  <c r="AO16" i="475"/>
  <c r="AA4" i="475"/>
  <c r="AG21" i="475"/>
  <c r="AF21" i="475"/>
  <c r="AB21" i="475"/>
  <c r="AI21" i="475"/>
  <c r="AA21" i="475"/>
  <c r="AD21" i="475"/>
  <c r="AC21" i="475"/>
  <c r="AH21" i="475"/>
  <c r="AE21" i="475"/>
  <c r="AP71" i="123"/>
  <c r="AP70" i="123" s="1"/>
  <c r="AN71" i="123"/>
  <c r="AU71" i="123"/>
  <c r="AU70" i="123" s="1"/>
  <c r="AT71" i="123"/>
  <c r="AT70" i="123" s="1"/>
  <c r="AS71" i="123"/>
  <c r="AS70" i="123" s="1"/>
  <c r="AQ71" i="123"/>
  <c r="AQ70" i="123" s="1"/>
  <c r="AR71" i="123"/>
  <c r="AR70" i="123" s="1"/>
  <c r="AO71" i="123"/>
  <c r="AO70" i="123" s="1"/>
  <c r="AA43" i="475"/>
  <c r="AP37" i="475"/>
  <c r="AA38" i="475"/>
  <c r="AI38" i="475"/>
  <c r="AF38" i="475"/>
  <c r="AC38" i="475"/>
  <c r="AB38" i="475"/>
  <c r="AH27" i="125"/>
  <c r="AF27" i="125"/>
  <c r="AE27" i="125"/>
  <c r="AD27" i="125"/>
  <c r="AB27" i="125"/>
  <c r="AI27" i="125"/>
  <c r="AG27" i="125"/>
  <c r="AC27" i="125"/>
  <c r="AA27" i="125"/>
  <c r="AU42" i="125"/>
  <c r="AP40" i="125"/>
  <c r="AU41" i="475"/>
  <c r="AB55" i="125"/>
  <c r="AI55" i="125"/>
  <c r="AA55" i="125"/>
  <c r="AH55" i="125"/>
  <c r="AG55" i="125"/>
  <c r="AF55" i="125"/>
  <c r="AE55" i="125"/>
  <c r="AD55" i="125"/>
  <c r="AC55" i="125"/>
  <c r="AJ17" i="475"/>
  <c r="AU49" i="123"/>
  <c r="AG37" i="123"/>
  <c r="AB37" i="123"/>
  <c r="AF32" i="123"/>
  <c r="AC11" i="123"/>
  <c r="AI11" i="123"/>
  <c r="AA11" i="123"/>
  <c r="AE11" i="123"/>
  <c r="AI66" i="123"/>
  <c r="AI65" i="123" s="1"/>
  <c r="AF39" i="123"/>
  <c r="AG28" i="123"/>
  <c r="AF28" i="123"/>
  <c r="AE28" i="123"/>
  <c r="AD28" i="123"/>
  <c r="AB28" i="123"/>
  <c r="AA28" i="123"/>
  <c r="AI28" i="123"/>
  <c r="AH28" i="123"/>
  <c r="AC28" i="123"/>
  <c r="AE63" i="123"/>
  <c r="AE60" i="123" s="1"/>
  <c r="AB63" i="123"/>
  <c r="AB60" i="123" s="1"/>
  <c r="AI63" i="123"/>
  <c r="AI60" i="123" s="1"/>
  <c r="AA63" i="123"/>
  <c r="AA60" i="123" s="1"/>
  <c r="AF63" i="123"/>
  <c r="AC63" i="123"/>
  <c r="AH63" i="123"/>
  <c r="AG63" i="123"/>
  <c r="AD63" i="123"/>
  <c r="AD60" i="123" s="1"/>
  <c r="AP46" i="123"/>
  <c r="AG43" i="123"/>
  <c r="AI18" i="123"/>
  <c r="AA18" i="123"/>
  <c r="AH18" i="123"/>
  <c r="AG18" i="123"/>
  <c r="AE18" i="123"/>
  <c r="AD18" i="123"/>
  <c r="AC18" i="123"/>
  <c r="AB18" i="123"/>
  <c r="AF18" i="123"/>
  <c r="AB9" i="123"/>
  <c r="AI71" i="122"/>
  <c r="AI70" i="122" s="1"/>
  <c r="AA71" i="122"/>
  <c r="AH71" i="122"/>
  <c r="AH70" i="122" s="1"/>
  <c r="AG71" i="122"/>
  <c r="AG70" i="122" s="1"/>
  <c r="AE71" i="122"/>
  <c r="AE70" i="122" s="1"/>
  <c r="AC71" i="122"/>
  <c r="AC70" i="122" s="1"/>
  <c r="AB71" i="122"/>
  <c r="AB70" i="122" s="1"/>
  <c r="AF71" i="122"/>
  <c r="AF70" i="122" s="1"/>
  <c r="AD71" i="122"/>
  <c r="AD70" i="122" s="1"/>
  <c r="AI53" i="122"/>
  <c r="AA53" i="122"/>
  <c r="AG53" i="122"/>
  <c r="AE53" i="122"/>
  <c r="AC53" i="122"/>
  <c r="AH53" i="122"/>
  <c r="AF53" i="122"/>
  <c r="AD53" i="122"/>
  <c r="AB53" i="122"/>
  <c r="AA66" i="123"/>
  <c r="AQ46" i="123"/>
  <c r="AP26" i="123"/>
  <c r="AQ26" i="123"/>
  <c r="AO26" i="123"/>
  <c r="AN26" i="123"/>
  <c r="AU26" i="123"/>
  <c r="AT26" i="123"/>
  <c r="AS26" i="123"/>
  <c r="AR26" i="123"/>
  <c r="AP61" i="122"/>
  <c r="AO61" i="122"/>
  <c r="AN61" i="122"/>
  <c r="AT61" i="122"/>
  <c r="AR61" i="122"/>
  <c r="AQ61" i="122"/>
  <c r="AU61" i="122"/>
  <c r="AS61" i="122"/>
  <c r="AI28" i="122"/>
  <c r="AF66" i="123"/>
  <c r="AC55" i="123"/>
  <c r="AG55" i="123"/>
  <c r="AI55" i="123"/>
  <c r="AF55" i="123"/>
  <c r="AD55" i="123"/>
  <c r="AH55" i="123"/>
  <c r="AE55" i="123"/>
  <c r="AB55" i="123"/>
  <c r="AA55" i="123"/>
  <c r="AF40" i="123"/>
  <c r="AT11" i="123"/>
  <c r="AN42" i="123"/>
  <c r="AQ42" i="123"/>
  <c r="AR18" i="123"/>
  <c r="AQ18" i="123"/>
  <c r="AP18" i="123"/>
  <c r="AN18" i="123"/>
  <c r="AU18" i="123"/>
  <c r="AT18" i="123"/>
  <c r="AS18" i="123"/>
  <c r="AO18" i="123"/>
  <c r="AB11" i="123"/>
  <c r="AE59" i="122"/>
  <c r="AD59" i="122"/>
  <c r="AC59" i="122"/>
  <c r="AI59" i="122"/>
  <c r="AA59" i="122"/>
  <c r="AG59" i="122"/>
  <c r="AF59" i="122"/>
  <c r="AH59" i="122"/>
  <c r="AB59" i="122"/>
  <c r="AN56" i="122"/>
  <c r="AU56" i="122"/>
  <c r="AS56" i="122"/>
  <c r="AQ56" i="122"/>
  <c r="AO56" i="122"/>
  <c r="AO78" i="123"/>
  <c r="AE61" i="122"/>
  <c r="AC61" i="122"/>
  <c r="AA61" i="122"/>
  <c r="AI61" i="122"/>
  <c r="AE34" i="122"/>
  <c r="AC34" i="122"/>
  <c r="AI34" i="122"/>
  <c r="AA34" i="122"/>
  <c r="AG34" i="122"/>
  <c r="AH34" i="122"/>
  <c r="AF34" i="122"/>
  <c r="AD34" i="122"/>
  <c r="AB34" i="122"/>
  <c r="AV24" i="122"/>
  <c r="AO18" i="122"/>
  <c r="AD78" i="123"/>
  <c r="AT69" i="122"/>
  <c r="AT68" i="122" s="1"/>
  <c r="AC10" i="123"/>
  <c r="AH56" i="122"/>
  <c r="AJ46" i="122"/>
  <c r="AG44" i="123"/>
  <c r="AJ14" i="123"/>
  <c r="AT51" i="122"/>
  <c r="AR51" i="122"/>
  <c r="AP51" i="122"/>
  <c r="AN51" i="122"/>
  <c r="AU51" i="122"/>
  <c r="AS51" i="122"/>
  <c r="AQ51" i="122"/>
  <c r="AO51" i="122"/>
  <c r="AO53" i="121"/>
  <c r="AT53" i="121"/>
  <c r="AS53" i="121"/>
  <c r="AR53" i="121"/>
  <c r="AQ53" i="121"/>
  <c r="AU53" i="121"/>
  <c r="AP53" i="121"/>
  <c r="AN53" i="121"/>
  <c r="AS58" i="122"/>
  <c r="AR58" i="122"/>
  <c r="AQ58" i="122"/>
  <c r="AO58" i="122"/>
  <c r="AU58" i="122"/>
  <c r="AT58" i="122"/>
  <c r="AP58" i="122"/>
  <c r="AN58" i="122"/>
  <c r="AP37" i="122"/>
  <c r="AO28" i="122"/>
  <c r="AS18" i="122"/>
  <c r="AG58" i="121"/>
  <c r="AU23" i="123"/>
  <c r="AP43" i="122"/>
  <c r="AN43" i="122"/>
  <c r="AT43" i="122"/>
  <c r="AR43" i="122"/>
  <c r="AU43" i="122"/>
  <c r="AS43" i="122"/>
  <c r="AQ43" i="122"/>
  <c r="AO43" i="122"/>
  <c r="AN37" i="122"/>
  <c r="AF13" i="122"/>
  <c r="AV78" i="122"/>
  <c r="AU37" i="122"/>
  <c r="AR59" i="121"/>
  <c r="AO59" i="121"/>
  <c r="AN59" i="121"/>
  <c r="AU59" i="121"/>
  <c r="AT59" i="121"/>
  <c r="AS59" i="121"/>
  <c r="AQ59" i="121"/>
  <c r="AP59" i="121"/>
  <c r="AE69" i="122"/>
  <c r="AG56" i="122"/>
  <c r="AC78" i="122"/>
  <c r="AI78" i="122"/>
  <c r="AA78" i="122"/>
  <c r="AG78" i="122"/>
  <c r="AE78" i="122"/>
  <c r="AF78" i="122"/>
  <c r="AD78" i="122"/>
  <c r="AB78" i="122"/>
  <c r="AH78" i="122"/>
  <c r="AR11" i="122"/>
  <c r="AG3" i="122"/>
  <c r="AG2" i="122" s="1"/>
  <c r="AR18" i="121"/>
  <c r="AC29" i="122"/>
  <c r="AF29" i="122"/>
  <c r="AF61" i="121"/>
  <c r="AF60" i="121" s="1"/>
  <c r="AE44" i="121"/>
  <c r="AN35" i="121"/>
  <c r="AT35" i="121"/>
  <c r="AS35" i="121"/>
  <c r="AU35" i="121"/>
  <c r="AR35" i="121"/>
  <c r="AQ35" i="121"/>
  <c r="AP35" i="121"/>
  <c r="AO35" i="121"/>
  <c r="AN28" i="121"/>
  <c r="AT28" i="121"/>
  <c r="AU28" i="121"/>
  <c r="AS28" i="121"/>
  <c r="AR28" i="121"/>
  <c r="AQ28" i="121"/>
  <c r="AP28" i="121"/>
  <c r="AO28" i="121"/>
  <c r="AA3" i="122"/>
  <c r="AN32" i="121"/>
  <c r="AT32" i="121"/>
  <c r="AQ32" i="121"/>
  <c r="AP32" i="121"/>
  <c r="AO32" i="121"/>
  <c r="AU32" i="121"/>
  <c r="AS32" i="121"/>
  <c r="AR32" i="121"/>
  <c r="AR30" i="121"/>
  <c r="AP30" i="121"/>
  <c r="AO30" i="121"/>
  <c r="AN30" i="121"/>
  <c r="AU30" i="121"/>
  <c r="AT30" i="121"/>
  <c r="AS30" i="121"/>
  <c r="AQ30" i="121"/>
  <c r="AN18" i="121"/>
  <c r="AF71" i="121"/>
  <c r="AF70" i="121" s="1"/>
  <c r="AO13" i="122"/>
  <c r="AD71" i="121"/>
  <c r="AD70" i="121" s="1"/>
  <c r="AR58" i="121"/>
  <c r="AJ25" i="122"/>
  <c r="AJ45" i="122"/>
  <c r="AO41" i="121"/>
  <c r="AU41" i="121"/>
  <c r="AT41" i="121"/>
  <c r="AS41" i="121"/>
  <c r="AR41" i="121"/>
  <c r="AQ41" i="121"/>
  <c r="AP41" i="121"/>
  <c r="AN41" i="121"/>
  <c r="AD71" i="120"/>
  <c r="AD70" i="120" s="1"/>
  <c r="AC71" i="120"/>
  <c r="AC70" i="120" s="1"/>
  <c r="AA71" i="120"/>
  <c r="AI71" i="120"/>
  <c r="AI70" i="120" s="1"/>
  <c r="AF71" i="120"/>
  <c r="AF70" i="120" s="1"/>
  <c r="AB71" i="120"/>
  <c r="AB70" i="120" s="1"/>
  <c r="AG71" i="120"/>
  <c r="AG70" i="120" s="1"/>
  <c r="AQ78" i="120"/>
  <c r="AH10" i="120"/>
  <c r="AI10" i="120"/>
  <c r="AF10" i="120"/>
  <c r="AC10" i="120"/>
  <c r="AB10" i="120"/>
  <c r="AA10" i="120"/>
  <c r="AG10" i="120"/>
  <c r="AE10" i="120"/>
  <c r="AD10" i="120"/>
  <c r="AF59" i="120"/>
  <c r="AC59" i="120"/>
  <c r="AH59" i="120"/>
  <c r="AG59" i="120"/>
  <c r="AI59" i="120"/>
  <c r="AE59" i="120"/>
  <c r="AD59" i="120"/>
  <c r="AB59" i="120"/>
  <c r="AA59" i="120"/>
  <c r="AC8" i="121"/>
  <c r="G79" i="120"/>
  <c r="E76" i="420" s="1"/>
  <c r="AO16" i="120"/>
  <c r="AN16" i="120"/>
  <c r="AU16" i="120"/>
  <c r="AR16" i="120"/>
  <c r="AQ16" i="120"/>
  <c r="AP16" i="120"/>
  <c r="AT16" i="120"/>
  <c r="AS16" i="120"/>
  <c r="AR17" i="121"/>
  <c r="AQ17" i="121"/>
  <c r="AO17" i="121"/>
  <c r="AN17" i="121"/>
  <c r="AU17" i="121"/>
  <c r="AT17" i="121"/>
  <c r="AS17" i="121"/>
  <c r="AP17" i="121"/>
  <c r="AP57" i="120"/>
  <c r="AC40" i="120"/>
  <c r="AD40" i="120"/>
  <c r="AB40" i="120"/>
  <c r="AA40" i="120"/>
  <c r="AI40" i="120"/>
  <c r="AG40" i="120"/>
  <c r="AF40" i="120"/>
  <c r="AE40" i="120"/>
  <c r="AH40" i="120"/>
  <c r="AO67" i="120"/>
  <c r="AN67" i="120"/>
  <c r="AU67" i="120"/>
  <c r="AQ67" i="120"/>
  <c r="AP67" i="120"/>
  <c r="AI32" i="120"/>
  <c r="AA32" i="120"/>
  <c r="AE32" i="120"/>
  <c r="AD32" i="120"/>
  <c r="AC32" i="120"/>
  <c r="AB32" i="120"/>
  <c r="AH32" i="120"/>
  <c r="AG32" i="120"/>
  <c r="AF32" i="120"/>
  <c r="AS78" i="120"/>
  <c r="AO17" i="120"/>
  <c r="AI44" i="121"/>
  <c r="AB69" i="120"/>
  <c r="AB68" i="120" s="1"/>
  <c r="AQ57" i="120"/>
  <c r="AA17" i="120"/>
  <c r="AQ37" i="119"/>
  <c r="AN37" i="119"/>
  <c r="AU37" i="119"/>
  <c r="AT37" i="119"/>
  <c r="AP37" i="119"/>
  <c r="AO37" i="119"/>
  <c r="AS37" i="119"/>
  <c r="AR37" i="119"/>
  <c r="AT21" i="119"/>
  <c r="AS21" i="119"/>
  <c r="AO21" i="119"/>
  <c r="AN21" i="119"/>
  <c r="AR21" i="119"/>
  <c r="AQ21" i="119"/>
  <c r="AH56" i="119"/>
  <c r="AV25" i="120"/>
  <c r="AD19" i="120"/>
  <c r="AH4" i="120"/>
  <c r="AF4" i="120"/>
  <c r="AD4" i="120"/>
  <c r="AC4" i="120"/>
  <c r="AG4" i="120"/>
  <c r="AU53" i="119"/>
  <c r="AQ53" i="119"/>
  <c r="AO53" i="119"/>
  <c r="AC20" i="119"/>
  <c r="AD17" i="120"/>
  <c r="C24" i="418"/>
  <c r="AG52" i="119"/>
  <c r="AU31" i="119"/>
  <c r="AR31" i="119"/>
  <c r="AT31" i="119"/>
  <c r="AS31" i="119"/>
  <c r="AO31" i="119"/>
  <c r="AN31" i="119"/>
  <c r="AQ31" i="119"/>
  <c r="AP31" i="119"/>
  <c r="AC26" i="119"/>
  <c r="AH21" i="119"/>
  <c r="AA21" i="119"/>
  <c r="AE21" i="119"/>
  <c r="AD21" i="119"/>
  <c r="AR54" i="119"/>
  <c r="AN66" i="118"/>
  <c r="AT66" i="118"/>
  <c r="AQ66" i="118"/>
  <c r="AP66" i="118"/>
  <c r="AO66" i="118"/>
  <c r="AR66" i="118"/>
  <c r="AU66" i="118"/>
  <c r="AS66" i="118"/>
  <c r="AS46" i="118"/>
  <c r="AP46" i="118"/>
  <c r="AN46" i="118"/>
  <c r="AU46" i="118"/>
  <c r="AT46" i="118"/>
  <c r="AR46" i="118"/>
  <c r="AQ46" i="118"/>
  <c r="AO46" i="118"/>
  <c r="AI34" i="118"/>
  <c r="AA34" i="118"/>
  <c r="AG34" i="118"/>
  <c r="AF34" i="118"/>
  <c r="AE34" i="118"/>
  <c r="AD34" i="118"/>
  <c r="AC34" i="118"/>
  <c r="AB34" i="118"/>
  <c r="AH34" i="118"/>
  <c r="AC51" i="118"/>
  <c r="AT45" i="117"/>
  <c r="AA51" i="118"/>
  <c r="AE14" i="118"/>
  <c r="AS45" i="117"/>
  <c r="AS26" i="119"/>
  <c r="AQ26" i="119"/>
  <c r="AO26" i="119"/>
  <c r="AN67" i="118"/>
  <c r="AS67" i="118"/>
  <c r="AQ67" i="118"/>
  <c r="AP67" i="118"/>
  <c r="AI8" i="119"/>
  <c r="AD8" i="119"/>
  <c r="AB8" i="119"/>
  <c r="AA8" i="119"/>
  <c r="AB48" i="118"/>
  <c r="AP11" i="119"/>
  <c r="AN35" i="118"/>
  <c r="AG29" i="118"/>
  <c r="AE29" i="118"/>
  <c r="AI29" i="118"/>
  <c r="AH29" i="118"/>
  <c r="AF29" i="118"/>
  <c r="AD29" i="118"/>
  <c r="AB29" i="118"/>
  <c r="AA29" i="118"/>
  <c r="AC29" i="118"/>
  <c r="AH29" i="119"/>
  <c r="AG29" i="119"/>
  <c r="AE29" i="119"/>
  <c r="AB29" i="119"/>
  <c r="AD29" i="119"/>
  <c r="AC29" i="119"/>
  <c r="AN59" i="118"/>
  <c r="AO35" i="118"/>
  <c r="AD31" i="118"/>
  <c r="AE31" i="118"/>
  <c r="AD21" i="118"/>
  <c r="AB21" i="118"/>
  <c r="AH21" i="118"/>
  <c r="AG21" i="118"/>
  <c r="AF21" i="118"/>
  <c r="AE21" i="118"/>
  <c r="AA21" i="118"/>
  <c r="AI21" i="118"/>
  <c r="AC21" i="118"/>
  <c r="AS9" i="118"/>
  <c r="AQ9" i="118"/>
  <c r="AU9" i="118"/>
  <c r="AT9" i="118"/>
  <c r="AR9" i="118"/>
  <c r="AP9" i="118"/>
  <c r="AO9" i="118"/>
  <c r="AN9" i="118"/>
  <c r="AG48" i="117"/>
  <c r="AC48" i="117"/>
  <c r="AB48" i="117"/>
  <c r="AR34" i="117"/>
  <c r="AP34" i="117"/>
  <c r="AU34" i="117"/>
  <c r="AT34" i="117"/>
  <c r="AQ34" i="117"/>
  <c r="AO34" i="117"/>
  <c r="AN34" i="117"/>
  <c r="AS34" i="117"/>
  <c r="AA69" i="116"/>
  <c r="AD59" i="116"/>
  <c r="AC15" i="118"/>
  <c r="AI15" i="118"/>
  <c r="AA15" i="118"/>
  <c r="AH15" i="118"/>
  <c r="AG15" i="118"/>
  <c r="AD15" i="118"/>
  <c r="AB15" i="118"/>
  <c r="AF15" i="118"/>
  <c r="AE15" i="118"/>
  <c r="AF69" i="116"/>
  <c r="AF68" i="116" s="1"/>
  <c r="AO14" i="119"/>
  <c r="AI41" i="116"/>
  <c r="AA41" i="116"/>
  <c r="AG41" i="116"/>
  <c r="AF41" i="116"/>
  <c r="AB41" i="116"/>
  <c r="AH41" i="116"/>
  <c r="AE41" i="116"/>
  <c r="AD41" i="116"/>
  <c r="AC41" i="116"/>
  <c r="AH31" i="118"/>
  <c r="AV48" i="117"/>
  <c r="AJ31" i="117"/>
  <c r="AE64" i="116"/>
  <c r="AS58" i="116"/>
  <c r="AU23" i="118"/>
  <c r="AF44" i="117"/>
  <c r="AG25" i="118"/>
  <c r="AE25" i="118"/>
  <c r="AF25" i="118"/>
  <c r="AD25" i="118"/>
  <c r="AC25" i="118"/>
  <c r="AB25" i="118"/>
  <c r="AI25" i="118"/>
  <c r="AH25" i="118"/>
  <c r="AA25" i="118"/>
  <c r="AT28" i="118"/>
  <c r="AS28" i="118"/>
  <c r="AR28" i="118"/>
  <c r="AQ28" i="118"/>
  <c r="AN28" i="118"/>
  <c r="AP28" i="118"/>
  <c r="AD23" i="117"/>
  <c r="AB23" i="117"/>
  <c r="AG23" i="117"/>
  <c r="AF23" i="117"/>
  <c r="AC23" i="117"/>
  <c r="AA23" i="117"/>
  <c r="AE23" i="117"/>
  <c r="AH23" i="117"/>
  <c r="AI23" i="117"/>
  <c r="AE63" i="116"/>
  <c r="AF53" i="116"/>
  <c r="AA53" i="116"/>
  <c r="AH53" i="116"/>
  <c r="AG53" i="116"/>
  <c r="AB53" i="116"/>
  <c r="AI53" i="116"/>
  <c r="AE53" i="116"/>
  <c r="AD53" i="116"/>
  <c r="AC53" i="116"/>
  <c r="AH27" i="116"/>
  <c r="AI8" i="116"/>
  <c r="AP21" i="117"/>
  <c r="AN21" i="117"/>
  <c r="AS21" i="117"/>
  <c r="AR21" i="117"/>
  <c r="AU21" i="117"/>
  <c r="AT21" i="117"/>
  <c r="AQ21" i="117"/>
  <c r="AO21" i="117"/>
  <c r="AV46" i="116"/>
  <c r="AO39" i="116"/>
  <c r="AU39" i="116"/>
  <c r="AT39" i="116"/>
  <c r="AP39" i="116"/>
  <c r="AQ39" i="116"/>
  <c r="AN39" i="116"/>
  <c r="AS39" i="116"/>
  <c r="AR39" i="116"/>
  <c r="AP20" i="116"/>
  <c r="AT57" i="115"/>
  <c r="AS57" i="115"/>
  <c r="AR57" i="115"/>
  <c r="AQ57" i="115"/>
  <c r="AP57" i="115"/>
  <c r="AU57" i="115"/>
  <c r="AO57" i="115"/>
  <c r="AN57" i="115"/>
  <c r="AD11" i="118"/>
  <c r="AH36" i="117"/>
  <c r="AB20" i="117"/>
  <c r="AF20" i="117"/>
  <c r="AN51" i="124"/>
  <c r="AU51" i="124"/>
  <c r="AT51" i="124"/>
  <c r="AS51" i="124"/>
  <c r="AR51" i="124"/>
  <c r="AQ51" i="124"/>
  <c r="AP51" i="124"/>
  <c r="AO51" i="124"/>
  <c r="AI37" i="124"/>
  <c r="AA37" i="124"/>
  <c r="AH37" i="124"/>
  <c r="AG37" i="124"/>
  <c r="AF37" i="124"/>
  <c r="AE37" i="124"/>
  <c r="AD37" i="124"/>
  <c r="AC37" i="124"/>
  <c r="AB37" i="124"/>
  <c r="AA45" i="115"/>
  <c r="AT73" i="116"/>
  <c r="AT72" i="116" s="1"/>
  <c r="AN73" i="116"/>
  <c r="AU73" i="116"/>
  <c r="AU72" i="116" s="1"/>
  <c r="AS73" i="116"/>
  <c r="AS72" i="116" s="1"/>
  <c r="AO73" i="116"/>
  <c r="AO72" i="116" s="1"/>
  <c r="AQ73" i="116"/>
  <c r="AQ72" i="116" s="1"/>
  <c r="AP73" i="116"/>
  <c r="AP72" i="116" s="1"/>
  <c r="AR73" i="116"/>
  <c r="AR72" i="116" s="1"/>
  <c r="AV35" i="116"/>
  <c r="AT8" i="116"/>
  <c r="AN10" i="124"/>
  <c r="AU10" i="124"/>
  <c r="AT10" i="124"/>
  <c r="AS10" i="124"/>
  <c r="AR10" i="124"/>
  <c r="AQ10" i="124"/>
  <c r="AP10" i="124"/>
  <c r="AO10" i="124"/>
  <c r="AI71" i="116"/>
  <c r="AI70" i="116" s="1"/>
  <c r="AE46" i="116"/>
  <c r="AF32" i="116"/>
  <c r="AD48" i="124"/>
  <c r="AC48" i="124"/>
  <c r="AH48" i="124"/>
  <c r="AF48" i="124"/>
  <c r="AE48" i="124"/>
  <c r="AB18" i="117"/>
  <c r="AI18" i="117"/>
  <c r="AH18" i="117"/>
  <c r="AE18" i="117"/>
  <c r="AC18" i="117"/>
  <c r="AA18" i="117"/>
  <c r="AE38" i="124"/>
  <c r="AF38" i="124"/>
  <c r="AG30" i="124"/>
  <c r="AC71" i="116"/>
  <c r="AC70" i="116" s="1"/>
  <c r="AE67" i="116"/>
  <c r="AE65" i="116" s="1"/>
  <c r="AG67" i="116"/>
  <c r="AH67" i="116"/>
  <c r="AH65" i="116" s="1"/>
  <c r="AF67" i="116"/>
  <c r="AF65" i="116" s="1"/>
  <c r="AD67" i="116"/>
  <c r="AD65" i="116" s="1"/>
  <c r="AC67" i="116"/>
  <c r="AC65" i="116" s="1"/>
  <c r="AI67" i="116"/>
  <c r="AI65" i="116" s="1"/>
  <c r="AB67" i="116"/>
  <c r="AB65" i="116" s="1"/>
  <c r="AA67" i="116"/>
  <c r="AT63" i="116"/>
  <c r="AS49" i="116"/>
  <c r="AQ40" i="116"/>
  <c r="AO40" i="116"/>
  <c r="AN40" i="116"/>
  <c r="AR40" i="116"/>
  <c r="AU40" i="116"/>
  <c r="AT40" i="116"/>
  <c r="AS40" i="116"/>
  <c r="AP40" i="116"/>
  <c r="AP67" i="115"/>
  <c r="AP65" i="115" s="1"/>
  <c r="AO67" i="115"/>
  <c r="AO65" i="115" s="1"/>
  <c r="AN67" i="115"/>
  <c r="AN65" i="115" s="1"/>
  <c r="AU67" i="115"/>
  <c r="AU65" i="115" s="1"/>
  <c r="AT67" i="115"/>
  <c r="AT65" i="115" s="1"/>
  <c r="AS67" i="115"/>
  <c r="AS65" i="115" s="1"/>
  <c r="AR67" i="115"/>
  <c r="AR65" i="115" s="1"/>
  <c r="AQ67" i="115"/>
  <c r="AQ65" i="115" s="1"/>
  <c r="AC49" i="115"/>
  <c r="AB49" i="115"/>
  <c r="AI49" i="115"/>
  <c r="AA49" i="115"/>
  <c r="AH49" i="115"/>
  <c r="AG49" i="115"/>
  <c r="AE49" i="115"/>
  <c r="AD49" i="115"/>
  <c r="AF49" i="115"/>
  <c r="AI69" i="114"/>
  <c r="AI68" i="114" s="1"/>
  <c r="AC56" i="115"/>
  <c r="AU49" i="116"/>
  <c r="AT29" i="124"/>
  <c r="AS29" i="124"/>
  <c r="AR29" i="124"/>
  <c r="AQ29" i="124"/>
  <c r="AP29" i="124"/>
  <c r="AO29" i="124"/>
  <c r="AN29" i="124"/>
  <c r="AU29" i="124"/>
  <c r="AC18" i="115"/>
  <c r="AA18" i="115"/>
  <c r="AI18" i="115"/>
  <c r="AH18" i="115"/>
  <c r="AE11" i="115"/>
  <c r="AH30" i="114"/>
  <c r="AG30" i="114"/>
  <c r="AF30" i="114"/>
  <c r="AI30" i="114"/>
  <c r="AC30" i="114"/>
  <c r="AB30" i="114"/>
  <c r="AA30" i="114"/>
  <c r="AE30" i="114"/>
  <c r="AD30" i="114"/>
  <c r="AB54" i="112"/>
  <c r="AG54" i="112"/>
  <c r="AE54" i="112"/>
  <c r="AI54" i="112"/>
  <c r="AH54" i="112"/>
  <c r="AA54" i="112"/>
  <c r="AF54" i="112"/>
  <c r="AD54" i="112"/>
  <c r="AC54" i="112"/>
  <c r="AO37" i="124"/>
  <c r="AD10" i="124"/>
  <c r="AE18" i="115"/>
  <c r="AQ45" i="116"/>
  <c r="AN45" i="116"/>
  <c r="AU45" i="116"/>
  <c r="AT45" i="116"/>
  <c r="AG55" i="124"/>
  <c r="AE17" i="124"/>
  <c r="AP59" i="116"/>
  <c r="AV69" i="115"/>
  <c r="AU54" i="115"/>
  <c r="AF11" i="115"/>
  <c r="AI15" i="124"/>
  <c r="AO44" i="114"/>
  <c r="AN44" i="114"/>
  <c r="AU44" i="114"/>
  <c r="AR44" i="114"/>
  <c r="AQ44" i="114"/>
  <c r="AP44" i="114"/>
  <c r="AT44" i="114"/>
  <c r="AS44" i="114"/>
  <c r="AN35" i="114"/>
  <c r="AU35" i="114"/>
  <c r="AT35" i="114"/>
  <c r="AQ35" i="114"/>
  <c r="AP35" i="114"/>
  <c r="AO35" i="114"/>
  <c r="AS35" i="114"/>
  <c r="AR35" i="114"/>
  <c r="AT27" i="114"/>
  <c r="AS27" i="114"/>
  <c r="AR27" i="114"/>
  <c r="AQ27" i="114"/>
  <c r="AN27" i="114"/>
  <c r="AO27" i="114"/>
  <c r="AU27" i="114"/>
  <c r="AP27" i="114"/>
  <c r="AP23" i="114"/>
  <c r="AQ20" i="114"/>
  <c r="AH10" i="114"/>
  <c r="AG10" i="114"/>
  <c r="AI10" i="114"/>
  <c r="AD10" i="114"/>
  <c r="AC10" i="114"/>
  <c r="AB10" i="114"/>
  <c r="AA10" i="114"/>
  <c r="AF10" i="114"/>
  <c r="AE10" i="114"/>
  <c r="AR28" i="472"/>
  <c r="AO28" i="472"/>
  <c r="AN28" i="472"/>
  <c r="AQ28" i="472"/>
  <c r="AS57" i="112"/>
  <c r="AP42" i="112"/>
  <c r="AN17" i="112"/>
  <c r="AS17" i="112"/>
  <c r="AR17" i="112"/>
  <c r="AP17" i="112"/>
  <c r="AU17" i="112"/>
  <c r="AF58" i="111"/>
  <c r="AI58" i="111"/>
  <c r="AH58" i="111"/>
  <c r="AB58" i="111"/>
  <c r="AC58" i="111"/>
  <c r="AA58" i="111"/>
  <c r="AG58" i="111"/>
  <c r="AE58" i="111"/>
  <c r="AD58" i="111"/>
  <c r="AT71" i="124"/>
  <c r="AT70" i="124" s="1"/>
  <c r="AT68" i="124" s="1"/>
  <c r="AU44" i="472"/>
  <c r="AS44" i="472"/>
  <c r="AR44" i="472"/>
  <c r="AP44" i="472"/>
  <c r="AO44" i="472"/>
  <c r="AC71" i="114"/>
  <c r="AC70" i="114" s="1"/>
  <c r="AA71" i="114"/>
  <c r="AI71" i="114"/>
  <c r="AI70" i="114" s="1"/>
  <c r="AH71" i="114"/>
  <c r="AH70" i="114" s="1"/>
  <c r="AD71" i="114"/>
  <c r="AD70" i="114" s="1"/>
  <c r="AB71" i="114"/>
  <c r="AB70" i="114" s="1"/>
  <c r="AU55" i="114"/>
  <c r="AT55" i="114"/>
  <c r="AS55" i="114"/>
  <c r="AQ55" i="114"/>
  <c r="AR55" i="114"/>
  <c r="AP55" i="114"/>
  <c r="AO55" i="114"/>
  <c r="AN55" i="114"/>
  <c r="AT17" i="114"/>
  <c r="AE3" i="114"/>
  <c r="AE2" i="114" s="1"/>
  <c r="AE66" i="472"/>
  <c r="AH53" i="472"/>
  <c r="AI48" i="472"/>
  <c r="AE48" i="472"/>
  <c r="AD48" i="472"/>
  <c r="AB48" i="472"/>
  <c r="AA48" i="472"/>
  <c r="AN25" i="472"/>
  <c r="AH25" i="115"/>
  <c r="AS71" i="114"/>
  <c r="AS70" i="114" s="1"/>
  <c r="AN71" i="114"/>
  <c r="AR71" i="114"/>
  <c r="AR70" i="114" s="1"/>
  <c r="AT71" i="114"/>
  <c r="AT70" i="114" s="1"/>
  <c r="AI27" i="114"/>
  <c r="AR51" i="472"/>
  <c r="AD31" i="472"/>
  <c r="AI31" i="472"/>
  <c r="AA31" i="472"/>
  <c r="AH31" i="472"/>
  <c r="AG31" i="472"/>
  <c r="AE31" i="472"/>
  <c r="AC31" i="472"/>
  <c r="AB31" i="472"/>
  <c r="AF31" i="472"/>
  <c r="AR29" i="472"/>
  <c r="AP15" i="114"/>
  <c r="AO63" i="472"/>
  <c r="AT59" i="112"/>
  <c r="AQ59" i="112"/>
  <c r="AO59" i="112"/>
  <c r="AP59" i="112"/>
  <c r="AN59" i="112"/>
  <c r="AU59" i="112"/>
  <c r="AS59" i="112"/>
  <c r="AR59" i="112"/>
  <c r="AC67" i="114"/>
  <c r="AQ59" i="114"/>
  <c r="AU78" i="472"/>
  <c r="AP78" i="472"/>
  <c r="AO78" i="472"/>
  <c r="AS78" i="472"/>
  <c r="AR78" i="472"/>
  <c r="AI58" i="112"/>
  <c r="AQ52" i="112"/>
  <c r="AN52" i="112"/>
  <c r="AT52" i="112"/>
  <c r="AO52" i="112"/>
  <c r="AS52" i="112"/>
  <c r="AR52" i="112"/>
  <c r="AP52" i="112"/>
  <c r="AU52" i="112"/>
  <c r="AJ53" i="111"/>
  <c r="AB31" i="124"/>
  <c r="AU26" i="115"/>
  <c r="AS26" i="115"/>
  <c r="AR26" i="115"/>
  <c r="AQ26" i="115"/>
  <c r="AI14" i="115"/>
  <c r="AA14" i="115"/>
  <c r="AH14" i="115"/>
  <c r="AG14" i="115"/>
  <c r="AE14" i="115"/>
  <c r="AF14" i="115"/>
  <c r="AD14" i="115"/>
  <c r="AC14" i="115"/>
  <c r="AB14" i="115"/>
  <c r="AG66" i="472"/>
  <c r="AG65" i="472" s="1"/>
  <c r="AC51" i="472"/>
  <c r="AH51" i="472"/>
  <c r="AG51" i="472"/>
  <c r="AF51" i="472"/>
  <c r="AB51" i="472"/>
  <c r="AA51" i="472"/>
  <c r="AI51" i="472"/>
  <c r="AE51" i="472"/>
  <c r="AD51" i="472"/>
  <c r="AU43" i="112"/>
  <c r="AB46" i="112"/>
  <c r="AI46" i="112"/>
  <c r="AC46" i="112"/>
  <c r="AA46" i="112"/>
  <c r="AF46" i="112"/>
  <c r="AE46" i="112"/>
  <c r="AH46" i="112"/>
  <c r="AR53" i="112"/>
  <c r="AQ21" i="112"/>
  <c r="AN21" i="112"/>
  <c r="AT21" i="112"/>
  <c r="AS21" i="112"/>
  <c r="AR21" i="112"/>
  <c r="AU21" i="112"/>
  <c r="AO21" i="112"/>
  <c r="AP21" i="112"/>
  <c r="AQ68" i="112"/>
  <c r="AA55" i="112"/>
  <c r="AJ20" i="112"/>
  <c r="AP3" i="112"/>
  <c r="AH35" i="110"/>
  <c r="AG35" i="110"/>
  <c r="AE35" i="110"/>
  <c r="AD35" i="110"/>
  <c r="AC35" i="110"/>
  <c r="AB35" i="110"/>
  <c r="AI35" i="110"/>
  <c r="AF35" i="110"/>
  <c r="AA35" i="110"/>
  <c r="AG64" i="112"/>
  <c r="AD64" i="112"/>
  <c r="AB64" i="112"/>
  <c r="AI64" i="112"/>
  <c r="AH64" i="112"/>
  <c r="AA64" i="112"/>
  <c r="AF64" i="112"/>
  <c r="AE64" i="112"/>
  <c r="AC64" i="112"/>
  <c r="AG69" i="111"/>
  <c r="AG68" i="111" s="1"/>
  <c r="AC19" i="111"/>
  <c r="AH19" i="111"/>
  <c r="AB19" i="111"/>
  <c r="AI19" i="111"/>
  <c r="AG19" i="111"/>
  <c r="AF19" i="111"/>
  <c r="AE19" i="111"/>
  <c r="AD19" i="111"/>
  <c r="AA19" i="111"/>
  <c r="AU3" i="112"/>
  <c r="AJ49" i="111"/>
  <c r="AT53" i="110"/>
  <c r="AT48" i="472"/>
  <c r="AO16" i="472"/>
  <c r="AR39" i="112"/>
  <c r="AQ39" i="112"/>
  <c r="AT39" i="112"/>
  <c r="AD26" i="112"/>
  <c r="AI26" i="112"/>
  <c r="AA26" i="112"/>
  <c r="AG26" i="112"/>
  <c r="AB26" i="112"/>
  <c r="AF26" i="112"/>
  <c r="AE26" i="112"/>
  <c r="AC26" i="112"/>
  <c r="AH26" i="112"/>
  <c r="AD19" i="112"/>
  <c r="AN78" i="110"/>
  <c r="AQ78" i="110"/>
  <c r="AP78" i="110"/>
  <c r="AU78" i="110"/>
  <c r="AT78" i="110"/>
  <c r="AR78" i="110"/>
  <c r="AO78" i="110"/>
  <c r="AS78" i="110"/>
  <c r="AI16" i="472"/>
  <c r="AT8" i="472"/>
  <c r="AF27" i="112"/>
  <c r="AI19" i="112"/>
  <c r="AV18" i="112"/>
  <c r="AT41" i="111"/>
  <c r="AR37" i="110"/>
  <c r="AO37" i="110"/>
  <c r="AU37" i="110"/>
  <c r="AT37" i="110"/>
  <c r="AQ37" i="110"/>
  <c r="AT61" i="114"/>
  <c r="AH36" i="112"/>
  <c r="AF36" i="112"/>
  <c r="AE36" i="112"/>
  <c r="AC36" i="112"/>
  <c r="AB36" i="112"/>
  <c r="AS37" i="110"/>
  <c r="AD20" i="110"/>
  <c r="AI20" i="110"/>
  <c r="AA20" i="110"/>
  <c r="AH20" i="110"/>
  <c r="AG20" i="110"/>
  <c r="AF20" i="110"/>
  <c r="AE20" i="110"/>
  <c r="AC20" i="110"/>
  <c r="AB20" i="110"/>
  <c r="AB40" i="110"/>
  <c r="AE40" i="110"/>
  <c r="AF40" i="110"/>
  <c r="AC40" i="110"/>
  <c r="AA40" i="110"/>
  <c r="AI40" i="110"/>
  <c r="AH40" i="110"/>
  <c r="AG40" i="110"/>
  <c r="AD40" i="110"/>
  <c r="AG42" i="111"/>
  <c r="AI31" i="110"/>
  <c r="AO26" i="110"/>
  <c r="AJ56" i="111"/>
  <c r="AP8" i="111"/>
  <c r="AO8" i="111"/>
  <c r="AU8" i="111"/>
  <c r="AT8" i="111"/>
  <c r="AS8" i="111"/>
  <c r="AR8" i="111"/>
  <c r="AI27" i="110"/>
  <c r="AJ39" i="111"/>
  <c r="AS71" i="110"/>
  <c r="AS70" i="110" s="1"/>
  <c r="AS68" i="110" s="1"/>
  <c r="AD65" i="110"/>
  <c r="AN16" i="110"/>
  <c r="AU16" i="110"/>
  <c r="AT16" i="110"/>
  <c r="AO16" i="110"/>
  <c r="AS16" i="110"/>
  <c r="AQ16" i="110"/>
  <c r="AP16" i="110"/>
  <c r="AR16" i="110"/>
  <c r="AJ10" i="112"/>
  <c r="AO29" i="111"/>
  <c r="AA55" i="110"/>
  <c r="AB29" i="111"/>
  <c r="AC65" i="110"/>
  <c r="AJ16" i="111"/>
  <c r="AJ9" i="111"/>
  <c r="AF51" i="108"/>
  <c r="AD51" i="108"/>
  <c r="AC51" i="108"/>
  <c r="AH51" i="108"/>
  <c r="AG51" i="108"/>
  <c r="AI51" i="108"/>
  <c r="AE51" i="108"/>
  <c r="AB51" i="108"/>
  <c r="AA51" i="108"/>
  <c r="AF53" i="108"/>
  <c r="AD53" i="108"/>
  <c r="AC53" i="108"/>
  <c r="AH53" i="108"/>
  <c r="AG53" i="108"/>
  <c r="AB53" i="108"/>
  <c r="AA53" i="108"/>
  <c r="AI53" i="108"/>
  <c r="AE53" i="108"/>
  <c r="AT8" i="108"/>
  <c r="AR8" i="108"/>
  <c r="AN8" i="108"/>
  <c r="AG11" i="107"/>
  <c r="AB11" i="107"/>
  <c r="AA11" i="107"/>
  <c r="AI11" i="107"/>
  <c r="AH11" i="107"/>
  <c r="AD11" i="107"/>
  <c r="AF11" i="107"/>
  <c r="AE11" i="107"/>
  <c r="AC11" i="107"/>
  <c r="AT26" i="110"/>
  <c r="AP8" i="108"/>
  <c r="AR68" i="107"/>
  <c r="AR45" i="107"/>
  <c r="AU73" i="108"/>
  <c r="AU72" i="108" s="1"/>
  <c r="AO73" i="108"/>
  <c r="AO72" i="108" s="1"/>
  <c r="AT73" i="108"/>
  <c r="AT72" i="108" s="1"/>
  <c r="AQ73" i="108"/>
  <c r="AQ72" i="108" s="1"/>
  <c r="AP73" i="108"/>
  <c r="AP72" i="108" s="1"/>
  <c r="AN73" i="108"/>
  <c r="AS73" i="108"/>
  <c r="AS72" i="108" s="1"/>
  <c r="AR73" i="108"/>
  <c r="AR72" i="108" s="1"/>
  <c r="AQ10" i="108"/>
  <c r="AP10" i="108"/>
  <c r="AT10" i="108"/>
  <c r="AU10" i="108"/>
  <c r="AS10" i="108"/>
  <c r="AR10" i="108"/>
  <c r="AO10" i="108"/>
  <c r="AN10" i="108"/>
  <c r="AI59" i="106"/>
  <c r="AA59" i="106"/>
  <c r="AH59" i="106"/>
  <c r="AG59" i="106"/>
  <c r="AF59" i="106"/>
  <c r="AC59" i="106"/>
  <c r="AE59" i="106"/>
  <c r="AD59" i="106"/>
  <c r="AB59" i="106"/>
  <c r="AI39" i="110"/>
  <c r="AA39" i="110"/>
  <c r="AD39" i="110"/>
  <c r="AF39" i="110"/>
  <c r="AC39" i="110"/>
  <c r="AB39" i="110"/>
  <c r="AE39" i="110"/>
  <c r="AH39" i="110"/>
  <c r="AG39" i="110"/>
  <c r="AQ63" i="108"/>
  <c r="AO63" i="108"/>
  <c r="AN63" i="108"/>
  <c r="AS63" i="108"/>
  <c r="AR63" i="108"/>
  <c r="AT63" i="108"/>
  <c r="AP63" i="108"/>
  <c r="AU63" i="108"/>
  <c r="AS54" i="108"/>
  <c r="AQ54" i="108"/>
  <c r="AP54" i="108"/>
  <c r="AU54" i="108"/>
  <c r="AT54" i="108"/>
  <c r="AO54" i="108"/>
  <c r="AN54" i="108"/>
  <c r="AR54" i="108"/>
  <c r="AC24" i="108"/>
  <c r="AB24" i="108"/>
  <c r="AG24" i="108"/>
  <c r="AF24" i="108"/>
  <c r="AI24" i="108"/>
  <c r="AH24" i="108"/>
  <c r="AE24" i="108"/>
  <c r="AD24" i="108"/>
  <c r="AA24" i="108"/>
  <c r="AR23" i="108"/>
  <c r="AD24" i="107"/>
  <c r="AB24" i="107"/>
  <c r="AA24" i="107"/>
  <c r="AI24" i="107"/>
  <c r="AH24" i="107"/>
  <c r="AF24" i="107"/>
  <c r="AE24" i="107"/>
  <c r="AC24" i="107"/>
  <c r="AG24" i="107"/>
  <c r="AB56" i="106"/>
  <c r="AF34" i="106"/>
  <c r="AC34" i="106"/>
  <c r="AE39" i="108"/>
  <c r="AR29" i="108"/>
  <c r="AO17" i="108"/>
  <c r="AE45" i="108"/>
  <c r="AD54" i="107"/>
  <c r="AC54" i="107"/>
  <c r="AG54" i="107"/>
  <c r="AE54" i="107"/>
  <c r="AB54" i="107"/>
  <c r="AA54" i="107"/>
  <c r="AI54" i="107"/>
  <c r="AH54" i="107"/>
  <c r="AF54" i="107"/>
  <c r="AU45" i="107"/>
  <c r="AT54" i="110"/>
  <c r="AI15" i="110"/>
  <c r="AP45" i="108"/>
  <c r="AU45" i="108"/>
  <c r="AR45" i="108"/>
  <c r="AQ45" i="108"/>
  <c r="AN45" i="108"/>
  <c r="AP2" i="108"/>
  <c r="AG44" i="107"/>
  <c r="AB44" i="107"/>
  <c r="AD44" i="107"/>
  <c r="AC44" i="107"/>
  <c r="AA44" i="107"/>
  <c r="AH44" i="107"/>
  <c r="AF44" i="107"/>
  <c r="AI44" i="107"/>
  <c r="AE44" i="107"/>
  <c r="AH78" i="107"/>
  <c r="AF78" i="107"/>
  <c r="AE78" i="107"/>
  <c r="AD78" i="107"/>
  <c r="AA78" i="107"/>
  <c r="AI78" i="107"/>
  <c r="AC78" i="107"/>
  <c r="AT57" i="106"/>
  <c r="AN57" i="106"/>
  <c r="AN29" i="110"/>
  <c r="AH67" i="108"/>
  <c r="AD67" i="108"/>
  <c r="AV21" i="108"/>
  <c r="AI14" i="107"/>
  <c r="AA14" i="107"/>
  <c r="AC14" i="107"/>
  <c r="AB14" i="107"/>
  <c r="AH14" i="107"/>
  <c r="AE14" i="107"/>
  <c r="AD14" i="107"/>
  <c r="AG14" i="107"/>
  <c r="AF14" i="107"/>
  <c r="AU8" i="108"/>
  <c r="AU38" i="107"/>
  <c r="AP38" i="107"/>
  <c r="AR38" i="107"/>
  <c r="AQ38" i="107"/>
  <c r="AO38" i="107"/>
  <c r="AN38" i="107"/>
  <c r="AT38" i="107"/>
  <c r="AS38" i="107"/>
  <c r="AT16" i="107"/>
  <c r="AU16" i="107"/>
  <c r="AS16" i="107"/>
  <c r="AR16" i="107"/>
  <c r="AO16" i="107"/>
  <c r="AQ16" i="107"/>
  <c r="AP16" i="107"/>
  <c r="AN16" i="107"/>
  <c r="AS67" i="106"/>
  <c r="AS65" i="106" s="1"/>
  <c r="AV52" i="106"/>
  <c r="AB29" i="108"/>
  <c r="AT53" i="107"/>
  <c r="AT15" i="107"/>
  <c r="AC56" i="106"/>
  <c r="AO29" i="107"/>
  <c r="AN55" i="106"/>
  <c r="AV32" i="106"/>
  <c r="AC51" i="105"/>
  <c r="AR55" i="106"/>
  <c r="AR43" i="106"/>
  <c r="AC18" i="108"/>
  <c r="AP20" i="107"/>
  <c r="AH71" i="106"/>
  <c r="AH70" i="106" s="1"/>
  <c r="AU57" i="106"/>
  <c r="AN48" i="106"/>
  <c r="AB34" i="106"/>
  <c r="AG29" i="105"/>
  <c r="AE29" i="105"/>
  <c r="AC29" i="105"/>
  <c r="AI29" i="105"/>
  <c r="AH29" i="105"/>
  <c r="AD29" i="105"/>
  <c r="AB29" i="105"/>
  <c r="AA29" i="105"/>
  <c r="AF29" i="105"/>
  <c r="AD18" i="108"/>
  <c r="AG9" i="108"/>
  <c r="AF9" i="108"/>
  <c r="AB9" i="108"/>
  <c r="AD9" i="108"/>
  <c r="AC9" i="108"/>
  <c r="AA9" i="108"/>
  <c r="AI9" i="108"/>
  <c r="AH9" i="108"/>
  <c r="AE9" i="108"/>
  <c r="AC32" i="107"/>
  <c r="AO10" i="107"/>
  <c r="AN54" i="106"/>
  <c r="AS26" i="106"/>
  <c r="AU45" i="105"/>
  <c r="AT45" i="105"/>
  <c r="AR45" i="105"/>
  <c r="AP45" i="105"/>
  <c r="AN45" i="105"/>
  <c r="AS45" i="105"/>
  <c r="AQ45" i="105"/>
  <c r="AO45" i="105"/>
  <c r="AP58" i="107"/>
  <c r="AO58" i="107"/>
  <c r="AS58" i="107"/>
  <c r="AU58" i="107"/>
  <c r="AR58" i="107"/>
  <c r="AQ58" i="107"/>
  <c r="AN58" i="107"/>
  <c r="AT58" i="107"/>
  <c r="AP11" i="107"/>
  <c r="AB53" i="106"/>
  <c r="AR31" i="106"/>
  <c r="AQ31" i="106"/>
  <c r="AP31" i="106"/>
  <c r="AU31" i="106"/>
  <c r="AT31" i="106"/>
  <c r="AO31" i="106"/>
  <c r="AN31" i="106"/>
  <c r="AS31" i="106"/>
  <c r="AJ72" i="105"/>
  <c r="AQ59" i="105"/>
  <c r="AF41" i="105"/>
  <c r="AD41" i="105"/>
  <c r="AB41" i="105"/>
  <c r="AI41" i="105"/>
  <c r="AH41" i="105"/>
  <c r="AC41" i="105"/>
  <c r="AA41" i="105"/>
  <c r="AE41" i="105"/>
  <c r="AH34" i="105"/>
  <c r="AG34" i="105"/>
  <c r="AE34" i="105"/>
  <c r="AC34" i="105"/>
  <c r="AB34" i="105"/>
  <c r="AA34" i="105"/>
  <c r="AI34" i="105"/>
  <c r="AF34" i="105"/>
  <c r="AD34" i="105"/>
  <c r="AO10" i="105"/>
  <c r="AU10" i="105"/>
  <c r="AS10" i="105"/>
  <c r="AR10" i="105"/>
  <c r="AG37" i="103"/>
  <c r="AE37" i="103"/>
  <c r="AB37" i="103"/>
  <c r="AI37" i="103"/>
  <c r="AH37" i="103"/>
  <c r="AF37" i="103"/>
  <c r="AD37" i="103"/>
  <c r="AC37" i="103"/>
  <c r="AA37" i="103"/>
  <c r="AC36" i="103"/>
  <c r="AI36" i="103"/>
  <c r="AA36" i="103"/>
  <c r="AF36" i="103"/>
  <c r="AH36" i="103"/>
  <c r="AG36" i="103"/>
  <c r="AE36" i="103"/>
  <c r="AD36" i="103"/>
  <c r="AB36" i="103"/>
  <c r="AG14" i="103"/>
  <c r="AE14" i="103"/>
  <c r="AB14" i="103"/>
  <c r="AH14" i="103"/>
  <c r="AF14" i="103"/>
  <c r="AD14" i="103"/>
  <c r="AC14" i="103"/>
  <c r="AA14" i="103"/>
  <c r="AI14" i="103"/>
  <c r="AR49" i="102"/>
  <c r="AU49" i="102"/>
  <c r="AT49" i="102"/>
  <c r="AS49" i="102"/>
  <c r="AQ49" i="102"/>
  <c r="AP49" i="102"/>
  <c r="AO49" i="102"/>
  <c r="AN49" i="102"/>
  <c r="AG8" i="102"/>
  <c r="AF8" i="102"/>
  <c r="AE8" i="102"/>
  <c r="AD8" i="102"/>
  <c r="AC8" i="102"/>
  <c r="AB8" i="102"/>
  <c r="AI8" i="102"/>
  <c r="AA8" i="102"/>
  <c r="AH8" i="102"/>
  <c r="AV9" i="106"/>
  <c r="AT8" i="105"/>
  <c r="AP8" i="105"/>
  <c r="AF40" i="103"/>
  <c r="AF34" i="103"/>
  <c r="AR29" i="103"/>
  <c r="AE13" i="103"/>
  <c r="AQ71" i="102"/>
  <c r="AQ70" i="102" s="1"/>
  <c r="AU71" i="102"/>
  <c r="AU70" i="102" s="1"/>
  <c r="AT71" i="102"/>
  <c r="AT70" i="102" s="1"/>
  <c r="AS71" i="102"/>
  <c r="AS70" i="102" s="1"/>
  <c r="AR71" i="102"/>
  <c r="AR70" i="102" s="1"/>
  <c r="AT67" i="101"/>
  <c r="AO61" i="105"/>
  <c r="AP54" i="105"/>
  <c r="AV31" i="105"/>
  <c r="AD61" i="103"/>
  <c r="AB61" i="103"/>
  <c r="AG61" i="103"/>
  <c r="AI61" i="103"/>
  <c r="AH61" i="103"/>
  <c r="AF61" i="103"/>
  <c r="AE61" i="103"/>
  <c r="AC61" i="103"/>
  <c r="AC60" i="103" s="1"/>
  <c r="AA61" i="103"/>
  <c r="AG56" i="103"/>
  <c r="AE56" i="103"/>
  <c r="AB56" i="103"/>
  <c r="AA56" i="103"/>
  <c r="AI56" i="103"/>
  <c r="AH56" i="103"/>
  <c r="AF56" i="103"/>
  <c r="AD56" i="103"/>
  <c r="AC56" i="103"/>
  <c r="AN48" i="103"/>
  <c r="AB26" i="103"/>
  <c r="AH26" i="103"/>
  <c r="AE26" i="103"/>
  <c r="AD26" i="103"/>
  <c r="AC26" i="103"/>
  <c r="AA26" i="103"/>
  <c r="AI26" i="103"/>
  <c r="AG26" i="103"/>
  <c r="AF26" i="103"/>
  <c r="AR13" i="103"/>
  <c r="AN71" i="102"/>
  <c r="O50" i="102"/>
  <c r="P50" i="102" s="1"/>
  <c r="AI16" i="102"/>
  <c r="AA16" i="102"/>
  <c r="AH16" i="102"/>
  <c r="AG16" i="102"/>
  <c r="AF16" i="102"/>
  <c r="AE16" i="102"/>
  <c r="AD16" i="102"/>
  <c r="AC16" i="102"/>
  <c r="AB16" i="102"/>
  <c r="AN63" i="101"/>
  <c r="AR63" i="101"/>
  <c r="AP63" i="101"/>
  <c r="AF56" i="101"/>
  <c r="AI36" i="101"/>
  <c r="AA36" i="101"/>
  <c r="AE36" i="101"/>
  <c r="AC36" i="101"/>
  <c r="AS31" i="101"/>
  <c r="AI53" i="100"/>
  <c r="AA53" i="100"/>
  <c r="AG53" i="100"/>
  <c r="AF53" i="100"/>
  <c r="AE53" i="100"/>
  <c r="AC53" i="100"/>
  <c r="AB53" i="100"/>
  <c r="AH53" i="100"/>
  <c r="AD53" i="100"/>
  <c r="AF28" i="106"/>
  <c r="AO13" i="106"/>
  <c r="AT64" i="105"/>
  <c r="AP61" i="105"/>
  <c r="AE46" i="105"/>
  <c r="AR41" i="105"/>
  <c r="AN8" i="105"/>
  <c r="AI58" i="103"/>
  <c r="AA58" i="103"/>
  <c r="AG58" i="103"/>
  <c r="AD58" i="103"/>
  <c r="AB58" i="103"/>
  <c r="AH58" i="103"/>
  <c r="AF58" i="103"/>
  <c r="AE58" i="103"/>
  <c r="AC58" i="103"/>
  <c r="AB30" i="103"/>
  <c r="AH30" i="103"/>
  <c r="AE30" i="103"/>
  <c r="AF30" i="103"/>
  <c r="AD30" i="103"/>
  <c r="AC30" i="103"/>
  <c r="AA30" i="103"/>
  <c r="AI30" i="103"/>
  <c r="AG30" i="103"/>
  <c r="AQ63" i="102"/>
  <c r="AO63" i="102"/>
  <c r="AS63" i="102"/>
  <c r="AR63" i="102"/>
  <c r="AR55" i="102"/>
  <c r="AI32" i="102"/>
  <c r="AA27" i="102"/>
  <c r="AI24" i="102"/>
  <c r="AA10" i="102"/>
  <c r="AT63" i="101"/>
  <c r="AT32" i="101"/>
  <c r="AQ71" i="105"/>
  <c r="AQ70" i="105" s="1"/>
  <c r="AI55" i="105"/>
  <c r="AA55" i="105"/>
  <c r="AH55" i="105"/>
  <c r="AE55" i="105"/>
  <c r="AG55" i="105"/>
  <c r="AD55" i="105"/>
  <c r="AC55" i="105"/>
  <c r="AB55" i="105"/>
  <c r="AF55" i="105"/>
  <c r="AD32" i="105"/>
  <c r="AF32" i="105"/>
  <c r="AC32" i="105"/>
  <c r="AA32" i="105"/>
  <c r="AI32" i="105"/>
  <c r="AH32" i="105"/>
  <c r="AB32" i="105"/>
  <c r="AG32" i="105"/>
  <c r="AE32" i="105"/>
  <c r="AT55" i="103"/>
  <c r="AR55" i="103"/>
  <c r="AO55" i="103"/>
  <c r="AS55" i="103"/>
  <c r="AQ55" i="103"/>
  <c r="AP55" i="103"/>
  <c r="AN55" i="103"/>
  <c r="AU55" i="103"/>
  <c r="AU51" i="103"/>
  <c r="AC46" i="103"/>
  <c r="AO78" i="103"/>
  <c r="AU78" i="103"/>
  <c r="AR78" i="103"/>
  <c r="AS78" i="103"/>
  <c r="AQ78" i="103"/>
  <c r="AP78" i="103"/>
  <c r="AN78" i="103"/>
  <c r="AT78" i="103"/>
  <c r="AP41" i="103"/>
  <c r="AN41" i="103"/>
  <c r="AS41" i="103"/>
  <c r="AT41" i="103"/>
  <c r="AR41" i="103"/>
  <c r="AQ41" i="103"/>
  <c r="AO41" i="103"/>
  <c r="AU41" i="103"/>
  <c r="AO24" i="103"/>
  <c r="AU24" i="103"/>
  <c r="AR24" i="103"/>
  <c r="AS24" i="103"/>
  <c r="AQ24" i="103"/>
  <c r="AP24" i="103"/>
  <c r="AN24" i="103"/>
  <c r="AT24" i="103"/>
  <c r="AD16" i="103"/>
  <c r="AC8" i="103"/>
  <c r="AC3" i="103"/>
  <c r="AC2" i="103" s="1"/>
  <c r="AI3" i="103"/>
  <c r="AI2" i="103" s="1"/>
  <c r="AA3" i="103"/>
  <c r="AF3" i="103"/>
  <c r="AF2" i="103" s="1"/>
  <c r="AE3" i="103"/>
  <c r="AE2" i="103" s="1"/>
  <c r="AD3" i="103"/>
  <c r="AD2" i="103" s="1"/>
  <c r="AB3" i="103"/>
  <c r="AB2" i="103" s="1"/>
  <c r="AH3" i="103"/>
  <c r="AH2" i="103" s="1"/>
  <c r="AG3" i="103"/>
  <c r="AG2" i="103" s="1"/>
  <c r="AJ63" i="102"/>
  <c r="AI44" i="102"/>
  <c r="AA44" i="102"/>
  <c r="AE44" i="102"/>
  <c r="AD44" i="102"/>
  <c r="AC44" i="102"/>
  <c r="AB44" i="102"/>
  <c r="AH44" i="102"/>
  <c r="AG44" i="102"/>
  <c r="AF44" i="102"/>
  <c r="AH28" i="102"/>
  <c r="AH10" i="102"/>
  <c r="AS63" i="101"/>
  <c r="AS32" i="101"/>
  <c r="AF35" i="100"/>
  <c r="AD13" i="106"/>
  <c r="AB52" i="105"/>
  <c r="AP41" i="105"/>
  <c r="AV11" i="105"/>
  <c r="AH66" i="103"/>
  <c r="AH65" i="103" s="1"/>
  <c r="AU46" i="103"/>
  <c r="AB16" i="103"/>
  <c r="AG10" i="102"/>
  <c r="AT71" i="106"/>
  <c r="AT70" i="106" s="1"/>
  <c r="AT68" i="106" s="1"/>
  <c r="AO35" i="106"/>
  <c r="AN2" i="106"/>
  <c r="AV3" i="106"/>
  <c r="AV2" i="106" s="1"/>
  <c r="AR55" i="105"/>
  <c r="AQ55" i="105"/>
  <c r="AN55" i="105"/>
  <c r="AU55" i="105"/>
  <c r="AS55" i="105"/>
  <c r="AP55" i="105"/>
  <c r="AO55" i="105"/>
  <c r="AT55" i="105"/>
  <c r="AQ4" i="105"/>
  <c r="AE9" i="103"/>
  <c r="AF61" i="102"/>
  <c r="AO67" i="101"/>
  <c r="AT43" i="101"/>
  <c r="AN43" i="101"/>
  <c r="AQ59" i="100"/>
  <c r="AD35" i="100"/>
  <c r="AE3" i="100"/>
  <c r="AC3" i="100"/>
  <c r="AB3" i="100"/>
  <c r="AB2" i="100" s="1"/>
  <c r="AI3" i="100"/>
  <c r="AA3" i="100"/>
  <c r="AG3" i="100"/>
  <c r="AG2" i="100" s="1"/>
  <c r="AH3" i="100"/>
  <c r="AH2" i="100" s="1"/>
  <c r="AF3" i="100"/>
  <c r="AF2" i="100" s="1"/>
  <c r="AD3" i="100"/>
  <c r="AD2" i="100" s="1"/>
  <c r="AU69" i="101"/>
  <c r="AC37" i="101"/>
  <c r="AJ57" i="102"/>
  <c r="AN38" i="101"/>
  <c r="AI26" i="101"/>
  <c r="AS26" i="101"/>
  <c r="AP8" i="101"/>
  <c r="AN37" i="100"/>
  <c r="AG51" i="103"/>
  <c r="AG45" i="102"/>
  <c r="AN13" i="102"/>
  <c r="AU13" i="102"/>
  <c r="AT13" i="102"/>
  <c r="AS13" i="102"/>
  <c r="AR13" i="102"/>
  <c r="AQ13" i="102"/>
  <c r="AP13" i="102"/>
  <c r="AO13" i="102"/>
  <c r="AQ38" i="101"/>
  <c r="AU29" i="101"/>
  <c r="AO14" i="101"/>
  <c r="AN14" i="101"/>
  <c r="AU14" i="101"/>
  <c r="AR14" i="101"/>
  <c r="AS14" i="101"/>
  <c r="AQ14" i="101"/>
  <c r="AD13" i="100"/>
  <c r="AB8" i="100"/>
  <c r="AH8" i="100"/>
  <c r="AG8" i="100"/>
  <c r="AF8" i="100"/>
  <c r="AD8" i="100"/>
  <c r="AC8" i="100"/>
  <c r="AA8" i="100"/>
  <c r="AE8" i="100"/>
  <c r="AI8" i="100"/>
  <c r="AD25" i="102"/>
  <c r="AS40" i="101"/>
  <c r="AB14" i="101"/>
  <c r="AD4" i="101"/>
  <c r="AR9" i="100"/>
  <c r="AP9" i="100"/>
  <c r="AN9" i="100"/>
  <c r="AU52" i="105"/>
  <c r="AJ48" i="102"/>
  <c r="AC55" i="101"/>
  <c r="AB55" i="101"/>
  <c r="AI55" i="101"/>
  <c r="AA55" i="101"/>
  <c r="AH55" i="101"/>
  <c r="AG55" i="101"/>
  <c r="AE55" i="101"/>
  <c r="AF55" i="101"/>
  <c r="AD55" i="101"/>
  <c r="AG48" i="101"/>
  <c r="AS42" i="101"/>
  <c r="AG69" i="100"/>
  <c r="AG68" i="100" s="1"/>
  <c r="AO42" i="100"/>
  <c r="AN38" i="100"/>
  <c r="AB14" i="100"/>
  <c r="AU67" i="101"/>
  <c r="AP43" i="101"/>
  <c r="AN25" i="101"/>
  <c r="AF8" i="101"/>
  <c r="AR24" i="100"/>
  <c r="AP24" i="100"/>
  <c r="AO24" i="100"/>
  <c r="AN24" i="100"/>
  <c r="AT24" i="100"/>
  <c r="AU24" i="100"/>
  <c r="AS24" i="100"/>
  <c r="AQ24" i="100"/>
  <c r="AD30" i="102"/>
  <c r="AQ45" i="101"/>
  <c r="AD24" i="101"/>
  <c r="AG71" i="100"/>
  <c r="AG70" i="100" s="1"/>
  <c r="AE71" i="100"/>
  <c r="AE70" i="100" s="1"/>
  <c r="AD71" i="100"/>
  <c r="AD70" i="100" s="1"/>
  <c r="AC71" i="100"/>
  <c r="AC70" i="100" s="1"/>
  <c r="AI71" i="100"/>
  <c r="AI70" i="100" s="1"/>
  <c r="AA71" i="100"/>
  <c r="AH71" i="100"/>
  <c r="AH70" i="100" s="1"/>
  <c r="AF71" i="100"/>
  <c r="AF70" i="100" s="1"/>
  <c r="AB71" i="100"/>
  <c r="AB70" i="100" s="1"/>
  <c r="AI63" i="100"/>
  <c r="AA63" i="100"/>
  <c r="AH63" i="100"/>
  <c r="AE63" i="100"/>
  <c r="AF63" i="100"/>
  <c r="AD63" i="100"/>
  <c r="AB63" i="100"/>
  <c r="AO9" i="100"/>
  <c r="AQ20" i="102"/>
  <c r="AO20" i="102"/>
  <c r="AU20" i="102"/>
  <c r="AS20" i="102"/>
  <c r="AB9" i="102"/>
  <c r="AP64" i="101"/>
  <c r="AA37" i="101"/>
  <c r="AD23" i="100"/>
  <c r="AB23" i="100"/>
  <c r="AI23" i="100"/>
  <c r="AA23" i="100"/>
  <c r="AH23" i="100"/>
  <c r="AF23" i="100"/>
  <c r="AG23" i="100"/>
  <c r="AE23" i="100"/>
  <c r="AC23" i="100"/>
  <c r="AB58" i="100"/>
  <c r="AP11" i="100"/>
  <c r="AU64" i="100"/>
  <c r="AI56" i="100"/>
  <c r="AH63" i="475"/>
  <c r="AG63" i="475"/>
  <c r="AD63" i="475"/>
  <c r="AD60" i="475" s="1"/>
  <c r="AI63" i="475"/>
  <c r="AE63" i="475"/>
  <c r="AC63" i="475"/>
  <c r="AB63" i="475"/>
  <c r="AA63" i="475"/>
  <c r="AF63" i="475"/>
  <c r="AB71" i="475"/>
  <c r="AG56" i="475"/>
  <c r="AF56" i="475"/>
  <c r="AC56" i="475"/>
  <c r="AA56" i="475"/>
  <c r="AH56" i="475"/>
  <c r="AE56" i="475"/>
  <c r="AD56" i="475"/>
  <c r="AB56" i="475"/>
  <c r="AI56" i="475"/>
  <c r="AH51" i="475"/>
  <c r="AG51" i="475"/>
  <c r="AD51" i="475"/>
  <c r="AA51" i="475"/>
  <c r="AF51" i="475"/>
  <c r="AE51" i="475"/>
  <c r="AC51" i="475"/>
  <c r="AB51" i="475"/>
  <c r="AI51" i="475"/>
  <c r="AH67" i="475"/>
  <c r="AG67" i="475"/>
  <c r="AD67" i="475"/>
  <c r="AA67" i="475"/>
  <c r="AF67" i="475"/>
  <c r="AF65" i="475" s="1"/>
  <c r="AE67" i="475"/>
  <c r="AC67" i="475"/>
  <c r="AB67" i="475"/>
  <c r="AI67" i="475"/>
  <c r="AP69" i="475"/>
  <c r="AO69" i="475"/>
  <c r="AO68" i="475" s="1"/>
  <c r="AT69" i="475"/>
  <c r="AN69" i="475"/>
  <c r="AU69" i="475"/>
  <c r="AU68" i="475" s="1"/>
  <c r="AS69" i="475"/>
  <c r="AS68" i="475" s="1"/>
  <c r="AR69" i="475"/>
  <c r="AR68" i="475" s="1"/>
  <c r="AQ69" i="475"/>
  <c r="AQ68" i="475" s="1"/>
  <c r="AN66" i="475"/>
  <c r="AA61" i="475"/>
  <c r="AR63" i="475"/>
  <c r="AP41" i="475"/>
  <c r="AJ35" i="475"/>
  <c r="AH51" i="125"/>
  <c r="AG51" i="125"/>
  <c r="AF51" i="125"/>
  <c r="AE51" i="125"/>
  <c r="AD51" i="125"/>
  <c r="AC51" i="125"/>
  <c r="AI51" i="125"/>
  <c r="AB51" i="125"/>
  <c r="AA51" i="125"/>
  <c r="AV35" i="475"/>
  <c r="AO31" i="475"/>
  <c r="AN31" i="475"/>
  <c r="AR31" i="475"/>
  <c r="AQ31" i="475"/>
  <c r="AP31" i="475"/>
  <c r="AU31" i="475"/>
  <c r="AT31" i="475"/>
  <c r="AS31" i="475"/>
  <c r="AN70" i="475"/>
  <c r="AP54" i="125"/>
  <c r="AN54" i="125"/>
  <c r="AU54" i="125"/>
  <c r="AQ54" i="125"/>
  <c r="AR54" i="125"/>
  <c r="AB48" i="475"/>
  <c r="AI4" i="475"/>
  <c r="AI2" i="475" s="1"/>
  <c r="AS54" i="125"/>
  <c r="AP26" i="125"/>
  <c r="AN26" i="125"/>
  <c r="AU26" i="125"/>
  <c r="AT26" i="125"/>
  <c r="AS26" i="125"/>
  <c r="AR26" i="125"/>
  <c r="AQ26" i="125"/>
  <c r="AO26" i="125"/>
  <c r="AB43" i="475"/>
  <c r="AT37" i="475"/>
  <c r="AJ28" i="475"/>
  <c r="AI15" i="475"/>
  <c r="AJ15" i="475" s="1"/>
  <c r="AN61" i="125"/>
  <c r="AU61" i="125"/>
  <c r="AT61" i="125"/>
  <c r="AS61" i="125"/>
  <c r="AR61" i="125"/>
  <c r="AQ61" i="125"/>
  <c r="AP61" i="125"/>
  <c r="AO61" i="125"/>
  <c r="AI24" i="125"/>
  <c r="AA24" i="125"/>
  <c r="AG24" i="125"/>
  <c r="AF24" i="125"/>
  <c r="AE24" i="125"/>
  <c r="AH24" i="125"/>
  <c r="AD24" i="125"/>
  <c r="AC24" i="125"/>
  <c r="AB24" i="125"/>
  <c r="AU45" i="125"/>
  <c r="AT43" i="125"/>
  <c r="AS43" i="125"/>
  <c r="AR43" i="125"/>
  <c r="AT9" i="125"/>
  <c r="AS9" i="125"/>
  <c r="AQ9" i="125"/>
  <c r="AF52" i="125"/>
  <c r="AN42" i="125"/>
  <c r="AO14" i="125"/>
  <c r="AU14" i="125"/>
  <c r="AT14" i="125"/>
  <c r="AS14" i="125"/>
  <c r="AP14" i="125"/>
  <c r="AN14" i="125"/>
  <c r="AR14" i="125"/>
  <c r="AQ14" i="125"/>
  <c r="AN67" i="123"/>
  <c r="AE23" i="125"/>
  <c r="AC23" i="125"/>
  <c r="AB23" i="125"/>
  <c r="AI23" i="125"/>
  <c r="AA23" i="125"/>
  <c r="AG23" i="125"/>
  <c r="AF23" i="125"/>
  <c r="AD23" i="125"/>
  <c r="AH23" i="125"/>
  <c r="AS39" i="123"/>
  <c r="AR39" i="123"/>
  <c r="AP39" i="123"/>
  <c r="AF37" i="123"/>
  <c r="AI35" i="123"/>
  <c r="AP11" i="123"/>
  <c r="AF41" i="123"/>
  <c r="AE41" i="123"/>
  <c r="AC41" i="123"/>
  <c r="AI41" i="123"/>
  <c r="AN16" i="123"/>
  <c r="AU16" i="123"/>
  <c r="AT16" i="123"/>
  <c r="AR16" i="123"/>
  <c r="AQ16" i="123"/>
  <c r="AP16" i="123"/>
  <c r="AO16" i="123"/>
  <c r="AS16" i="123"/>
  <c r="AU67" i="123"/>
  <c r="AJ56" i="123"/>
  <c r="AE35" i="123"/>
  <c r="AP25" i="123"/>
  <c r="AO25" i="123"/>
  <c r="AN25" i="123"/>
  <c r="AT25" i="123"/>
  <c r="AS25" i="123"/>
  <c r="AR25" i="123"/>
  <c r="AQ25" i="123"/>
  <c r="AU25" i="123"/>
  <c r="AO10" i="123"/>
  <c r="AB61" i="122"/>
  <c r="AA28" i="122"/>
  <c r="AB32" i="125"/>
  <c r="AH32" i="125"/>
  <c r="AG32" i="125"/>
  <c r="AF32" i="125"/>
  <c r="AI32" i="125"/>
  <c r="AD32" i="125"/>
  <c r="AC32" i="125"/>
  <c r="AA32" i="125"/>
  <c r="AE32" i="125"/>
  <c r="AT55" i="123"/>
  <c r="AP55" i="123"/>
  <c r="AU55" i="123"/>
  <c r="AR55" i="123"/>
  <c r="AO55" i="123"/>
  <c r="AS55" i="123"/>
  <c r="AQ55" i="123"/>
  <c r="AN55" i="123"/>
  <c r="AE46" i="123"/>
  <c r="AC46" i="123"/>
  <c r="AI46" i="123"/>
  <c r="AG46" i="123"/>
  <c r="AA46" i="123"/>
  <c r="AH40" i="123"/>
  <c r="AG9" i="123"/>
  <c r="AJ57" i="123"/>
  <c r="AQ78" i="123"/>
  <c r="AQ18" i="122"/>
  <c r="AF78" i="123"/>
  <c r="AI21" i="123"/>
  <c r="AJ21" i="123" s="1"/>
  <c r="AD10" i="123"/>
  <c r="AB56" i="122"/>
  <c r="AE28" i="122"/>
  <c r="AI44" i="123"/>
  <c r="AD20" i="123"/>
  <c r="AH20" i="123"/>
  <c r="AF20" i="123"/>
  <c r="AB20" i="123"/>
  <c r="AI64" i="122"/>
  <c r="AA64" i="122"/>
  <c r="AH64" i="122"/>
  <c r="AC64" i="122"/>
  <c r="AB64" i="122"/>
  <c r="AF64" i="122"/>
  <c r="AD64" i="122"/>
  <c r="AE3" i="123"/>
  <c r="AE2" i="123" s="1"/>
  <c r="AD3" i="123"/>
  <c r="AD2" i="123" s="1"/>
  <c r="AC3" i="123"/>
  <c r="AC2" i="123" s="1"/>
  <c r="AI3" i="123"/>
  <c r="AI2" i="123" s="1"/>
  <c r="AA3" i="123"/>
  <c r="AG3" i="123"/>
  <c r="AG2" i="123" s="1"/>
  <c r="AF3" i="123"/>
  <c r="AF2" i="123" s="1"/>
  <c r="AH3" i="123"/>
  <c r="AH2" i="123" s="1"/>
  <c r="AB3" i="123"/>
  <c r="AB2" i="123" s="1"/>
  <c r="AG21" i="122"/>
  <c r="AE21" i="122"/>
  <c r="AC21" i="122"/>
  <c r="AF21" i="122"/>
  <c r="AB21" i="122"/>
  <c r="AA21" i="122"/>
  <c r="AI21" i="122"/>
  <c r="AH21" i="122"/>
  <c r="AD21" i="122"/>
  <c r="AN23" i="123"/>
  <c r="AO69" i="122"/>
  <c r="AO68" i="122" s="1"/>
  <c r="AT56" i="122"/>
  <c r="AE20" i="122"/>
  <c r="AI61" i="121"/>
  <c r="AI60" i="121" s="1"/>
  <c r="AQ11" i="123"/>
  <c r="AO37" i="122"/>
  <c r="AE58" i="121"/>
  <c r="AS11" i="122"/>
  <c r="AG18" i="121"/>
  <c r="AH71" i="120"/>
  <c r="AH70" i="120" s="1"/>
  <c r="AV16" i="122"/>
  <c r="AF3" i="122"/>
  <c r="AF2" i="122" s="1"/>
  <c r="AC58" i="121"/>
  <c r="AI3" i="122"/>
  <c r="AI2" i="122" s="1"/>
  <c r="AT58" i="121"/>
  <c r="AH30" i="121"/>
  <c r="AF30" i="121"/>
  <c r="AC30" i="121"/>
  <c r="AB30" i="121"/>
  <c r="AA30" i="121"/>
  <c r="AI30" i="121"/>
  <c r="AG30" i="121"/>
  <c r="AE30" i="121"/>
  <c r="AD30" i="121"/>
  <c r="AQ23" i="121"/>
  <c r="AO23" i="121"/>
  <c r="AP23" i="121"/>
  <c r="AU23" i="121"/>
  <c r="AT23" i="121"/>
  <c r="AS23" i="121"/>
  <c r="AR23" i="121"/>
  <c r="AN23" i="121"/>
  <c r="AI48" i="120"/>
  <c r="AG48" i="120"/>
  <c r="AF48" i="120"/>
  <c r="AE48" i="120"/>
  <c r="AB48" i="120"/>
  <c r="AJ31" i="122"/>
  <c r="AR10" i="122"/>
  <c r="AO10" i="122"/>
  <c r="AN10" i="122"/>
  <c r="AU10" i="122"/>
  <c r="AT10" i="122"/>
  <c r="AS10" i="122"/>
  <c r="AQ10" i="122"/>
  <c r="AP10" i="122"/>
  <c r="AI56" i="122"/>
  <c r="AP13" i="122"/>
  <c r="AE71" i="121"/>
  <c r="AE70" i="121" s="1"/>
  <c r="AS67" i="120"/>
  <c r="AQ42" i="120"/>
  <c r="AO59" i="120"/>
  <c r="AT59" i="120"/>
  <c r="AQ59" i="120"/>
  <c r="AP59" i="120"/>
  <c r="AN59" i="120"/>
  <c r="AU59" i="120"/>
  <c r="AS59" i="120"/>
  <c r="AR59" i="120"/>
  <c r="AT9" i="120"/>
  <c r="AQ9" i="120"/>
  <c r="AO9" i="120"/>
  <c r="AU9" i="120"/>
  <c r="AS9" i="120"/>
  <c r="AR9" i="120"/>
  <c r="AP9" i="120"/>
  <c r="AN9" i="120"/>
  <c r="AE67" i="120"/>
  <c r="AS57" i="120"/>
  <c r="AF10" i="122"/>
  <c r="AA48" i="120"/>
  <c r="AH18" i="120"/>
  <c r="AD18" i="120"/>
  <c r="AB18" i="120"/>
  <c r="AG18" i="120"/>
  <c r="AF18" i="120"/>
  <c r="AE18" i="120"/>
  <c r="AI18" i="120"/>
  <c r="AC18" i="120"/>
  <c r="AA18" i="120"/>
  <c r="AC48" i="120"/>
  <c r="AS42" i="120"/>
  <c r="AU36" i="120"/>
  <c r="AA4" i="120"/>
  <c r="AD69" i="120"/>
  <c r="AD68" i="120" s="1"/>
  <c r="AE23" i="120"/>
  <c r="AB17" i="120"/>
  <c r="AF52" i="119"/>
  <c r="AT20" i="119"/>
  <c r="AD9" i="120"/>
  <c r="AB9" i="120"/>
  <c r="AF9" i="120"/>
  <c r="AV4" i="120"/>
  <c r="AA52" i="119"/>
  <c r="AB43" i="119"/>
  <c r="AD71" i="119"/>
  <c r="AD70" i="119" s="1"/>
  <c r="AB71" i="119"/>
  <c r="AB70" i="119" s="1"/>
  <c r="AG71" i="119"/>
  <c r="AG70" i="119" s="1"/>
  <c r="AF71" i="119"/>
  <c r="AF70" i="119" s="1"/>
  <c r="AE71" i="119"/>
  <c r="AE70" i="119" s="1"/>
  <c r="AH71" i="119"/>
  <c r="AH70" i="119" s="1"/>
  <c r="AC71" i="119"/>
  <c r="AC70" i="119" s="1"/>
  <c r="AA71" i="119"/>
  <c r="AI71" i="119"/>
  <c r="AI70" i="119" s="1"/>
  <c r="AD43" i="119"/>
  <c r="AG58" i="119"/>
  <c r="AE58" i="119"/>
  <c r="AB58" i="119"/>
  <c r="AI58" i="119"/>
  <c r="AA58" i="119"/>
  <c r="AH58" i="119"/>
  <c r="AF58" i="119"/>
  <c r="AD58" i="119"/>
  <c r="AC58" i="119"/>
  <c r="AG19" i="120"/>
  <c r="AG40" i="119"/>
  <c r="AC40" i="119"/>
  <c r="AD40" i="119"/>
  <c r="AT42" i="120"/>
  <c r="AR53" i="119"/>
  <c r="AH40" i="119"/>
  <c r="AE11" i="119"/>
  <c r="AD11" i="119"/>
  <c r="AC11" i="119"/>
  <c r="AH11" i="119"/>
  <c r="AG11" i="119"/>
  <c r="AF11" i="119"/>
  <c r="AB11" i="119"/>
  <c r="AA11" i="119"/>
  <c r="AI11" i="119"/>
  <c r="AC31" i="119"/>
  <c r="AH31" i="119"/>
  <c r="AI31" i="119"/>
  <c r="AG31" i="119"/>
  <c r="AF31" i="119"/>
  <c r="AB31" i="119"/>
  <c r="AA31" i="119"/>
  <c r="AE31" i="119"/>
  <c r="AD31" i="119"/>
  <c r="AF26" i="119"/>
  <c r="AF8" i="119"/>
  <c r="AF56" i="118"/>
  <c r="AD56" i="118"/>
  <c r="AI56" i="118"/>
  <c r="AA56" i="118"/>
  <c r="AG56" i="118"/>
  <c r="AH56" i="118"/>
  <c r="AE56" i="118"/>
  <c r="AC56" i="118"/>
  <c r="AB56" i="118"/>
  <c r="AT54" i="119"/>
  <c r="AE73" i="118"/>
  <c r="AC73" i="118"/>
  <c r="AH73" i="118"/>
  <c r="AG73" i="118"/>
  <c r="AF73" i="118"/>
  <c r="AI73" i="118"/>
  <c r="AD73" i="118"/>
  <c r="AB73" i="118"/>
  <c r="AA73" i="118"/>
  <c r="AU73" i="118"/>
  <c r="AU72" i="118" s="1"/>
  <c r="AH25" i="119"/>
  <c r="AS53" i="118"/>
  <c r="AQ53" i="118"/>
  <c r="AN53" i="118"/>
  <c r="AT53" i="118"/>
  <c r="AP53" i="118"/>
  <c r="AO53" i="118"/>
  <c r="AU53" i="118"/>
  <c r="AR53" i="118"/>
  <c r="AJ34" i="117"/>
  <c r="AG31" i="118"/>
  <c r="AI20" i="119"/>
  <c r="AF31" i="118"/>
  <c r="AH51" i="118"/>
  <c r="AS49" i="118"/>
  <c r="AT8" i="119"/>
  <c r="AS8" i="119"/>
  <c r="AE48" i="118"/>
  <c r="AE19" i="119"/>
  <c r="AC19" i="119"/>
  <c r="AB19" i="119"/>
  <c r="AN11" i="119"/>
  <c r="AT45" i="118"/>
  <c r="AR45" i="118"/>
  <c r="AU45" i="118"/>
  <c r="AS45" i="118"/>
  <c r="AQ45" i="118"/>
  <c r="AP45" i="118"/>
  <c r="AO45" i="118"/>
  <c r="AN45" i="118"/>
  <c r="AS10" i="118"/>
  <c r="AQ10" i="118"/>
  <c r="AT10" i="118"/>
  <c r="AR10" i="118"/>
  <c r="AP10" i="118"/>
  <c r="AO10" i="118"/>
  <c r="AU10" i="118"/>
  <c r="AN10" i="118"/>
  <c r="AU29" i="119"/>
  <c r="AT29" i="119"/>
  <c r="AR29" i="119"/>
  <c r="AN29" i="119"/>
  <c r="AQ29" i="119"/>
  <c r="AO29" i="119"/>
  <c r="AN73" i="118"/>
  <c r="AO29" i="118"/>
  <c r="AE24" i="117"/>
  <c r="AC24" i="117"/>
  <c r="AH24" i="117"/>
  <c r="AG24" i="117"/>
  <c r="AB24" i="117"/>
  <c r="AA24" i="117"/>
  <c r="AD24" i="117"/>
  <c r="AI24" i="117"/>
  <c r="AF24" i="117"/>
  <c r="AR13" i="117"/>
  <c r="AU13" i="117"/>
  <c r="AT13" i="117"/>
  <c r="AS13" i="117"/>
  <c r="AN13" i="117"/>
  <c r="AQ13" i="117"/>
  <c r="AP13" i="117"/>
  <c r="AO13" i="117"/>
  <c r="AU45" i="117"/>
  <c r="AO58" i="116"/>
  <c r="AU15" i="118"/>
  <c r="AS15" i="118"/>
  <c r="AN15" i="118"/>
  <c r="AT15" i="118"/>
  <c r="AP15" i="118"/>
  <c r="AO15" i="118"/>
  <c r="AR15" i="118"/>
  <c r="AQ15" i="118"/>
  <c r="AT14" i="119"/>
  <c r="AS73" i="118"/>
  <c r="AS72" i="118" s="1"/>
  <c r="AT27" i="118"/>
  <c r="AR27" i="118"/>
  <c r="AQ27" i="118"/>
  <c r="AP27" i="118"/>
  <c r="AN27" i="118"/>
  <c r="AO27" i="118"/>
  <c r="AO39" i="117"/>
  <c r="AN39" i="117"/>
  <c r="AU39" i="117"/>
  <c r="AR39" i="117"/>
  <c r="AQ39" i="117"/>
  <c r="AP39" i="117"/>
  <c r="AT39" i="117"/>
  <c r="AS39" i="117"/>
  <c r="AS17" i="117"/>
  <c r="AQ17" i="117"/>
  <c r="AN17" i="117"/>
  <c r="AU17" i="117"/>
  <c r="AP17" i="117"/>
  <c r="AO17" i="117"/>
  <c r="AR17" i="117"/>
  <c r="AT17" i="117"/>
  <c r="AR37" i="117"/>
  <c r="AQ37" i="117"/>
  <c r="AN37" i="117"/>
  <c r="AV24" i="117"/>
  <c r="AG11" i="117"/>
  <c r="AP55" i="116"/>
  <c r="AQ55" i="116"/>
  <c r="AT55" i="116"/>
  <c r="AR55" i="116"/>
  <c r="AO55" i="116"/>
  <c r="AN23" i="118"/>
  <c r="AA44" i="117"/>
  <c r="AC63" i="116"/>
  <c r="AC60" i="116" s="1"/>
  <c r="AR9" i="117"/>
  <c r="AP9" i="117"/>
  <c r="AO9" i="117"/>
  <c r="AP53" i="116"/>
  <c r="AU53" i="116"/>
  <c r="AS53" i="116"/>
  <c r="AR53" i="116"/>
  <c r="AT53" i="116"/>
  <c r="AQ53" i="116"/>
  <c r="AO53" i="116"/>
  <c r="AN53" i="116"/>
  <c r="AR49" i="116"/>
  <c r="AA27" i="116"/>
  <c r="AP8" i="116"/>
  <c r="AS20" i="117"/>
  <c r="AF29" i="116"/>
  <c r="AQ20" i="116"/>
  <c r="AT69" i="114"/>
  <c r="AS69" i="114"/>
  <c r="AR69" i="114"/>
  <c r="AP69" i="114"/>
  <c r="AP68" i="114" s="1"/>
  <c r="AQ69" i="114"/>
  <c r="AQ68" i="114" s="1"/>
  <c r="AN69" i="114"/>
  <c r="AU69" i="114"/>
  <c r="AO69" i="114"/>
  <c r="AE11" i="118"/>
  <c r="AE36" i="117"/>
  <c r="AC20" i="117"/>
  <c r="AG46" i="116"/>
  <c r="AN43" i="124"/>
  <c r="AU43" i="124"/>
  <c r="AT43" i="124"/>
  <c r="AS43" i="124"/>
  <c r="AR43" i="124"/>
  <c r="AQ43" i="124"/>
  <c r="AP43" i="124"/>
  <c r="AO43" i="124"/>
  <c r="AJ37" i="117"/>
  <c r="AD10" i="117"/>
  <c r="AF10" i="117"/>
  <c r="AG10" i="117"/>
  <c r="AE10" i="117"/>
  <c r="AC10" i="117"/>
  <c r="AB10" i="117"/>
  <c r="AH10" i="117"/>
  <c r="AI10" i="117"/>
  <c r="AA10" i="117"/>
  <c r="AU44" i="116"/>
  <c r="AA29" i="116"/>
  <c r="AF23" i="116"/>
  <c r="AH23" i="116"/>
  <c r="AG23" i="116"/>
  <c r="AD15" i="116"/>
  <c r="AH15" i="116"/>
  <c r="AE15" i="116"/>
  <c r="AD8" i="116"/>
  <c r="AO46" i="124"/>
  <c r="AO32" i="124"/>
  <c r="AB10" i="124"/>
  <c r="AN53" i="115"/>
  <c r="AU53" i="115"/>
  <c r="AT53" i="115"/>
  <c r="AS53" i="115"/>
  <c r="AR53" i="115"/>
  <c r="AQ53" i="115"/>
  <c r="AP53" i="115"/>
  <c r="AO53" i="115"/>
  <c r="AG64" i="116"/>
  <c r="AB32" i="116"/>
  <c r="AE23" i="116"/>
  <c r="AU18" i="116"/>
  <c r="AS18" i="116"/>
  <c r="AR18" i="116"/>
  <c r="AP18" i="116"/>
  <c r="AO18" i="116"/>
  <c r="AN18" i="116"/>
  <c r="AT18" i="116"/>
  <c r="AQ18" i="116"/>
  <c r="AN46" i="124"/>
  <c r="AN39" i="124"/>
  <c r="AD26" i="124"/>
  <c r="AH26" i="124"/>
  <c r="AF26" i="124"/>
  <c r="AE26" i="124"/>
  <c r="AP41" i="117"/>
  <c r="AO41" i="117"/>
  <c r="AU41" i="117"/>
  <c r="AR41" i="117"/>
  <c r="AN41" i="117"/>
  <c r="AA71" i="116"/>
  <c r="AF51" i="116"/>
  <c r="AD51" i="116"/>
  <c r="AB51" i="116"/>
  <c r="AA51" i="116"/>
  <c r="AE51" i="116"/>
  <c r="AI51" i="116"/>
  <c r="AH51" i="116"/>
  <c r="AG51" i="116"/>
  <c r="AC51" i="116"/>
  <c r="AB29" i="116"/>
  <c r="AR44" i="124"/>
  <c r="AS44" i="124"/>
  <c r="AR41" i="124"/>
  <c r="AS41" i="124"/>
  <c r="AV10" i="117"/>
  <c r="AD71" i="116"/>
  <c r="AD70" i="116" s="1"/>
  <c r="AO63" i="116"/>
  <c r="AO60" i="116" s="1"/>
  <c r="AD46" i="116"/>
  <c r="AA15" i="116"/>
  <c r="AT44" i="124"/>
  <c r="AO15" i="124"/>
  <c r="AN15" i="124"/>
  <c r="AU15" i="124"/>
  <c r="AT15" i="124"/>
  <c r="AS15" i="124"/>
  <c r="AR15" i="124"/>
  <c r="AP15" i="124"/>
  <c r="AQ15" i="124"/>
  <c r="AE11" i="124"/>
  <c r="AD11" i="124"/>
  <c r="AC11" i="124"/>
  <c r="AB11" i="124"/>
  <c r="AI11" i="124"/>
  <c r="AA11" i="124"/>
  <c r="AH11" i="124"/>
  <c r="AG11" i="124"/>
  <c r="AF11" i="124"/>
  <c r="AP11" i="115"/>
  <c r="AU11" i="115"/>
  <c r="AQ11" i="115"/>
  <c r="AO11" i="115"/>
  <c r="AN11" i="115"/>
  <c r="AB69" i="114"/>
  <c r="AC30" i="124"/>
  <c r="AB20" i="124"/>
  <c r="AI20" i="124"/>
  <c r="AA20" i="124"/>
  <c r="AH20" i="124"/>
  <c r="AG20" i="124"/>
  <c r="AF20" i="124"/>
  <c r="AE20" i="124"/>
  <c r="AD20" i="124"/>
  <c r="AC20" i="124"/>
  <c r="AD56" i="115"/>
  <c r="AG27" i="116"/>
  <c r="AQ39" i="124"/>
  <c r="AP56" i="115"/>
  <c r="AO56" i="115"/>
  <c r="AN56" i="115"/>
  <c r="AU56" i="115"/>
  <c r="AT56" i="115"/>
  <c r="AS56" i="115"/>
  <c r="AR56" i="115"/>
  <c r="AQ56" i="115"/>
  <c r="AI78" i="115"/>
  <c r="AA78" i="115"/>
  <c r="AH78" i="115"/>
  <c r="AG78" i="115"/>
  <c r="AF78" i="115"/>
  <c r="AE78" i="115"/>
  <c r="AB78" i="115"/>
  <c r="AD78" i="115"/>
  <c r="AC78" i="115"/>
  <c r="AI23" i="115"/>
  <c r="AA23" i="115"/>
  <c r="AH23" i="115"/>
  <c r="AG23" i="115"/>
  <c r="AE23" i="115"/>
  <c r="AC23" i="115"/>
  <c r="AB23" i="115"/>
  <c r="AF23" i="115"/>
  <c r="AD23" i="115"/>
  <c r="AI4" i="124"/>
  <c r="AI2" i="124" s="1"/>
  <c r="AA4" i="124"/>
  <c r="AH4" i="124"/>
  <c r="AG4" i="124"/>
  <c r="AG2" i="124" s="1"/>
  <c r="AF4" i="124"/>
  <c r="AF2" i="124" s="1"/>
  <c r="AE4" i="124"/>
  <c r="AE2" i="124" s="1"/>
  <c r="AD4" i="124"/>
  <c r="AD2" i="124" s="1"/>
  <c r="AC4" i="124"/>
  <c r="AC2" i="124" s="1"/>
  <c r="AB4" i="124"/>
  <c r="AB2" i="124" s="1"/>
  <c r="AC8" i="115"/>
  <c r="AB8" i="115"/>
  <c r="AI8" i="115"/>
  <c r="AA8" i="115"/>
  <c r="AG8" i="115"/>
  <c r="AE8" i="115"/>
  <c r="AD8" i="115"/>
  <c r="AH8" i="115"/>
  <c r="AF8" i="115"/>
  <c r="AO73" i="472"/>
  <c r="AO72" i="472" s="1"/>
  <c r="AT73" i="472"/>
  <c r="AT72" i="472" s="1"/>
  <c r="AS73" i="472"/>
  <c r="AS72" i="472" s="1"/>
  <c r="AR73" i="472"/>
  <c r="AR72" i="472" s="1"/>
  <c r="AU73" i="472"/>
  <c r="AU72" i="472" s="1"/>
  <c r="AQ73" i="472"/>
  <c r="AQ72" i="472" s="1"/>
  <c r="AP73" i="472"/>
  <c r="AP72" i="472" s="1"/>
  <c r="AN73" i="472"/>
  <c r="AB34" i="472"/>
  <c r="AG34" i="472"/>
  <c r="AF34" i="472"/>
  <c r="AE34" i="472"/>
  <c r="AC34" i="472"/>
  <c r="AA34" i="472"/>
  <c r="AI34" i="472"/>
  <c r="AH34" i="472"/>
  <c r="AD34" i="472"/>
  <c r="AO51" i="112"/>
  <c r="AT51" i="112"/>
  <c r="AR51" i="112"/>
  <c r="AP51" i="112"/>
  <c r="AN51" i="112"/>
  <c r="AU51" i="112"/>
  <c r="AS51" i="112"/>
  <c r="AQ51" i="112"/>
  <c r="AV30" i="112"/>
  <c r="AH8" i="116"/>
  <c r="AP37" i="124"/>
  <c r="AF18" i="115"/>
  <c r="AD60" i="116"/>
  <c r="AH55" i="124"/>
  <c r="AO31" i="124"/>
  <c r="AC11" i="115"/>
  <c r="AU52" i="114"/>
  <c r="AS52" i="114"/>
  <c r="AG23" i="114"/>
  <c r="AG22" i="114" s="1"/>
  <c r="AF23" i="114"/>
  <c r="AE23" i="114"/>
  <c r="AH23" i="114"/>
  <c r="AB23" i="114"/>
  <c r="AA23" i="114"/>
  <c r="AI23" i="114"/>
  <c r="AD23" i="114"/>
  <c r="AC23" i="114"/>
  <c r="AI17" i="114"/>
  <c r="AG10" i="472"/>
  <c r="AS59" i="116"/>
  <c r="AQ46" i="124"/>
  <c r="AH11" i="115"/>
  <c r="AO52" i="114"/>
  <c r="AT31" i="114"/>
  <c r="AS31" i="114"/>
  <c r="AR31" i="114"/>
  <c r="AN31" i="114"/>
  <c r="AU31" i="114"/>
  <c r="AQ31" i="114"/>
  <c r="AP31" i="114"/>
  <c r="AO31" i="114"/>
  <c r="AB9" i="116"/>
  <c r="AH9" i="116"/>
  <c r="AG9" i="116"/>
  <c r="AA9" i="116"/>
  <c r="AI9" i="116"/>
  <c r="AF9" i="116"/>
  <c r="AE9" i="116"/>
  <c r="AD9" i="116"/>
  <c r="AC9" i="116"/>
  <c r="AB15" i="124"/>
  <c r="AU46" i="472"/>
  <c r="AP46" i="472"/>
  <c r="AO46" i="472"/>
  <c r="AS46" i="472"/>
  <c r="AR46" i="472"/>
  <c r="AS25" i="472"/>
  <c r="AQ40" i="112"/>
  <c r="AN40" i="112"/>
  <c r="AT40" i="112"/>
  <c r="AO40" i="112"/>
  <c r="AS40" i="112"/>
  <c r="AR40" i="112"/>
  <c r="AP40" i="112"/>
  <c r="AU40" i="112"/>
  <c r="AJ24" i="112"/>
  <c r="AS64" i="111"/>
  <c r="AP64" i="111"/>
  <c r="AO64" i="111"/>
  <c r="AQ17" i="114"/>
  <c r="AD3" i="114"/>
  <c r="AT66" i="472"/>
  <c r="AA65" i="112"/>
  <c r="AJ66" i="112"/>
  <c r="AN57" i="112"/>
  <c r="AR57" i="112"/>
  <c r="AO57" i="112"/>
  <c r="AT57" i="112"/>
  <c r="AU57" i="112"/>
  <c r="AO71" i="124"/>
  <c r="AD24" i="115"/>
  <c r="AC24" i="115"/>
  <c r="AB24" i="115"/>
  <c r="AH24" i="115"/>
  <c r="AA24" i="115"/>
  <c r="AI24" i="115"/>
  <c r="AG24" i="115"/>
  <c r="AF24" i="115"/>
  <c r="AE24" i="115"/>
  <c r="AN69" i="472"/>
  <c r="AS69" i="472"/>
  <c r="AS68" i="472" s="1"/>
  <c r="AR69" i="472"/>
  <c r="AR68" i="472" s="1"/>
  <c r="AQ69" i="472"/>
  <c r="AQ68" i="472" s="1"/>
  <c r="AO69" i="472"/>
  <c r="AU69" i="472"/>
  <c r="AT69" i="472"/>
  <c r="AP69" i="472"/>
  <c r="AP68" i="472" s="1"/>
  <c r="AQ46" i="472"/>
  <c r="AU37" i="472"/>
  <c r="AS37" i="472"/>
  <c r="AR37" i="472"/>
  <c r="AP37" i="472"/>
  <c r="AO37" i="472"/>
  <c r="AV78" i="115"/>
  <c r="AF63" i="114"/>
  <c r="AE63" i="114"/>
  <c r="AD63" i="114"/>
  <c r="AB63" i="114"/>
  <c r="AC63" i="114"/>
  <c r="AI63" i="114"/>
  <c r="AH63" i="114"/>
  <c r="AG63" i="114"/>
  <c r="AA63" i="114"/>
  <c r="AE46" i="114"/>
  <c r="AD46" i="114"/>
  <c r="AC46" i="114"/>
  <c r="AH46" i="114"/>
  <c r="AB46" i="114"/>
  <c r="AA46" i="114"/>
  <c r="AI46" i="114"/>
  <c r="AG46" i="114"/>
  <c r="AF46" i="114"/>
  <c r="AC27" i="114"/>
  <c r="AD14" i="114"/>
  <c r="AC14" i="114"/>
  <c r="AF14" i="114"/>
  <c r="AA14" i="114"/>
  <c r="AI14" i="114"/>
  <c r="AH14" i="114"/>
  <c r="AG14" i="114"/>
  <c r="AE14" i="114"/>
  <c r="AB14" i="114"/>
  <c r="AH66" i="472"/>
  <c r="AH65" i="472" s="1"/>
  <c r="AA53" i="472"/>
  <c r="AP29" i="472"/>
  <c r="AO25" i="472"/>
  <c r="AQ41" i="124"/>
  <c r="AA25" i="115"/>
  <c r="AB27" i="114"/>
  <c r="AD69" i="472"/>
  <c r="AD68" i="472" s="1"/>
  <c r="AI69" i="472"/>
  <c r="AI68" i="472" s="1"/>
  <c r="AA69" i="472"/>
  <c r="AH69" i="472"/>
  <c r="AH68" i="472" s="1"/>
  <c r="AG69" i="472"/>
  <c r="AG68" i="472" s="1"/>
  <c r="AF69" i="472"/>
  <c r="AF68" i="472" s="1"/>
  <c r="AE69" i="472"/>
  <c r="AE68" i="472" s="1"/>
  <c r="AC69" i="472"/>
  <c r="AC68" i="472" s="1"/>
  <c r="AB69" i="472"/>
  <c r="AB68" i="472" s="1"/>
  <c r="AU51" i="472"/>
  <c r="AD73" i="114"/>
  <c r="AC73" i="114"/>
  <c r="AB73" i="114"/>
  <c r="AH73" i="114"/>
  <c r="AI73" i="114"/>
  <c r="AG73" i="114"/>
  <c r="AF73" i="114"/>
  <c r="AE73" i="114"/>
  <c r="AA73" i="114"/>
  <c r="AO51" i="114"/>
  <c r="AQ15" i="114"/>
  <c r="AR63" i="472"/>
  <c r="AB9" i="472"/>
  <c r="AN23" i="112"/>
  <c r="AS23" i="112"/>
  <c r="AQ23" i="112"/>
  <c r="AT23" i="112"/>
  <c r="AR23" i="112"/>
  <c r="AU23" i="112"/>
  <c r="AP23" i="112"/>
  <c r="AO23" i="112"/>
  <c r="AV66" i="115"/>
  <c r="AD67" i="114"/>
  <c r="AN59" i="114"/>
  <c r="AQ44" i="472"/>
  <c r="AB26" i="472"/>
  <c r="AG26" i="472"/>
  <c r="AF26" i="472"/>
  <c r="AE26" i="472"/>
  <c r="AI26" i="472"/>
  <c r="AD26" i="472"/>
  <c r="AA26" i="472"/>
  <c r="AH26" i="472"/>
  <c r="AC26" i="472"/>
  <c r="AH21" i="472"/>
  <c r="AQ73" i="112"/>
  <c r="AQ72" i="112" s="1"/>
  <c r="AN73" i="112"/>
  <c r="AT73" i="112"/>
  <c r="AT72" i="112" s="1"/>
  <c r="AP73" i="112"/>
  <c r="AP72" i="112" s="1"/>
  <c r="AO73" i="112"/>
  <c r="AO72" i="112" s="1"/>
  <c r="AU73" i="112"/>
  <c r="AU72" i="112" s="1"/>
  <c r="AS73" i="112"/>
  <c r="AS72" i="112" s="1"/>
  <c r="AR73" i="112"/>
  <c r="AR72" i="112" s="1"/>
  <c r="AO17" i="112"/>
  <c r="AC31" i="124"/>
  <c r="AT56" i="472"/>
  <c r="AQ56" i="472"/>
  <c r="AP56" i="472"/>
  <c r="AO56" i="472"/>
  <c r="AU56" i="472"/>
  <c r="AS56" i="472"/>
  <c r="AR56" i="472"/>
  <c r="AN56" i="472"/>
  <c r="AG3" i="114"/>
  <c r="AG2" i="114" s="1"/>
  <c r="AQ46" i="112"/>
  <c r="AN46" i="112"/>
  <c r="AT46" i="112"/>
  <c r="AR46" i="112"/>
  <c r="AF59" i="111"/>
  <c r="AE59" i="111"/>
  <c r="AA59" i="111"/>
  <c r="AG59" i="111"/>
  <c r="AD59" i="111"/>
  <c r="AC59" i="111"/>
  <c r="AB59" i="111"/>
  <c r="AQ48" i="112"/>
  <c r="AN48" i="112"/>
  <c r="AT48" i="112"/>
  <c r="AP48" i="112"/>
  <c r="AO48" i="112"/>
  <c r="AU48" i="112"/>
  <c r="AS48" i="112"/>
  <c r="AR48" i="112"/>
  <c r="AR57" i="111"/>
  <c r="AQ57" i="111"/>
  <c r="AP57" i="111"/>
  <c r="AN57" i="111"/>
  <c r="AS57" i="111"/>
  <c r="AS68" i="112"/>
  <c r="AB55" i="112"/>
  <c r="AN30" i="111"/>
  <c r="AR30" i="111"/>
  <c r="AU30" i="111"/>
  <c r="AT30" i="111"/>
  <c r="AS30" i="111"/>
  <c r="AQ30" i="111"/>
  <c r="AP30" i="111"/>
  <c r="AO30" i="111"/>
  <c r="AJ72" i="110"/>
  <c r="AG53" i="472"/>
  <c r="AT4" i="112"/>
  <c r="AT2" i="112" s="1"/>
  <c r="AQ4" i="112"/>
  <c r="AO4" i="112"/>
  <c r="AO2" i="112" s="1"/>
  <c r="AU4" i="112"/>
  <c r="AS4" i="112"/>
  <c r="AR4" i="112"/>
  <c r="AP4" i="112"/>
  <c r="AN4" i="112"/>
  <c r="AH69" i="111"/>
  <c r="AH68" i="111" s="1"/>
  <c r="AT19" i="111"/>
  <c r="AR19" i="111"/>
  <c r="AU19" i="111"/>
  <c r="AS19" i="111"/>
  <c r="AQ19" i="111"/>
  <c r="AP19" i="111"/>
  <c r="AO19" i="111"/>
  <c r="AN19" i="111"/>
  <c r="AR16" i="472"/>
  <c r="AJ63" i="112"/>
  <c r="AR20" i="112"/>
  <c r="AE48" i="111"/>
  <c r="AF48" i="111"/>
  <c r="AD48" i="111"/>
  <c r="AH48" i="111"/>
  <c r="AI48" i="111"/>
  <c r="AG48" i="111"/>
  <c r="AC48" i="111"/>
  <c r="AB48" i="111"/>
  <c r="AA48" i="111"/>
  <c r="AR61" i="110"/>
  <c r="AQ61" i="110"/>
  <c r="AQ60" i="110" s="1"/>
  <c r="AN61" i="110"/>
  <c r="AD56" i="110"/>
  <c r="AA56" i="110"/>
  <c r="AI56" i="110"/>
  <c r="AH56" i="110"/>
  <c r="AF56" i="110"/>
  <c r="AE56" i="110"/>
  <c r="AC56" i="110"/>
  <c r="AP42" i="110"/>
  <c r="AA16" i="472"/>
  <c r="AQ8" i="472"/>
  <c r="AH27" i="112"/>
  <c r="AC19" i="112"/>
  <c r="AB65" i="111"/>
  <c r="AS56" i="111"/>
  <c r="AO56" i="111"/>
  <c r="AN56" i="111"/>
  <c r="AQ56" i="111"/>
  <c r="AU56" i="111"/>
  <c r="AT56" i="111"/>
  <c r="AR56" i="111"/>
  <c r="AP56" i="111"/>
  <c r="AS61" i="114"/>
  <c r="AF45" i="112"/>
  <c r="AC45" i="112"/>
  <c r="AI45" i="112"/>
  <c r="AA45" i="112"/>
  <c r="AG45" i="112"/>
  <c r="AE45" i="112"/>
  <c r="AH45" i="112"/>
  <c r="AD45" i="112"/>
  <c r="AB45" i="112"/>
  <c r="AO27" i="112"/>
  <c r="AN27" i="112"/>
  <c r="AS27" i="112"/>
  <c r="AR27" i="112"/>
  <c r="AP27" i="112"/>
  <c r="AU27" i="112"/>
  <c r="AS65" i="110"/>
  <c r="AP37" i="110"/>
  <c r="AS40" i="110"/>
  <c r="AN40" i="110"/>
  <c r="AQ40" i="110"/>
  <c r="AO40" i="110"/>
  <c r="AU40" i="110"/>
  <c r="AT40" i="110"/>
  <c r="AR40" i="110"/>
  <c r="AP40" i="110"/>
  <c r="AJ25" i="110"/>
  <c r="AJ16" i="112"/>
  <c r="AH45" i="110"/>
  <c r="AC45" i="110"/>
  <c r="AB45" i="110"/>
  <c r="AI45" i="110"/>
  <c r="AG45" i="110"/>
  <c r="AF45" i="110"/>
  <c r="AE45" i="110"/>
  <c r="AD45" i="110"/>
  <c r="AA45" i="110"/>
  <c r="AA31" i="110"/>
  <c r="AS26" i="110"/>
  <c r="AD44" i="110"/>
  <c r="AA44" i="110"/>
  <c r="AI44" i="110"/>
  <c r="AH44" i="110"/>
  <c r="AF44" i="110"/>
  <c r="AE44" i="110"/>
  <c r="AC44" i="110"/>
  <c r="AB69" i="108"/>
  <c r="AB68" i="108" s="1"/>
  <c r="AI69" i="108"/>
  <c r="AI68" i="108" s="1"/>
  <c r="AD69" i="108"/>
  <c r="AD68" i="108" s="1"/>
  <c r="AG69" i="108"/>
  <c r="AG68" i="108" s="1"/>
  <c r="AF69" i="108"/>
  <c r="AF68" i="108" s="1"/>
  <c r="AA69" i="108"/>
  <c r="AE65" i="110"/>
  <c r="AS52" i="110"/>
  <c r="AN52" i="110"/>
  <c r="AQ52" i="110"/>
  <c r="AO52" i="110"/>
  <c r="AU52" i="110"/>
  <c r="AP52" i="110"/>
  <c r="AT52" i="110"/>
  <c r="AR52" i="110"/>
  <c r="AS9" i="110"/>
  <c r="AR9" i="110"/>
  <c r="AQ9" i="110"/>
  <c r="AO9" i="110"/>
  <c r="AN9" i="110"/>
  <c r="AT9" i="110"/>
  <c r="AP9" i="110"/>
  <c r="AU9" i="110"/>
  <c r="AT20" i="111"/>
  <c r="AT71" i="110"/>
  <c r="AT70" i="110" s="1"/>
  <c r="AO59" i="110"/>
  <c r="AE30" i="110"/>
  <c r="AB30" i="110"/>
  <c r="AH30" i="110"/>
  <c r="AG30" i="110"/>
  <c r="AF30" i="110"/>
  <c r="AI30" i="110"/>
  <c r="AD30" i="110"/>
  <c r="AC30" i="110"/>
  <c r="AA30" i="110"/>
  <c r="AN29" i="111"/>
  <c r="AH11" i="111"/>
  <c r="AG11" i="111"/>
  <c r="AC11" i="111"/>
  <c r="AB11" i="111"/>
  <c r="AC55" i="110"/>
  <c r="AC29" i="111"/>
  <c r="AE11" i="111"/>
  <c r="AT61" i="110"/>
  <c r="AT60" i="110" s="1"/>
  <c r="AE27" i="110"/>
  <c r="AJ13" i="110"/>
  <c r="AI61" i="108"/>
  <c r="AD53" i="110"/>
  <c r="AA53" i="110"/>
  <c r="AH53" i="110"/>
  <c r="AG53" i="110"/>
  <c r="AE53" i="110"/>
  <c r="AB53" i="110"/>
  <c r="AJ11" i="110"/>
  <c r="AQ61" i="107"/>
  <c r="AP61" i="107"/>
  <c r="AT61" i="107"/>
  <c r="AU61" i="107"/>
  <c r="AS61" i="107"/>
  <c r="AR61" i="107"/>
  <c r="AO61" i="107"/>
  <c r="AN61" i="107"/>
  <c r="AQ78" i="107"/>
  <c r="AT78" i="107"/>
  <c r="AU78" i="107"/>
  <c r="AS78" i="107"/>
  <c r="AR78" i="107"/>
  <c r="AP78" i="107"/>
  <c r="AN78" i="107"/>
  <c r="AO78" i="107"/>
  <c r="AT18" i="110"/>
  <c r="AR18" i="110"/>
  <c r="AG61" i="108"/>
  <c r="AT63" i="107"/>
  <c r="AN63" i="107"/>
  <c r="AO63" i="107"/>
  <c r="AT56" i="107"/>
  <c r="AS45" i="107"/>
  <c r="AH28" i="108"/>
  <c r="AG28" i="108"/>
  <c r="AD28" i="108"/>
  <c r="AC28" i="108"/>
  <c r="AF28" i="108"/>
  <c r="AE28" i="108"/>
  <c r="AB28" i="108"/>
  <c r="AA28" i="108"/>
  <c r="AI28" i="108"/>
  <c r="AG19" i="107"/>
  <c r="AI19" i="107"/>
  <c r="AH19" i="107"/>
  <c r="AF19" i="107"/>
  <c r="AE19" i="107"/>
  <c r="AC19" i="107"/>
  <c r="AB19" i="107"/>
  <c r="AD19" i="107"/>
  <c r="AA19" i="107"/>
  <c r="AC39" i="108"/>
  <c r="AA26" i="108"/>
  <c r="AN32" i="107"/>
  <c r="AO32" i="107"/>
  <c r="AU32" i="107"/>
  <c r="AT32" i="107"/>
  <c r="AR32" i="107"/>
  <c r="AQ32" i="107"/>
  <c r="AS32" i="107"/>
  <c r="AP32" i="107"/>
  <c r="AO58" i="106"/>
  <c r="AN58" i="106"/>
  <c r="AQ58" i="106"/>
  <c r="AS58" i="106"/>
  <c r="AR58" i="106"/>
  <c r="AP58" i="106"/>
  <c r="AR39" i="110"/>
  <c r="AU39" i="110"/>
  <c r="AQ39" i="110"/>
  <c r="AO39" i="110"/>
  <c r="AN39" i="110"/>
  <c r="AT39" i="110"/>
  <c r="AS39" i="110"/>
  <c r="AP39" i="110"/>
  <c r="AB39" i="108"/>
  <c r="AC31" i="108"/>
  <c r="AB31" i="108"/>
  <c r="AG31" i="108"/>
  <c r="AF31" i="108"/>
  <c r="AI31" i="108"/>
  <c r="AH31" i="108"/>
  <c r="AE31" i="108"/>
  <c r="AD31" i="108"/>
  <c r="AA31" i="108"/>
  <c r="AB48" i="107"/>
  <c r="AE48" i="107"/>
  <c r="AC48" i="107"/>
  <c r="AA48" i="107"/>
  <c r="AI48" i="107"/>
  <c r="AG48" i="107"/>
  <c r="AF48" i="107"/>
  <c r="AH48" i="107"/>
  <c r="AD48" i="107"/>
  <c r="AU23" i="107"/>
  <c r="AH15" i="107"/>
  <c r="AU3" i="107"/>
  <c r="AU2" i="107" s="1"/>
  <c r="AO3" i="107"/>
  <c r="AN3" i="107"/>
  <c r="AT3" i="107"/>
  <c r="AQ3" i="107"/>
  <c r="AQ2" i="107" s="1"/>
  <c r="AS3" i="107"/>
  <c r="AR3" i="107"/>
  <c r="AR2" i="107" s="1"/>
  <c r="AP3" i="107"/>
  <c r="AU63" i="105"/>
  <c r="AT63" i="105"/>
  <c r="AQ63" i="105"/>
  <c r="AP63" i="105"/>
  <c r="AN63" i="105"/>
  <c r="AS63" i="105"/>
  <c r="AS60" i="105" s="1"/>
  <c r="AR63" i="105"/>
  <c r="AO63" i="105"/>
  <c r="AS29" i="108"/>
  <c r="AR17" i="108"/>
  <c r="AC69" i="108"/>
  <c r="AC68" i="108" s="1"/>
  <c r="AQ53" i="108"/>
  <c r="AN54" i="110"/>
  <c r="AA15" i="110"/>
  <c r="AD71" i="108"/>
  <c r="AD70" i="108" s="1"/>
  <c r="AR28" i="108"/>
  <c r="AQ28" i="108"/>
  <c r="AN28" i="108"/>
  <c r="AU28" i="108"/>
  <c r="AT28" i="108"/>
  <c r="AS28" i="108"/>
  <c r="AP28" i="108"/>
  <c r="AO28" i="108"/>
  <c r="AU63" i="107"/>
  <c r="AV9" i="107"/>
  <c r="AI67" i="106"/>
  <c r="AI65" i="106" s="1"/>
  <c r="AP29" i="110"/>
  <c r="AB57" i="107"/>
  <c r="AF57" i="107"/>
  <c r="AG57" i="107"/>
  <c r="AC57" i="107"/>
  <c r="AR71" i="106"/>
  <c r="AI43" i="106"/>
  <c r="AA43" i="106"/>
  <c r="AH43" i="106"/>
  <c r="AG43" i="106"/>
  <c r="AD43" i="106"/>
  <c r="AB43" i="106"/>
  <c r="AF43" i="106"/>
  <c r="AE43" i="106"/>
  <c r="AC43" i="106"/>
  <c r="AC10" i="106"/>
  <c r="AB10" i="106"/>
  <c r="AG10" i="106"/>
  <c r="AI10" i="106"/>
  <c r="AF10" i="106"/>
  <c r="AE10" i="106"/>
  <c r="AD10" i="106"/>
  <c r="AH10" i="106"/>
  <c r="AA10" i="106"/>
  <c r="AG25" i="107"/>
  <c r="AA25" i="107"/>
  <c r="AI25" i="107"/>
  <c r="AH25" i="107"/>
  <c r="AF25" i="107"/>
  <c r="AD25" i="107"/>
  <c r="AC25" i="107"/>
  <c r="AE25" i="107"/>
  <c r="AB25" i="107"/>
  <c r="AN67" i="106"/>
  <c r="AN65" i="106" s="1"/>
  <c r="AA35" i="106"/>
  <c r="AT37" i="105"/>
  <c r="AN37" i="105"/>
  <c r="AU37" i="105"/>
  <c r="AR37" i="105"/>
  <c r="AQ37" i="105"/>
  <c r="AP37" i="105"/>
  <c r="AO37" i="105"/>
  <c r="AS37" i="105"/>
  <c r="AQ28" i="105"/>
  <c r="AU28" i="105"/>
  <c r="AS28" i="105"/>
  <c r="AO28" i="105"/>
  <c r="AN28" i="105"/>
  <c r="AT28" i="105"/>
  <c r="AR28" i="105"/>
  <c r="AP28" i="105"/>
  <c r="AT73" i="103"/>
  <c r="AT72" i="103" s="1"/>
  <c r="AR73" i="103"/>
  <c r="AR72" i="103" s="1"/>
  <c r="AO73" i="103"/>
  <c r="AO72" i="103" s="1"/>
  <c r="AN73" i="103"/>
  <c r="AQ73" i="103"/>
  <c r="AQ72" i="103" s="1"/>
  <c r="AP73" i="103"/>
  <c r="AP72" i="103" s="1"/>
  <c r="AU73" i="103"/>
  <c r="AU72" i="103" s="1"/>
  <c r="AS73" i="103"/>
  <c r="AS72" i="103" s="1"/>
  <c r="AD29" i="108"/>
  <c r="AP68" i="107"/>
  <c r="AF48" i="106"/>
  <c r="AA48" i="106"/>
  <c r="AI48" i="106"/>
  <c r="AG48" i="106"/>
  <c r="AH35" i="106"/>
  <c r="AP29" i="107"/>
  <c r="AF46" i="106"/>
  <c r="AC46" i="106"/>
  <c r="AD46" i="106"/>
  <c r="AR26" i="106"/>
  <c r="AF59" i="105"/>
  <c r="AD59" i="105"/>
  <c r="AC59" i="105"/>
  <c r="AG59" i="105"/>
  <c r="AB59" i="105"/>
  <c r="AN2" i="108"/>
  <c r="AV3" i="108"/>
  <c r="AH39" i="107"/>
  <c r="AF39" i="107"/>
  <c r="AE39" i="107"/>
  <c r="AD39" i="107"/>
  <c r="AA39" i="107"/>
  <c r="AI39" i="107"/>
  <c r="AC39" i="107"/>
  <c r="AO11" i="107"/>
  <c r="AN59" i="106"/>
  <c r="AT59" i="106"/>
  <c r="AO59" i="106"/>
  <c r="AS55" i="106"/>
  <c r="AS43" i="106"/>
  <c r="AE32" i="107"/>
  <c r="AC71" i="106"/>
  <c r="AC70" i="106" s="1"/>
  <c r="AP57" i="106"/>
  <c r="AR41" i="106"/>
  <c r="AQ41" i="106"/>
  <c r="AP41" i="106"/>
  <c r="AU41" i="106"/>
  <c r="AT41" i="106"/>
  <c r="AS41" i="106"/>
  <c r="AO41" i="106"/>
  <c r="AN41" i="106"/>
  <c r="AO28" i="106"/>
  <c r="AN28" i="106"/>
  <c r="AU28" i="106"/>
  <c r="AR28" i="106"/>
  <c r="AT28" i="106"/>
  <c r="AS28" i="106"/>
  <c r="AQ28" i="106"/>
  <c r="AP28" i="106"/>
  <c r="AC56" i="105"/>
  <c r="AB56" i="105"/>
  <c r="AG56" i="105"/>
  <c r="AD56" i="105"/>
  <c r="AI56" i="105"/>
  <c r="AH56" i="105"/>
  <c r="AF56" i="105"/>
  <c r="AE56" i="105"/>
  <c r="AA56" i="105"/>
  <c r="AH19" i="108"/>
  <c r="AG19" i="108"/>
  <c r="AD19" i="108"/>
  <c r="AC19" i="108"/>
  <c r="AI19" i="108"/>
  <c r="AF19" i="108"/>
  <c r="AE19" i="108"/>
  <c r="AB19" i="108"/>
  <c r="AA19" i="108"/>
  <c r="AE18" i="108"/>
  <c r="AT31" i="107"/>
  <c r="AQ31" i="107"/>
  <c r="AP31" i="107"/>
  <c r="AO31" i="107"/>
  <c r="AN31" i="107"/>
  <c r="AU31" i="107"/>
  <c r="AS31" i="107"/>
  <c r="AR31" i="107"/>
  <c r="AD32" i="107"/>
  <c r="AQ10" i="107"/>
  <c r="AO54" i="106"/>
  <c r="AG35" i="106"/>
  <c r="AT26" i="106"/>
  <c r="AD49" i="103"/>
  <c r="AB49" i="103"/>
  <c r="AG49" i="103"/>
  <c r="AH49" i="103"/>
  <c r="AF49" i="103"/>
  <c r="AE49" i="103"/>
  <c r="AC49" i="103"/>
  <c r="AA49" i="103"/>
  <c r="AI49" i="103"/>
  <c r="AF58" i="107"/>
  <c r="AE58" i="107"/>
  <c r="AI58" i="107"/>
  <c r="AA58" i="107"/>
  <c r="AH58" i="107"/>
  <c r="AG58" i="107"/>
  <c r="AC58" i="107"/>
  <c r="AB58" i="107"/>
  <c r="AD58" i="107"/>
  <c r="AG24" i="106"/>
  <c r="AF24" i="106"/>
  <c r="AC24" i="106"/>
  <c r="AB24" i="106"/>
  <c r="AA24" i="106"/>
  <c r="AH24" i="106"/>
  <c r="AE24" i="106"/>
  <c r="AD24" i="106"/>
  <c r="AI24" i="106"/>
  <c r="AE10" i="105"/>
  <c r="AC10" i="105"/>
  <c r="AH10" i="105"/>
  <c r="AG10" i="105"/>
  <c r="AA10" i="105"/>
  <c r="AI10" i="105"/>
  <c r="AF10" i="105"/>
  <c r="AD10" i="105"/>
  <c r="AB10" i="105"/>
  <c r="AT45" i="102"/>
  <c r="AU45" i="102"/>
  <c r="AS45" i="102"/>
  <c r="AR45" i="102"/>
  <c r="AQ45" i="102"/>
  <c r="AP45" i="102"/>
  <c r="AO45" i="102"/>
  <c r="AN45" i="102"/>
  <c r="AV36" i="106"/>
  <c r="AD27" i="106"/>
  <c r="AC27" i="106"/>
  <c r="AB27" i="106"/>
  <c r="AG27" i="106"/>
  <c r="AF27" i="106"/>
  <c r="AE27" i="106"/>
  <c r="AA27" i="106"/>
  <c r="AI27" i="106"/>
  <c r="AH27" i="106"/>
  <c r="AR59" i="105"/>
  <c r="AT46" i="100"/>
  <c r="AP46" i="100"/>
  <c r="AT23" i="105"/>
  <c r="AO23" i="105"/>
  <c r="AR23" i="105"/>
  <c r="AQ23" i="105"/>
  <c r="AU23" i="105"/>
  <c r="AS23" i="105"/>
  <c r="AP23" i="105"/>
  <c r="AN23" i="105"/>
  <c r="AC8" i="105"/>
  <c r="AG8" i="105"/>
  <c r="AB73" i="103"/>
  <c r="AH73" i="103"/>
  <c r="AE73" i="103"/>
  <c r="AD73" i="103"/>
  <c r="AI73" i="103"/>
  <c r="AG73" i="103"/>
  <c r="AF73" i="103"/>
  <c r="AC73" i="103"/>
  <c r="AA73" i="103"/>
  <c r="AR67" i="103"/>
  <c r="AH69" i="102"/>
  <c r="AH68" i="102" s="1"/>
  <c r="AF69" i="102"/>
  <c r="AF68" i="102" s="1"/>
  <c r="AB69" i="102"/>
  <c r="AB68" i="102" s="1"/>
  <c r="AA69" i="102"/>
  <c r="AI69" i="102"/>
  <c r="AG69" i="102"/>
  <c r="AG68" i="102" s="1"/>
  <c r="AE69" i="102"/>
  <c r="AE68" i="102" s="1"/>
  <c r="AD69" i="102"/>
  <c r="AD68" i="102" s="1"/>
  <c r="AC69" i="102"/>
  <c r="AC68" i="102" s="1"/>
  <c r="AC24" i="102"/>
  <c r="AC22" i="102" s="1"/>
  <c r="AQ54" i="105"/>
  <c r="AI13" i="105"/>
  <c r="AF13" i="105"/>
  <c r="AA13" i="105"/>
  <c r="AN61" i="103"/>
  <c r="AT61" i="103"/>
  <c r="AQ61" i="103"/>
  <c r="AO61" i="103"/>
  <c r="AO60" i="103" s="1"/>
  <c r="AU61" i="103"/>
  <c r="AU60" i="103" s="1"/>
  <c r="AS61" i="103"/>
  <c r="AR61" i="103"/>
  <c r="AP61" i="103"/>
  <c r="AQ48" i="103"/>
  <c r="AE35" i="103"/>
  <c r="AB35" i="103"/>
  <c r="AH35" i="103"/>
  <c r="AR18" i="103"/>
  <c r="AO18" i="103"/>
  <c r="AU18" i="103"/>
  <c r="AU13" i="103"/>
  <c r="AQ8" i="103"/>
  <c r="AQ61" i="102"/>
  <c r="AN61" i="102"/>
  <c r="AS61" i="102"/>
  <c r="AI49" i="102"/>
  <c r="AA49" i="102"/>
  <c r="AC49" i="102"/>
  <c r="AB49" i="102"/>
  <c r="AH49" i="102"/>
  <c r="AG49" i="102"/>
  <c r="AF49" i="102"/>
  <c r="AE49" i="102"/>
  <c r="AD49" i="102"/>
  <c r="AN9" i="102"/>
  <c r="AR9" i="102"/>
  <c r="AP9" i="102"/>
  <c r="AN52" i="100"/>
  <c r="AT52" i="100"/>
  <c r="AS52" i="100"/>
  <c r="AR52" i="100"/>
  <c r="AP52" i="100"/>
  <c r="AQ52" i="100"/>
  <c r="AO52" i="100"/>
  <c r="AU52" i="100"/>
  <c r="AH28" i="106"/>
  <c r="AR13" i="106"/>
  <c r="AR64" i="105"/>
  <c r="AQ61" i="105"/>
  <c r="AQ8" i="105"/>
  <c r="AA35" i="103"/>
  <c r="AN18" i="103"/>
  <c r="AA24" i="102"/>
  <c r="AT9" i="102"/>
  <c r="AE56" i="101"/>
  <c r="AC13" i="106"/>
  <c r="AD52" i="105"/>
  <c r="AP51" i="103"/>
  <c r="AE46" i="103"/>
  <c r="AE78" i="103"/>
  <c r="AC78" i="103"/>
  <c r="AH78" i="103"/>
  <c r="AF78" i="103"/>
  <c r="AD78" i="103"/>
  <c r="AB78" i="103"/>
  <c r="AA78" i="103"/>
  <c r="AI78" i="103"/>
  <c r="AG78" i="103"/>
  <c r="AT26" i="103"/>
  <c r="AR26" i="103"/>
  <c r="AO26" i="103"/>
  <c r="AS26" i="103"/>
  <c r="AQ26" i="103"/>
  <c r="AP26" i="103"/>
  <c r="AN26" i="103"/>
  <c r="AU26" i="103"/>
  <c r="AE24" i="103"/>
  <c r="AC24" i="103"/>
  <c r="AH24" i="103"/>
  <c r="AF24" i="103"/>
  <c r="AD24" i="103"/>
  <c r="AB24" i="103"/>
  <c r="AA24" i="103"/>
  <c r="AI24" i="103"/>
  <c r="AG24" i="103"/>
  <c r="AJ73" i="102"/>
  <c r="AP43" i="102"/>
  <c r="AR43" i="102"/>
  <c r="AQ43" i="102"/>
  <c r="AO43" i="102"/>
  <c r="AN43" i="102"/>
  <c r="AU43" i="102"/>
  <c r="AT43" i="102"/>
  <c r="AS43" i="102"/>
  <c r="AP34" i="100"/>
  <c r="AN34" i="100"/>
  <c r="AU34" i="100"/>
  <c r="AT34" i="100"/>
  <c r="AR34" i="100"/>
  <c r="AS34" i="100"/>
  <c r="AQ34" i="100"/>
  <c r="AO34" i="100"/>
  <c r="AE21" i="106"/>
  <c r="AC21" i="106"/>
  <c r="AG21" i="106"/>
  <c r="AD21" i="106"/>
  <c r="AF13" i="106"/>
  <c r="AE52" i="105"/>
  <c r="AI17" i="105"/>
  <c r="AF17" i="105"/>
  <c r="AA17" i="105"/>
  <c r="AC66" i="103"/>
  <c r="AC65" i="103" s="1"/>
  <c r="AO46" i="103"/>
  <c r="AE34" i="103"/>
  <c r="AG30" i="102"/>
  <c r="AP35" i="106"/>
  <c r="AP2" i="106"/>
  <c r="AC43" i="105"/>
  <c r="AC39" i="105"/>
  <c r="AA39" i="105"/>
  <c r="AI39" i="105"/>
  <c r="AD39" i="105"/>
  <c r="AB39" i="105"/>
  <c r="AG39" i="105"/>
  <c r="AJ31" i="105"/>
  <c r="AD13" i="105"/>
  <c r="AI64" i="103"/>
  <c r="AP54" i="103"/>
  <c r="AN54" i="103"/>
  <c r="AS54" i="103"/>
  <c r="AU54" i="103"/>
  <c r="AT54" i="103"/>
  <c r="AR54" i="103"/>
  <c r="AQ54" i="103"/>
  <c r="AO54" i="103"/>
  <c r="AQ29" i="103"/>
  <c r="AH9" i="103"/>
  <c r="AF28" i="102"/>
  <c r="AE66" i="101"/>
  <c r="AD66" i="101"/>
  <c r="AC66" i="101"/>
  <c r="AB66" i="101"/>
  <c r="AI66" i="101"/>
  <c r="AA66" i="101"/>
  <c r="AH66" i="101"/>
  <c r="AG66" i="101"/>
  <c r="AF66" i="101"/>
  <c r="AS59" i="101"/>
  <c r="AE49" i="101"/>
  <c r="AD49" i="101"/>
  <c r="AC49" i="101"/>
  <c r="AB49" i="101"/>
  <c r="AI49" i="101"/>
  <c r="AA49" i="101"/>
  <c r="AG49" i="101"/>
  <c r="AF49" i="101"/>
  <c r="AH49" i="101"/>
  <c r="AO31" i="101"/>
  <c r="AD11" i="101"/>
  <c r="AR31" i="100"/>
  <c r="AP31" i="100"/>
  <c r="AO31" i="100"/>
  <c r="AN31" i="100"/>
  <c r="AT31" i="100"/>
  <c r="AU31" i="100"/>
  <c r="AS31" i="100"/>
  <c r="AQ31" i="100"/>
  <c r="AG35" i="103"/>
  <c r="AN69" i="101"/>
  <c r="AD37" i="101"/>
  <c r="AI55" i="100"/>
  <c r="AA55" i="100"/>
  <c r="AG55" i="100"/>
  <c r="AF55" i="100"/>
  <c r="AE55" i="100"/>
  <c r="AC55" i="100"/>
  <c r="AH55" i="100"/>
  <c r="AD55" i="100"/>
  <c r="AB55" i="100"/>
  <c r="AN39" i="101"/>
  <c r="AR39" i="101"/>
  <c r="AP39" i="101"/>
  <c r="AR29" i="101"/>
  <c r="AG4" i="101"/>
  <c r="AT45" i="100"/>
  <c r="AR45" i="100"/>
  <c r="AP45" i="100"/>
  <c r="AE34" i="100"/>
  <c r="AG34" i="100"/>
  <c r="AG15" i="100"/>
  <c r="AE15" i="100"/>
  <c r="AD15" i="100"/>
  <c r="AC15" i="100"/>
  <c r="AI15" i="100"/>
  <c r="AA15" i="100"/>
  <c r="AH15" i="100"/>
  <c r="AF15" i="100"/>
  <c r="AB15" i="100"/>
  <c r="AH45" i="102"/>
  <c r="AR38" i="101"/>
  <c r="AN29" i="101"/>
  <c r="AS71" i="100"/>
  <c r="AS70" i="100" s="1"/>
  <c r="AS68" i="100" s="1"/>
  <c r="AO37" i="100"/>
  <c r="AD34" i="100"/>
  <c r="AE13" i="100"/>
  <c r="AT8" i="100"/>
  <c r="AR8" i="100"/>
  <c r="AQ8" i="100"/>
  <c r="AP8" i="100"/>
  <c r="AN8" i="100"/>
  <c r="AS8" i="100"/>
  <c r="AU8" i="100"/>
  <c r="AO8" i="100"/>
  <c r="AN23" i="100"/>
  <c r="AT23" i="100"/>
  <c r="AS23" i="100"/>
  <c r="AR23" i="100"/>
  <c r="AP23" i="100"/>
  <c r="AQ23" i="100"/>
  <c r="AO23" i="100"/>
  <c r="AU23" i="100"/>
  <c r="AB36" i="101"/>
  <c r="AC14" i="101"/>
  <c r="AE4" i="101"/>
  <c r="AP56" i="100"/>
  <c r="AN56" i="100"/>
  <c r="AU56" i="100"/>
  <c r="AR56" i="100"/>
  <c r="AS56" i="100"/>
  <c r="AQ56" i="100"/>
  <c r="AO56" i="100"/>
  <c r="AP52" i="105"/>
  <c r="AU23" i="102"/>
  <c r="AU22" i="102" s="1"/>
  <c r="AJ72" i="102"/>
  <c r="AH48" i="101"/>
  <c r="AO32" i="101"/>
  <c r="AO59" i="100"/>
  <c r="AQ42" i="100"/>
  <c r="AO38" i="100"/>
  <c r="AR27" i="100"/>
  <c r="AP27" i="100"/>
  <c r="AO27" i="100"/>
  <c r="AN27" i="100"/>
  <c r="AT27" i="100"/>
  <c r="AU27" i="100"/>
  <c r="AS27" i="100"/>
  <c r="AQ27" i="100"/>
  <c r="AH56" i="101"/>
  <c r="AN51" i="101"/>
  <c r="AQ43" i="101"/>
  <c r="AO25" i="101"/>
  <c r="AE69" i="100"/>
  <c r="AT51" i="100"/>
  <c r="AR51" i="100"/>
  <c r="AN46" i="101"/>
  <c r="AR46" i="101"/>
  <c r="AP46" i="101"/>
  <c r="AR45" i="101"/>
  <c r="AU30" i="101"/>
  <c r="AR23" i="101"/>
  <c r="AN63" i="100"/>
  <c r="AP63" i="100"/>
  <c r="AP60" i="100" s="1"/>
  <c r="AO51" i="100"/>
  <c r="AB28" i="100"/>
  <c r="AH28" i="100"/>
  <c r="AG28" i="100"/>
  <c r="AF28" i="100"/>
  <c r="AD28" i="100"/>
  <c r="AE28" i="100"/>
  <c r="AC28" i="100"/>
  <c r="AA28" i="100"/>
  <c r="AI28" i="100"/>
  <c r="AD29" i="102"/>
  <c r="AC9" i="102"/>
  <c r="AQ64" i="101"/>
  <c r="AH52" i="101"/>
  <c r="AC30" i="101"/>
  <c r="AP14" i="101"/>
  <c r="AC57" i="100"/>
  <c r="AI57" i="100"/>
  <c r="AA57" i="100"/>
  <c r="AH57" i="100"/>
  <c r="AG57" i="100"/>
  <c r="AE57" i="100"/>
  <c r="AD57" i="100"/>
  <c r="AB57" i="100"/>
  <c r="AF57" i="100"/>
  <c r="AT40" i="100"/>
  <c r="AD58" i="100"/>
  <c r="AS11" i="100"/>
  <c r="AN64" i="100"/>
  <c r="AS49" i="475"/>
  <c r="AU66" i="475"/>
  <c r="AD32" i="475"/>
  <c r="AC53" i="475"/>
  <c r="AB53" i="475"/>
  <c r="AG53" i="475"/>
  <c r="AH53" i="475"/>
  <c r="AF53" i="475"/>
  <c r="AA53" i="475"/>
  <c r="AI53" i="475"/>
  <c r="AE53" i="475"/>
  <c r="AD53" i="475"/>
  <c r="AS41" i="475"/>
  <c r="AB29" i="475"/>
  <c r="AI29" i="475"/>
  <c r="AF29" i="475"/>
  <c r="AE29" i="475"/>
  <c r="AD29" i="475"/>
  <c r="AA29" i="475"/>
  <c r="AC4" i="475"/>
  <c r="AC2" i="475" s="1"/>
  <c r="AT19" i="125"/>
  <c r="AR19" i="125"/>
  <c r="AQ19" i="125"/>
  <c r="AP19" i="125"/>
  <c r="AO19" i="125"/>
  <c r="AN19" i="125"/>
  <c r="AU19" i="125"/>
  <c r="AS19" i="125"/>
  <c r="AD54" i="475"/>
  <c r="AC54" i="475"/>
  <c r="AH54" i="475"/>
  <c r="AF54" i="475"/>
  <c r="AE54" i="475"/>
  <c r="AB54" i="475"/>
  <c r="AA54" i="475"/>
  <c r="AI54" i="475"/>
  <c r="AG54" i="475"/>
  <c r="AH43" i="475"/>
  <c r="AC71" i="125"/>
  <c r="AC70" i="125" s="1"/>
  <c r="AB71" i="125"/>
  <c r="AB70" i="125" s="1"/>
  <c r="AI71" i="125"/>
  <c r="AI70" i="125" s="1"/>
  <c r="AA71" i="125"/>
  <c r="AH71" i="125"/>
  <c r="AH70" i="125" s="1"/>
  <c r="AE71" i="125"/>
  <c r="AE70" i="125" s="1"/>
  <c r="AD71" i="125"/>
  <c r="AD70" i="125" s="1"/>
  <c r="AG43" i="475"/>
  <c r="AJ36" i="475"/>
  <c r="AG2" i="475"/>
  <c r="AP32" i="475"/>
  <c r="AJ26" i="475"/>
  <c r="AP20" i="125"/>
  <c r="AN20" i="125"/>
  <c r="AU20" i="125"/>
  <c r="AT20" i="125"/>
  <c r="AQ20" i="125"/>
  <c r="AO20" i="125"/>
  <c r="AS20" i="125"/>
  <c r="AR20" i="125"/>
  <c r="AJ52" i="475"/>
  <c r="AE43" i="475"/>
  <c r="AV26" i="475"/>
  <c r="AN45" i="125"/>
  <c r="AR42" i="125"/>
  <c r="AC58" i="123"/>
  <c r="AO42" i="125"/>
  <c r="AJ18" i="475"/>
  <c r="AT55" i="125"/>
  <c r="AS55" i="125"/>
  <c r="AR55" i="125"/>
  <c r="AQ55" i="125"/>
  <c r="AP55" i="125"/>
  <c r="AO55" i="125"/>
  <c r="AU55" i="125"/>
  <c r="AN55" i="125"/>
  <c r="AT40" i="125"/>
  <c r="AS40" i="125"/>
  <c r="AJ73" i="123"/>
  <c r="AO67" i="123"/>
  <c r="AP18" i="125"/>
  <c r="AN18" i="125"/>
  <c r="AU18" i="125"/>
  <c r="AT18" i="125"/>
  <c r="AR18" i="125"/>
  <c r="AS18" i="125"/>
  <c r="AQ18" i="125"/>
  <c r="AO18" i="125"/>
  <c r="AG71" i="125"/>
  <c r="AG70" i="125" s="1"/>
  <c r="AP57" i="125"/>
  <c r="AO57" i="125"/>
  <c r="AR37" i="123"/>
  <c r="AP37" i="123"/>
  <c r="AT37" i="123"/>
  <c r="AS37" i="123"/>
  <c r="AN37" i="123"/>
  <c r="AR73" i="122"/>
  <c r="AR72" i="122" s="1"/>
  <c r="AP73" i="122"/>
  <c r="AQ64" i="122"/>
  <c r="AH10" i="125"/>
  <c r="AD10" i="125"/>
  <c r="AC10" i="125"/>
  <c r="AB10" i="125"/>
  <c r="AD43" i="123"/>
  <c r="AQ37" i="123"/>
  <c r="AC19" i="123"/>
  <c r="AB19" i="123"/>
  <c r="AI19" i="123"/>
  <c r="AA19" i="123"/>
  <c r="AG19" i="123"/>
  <c r="AF19" i="123"/>
  <c r="AE19" i="123"/>
  <c r="AD19" i="123"/>
  <c r="AH19" i="123"/>
  <c r="AP57" i="122"/>
  <c r="AN57" i="122"/>
  <c r="AT57" i="122"/>
  <c r="AR57" i="122"/>
  <c r="AQ57" i="122"/>
  <c r="AU57" i="122"/>
  <c r="AS57" i="122"/>
  <c r="AO57" i="122"/>
  <c r="AT32" i="125"/>
  <c r="AR32" i="125"/>
  <c r="AQ32" i="125"/>
  <c r="AP32" i="125"/>
  <c r="AU32" i="125"/>
  <c r="AS32" i="125"/>
  <c r="AO32" i="125"/>
  <c r="AN32" i="125"/>
  <c r="AB40" i="123"/>
  <c r="AG29" i="123"/>
  <c r="AB29" i="123"/>
  <c r="AA29" i="123"/>
  <c r="AI29" i="123"/>
  <c r="AF29" i="123"/>
  <c r="AE29" i="123"/>
  <c r="AD29" i="123"/>
  <c r="AC29" i="123"/>
  <c r="AH29" i="123"/>
  <c r="AJ53" i="123"/>
  <c r="AA43" i="123"/>
  <c r="AE16" i="123"/>
  <c r="AD16" i="123"/>
  <c r="AC16" i="123"/>
  <c r="AI16" i="123"/>
  <c r="AA16" i="123"/>
  <c r="AH16" i="123"/>
  <c r="AG16" i="123"/>
  <c r="AF16" i="123"/>
  <c r="AB16" i="123"/>
  <c r="AR4" i="123"/>
  <c r="AQ4" i="123"/>
  <c r="AP4" i="123"/>
  <c r="AN4" i="123"/>
  <c r="AT4" i="123"/>
  <c r="AS4" i="123"/>
  <c r="AU4" i="123"/>
  <c r="AO4" i="123"/>
  <c r="AA8" i="125"/>
  <c r="AH8" i="125"/>
  <c r="AG8" i="125"/>
  <c r="AE8" i="125"/>
  <c r="AS14" i="123"/>
  <c r="AR14" i="123"/>
  <c r="AQ14" i="123"/>
  <c r="AO14" i="123"/>
  <c r="AN14" i="123"/>
  <c r="AU14" i="123"/>
  <c r="AT14" i="123"/>
  <c r="AP14" i="123"/>
  <c r="AS78" i="123"/>
  <c r="AG41" i="122"/>
  <c r="AE41" i="122"/>
  <c r="AC41" i="122"/>
  <c r="AI41" i="122"/>
  <c r="AA41" i="122"/>
  <c r="AH41" i="122"/>
  <c r="AF41" i="122"/>
  <c r="AD41" i="122"/>
  <c r="AB41" i="122"/>
  <c r="AE78" i="123"/>
  <c r="AH78" i="123"/>
  <c r="AJ4" i="123"/>
  <c r="AT45" i="122"/>
  <c r="AR45" i="122"/>
  <c r="AP45" i="122"/>
  <c r="AN45" i="122"/>
  <c r="AE10" i="123"/>
  <c r="AT52" i="122"/>
  <c r="AR52" i="122"/>
  <c r="AP52" i="122"/>
  <c r="AS38" i="122"/>
  <c r="AG27" i="122"/>
  <c r="AC27" i="122"/>
  <c r="AI27" i="122"/>
  <c r="AE27" i="122"/>
  <c r="AO25" i="122"/>
  <c r="AC61" i="121"/>
  <c r="AC60" i="121" s="1"/>
  <c r="AN3" i="123"/>
  <c r="AU3" i="123"/>
  <c r="AT3" i="123"/>
  <c r="AR3" i="123"/>
  <c r="AP3" i="123"/>
  <c r="AO3" i="123"/>
  <c r="AS3" i="123"/>
  <c r="AQ3" i="123"/>
  <c r="AI58" i="122"/>
  <c r="AA58" i="122"/>
  <c r="AG58" i="122"/>
  <c r="AE58" i="122"/>
  <c r="AC58" i="122"/>
  <c r="AB58" i="122"/>
  <c r="AH58" i="122"/>
  <c r="AH50" i="122" s="1"/>
  <c r="AF58" i="122"/>
  <c r="AD58" i="122"/>
  <c r="AS52" i="122"/>
  <c r="AH27" i="122"/>
  <c r="AI36" i="123"/>
  <c r="AG36" i="123"/>
  <c r="AC36" i="123"/>
  <c r="AO23" i="123"/>
  <c r="AP30" i="122"/>
  <c r="AN30" i="122"/>
  <c r="AT30" i="122"/>
  <c r="AR30" i="122"/>
  <c r="AO30" i="122"/>
  <c r="AU30" i="122"/>
  <c r="AS30" i="122"/>
  <c r="AQ30" i="122"/>
  <c r="AQ66" i="121"/>
  <c r="AQ65" i="121" s="1"/>
  <c r="AN66" i="121"/>
  <c r="AU66" i="121"/>
  <c r="AT66" i="121"/>
  <c r="AT65" i="121" s="1"/>
  <c r="AS66" i="121"/>
  <c r="AR66" i="121"/>
  <c r="AP66" i="121"/>
  <c r="AO66" i="121"/>
  <c r="AA61" i="121"/>
  <c r="AJ30" i="122"/>
  <c r="AP18" i="122"/>
  <c r="AI20" i="122"/>
  <c r="AA20" i="122"/>
  <c r="AG61" i="121"/>
  <c r="AG60" i="121" s="1"/>
  <c r="AT11" i="122"/>
  <c r="AT27" i="121"/>
  <c r="AR27" i="121"/>
  <c r="AU27" i="121"/>
  <c r="AS27" i="121"/>
  <c r="AQ27" i="121"/>
  <c r="AP27" i="121"/>
  <c r="AO27" i="121"/>
  <c r="AN27" i="121"/>
  <c r="AV53" i="122"/>
  <c r="AI43" i="121"/>
  <c r="AA43" i="121"/>
  <c r="AG43" i="121"/>
  <c r="AF43" i="121"/>
  <c r="AE43" i="121"/>
  <c r="AD43" i="121"/>
  <c r="AC43" i="121"/>
  <c r="AB43" i="121"/>
  <c r="AH43" i="121"/>
  <c r="AD40" i="122"/>
  <c r="AB40" i="122"/>
  <c r="AH40" i="122"/>
  <c r="AF40" i="122"/>
  <c r="AI40" i="122"/>
  <c r="AG40" i="122"/>
  <c r="AE40" i="122"/>
  <c r="AC40" i="122"/>
  <c r="AA40" i="122"/>
  <c r="AH2" i="122"/>
  <c r="AB3" i="122"/>
  <c r="AB2" i="122" s="1"/>
  <c r="AO78" i="121"/>
  <c r="AU78" i="121"/>
  <c r="AT78" i="121"/>
  <c r="AS78" i="121"/>
  <c r="AR78" i="121"/>
  <c r="AQ78" i="121"/>
  <c r="AP78" i="121"/>
  <c r="AN78" i="121"/>
  <c r="AQ13" i="122"/>
  <c r="AV4" i="122"/>
  <c r="AH71" i="121"/>
  <c r="AH70" i="121" s="1"/>
  <c r="AD46" i="121"/>
  <c r="AB46" i="121"/>
  <c r="AI46" i="121"/>
  <c r="AA46" i="121"/>
  <c r="AG46" i="121"/>
  <c r="AF46" i="121"/>
  <c r="AE46" i="121"/>
  <c r="AC46" i="121"/>
  <c r="AH46" i="121"/>
  <c r="AG32" i="122"/>
  <c r="AE32" i="122"/>
  <c r="AC32" i="122"/>
  <c r="AI32" i="122"/>
  <c r="AA32" i="122"/>
  <c r="AD32" i="122"/>
  <c r="AH32" i="122"/>
  <c r="AF32" i="122"/>
  <c r="AB32" i="122"/>
  <c r="AD35" i="121"/>
  <c r="AB35" i="121"/>
  <c r="AI35" i="121"/>
  <c r="AA35" i="121"/>
  <c r="AH35" i="121"/>
  <c r="AG35" i="121"/>
  <c r="AF35" i="121"/>
  <c r="AE35" i="121"/>
  <c r="AC35" i="121"/>
  <c r="AR26" i="121"/>
  <c r="AP26" i="121"/>
  <c r="AU26" i="121"/>
  <c r="AT26" i="121"/>
  <c r="AS26" i="121"/>
  <c r="AQ26" i="121"/>
  <c r="AO26" i="121"/>
  <c r="AN26" i="121"/>
  <c r="AS18" i="121"/>
  <c r="AF55" i="120"/>
  <c r="AC55" i="120"/>
  <c r="AH55" i="120"/>
  <c r="AG55" i="120"/>
  <c r="AD55" i="120"/>
  <c r="AB55" i="120"/>
  <c r="AA55" i="120"/>
  <c r="AI55" i="120"/>
  <c r="AE55" i="120"/>
  <c r="AP78" i="120"/>
  <c r="AH37" i="120"/>
  <c r="AD37" i="120"/>
  <c r="AC37" i="120"/>
  <c r="AB37" i="120"/>
  <c r="AA37" i="120"/>
  <c r="AG37" i="120"/>
  <c r="AF37" i="120"/>
  <c r="AE37" i="120"/>
  <c r="AI37" i="120"/>
  <c r="AG26" i="120"/>
  <c r="AF26" i="120"/>
  <c r="AD26" i="120"/>
  <c r="AC26" i="120"/>
  <c r="AA26" i="120"/>
  <c r="AI26" i="120"/>
  <c r="AH26" i="120"/>
  <c r="AE26" i="120"/>
  <c r="AB26" i="120"/>
  <c r="AF16" i="120"/>
  <c r="AD16" i="120"/>
  <c r="AB16" i="120"/>
  <c r="AH16" i="120"/>
  <c r="AG16" i="120"/>
  <c r="AE16" i="120"/>
  <c r="AI16" i="120"/>
  <c r="AC16" i="120"/>
  <c r="AA16" i="120"/>
  <c r="AT52" i="120"/>
  <c r="AQ52" i="120"/>
  <c r="AN52" i="120"/>
  <c r="AU52" i="120"/>
  <c r="AR52" i="120"/>
  <c r="AP52" i="120"/>
  <c r="AO52" i="120"/>
  <c r="AS52" i="120"/>
  <c r="AP24" i="120"/>
  <c r="AS24" i="120"/>
  <c r="AO24" i="120"/>
  <c r="AT18" i="121"/>
  <c r="AE69" i="120"/>
  <c r="AE68" i="120" s="1"/>
  <c r="AB64" i="120"/>
  <c r="AG64" i="120"/>
  <c r="AF64" i="120"/>
  <c r="AD64" i="120"/>
  <c r="AC64" i="120"/>
  <c r="AI64" i="120"/>
  <c r="AH64" i="120"/>
  <c r="AE64" i="120"/>
  <c r="AA64" i="120"/>
  <c r="AR78" i="120"/>
  <c r="AR24" i="120"/>
  <c r="AD29" i="120"/>
  <c r="AG29" i="120"/>
  <c r="AE29" i="120"/>
  <c r="AC29" i="120"/>
  <c r="AA29" i="120"/>
  <c r="AI29" i="120"/>
  <c r="AH29" i="120"/>
  <c r="AF29" i="120"/>
  <c r="AB29" i="120"/>
  <c r="AF23" i="120"/>
  <c r="AC17" i="120"/>
  <c r="AG61" i="119"/>
  <c r="AG60" i="119" s="1"/>
  <c r="AE61" i="119"/>
  <c r="AE60" i="119" s="1"/>
  <c r="AB61" i="119"/>
  <c r="AB60" i="119" s="1"/>
  <c r="AI61" i="119"/>
  <c r="AI60" i="119" s="1"/>
  <c r="AA61" i="119"/>
  <c r="AC61" i="119"/>
  <c r="AC60" i="119" s="1"/>
  <c r="AH61" i="119"/>
  <c r="AH60" i="119" s="1"/>
  <c r="AF61" i="119"/>
  <c r="AF60" i="119" s="1"/>
  <c r="AD61" i="119"/>
  <c r="AD60" i="119" s="1"/>
  <c r="AD55" i="119"/>
  <c r="AB55" i="119"/>
  <c r="AG55" i="119"/>
  <c r="AF55" i="119"/>
  <c r="AE55" i="119"/>
  <c r="AC55" i="119"/>
  <c r="AA55" i="119"/>
  <c r="AI55" i="119"/>
  <c r="AH55" i="119"/>
  <c r="AV29" i="120"/>
  <c r="AO19" i="120"/>
  <c r="AS19" i="120"/>
  <c r="AP19" i="120"/>
  <c r="AO59" i="119"/>
  <c r="AD25" i="119"/>
  <c r="AN71" i="119"/>
  <c r="AT71" i="119"/>
  <c r="AT70" i="119" s="1"/>
  <c r="AQ71" i="119"/>
  <c r="AQ70" i="119" s="1"/>
  <c r="AP71" i="119"/>
  <c r="AP70" i="119" s="1"/>
  <c r="AO71" i="119"/>
  <c r="AO70" i="119" s="1"/>
  <c r="AU71" i="119"/>
  <c r="AU70" i="119" s="1"/>
  <c r="AS71" i="119"/>
  <c r="AS70" i="119" s="1"/>
  <c r="AR71" i="119"/>
  <c r="AR70" i="119" s="1"/>
  <c r="AF34" i="120"/>
  <c r="AJ52" i="120"/>
  <c r="AG38" i="119"/>
  <c r="AR35" i="119"/>
  <c r="AO35" i="119"/>
  <c r="AS35" i="119"/>
  <c r="AQ35" i="119"/>
  <c r="AP35" i="119"/>
  <c r="AU35" i="119"/>
  <c r="AT35" i="119"/>
  <c r="AN35" i="119"/>
  <c r="D24" i="418"/>
  <c r="AS67" i="119"/>
  <c r="AS65" i="119" s="1"/>
  <c r="AQ67" i="119"/>
  <c r="AQ65" i="119" s="1"/>
  <c r="AN67" i="119"/>
  <c r="AN65" i="119" s="1"/>
  <c r="AU67" i="119"/>
  <c r="AU65" i="119" s="1"/>
  <c r="AT67" i="119"/>
  <c r="AT65" i="119" s="1"/>
  <c r="AR67" i="119"/>
  <c r="AP67" i="119"/>
  <c r="AP65" i="119" s="1"/>
  <c r="AO67" i="119"/>
  <c r="AO65" i="119" s="1"/>
  <c r="AS53" i="119"/>
  <c r="AV51" i="119"/>
  <c r="AI25" i="119"/>
  <c r="AN11" i="120"/>
  <c r="AS11" i="120"/>
  <c r="AQ11" i="120"/>
  <c r="AU11" i="120"/>
  <c r="AT11" i="120"/>
  <c r="AR11" i="120"/>
  <c r="AP11" i="120"/>
  <c r="AO11" i="120"/>
  <c r="AT48" i="119"/>
  <c r="AR48" i="119"/>
  <c r="AO48" i="119"/>
  <c r="AN48" i="119"/>
  <c r="AP48" i="119"/>
  <c r="AU48" i="119"/>
  <c r="AS48" i="119"/>
  <c r="AQ48" i="119"/>
  <c r="AS55" i="118"/>
  <c r="AQ55" i="118"/>
  <c r="AN55" i="118"/>
  <c r="AT55" i="118"/>
  <c r="AU55" i="118"/>
  <c r="AR55" i="118"/>
  <c r="AP55" i="118"/>
  <c r="AO55" i="118"/>
  <c r="AU54" i="119"/>
  <c r="AO73" i="118"/>
  <c r="AO72" i="118" s="1"/>
  <c r="AF51" i="118"/>
  <c r="AT38" i="118"/>
  <c r="AR38" i="118"/>
  <c r="AU38" i="118"/>
  <c r="AS38" i="118"/>
  <c r="AQ38" i="118"/>
  <c r="AP38" i="118"/>
  <c r="AO38" i="118"/>
  <c r="AN38" i="118"/>
  <c r="AT57" i="118"/>
  <c r="AR57" i="118"/>
  <c r="AJ28" i="117"/>
  <c r="AG41" i="117"/>
  <c r="AF67" i="118"/>
  <c r="AA67" i="118"/>
  <c r="AG67" i="118"/>
  <c r="AB51" i="118"/>
  <c r="AT43" i="118"/>
  <c r="AR43" i="118"/>
  <c r="AO43" i="118"/>
  <c r="AN43" i="118"/>
  <c r="AU43" i="118"/>
  <c r="AS43" i="118"/>
  <c r="AQ43" i="118"/>
  <c r="AP43" i="118"/>
  <c r="AG17" i="119"/>
  <c r="AI17" i="119"/>
  <c r="AH17" i="119"/>
  <c r="AF17" i="119"/>
  <c r="AC17" i="119"/>
  <c r="AB17" i="119"/>
  <c r="AA17" i="119"/>
  <c r="AE17" i="119"/>
  <c r="AD17" i="119"/>
  <c r="AR59" i="119"/>
  <c r="AR19" i="119"/>
  <c r="AO19" i="119"/>
  <c r="AN19" i="119"/>
  <c r="AU14" i="118"/>
  <c r="AT14" i="118"/>
  <c r="AS14" i="118"/>
  <c r="AR14" i="118"/>
  <c r="AQ14" i="118"/>
  <c r="AO14" i="118"/>
  <c r="AE67" i="117"/>
  <c r="AD67" i="117"/>
  <c r="AC67" i="117"/>
  <c r="AB67" i="117"/>
  <c r="AG67" i="117"/>
  <c r="AF67" i="117"/>
  <c r="AI67" i="117"/>
  <c r="AH67" i="117"/>
  <c r="AA67" i="117"/>
  <c r="AQ29" i="118"/>
  <c r="AR11" i="117"/>
  <c r="AT11" i="117"/>
  <c r="AU11" i="117"/>
  <c r="AS11" i="117"/>
  <c r="AN11" i="117"/>
  <c r="AQ11" i="117"/>
  <c r="AP11" i="117"/>
  <c r="AO11" i="117"/>
  <c r="AH48" i="117"/>
  <c r="AH44" i="117"/>
  <c r="AU58" i="116"/>
  <c r="AT38" i="116"/>
  <c r="AR38" i="116"/>
  <c r="AQ38" i="116"/>
  <c r="AU38" i="116"/>
  <c r="AP38" i="116"/>
  <c r="AO38" i="116"/>
  <c r="AN38" i="116"/>
  <c r="AS38" i="116"/>
  <c r="AR26" i="117"/>
  <c r="AO26" i="117"/>
  <c r="AP26" i="117"/>
  <c r="AS26" i="117"/>
  <c r="AQ26" i="117"/>
  <c r="AU26" i="117"/>
  <c r="AU14" i="119"/>
  <c r="AQ57" i="118"/>
  <c r="AC66" i="117"/>
  <c r="AB66" i="117"/>
  <c r="AI66" i="117"/>
  <c r="AA66" i="117"/>
  <c r="AH66" i="117"/>
  <c r="AE66" i="117"/>
  <c r="AD66" i="117"/>
  <c r="AG66" i="117"/>
  <c r="AF66" i="117"/>
  <c r="AV53" i="117"/>
  <c r="AT44" i="117"/>
  <c r="AS44" i="117"/>
  <c r="AR44" i="117"/>
  <c r="AO44" i="117"/>
  <c r="AN44" i="117"/>
  <c r="AU44" i="117"/>
  <c r="AQ44" i="117"/>
  <c r="AP44" i="117"/>
  <c r="AJ43" i="117"/>
  <c r="AB17" i="117"/>
  <c r="AE17" i="117"/>
  <c r="AD17" i="117"/>
  <c r="AA17" i="117"/>
  <c r="AI17" i="117"/>
  <c r="AC17" i="117"/>
  <c r="AH17" i="117"/>
  <c r="AG17" i="117"/>
  <c r="AF17" i="117"/>
  <c r="AB38" i="116"/>
  <c r="AH38" i="116"/>
  <c r="AG38" i="116"/>
  <c r="AC38" i="116"/>
  <c r="AI38" i="116"/>
  <c r="AF38" i="116"/>
  <c r="AE38" i="116"/>
  <c r="AD38" i="116"/>
  <c r="AA38" i="116"/>
  <c r="AO23" i="118"/>
  <c r="AI44" i="117"/>
  <c r="AH14" i="118"/>
  <c r="AA59" i="116"/>
  <c r="AE9" i="117"/>
  <c r="AD9" i="117"/>
  <c r="AF9" i="117"/>
  <c r="AN49" i="116"/>
  <c r="AI27" i="116"/>
  <c r="AO14" i="116"/>
  <c r="AU14" i="116"/>
  <c r="AT14" i="116"/>
  <c r="AS14" i="116"/>
  <c r="AR14" i="116"/>
  <c r="AQ14" i="116"/>
  <c r="AP14" i="116"/>
  <c r="AN14" i="116"/>
  <c r="AT20" i="117"/>
  <c r="AS20" i="116"/>
  <c r="AT55" i="115"/>
  <c r="AS55" i="115"/>
  <c r="AR55" i="115"/>
  <c r="AQ55" i="115"/>
  <c r="AP55" i="115"/>
  <c r="AO55" i="115"/>
  <c r="AN55" i="115"/>
  <c r="AU55" i="115"/>
  <c r="AF11" i="118"/>
  <c r="AV49" i="117"/>
  <c r="AF36" i="117"/>
  <c r="AE20" i="117"/>
  <c r="AI9" i="117"/>
  <c r="AV67" i="116"/>
  <c r="AA32" i="116"/>
  <c r="AI57" i="124"/>
  <c r="AN48" i="124"/>
  <c r="AU48" i="124"/>
  <c r="AT48" i="124"/>
  <c r="AS48" i="124"/>
  <c r="AR48" i="124"/>
  <c r="AQ48" i="124"/>
  <c r="AP48" i="124"/>
  <c r="AO48" i="124"/>
  <c r="AN40" i="124"/>
  <c r="AU40" i="124"/>
  <c r="AT40" i="124"/>
  <c r="AS40" i="124"/>
  <c r="AR40" i="124"/>
  <c r="AQ40" i="124"/>
  <c r="AP40" i="124"/>
  <c r="AO40" i="124"/>
  <c r="AN30" i="124"/>
  <c r="AU30" i="124"/>
  <c r="AT30" i="124"/>
  <c r="AS30" i="124"/>
  <c r="AR30" i="124"/>
  <c r="AQ30" i="124"/>
  <c r="AP30" i="124"/>
  <c r="AO30" i="124"/>
  <c r="AC10" i="124"/>
  <c r="AV34" i="115"/>
  <c r="AP34" i="116"/>
  <c r="AN34" i="116"/>
  <c r="AU34" i="116"/>
  <c r="AQ34" i="116"/>
  <c r="AS34" i="116"/>
  <c r="AR34" i="116"/>
  <c r="AO34" i="116"/>
  <c r="AT34" i="116"/>
  <c r="AI16" i="124"/>
  <c r="AA16" i="124"/>
  <c r="AH16" i="124"/>
  <c r="AG16" i="124"/>
  <c r="AG12" i="124" s="1"/>
  <c r="AF16" i="124"/>
  <c r="AE16" i="124"/>
  <c r="AD16" i="124"/>
  <c r="AC16" i="124"/>
  <c r="AB16" i="124"/>
  <c r="AJ19" i="117"/>
  <c r="AP63" i="116"/>
  <c r="AO23" i="116"/>
  <c r="AR23" i="116"/>
  <c r="AQ23" i="116"/>
  <c r="AP23" i="116"/>
  <c r="AN23" i="116"/>
  <c r="AS23" i="116"/>
  <c r="AR8" i="116"/>
  <c r="AT18" i="117"/>
  <c r="AR18" i="117"/>
  <c r="AT49" i="116"/>
  <c r="AC29" i="116"/>
  <c r="AU28" i="124"/>
  <c r="AP21" i="124"/>
  <c r="AO21" i="124"/>
  <c r="AN21" i="124"/>
  <c r="AU21" i="124"/>
  <c r="AT21" i="124"/>
  <c r="AS21" i="124"/>
  <c r="AR21" i="124"/>
  <c r="AQ21" i="124"/>
  <c r="AG3" i="117"/>
  <c r="AG2" i="117" s="1"/>
  <c r="AI3" i="117"/>
  <c r="AI2" i="117" s="1"/>
  <c r="AA3" i="117"/>
  <c r="AD3" i="117"/>
  <c r="AD2" i="117" s="1"/>
  <c r="AC3" i="117"/>
  <c r="AC2" i="117" s="1"/>
  <c r="AB3" i="117"/>
  <c r="AB2" i="117" s="1"/>
  <c r="AE3" i="117"/>
  <c r="AE2" i="117" s="1"/>
  <c r="AH3" i="117"/>
  <c r="AH2" i="117" s="1"/>
  <c r="AF3" i="117"/>
  <c r="AF2" i="117" s="1"/>
  <c r="AE71" i="116"/>
  <c r="AE70" i="116" s="1"/>
  <c r="AH46" i="116"/>
  <c r="AI15" i="116"/>
  <c r="AT39" i="124"/>
  <c r="AF66" i="114"/>
  <c r="AE66" i="114"/>
  <c r="AD66" i="114"/>
  <c r="AB66" i="114"/>
  <c r="AB65" i="114" s="1"/>
  <c r="AI66" i="114"/>
  <c r="AH66" i="114"/>
  <c r="AG66" i="114"/>
  <c r="AC66" i="114"/>
  <c r="AA66" i="114"/>
  <c r="AC53" i="114"/>
  <c r="AB53" i="114"/>
  <c r="AI53" i="114"/>
  <c r="AA53" i="114"/>
  <c r="AG53" i="114"/>
  <c r="AH53" i="114"/>
  <c r="AD53" i="114"/>
  <c r="AF53" i="114"/>
  <c r="AE53" i="114"/>
  <c r="AT20" i="124"/>
  <c r="AS20" i="124"/>
  <c r="AR20" i="124"/>
  <c r="AQ20" i="124"/>
  <c r="AP20" i="124"/>
  <c r="AO20" i="124"/>
  <c r="AN20" i="124"/>
  <c r="AU20" i="124"/>
  <c r="AE56" i="115"/>
  <c r="AR63" i="115"/>
  <c r="AQ63" i="115"/>
  <c r="AP63" i="115"/>
  <c r="AV52" i="115"/>
  <c r="AI23" i="116"/>
  <c r="AH57" i="124"/>
  <c r="AP73" i="115"/>
  <c r="AP72" i="115" s="1"/>
  <c r="AO73" i="115"/>
  <c r="AO72" i="115" s="1"/>
  <c r="AN73" i="115"/>
  <c r="AU73" i="115"/>
  <c r="AU72" i="115" s="1"/>
  <c r="AT73" i="115"/>
  <c r="AT72" i="115" s="1"/>
  <c r="AQ73" i="115"/>
  <c r="AQ72" i="115" s="1"/>
  <c r="AS73" i="115"/>
  <c r="AS72" i="115" s="1"/>
  <c r="AR73" i="115"/>
  <c r="AR72" i="115" s="1"/>
  <c r="AN39" i="472"/>
  <c r="AQ37" i="124"/>
  <c r="AD15" i="115"/>
  <c r="AC15" i="115"/>
  <c r="AB15" i="115"/>
  <c r="AH15" i="115"/>
  <c r="AF15" i="115"/>
  <c r="AE15" i="115"/>
  <c r="AA15" i="115"/>
  <c r="AI15" i="115"/>
  <c r="AG15" i="115"/>
  <c r="AU19" i="114"/>
  <c r="AT19" i="114"/>
  <c r="AS19" i="114"/>
  <c r="AN19" i="114"/>
  <c r="AR19" i="114"/>
  <c r="AQ19" i="114"/>
  <c r="AP19" i="114"/>
  <c r="AO19" i="114"/>
  <c r="AA55" i="124"/>
  <c r="AH17" i="124"/>
  <c r="AO13" i="124"/>
  <c r="AN13" i="124"/>
  <c r="AU13" i="124"/>
  <c r="AT13" i="124"/>
  <c r="AS13" i="124"/>
  <c r="AR13" i="124"/>
  <c r="AQ13" i="124"/>
  <c r="AP13" i="124"/>
  <c r="AS23" i="115"/>
  <c r="AR23" i="115"/>
  <c r="AQ23" i="115"/>
  <c r="AO23" i="115"/>
  <c r="AU23" i="115"/>
  <c r="AT23" i="115"/>
  <c r="AP23" i="115"/>
  <c r="AN23" i="115"/>
  <c r="AI52" i="114"/>
  <c r="AG52" i="114"/>
  <c r="AC52" i="114"/>
  <c r="AQ59" i="116"/>
  <c r="AO61" i="115"/>
  <c r="AN61" i="115"/>
  <c r="AU61" i="115"/>
  <c r="AT61" i="115"/>
  <c r="AS61" i="115"/>
  <c r="AS60" i="115" s="1"/>
  <c r="AR61" i="115"/>
  <c r="AQ61" i="115"/>
  <c r="AP61" i="115"/>
  <c r="AG16" i="115"/>
  <c r="AF16" i="115"/>
  <c r="AE16" i="115"/>
  <c r="AC16" i="115"/>
  <c r="AD16" i="115"/>
  <c r="AB16" i="115"/>
  <c r="AA16" i="115"/>
  <c r="AI16" i="115"/>
  <c r="AH16" i="115"/>
  <c r="AA11" i="115"/>
  <c r="AE30" i="116"/>
  <c r="AC30" i="116"/>
  <c r="AB30" i="116"/>
  <c r="AI30" i="116"/>
  <c r="AH30" i="116"/>
  <c r="AG30" i="116"/>
  <c r="AF30" i="116"/>
  <c r="AD30" i="116"/>
  <c r="AA30" i="116"/>
  <c r="AC15" i="124"/>
  <c r="AF24" i="472"/>
  <c r="AO32" i="112"/>
  <c r="AT32" i="112"/>
  <c r="AR32" i="112"/>
  <c r="AN32" i="112"/>
  <c r="AS32" i="112"/>
  <c r="AQ32" i="112"/>
  <c r="AP32" i="112"/>
  <c r="AU32" i="112"/>
  <c r="AS48" i="114"/>
  <c r="AR48" i="114"/>
  <c r="AQ48" i="114"/>
  <c r="AU48" i="114"/>
  <c r="AO48" i="114"/>
  <c r="AN48" i="114"/>
  <c r="AT48" i="114"/>
  <c r="AP48" i="114"/>
  <c r="AF27" i="114"/>
  <c r="AF32" i="112"/>
  <c r="AC32" i="112"/>
  <c r="AI32" i="112"/>
  <c r="AA32" i="112"/>
  <c r="AE32" i="112"/>
  <c r="AD32" i="112"/>
  <c r="AB32" i="112"/>
  <c r="AH32" i="112"/>
  <c r="AG32" i="112"/>
  <c r="AQ71" i="124"/>
  <c r="AQ70" i="124" s="1"/>
  <c r="AQ68" i="124" s="1"/>
  <c r="AR11" i="114"/>
  <c r="AQ11" i="114"/>
  <c r="AP11" i="114"/>
  <c r="AU11" i="114"/>
  <c r="AO11" i="114"/>
  <c r="AN11" i="114"/>
  <c r="AT11" i="114"/>
  <c r="AS11" i="114"/>
  <c r="AP63" i="114"/>
  <c r="AO63" i="114"/>
  <c r="AN63" i="114"/>
  <c r="AT63" i="114"/>
  <c r="AU63" i="114"/>
  <c r="AR63" i="114"/>
  <c r="AQ63" i="114"/>
  <c r="AS63" i="114"/>
  <c r="AO46" i="114"/>
  <c r="AN46" i="114"/>
  <c r="AU46" i="114"/>
  <c r="AR46" i="114"/>
  <c r="AQ46" i="114"/>
  <c r="AP46" i="114"/>
  <c r="AT46" i="114"/>
  <c r="AS46" i="114"/>
  <c r="AB18" i="114"/>
  <c r="AI18" i="114"/>
  <c r="AH18" i="114"/>
  <c r="AD18" i="114"/>
  <c r="AC18" i="114"/>
  <c r="AA18" i="114"/>
  <c r="AN14" i="114"/>
  <c r="AU14" i="114"/>
  <c r="AR14" i="114"/>
  <c r="AO14" i="114"/>
  <c r="AQ14" i="114"/>
  <c r="AP14" i="114"/>
  <c r="AT14" i="114"/>
  <c r="AS14" i="114"/>
  <c r="AI53" i="472"/>
  <c r="AR25" i="472"/>
  <c r="AI25" i="115"/>
  <c r="AS3" i="116"/>
  <c r="AS2" i="116" s="1"/>
  <c r="AQ3" i="116"/>
  <c r="AP3" i="116"/>
  <c r="AO3" i="116"/>
  <c r="AO2" i="116" s="1"/>
  <c r="AN3" i="116"/>
  <c r="AU3" i="116"/>
  <c r="AT3" i="116"/>
  <c r="AT2" i="116" s="1"/>
  <c r="AR3" i="116"/>
  <c r="AP51" i="114"/>
  <c r="AT15" i="114"/>
  <c r="AU66" i="472"/>
  <c r="AI59" i="472"/>
  <c r="AA59" i="472"/>
  <c r="AF59" i="472"/>
  <c r="AE59" i="472"/>
  <c r="AD59" i="472"/>
  <c r="AH59" i="472"/>
  <c r="AG59" i="472"/>
  <c r="AC59" i="472"/>
  <c r="AB59" i="472"/>
  <c r="AV61" i="112"/>
  <c r="AV49" i="112"/>
  <c r="AE23" i="112"/>
  <c r="AB23" i="112"/>
  <c r="AH23" i="112"/>
  <c r="AF23" i="112"/>
  <c r="AD23" i="112"/>
  <c r="AI23" i="112"/>
  <c r="AG23" i="112"/>
  <c r="AC23" i="112"/>
  <c r="AA23" i="112"/>
  <c r="AI56" i="115"/>
  <c r="AF67" i="114"/>
  <c r="AR59" i="114"/>
  <c r="AQ61" i="472"/>
  <c r="AN61" i="472"/>
  <c r="AU61" i="472"/>
  <c r="AU60" i="472" s="1"/>
  <c r="AT61" i="472"/>
  <c r="AT60" i="472" s="1"/>
  <c r="AO61" i="472"/>
  <c r="AS61" i="472"/>
  <c r="AS60" i="472" s="1"/>
  <c r="AR61" i="472"/>
  <c r="AP61" i="472"/>
  <c r="AP60" i="472" s="1"/>
  <c r="AQ35" i="472"/>
  <c r="AO35" i="472"/>
  <c r="AN35" i="472"/>
  <c r="AR35" i="472"/>
  <c r="AT26" i="472"/>
  <c r="AQ26" i="472"/>
  <c r="AP26" i="472"/>
  <c r="AO26" i="472"/>
  <c r="AS26" i="472"/>
  <c r="AR26" i="472"/>
  <c r="AN26" i="472"/>
  <c r="AU26" i="472"/>
  <c r="AA21" i="472"/>
  <c r="AU58" i="112"/>
  <c r="AQ17" i="112"/>
  <c r="AU34" i="111"/>
  <c r="AR34" i="111"/>
  <c r="AQ34" i="111"/>
  <c r="AD31" i="124"/>
  <c r="AG26" i="115"/>
  <c r="AC26" i="115"/>
  <c r="AI26" i="115"/>
  <c r="AF9" i="472"/>
  <c r="AJ38" i="112"/>
  <c r="AJ66" i="111"/>
  <c r="AB34" i="112"/>
  <c r="AE34" i="112"/>
  <c r="AD34" i="112"/>
  <c r="AC34" i="112"/>
  <c r="AA34" i="112"/>
  <c r="AF34" i="112"/>
  <c r="AI34" i="112"/>
  <c r="AH34" i="112"/>
  <c r="AV69" i="112"/>
  <c r="AT54" i="112"/>
  <c r="AR54" i="112"/>
  <c r="AQ54" i="112"/>
  <c r="AF55" i="112"/>
  <c r="AV26" i="112"/>
  <c r="AJ72" i="111"/>
  <c r="AS44" i="111"/>
  <c r="AQ44" i="111"/>
  <c r="AU44" i="111"/>
  <c r="AT44" i="111"/>
  <c r="AR44" i="111"/>
  <c r="AP44" i="111"/>
  <c r="AO44" i="111"/>
  <c r="AN44" i="111"/>
  <c r="AE30" i="111"/>
  <c r="AH30" i="111"/>
  <c r="AB30" i="111"/>
  <c r="AI30" i="111"/>
  <c r="AG30" i="111"/>
  <c r="AF30" i="111"/>
  <c r="AD30" i="111"/>
  <c r="AC30" i="111"/>
  <c r="AA30" i="111"/>
  <c r="AO14" i="111"/>
  <c r="AR14" i="111"/>
  <c r="AU14" i="111"/>
  <c r="AT14" i="111"/>
  <c r="AS14" i="111"/>
  <c r="AQ14" i="111"/>
  <c r="AP14" i="111"/>
  <c r="AN14" i="111"/>
  <c r="AA68" i="112"/>
  <c r="AJ30" i="112"/>
  <c r="AS3" i="112"/>
  <c r="AR3" i="112"/>
  <c r="AB69" i="111"/>
  <c r="AB31" i="112"/>
  <c r="AI31" i="112"/>
  <c r="AH31" i="112"/>
  <c r="AA31" i="112"/>
  <c r="AF31" i="112"/>
  <c r="AE31" i="112"/>
  <c r="AC31" i="112"/>
  <c r="AQ3" i="112"/>
  <c r="AP60" i="110"/>
  <c r="AT20" i="112"/>
  <c r="AO65" i="112"/>
  <c r="AV66" i="112"/>
  <c r="AV65" i="112" s="1"/>
  <c r="AQ55" i="111"/>
  <c r="AS55" i="111"/>
  <c r="AR55" i="111"/>
  <c r="AU55" i="111"/>
  <c r="AN55" i="111"/>
  <c r="AT55" i="111"/>
  <c r="AP55" i="111"/>
  <c r="AO55" i="111"/>
  <c r="AS41" i="111"/>
  <c r="AR41" i="111"/>
  <c r="AP41" i="111"/>
  <c r="AN41" i="111"/>
  <c r="AU41" i="111"/>
  <c r="AJ13" i="111"/>
  <c r="AG69" i="110"/>
  <c r="AG68" i="110" s="1"/>
  <c r="AB69" i="110"/>
  <c r="AB68" i="110" s="1"/>
  <c r="AE69" i="110"/>
  <c r="AE68" i="110" s="1"/>
  <c r="AD69" i="110"/>
  <c r="AD68" i="110" s="1"/>
  <c r="AC69" i="110"/>
  <c r="AC68" i="110" s="1"/>
  <c r="AA69" i="110"/>
  <c r="AI69" i="110"/>
  <c r="AI68" i="110" s="1"/>
  <c r="AH69" i="110"/>
  <c r="AH68" i="110" s="1"/>
  <c r="AF69" i="110"/>
  <c r="AF68" i="110" s="1"/>
  <c r="AU42" i="110"/>
  <c r="AB16" i="472"/>
  <c r="AC27" i="112"/>
  <c r="AF19" i="112"/>
  <c r="AT64" i="111"/>
  <c r="AO41" i="111"/>
  <c r="AI10" i="111"/>
  <c r="AA10" i="111"/>
  <c r="AD10" i="111"/>
  <c r="AE10" i="111"/>
  <c r="AC10" i="111"/>
  <c r="AB10" i="111"/>
  <c r="AH10" i="111"/>
  <c r="AG10" i="111"/>
  <c r="AF10" i="111"/>
  <c r="AH65" i="110"/>
  <c r="AU61" i="114"/>
  <c r="AJ59" i="112"/>
  <c r="AJ73" i="112"/>
  <c r="AP54" i="111"/>
  <c r="AU54" i="111"/>
  <c r="AO54" i="111"/>
  <c r="AQ54" i="111"/>
  <c r="AN54" i="111"/>
  <c r="AT54" i="111"/>
  <c r="AS54" i="111"/>
  <c r="AR54" i="111"/>
  <c r="AG65" i="110"/>
  <c r="AQ35" i="110"/>
  <c r="AR35" i="110"/>
  <c r="AO35" i="110"/>
  <c r="AN35" i="110"/>
  <c r="AU35" i="110"/>
  <c r="AT35" i="110"/>
  <c r="AS35" i="110"/>
  <c r="AP35" i="110"/>
  <c r="AB31" i="110"/>
  <c r="AR26" i="110"/>
  <c r="AO20" i="110"/>
  <c r="AN20" i="110"/>
  <c r="AD8" i="111"/>
  <c r="AC8" i="111"/>
  <c r="AB8" i="111"/>
  <c r="AI8" i="111"/>
  <c r="AG8" i="111"/>
  <c r="AF8" i="111"/>
  <c r="AI46" i="110"/>
  <c r="AA46" i="110"/>
  <c r="AD46" i="110"/>
  <c r="AC46" i="110"/>
  <c r="AH46" i="110"/>
  <c r="AG46" i="110"/>
  <c r="AF46" i="110"/>
  <c r="AE46" i="110"/>
  <c r="AB46" i="110"/>
  <c r="AO44" i="110"/>
  <c r="AU44" i="110"/>
  <c r="AT44" i="110"/>
  <c r="AR44" i="110"/>
  <c r="AQ44" i="110"/>
  <c r="AN44" i="110"/>
  <c r="AE21" i="110"/>
  <c r="AB21" i="110"/>
  <c r="AI21" i="110"/>
  <c r="AA21" i="110"/>
  <c r="AH21" i="110"/>
  <c r="AD21" i="110"/>
  <c r="AC21" i="110"/>
  <c r="AG21" i="110"/>
  <c r="AG12" i="110" s="1"/>
  <c r="AF21" i="110"/>
  <c r="AB9" i="110"/>
  <c r="AI9" i="110"/>
  <c r="AA9" i="110"/>
  <c r="AH9" i="110"/>
  <c r="AC9" i="110"/>
  <c r="AG9" i="110"/>
  <c r="AE9" i="110"/>
  <c r="AD9" i="110"/>
  <c r="AF9" i="110"/>
  <c r="AE61" i="108"/>
  <c r="AT41" i="110"/>
  <c r="AO41" i="110"/>
  <c r="AQ41" i="110"/>
  <c r="AN41" i="110"/>
  <c r="AU41" i="110"/>
  <c r="AP41" i="110"/>
  <c r="AS41" i="110"/>
  <c r="AR41" i="110"/>
  <c r="AI71" i="108"/>
  <c r="AI70" i="108" s="1"/>
  <c r="AP71" i="110"/>
  <c r="AP70" i="110" s="1"/>
  <c r="AP59" i="110"/>
  <c r="AQ29" i="111"/>
  <c r="AH55" i="110"/>
  <c r="AD29" i="111"/>
  <c r="AF27" i="110"/>
  <c r="AP20" i="110"/>
  <c r="AA61" i="108"/>
  <c r="AH65" i="111"/>
  <c r="AH38" i="110"/>
  <c r="AC38" i="110"/>
  <c r="AE38" i="110"/>
  <c r="AB38" i="110"/>
  <c r="AA38" i="110"/>
  <c r="AI38" i="110"/>
  <c r="AG38" i="110"/>
  <c r="AF38" i="110"/>
  <c r="AD38" i="110"/>
  <c r="AU31" i="110"/>
  <c r="AP31" i="110"/>
  <c r="AT31" i="110"/>
  <c r="AS31" i="110"/>
  <c r="AR31" i="110"/>
  <c r="AQ31" i="110"/>
  <c r="AO31" i="110"/>
  <c r="AN31" i="110"/>
  <c r="AT17" i="108"/>
  <c r="AF63" i="107"/>
  <c r="AF60" i="107" s="1"/>
  <c r="AE63" i="107"/>
  <c r="AD63" i="107"/>
  <c r="AB63" i="107"/>
  <c r="AI63" i="107"/>
  <c r="AA63" i="107"/>
  <c r="AU53" i="107"/>
  <c r="AQ17" i="108"/>
  <c r="AV36" i="107"/>
  <c r="AI26" i="108"/>
  <c r="AG10" i="108"/>
  <c r="AF10" i="108"/>
  <c r="AB10" i="108"/>
  <c r="AH10" i="108"/>
  <c r="AE10" i="108"/>
  <c r="AD10" i="108"/>
  <c r="AC10" i="108"/>
  <c r="AA10" i="108"/>
  <c r="AI10" i="108"/>
  <c r="AS63" i="107"/>
  <c r="AI54" i="108"/>
  <c r="AA54" i="108"/>
  <c r="AG54" i="108"/>
  <c r="AF54" i="108"/>
  <c r="AC54" i="108"/>
  <c r="AB54" i="108"/>
  <c r="AH54" i="108"/>
  <c r="AE54" i="108"/>
  <c r="AD54" i="108"/>
  <c r="AU31" i="108"/>
  <c r="AT31" i="108"/>
  <c r="AQ31" i="108"/>
  <c r="AP31" i="108"/>
  <c r="AS31" i="108"/>
  <c r="AR31" i="108"/>
  <c r="AO31" i="108"/>
  <c r="AN31" i="108"/>
  <c r="AU24" i="108"/>
  <c r="AT24" i="108"/>
  <c r="AQ24" i="108"/>
  <c r="AP24" i="108"/>
  <c r="AO24" i="108"/>
  <c r="AN24" i="108"/>
  <c r="AS24" i="108"/>
  <c r="AR24" i="108"/>
  <c r="AS67" i="107"/>
  <c r="AR67" i="107"/>
  <c r="AN67" i="107"/>
  <c r="AP67" i="107"/>
  <c r="AO67" i="107"/>
  <c r="AU67" i="107"/>
  <c r="AT67" i="107"/>
  <c r="AQ67" i="107"/>
  <c r="AC37" i="107"/>
  <c r="AR23" i="107"/>
  <c r="AF15" i="107"/>
  <c r="AT58" i="106"/>
  <c r="AS17" i="108"/>
  <c r="AG63" i="108"/>
  <c r="AE63" i="108"/>
  <c r="AD63" i="108"/>
  <c r="AI63" i="108"/>
  <c r="AA63" i="108"/>
  <c r="AH63" i="108"/>
  <c r="AF63" i="108"/>
  <c r="AC63" i="108"/>
  <c r="AB63" i="108"/>
  <c r="AR53" i="108"/>
  <c r="AA45" i="108"/>
  <c r="AP54" i="110"/>
  <c r="AE15" i="110"/>
  <c r="AP38" i="108"/>
  <c r="AU38" i="108"/>
  <c r="AR38" i="108"/>
  <c r="AQ38" i="108"/>
  <c r="AN38" i="108"/>
  <c r="AQ8" i="108"/>
  <c r="AE71" i="107"/>
  <c r="AE70" i="107" s="1"/>
  <c r="AD71" i="107"/>
  <c r="AD70" i="107" s="1"/>
  <c r="AH71" i="107"/>
  <c r="AH70" i="107" s="1"/>
  <c r="AI71" i="107"/>
  <c r="AI70" i="107" s="1"/>
  <c r="AG71" i="107"/>
  <c r="AG70" i="107" s="1"/>
  <c r="AF71" i="107"/>
  <c r="AF70" i="107" s="1"/>
  <c r="AC71" i="107"/>
  <c r="AC70" i="107" s="1"/>
  <c r="AA71" i="107"/>
  <c r="AB71" i="107"/>
  <c r="AB70" i="107" s="1"/>
  <c r="AQ63" i="107"/>
  <c r="AO53" i="107"/>
  <c r="AV46" i="107"/>
  <c r="AV17" i="107"/>
  <c r="AA67" i="106"/>
  <c r="AS29" i="110"/>
  <c r="AS14" i="107"/>
  <c r="AN14" i="107"/>
  <c r="AU14" i="107"/>
  <c r="AT14" i="107"/>
  <c r="AP14" i="107"/>
  <c r="AR14" i="107"/>
  <c r="AQ14" i="107"/>
  <c r="AO14" i="107"/>
  <c r="AU71" i="106"/>
  <c r="AU70" i="106" s="1"/>
  <c r="AH30" i="107"/>
  <c r="AA30" i="107"/>
  <c r="AI30" i="107"/>
  <c r="AG30" i="107"/>
  <c r="AF30" i="107"/>
  <c r="AD30" i="107"/>
  <c r="AC30" i="107"/>
  <c r="AE30" i="107"/>
  <c r="AB30" i="107"/>
  <c r="AO67" i="106"/>
  <c r="AO65" i="106" s="1"/>
  <c r="AG34" i="106"/>
  <c r="AH71" i="105"/>
  <c r="AH70" i="105" s="1"/>
  <c r="AG71" i="105"/>
  <c r="AG70" i="105" s="1"/>
  <c r="AD71" i="105"/>
  <c r="AD70" i="105" s="1"/>
  <c r="AC71" i="105"/>
  <c r="AC70" i="105" s="1"/>
  <c r="AA71" i="105"/>
  <c r="AI71" i="105"/>
  <c r="AI70" i="105" s="1"/>
  <c r="AF71" i="105"/>
  <c r="AF70" i="105" s="1"/>
  <c r="AE71" i="105"/>
  <c r="AE70" i="105" s="1"/>
  <c r="AB71" i="105"/>
  <c r="AB70" i="105" s="1"/>
  <c r="AE29" i="108"/>
  <c r="AG78" i="107"/>
  <c r="AS48" i="106"/>
  <c r="AP48" i="106"/>
  <c r="AI36" i="106"/>
  <c r="AA36" i="106"/>
  <c r="AH36" i="106"/>
  <c r="AG36" i="106"/>
  <c r="AD36" i="106"/>
  <c r="AE36" i="106"/>
  <c r="AC36" i="106"/>
  <c r="AB36" i="106"/>
  <c r="AF36" i="106"/>
  <c r="AC35" i="106"/>
  <c r="AV18" i="107"/>
  <c r="AS11" i="107"/>
  <c r="AH41" i="106"/>
  <c r="AG41" i="106"/>
  <c r="AF41" i="106"/>
  <c r="AC41" i="106"/>
  <c r="AD41" i="106"/>
  <c r="AB41" i="106"/>
  <c r="AA41" i="106"/>
  <c r="AI41" i="106"/>
  <c r="AE41" i="106"/>
  <c r="AD71" i="106"/>
  <c r="AD70" i="106" s="1"/>
  <c r="AQ57" i="106"/>
  <c r="AT56" i="105"/>
  <c r="AS56" i="105"/>
  <c r="AP56" i="105"/>
  <c r="AQ56" i="105"/>
  <c r="AN56" i="105"/>
  <c r="AU56" i="105"/>
  <c r="AR56" i="105"/>
  <c r="AO56" i="105"/>
  <c r="AF18" i="108"/>
  <c r="AU46" i="105"/>
  <c r="AG15" i="106"/>
  <c r="AF15" i="106"/>
  <c r="AC15" i="106"/>
  <c r="AE15" i="106"/>
  <c r="AD15" i="106"/>
  <c r="AA15" i="106"/>
  <c r="AI15" i="106"/>
  <c r="AH15" i="106"/>
  <c r="AB15" i="106"/>
  <c r="C10" i="418"/>
  <c r="AU51" i="105"/>
  <c r="AT51" i="105"/>
  <c r="AQ51" i="105"/>
  <c r="AP51" i="105"/>
  <c r="AN51" i="105"/>
  <c r="AS51" i="105"/>
  <c r="AR51" i="105"/>
  <c r="AO51" i="105"/>
  <c r="AO73" i="105"/>
  <c r="AO72" i="105" s="1"/>
  <c r="AN73" i="105"/>
  <c r="AS73" i="105"/>
  <c r="AS72" i="105" s="1"/>
  <c r="AU73" i="105"/>
  <c r="AU72" i="105" s="1"/>
  <c r="AR73" i="105"/>
  <c r="AR72" i="105" s="1"/>
  <c r="AP73" i="105"/>
  <c r="AP72" i="105" s="1"/>
  <c r="AT73" i="105"/>
  <c r="AT72" i="105" s="1"/>
  <c r="AQ73" i="105"/>
  <c r="AQ72" i="105" s="1"/>
  <c r="AJ25" i="105"/>
  <c r="AN27" i="106"/>
  <c r="AU27" i="106"/>
  <c r="AT27" i="106"/>
  <c r="AQ27" i="106"/>
  <c r="AS27" i="106"/>
  <c r="AR27" i="106"/>
  <c r="AO27" i="106"/>
  <c r="AP27" i="106"/>
  <c r="AT67" i="103"/>
  <c r="AP59" i="103"/>
  <c r="AN59" i="103"/>
  <c r="AS59" i="103"/>
  <c r="AU59" i="103"/>
  <c r="AT59" i="103"/>
  <c r="AR59" i="103"/>
  <c r="AQ59" i="103"/>
  <c r="AO59" i="103"/>
  <c r="AS51" i="103"/>
  <c r="AP39" i="103"/>
  <c r="AN39" i="103"/>
  <c r="AS39" i="103"/>
  <c r="AU39" i="103"/>
  <c r="AT39" i="103"/>
  <c r="AR39" i="103"/>
  <c r="AQ39" i="103"/>
  <c r="AO39" i="103"/>
  <c r="AI23" i="103"/>
  <c r="AA23" i="103"/>
  <c r="AG23" i="103"/>
  <c r="AD23" i="103"/>
  <c r="AH23" i="103"/>
  <c r="AF23" i="103"/>
  <c r="AE23" i="103"/>
  <c r="AC23" i="103"/>
  <c r="AB23" i="103"/>
  <c r="AN16" i="103"/>
  <c r="AT16" i="103"/>
  <c r="AS16" i="103"/>
  <c r="AQ16" i="103"/>
  <c r="AO16" i="103"/>
  <c r="AP16" i="103"/>
  <c r="AA66" i="102"/>
  <c r="AC66" i="102"/>
  <c r="AA53" i="102"/>
  <c r="AG59" i="101"/>
  <c r="AF59" i="101"/>
  <c r="AE59" i="101"/>
  <c r="AD59" i="101"/>
  <c r="AC59" i="101"/>
  <c r="AB59" i="101"/>
  <c r="AI59" i="101"/>
  <c r="AA59" i="101"/>
  <c r="AH59" i="101"/>
  <c r="AT36" i="101"/>
  <c r="AS36" i="101"/>
  <c r="AR36" i="101"/>
  <c r="AQ36" i="101"/>
  <c r="AP36" i="101"/>
  <c r="AN36" i="101"/>
  <c r="AU36" i="101"/>
  <c r="AO36" i="101"/>
  <c r="AT73" i="100"/>
  <c r="AT72" i="100" s="1"/>
  <c r="AS73" i="100"/>
  <c r="AS72" i="100" s="1"/>
  <c r="AR73" i="100"/>
  <c r="AR72" i="100" s="1"/>
  <c r="AQ73" i="100"/>
  <c r="AQ72" i="100" s="1"/>
  <c r="AP73" i="100"/>
  <c r="AP72" i="100" s="1"/>
  <c r="AN73" i="100"/>
  <c r="AU73" i="100"/>
  <c r="AU72" i="100" s="1"/>
  <c r="AO73" i="100"/>
  <c r="AO72" i="100" s="1"/>
  <c r="AP41" i="100"/>
  <c r="AT41" i="100"/>
  <c r="AD65" i="105"/>
  <c r="AV16" i="105"/>
  <c r="AN10" i="105"/>
  <c r="AD27" i="103"/>
  <c r="AB27" i="103"/>
  <c r="AG27" i="103"/>
  <c r="AI27" i="103"/>
  <c r="AH27" i="103"/>
  <c r="AF27" i="103"/>
  <c r="AE27" i="103"/>
  <c r="AC27" i="103"/>
  <c r="AA27" i="103"/>
  <c r="AG8" i="103"/>
  <c r="AD8" i="103"/>
  <c r="AA8" i="103"/>
  <c r="AI8" i="103"/>
  <c r="AH54" i="105"/>
  <c r="AG54" i="105"/>
  <c r="AD54" i="105"/>
  <c r="AC54" i="105"/>
  <c r="AA54" i="105"/>
  <c r="AI54" i="105"/>
  <c r="AF54" i="105"/>
  <c r="AE54" i="105"/>
  <c r="AB54" i="105"/>
  <c r="AT44" i="105"/>
  <c r="AS44" i="105"/>
  <c r="AR44" i="105"/>
  <c r="AP44" i="105"/>
  <c r="AN44" i="105"/>
  <c r="AO44" i="105"/>
  <c r="AU44" i="105"/>
  <c r="AQ44" i="105"/>
  <c r="AG13" i="105"/>
  <c r="AG12" i="105" s="1"/>
  <c r="AO8" i="105"/>
  <c r="AQ67" i="103"/>
  <c r="AG53" i="103"/>
  <c r="AD34" i="103"/>
  <c r="AB8" i="103"/>
  <c r="AC60" i="102"/>
  <c r="AH53" i="102"/>
  <c r="AP48" i="102"/>
  <c r="AO48" i="102"/>
  <c r="AN48" i="102"/>
  <c r="AU48" i="102"/>
  <c r="AT48" i="102"/>
  <c r="AS48" i="102"/>
  <c r="AR48" i="102"/>
  <c r="AQ48" i="102"/>
  <c r="AN14" i="102"/>
  <c r="AU14" i="102"/>
  <c r="AT14" i="102"/>
  <c r="AS14" i="102"/>
  <c r="AR14" i="102"/>
  <c r="AQ14" i="102"/>
  <c r="AP14" i="102"/>
  <c r="AO14" i="102"/>
  <c r="AN61" i="101"/>
  <c r="AU61" i="101"/>
  <c r="AT61" i="101"/>
  <c r="AS61" i="101"/>
  <c r="AR61" i="101"/>
  <c r="AQ61" i="101"/>
  <c r="AP61" i="101"/>
  <c r="AO61" i="101"/>
  <c r="AI34" i="101"/>
  <c r="AA34" i="101"/>
  <c r="AH34" i="101"/>
  <c r="AG34" i="101"/>
  <c r="AF34" i="101"/>
  <c r="AE34" i="101"/>
  <c r="AC34" i="101"/>
  <c r="AB34" i="101"/>
  <c r="AD34" i="101"/>
  <c r="AI61" i="100"/>
  <c r="AE61" i="100"/>
  <c r="AC61" i="100"/>
  <c r="AA61" i="100"/>
  <c r="AC28" i="106"/>
  <c r="AS13" i="106"/>
  <c r="AS12" i="106" s="1"/>
  <c r="AU64" i="105"/>
  <c r="AH52" i="105"/>
  <c r="AS8" i="105"/>
  <c r="AF53" i="103"/>
  <c r="AI35" i="103"/>
  <c r="AQ18" i="103"/>
  <c r="AU61" i="102"/>
  <c r="AU60" i="102" s="1"/>
  <c r="AG51" i="102"/>
  <c r="AE51" i="102"/>
  <c r="AC51" i="102"/>
  <c r="AA51" i="102"/>
  <c r="AT28" i="101"/>
  <c r="AG11" i="101"/>
  <c r="AG61" i="100"/>
  <c r="AI54" i="106"/>
  <c r="AV66" i="105"/>
  <c r="AG3" i="105"/>
  <c r="AG2" i="105" s="1"/>
  <c r="AE3" i="105"/>
  <c r="AE2" i="105" s="1"/>
  <c r="AB3" i="105"/>
  <c r="AB2" i="105" s="1"/>
  <c r="AI3" i="105"/>
  <c r="AA3" i="105"/>
  <c r="AH3" i="105"/>
  <c r="AH2" i="105" s="1"/>
  <c r="AF3" i="105"/>
  <c r="AD3" i="105"/>
  <c r="AD2" i="105" s="1"/>
  <c r="AC3" i="105"/>
  <c r="AC2" i="105" s="1"/>
  <c r="AT66" i="103"/>
  <c r="AQ66" i="103"/>
  <c r="AN66" i="103"/>
  <c r="AP66" i="103"/>
  <c r="AP65" i="103" s="1"/>
  <c r="AB57" i="103"/>
  <c r="AH57" i="103"/>
  <c r="AF57" i="103"/>
  <c r="AE57" i="103"/>
  <c r="AC57" i="103"/>
  <c r="AA57" i="103"/>
  <c r="AI57" i="103"/>
  <c r="AR51" i="103"/>
  <c r="AA40" i="103"/>
  <c r="AA34" i="103"/>
  <c r="AH8" i="103"/>
  <c r="AN59" i="102"/>
  <c r="AR59" i="102"/>
  <c r="AQ59" i="102"/>
  <c r="AP59" i="102"/>
  <c r="AO59" i="102"/>
  <c r="AU59" i="102"/>
  <c r="AT59" i="102"/>
  <c r="AS59" i="102"/>
  <c r="AG34" i="102"/>
  <c r="AD56" i="101"/>
  <c r="AQ27" i="101"/>
  <c r="AE13" i="106"/>
  <c r="AF52" i="105"/>
  <c r="AB26" i="105"/>
  <c r="AF26" i="105"/>
  <c r="AD26" i="105"/>
  <c r="AI26" i="105"/>
  <c r="AH26" i="105"/>
  <c r="AG26" i="105"/>
  <c r="AE26" i="105"/>
  <c r="AC26" i="105"/>
  <c r="AA26" i="105"/>
  <c r="AE66" i="103"/>
  <c r="AH34" i="103"/>
  <c r="AB25" i="103"/>
  <c r="AJ25" i="103" s="1"/>
  <c r="AG29" i="102"/>
  <c r="AQ35" i="106"/>
  <c r="AQ2" i="106"/>
  <c r="AD43" i="105"/>
  <c r="AR27" i="105"/>
  <c r="AS27" i="105"/>
  <c r="AP27" i="105"/>
  <c r="AU27" i="105"/>
  <c r="AT27" i="105"/>
  <c r="AQ27" i="105"/>
  <c r="AO27" i="105"/>
  <c r="AN27" i="105"/>
  <c r="AV18" i="105"/>
  <c r="AE13" i="105"/>
  <c r="AE12" i="105" s="1"/>
  <c r="AS69" i="103"/>
  <c r="AS68" i="103" s="1"/>
  <c r="AQ69" i="103"/>
  <c r="AQ68" i="103" s="1"/>
  <c r="AN69" i="103"/>
  <c r="AU69" i="103"/>
  <c r="AT69" i="103"/>
  <c r="AR69" i="103"/>
  <c r="AP69" i="103"/>
  <c r="AP68" i="103" s="1"/>
  <c r="AO69" i="103"/>
  <c r="AO68" i="103" s="1"/>
  <c r="AD63" i="103"/>
  <c r="AA53" i="103"/>
  <c r="AH45" i="103"/>
  <c r="AF45" i="103"/>
  <c r="AE45" i="103"/>
  <c r="AC45" i="103"/>
  <c r="AB45" i="103"/>
  <c r="AN25" i="103"/>
  <c r="AT25" i="103"/>
  <c r="AS25" i="103"/>
  <c r="AQ25" i="103"/>
  <c r="AO25" i="103"/>
  <c r="AA21" i="103"/>
  <c r="AD15" i="103"/>
  <c r="AB15" i="103"/>
  <c r="AG15" i="103"/>
  <c r="AC15" i="103"/>
  <c r="AA15" i="103"/>
  <c r="AI15" i="103"/>
  <c r="AH15" i="103"/>
  <c r="AF15" i="103"/>
  <c r="AE15" i="103"/>
  <c r="AT63" i="102"/>
  <c r="AT60" i="102" s="1"/>
  <c r="AR37" i="102"/>
  <c r="AS37" i="102"/>
  <c r="AQ37" i="102"/>
  <c r="AP37" i="102"/>
  <c r="AO37" i="102"/>
  <c r="AN37" i="102"/>
  <c r="AU37" i="102"/>
  <c r="AT37" i="102"/>
  <c r="AF25" i="102"/>
  <c r="AD73" i="100"/>
  <c r="AD14" i="100"/>
  <c r="AT56" i="102"/>
  <c r="AO69" i="101"/>
  <c r="AO68" i="101" s="1"/>
  <c r="AE37" i="101"/>
  <c r="AS48" i="100"/>
  <c r="AS15" i="100"/>
  <c r="AC26" i="101"/>
  <c r="AI45" i="102"/>
  <c r="AB17" i="102"/>
  <c r="AI17" i="102"/>
  <c r="AA17" i="102"/>
  <c r="AH17" i="102"/>
  <c r="AG17" i="102"/>
  <c r="AF17" i="102"/>
  <c r="AE17" i="102"/>
  <c r="AD17" i="102"/>
  <c r="AC17" i="102"/>
  <c r="AS38" i="101"/>
  <c r="AO29" i="101"/>
  <c r="AU71" i="100"/>
  <c r="AU70" i="100" s="1"/>
  <c r="AF34" i="100"/>
  <c r="AF13" i="100"/>
  <c r="AN48" i="101"/>
  <c r="AT48" i="101"/>
  <c r="AD14" i="101"/>
  <c r="AA4" i="100"/>
  <c r="AI4" i="100"/>
  <c r="AC4" i="100"/>
  <c r="AE4" i="100"/>
  <c r="AQ52" i="105"/>
  <c r="AN23" i="102"/>
  <c r="AU55" i="101"/>
  <c r="AT55" i="101"/>
  <c r="AS55" i="101"/>
  <c r="AR55" i="101"/>
  <c r="AQ55" i="101"/>
  <c r="AP55" i="101"/>
  <c r="AO55" i="101"/>
  <c r="AN55" i="101"/>
  <c r="AA48" i="101"/>
  <c r="AQ38" i="100"/>
  <c r="AD24" i="102"/>
  <c r="AR43" i="101"/>
  <c r="AP25" i="101"/>
  <c r="AP51" i="100"/>
  <c r="AH36" i="102"/>
  <c r="AD36" i="102"/>
  <c r="AC36" i="102"/>
  <c r="AB36" i="102"/>
  <c r="AA36" i="102"/>
  <c r="AI36" i="102"/>
  <c r="AG36" i="102"/>
  <c r="AF36" i="102"/>
  <c r="AE36" i="102"/>
  <c r="AG3" i="102"/>
  <c r="AG2" i="102" s="1"/>
  <c r="AF3" i="102"/>
  <c r="AF2" i="102" s="1"/>
  <c r="AE3" i="102"/>
  <c r="AD3" i="102"/>
  <c r="AD2" i="102" s="1"/>
  <c r="AC3" i="102"/>
  <c r="AC2" i="102" s="1"/>
  <c r="AB3" i="102"/>
  <c r="AB2" i="102" s="1"/>
  <c r="AI3" i="102"/>
  <c r="AI2" i="102" s="1"/>
  <c r="AA3" i="102"/>
  <c r="AH3" i="102"/>
  <c r="AH2" i="102" s="1"/>
  <c r="AU51" i="101"/>
  <c r="AS45" i="101"/>
  <c r="AO30" i="101"/>
  <c r="AF24" i="101"/>
  <c r="AQ51" i="100"/>
  <c r="AT28" i="100"/>
  <c r="AR28" i="100"/>
  <c r="AQ28" i="100"/>
  <c r="AP28" i="100"/>
  <c r="AN28" i="100"/>
  <c r="AU28" i="100"/>
  <c r="AS28" i="100"/>
  <c r="AO28" i="100"/>
  <c r="AV24" i="105"/>
  <c r="AI53" i="103"/>
  <c r="AD9" i="102"/>
  <c r="AR64" i="101"/>
  <c r="AB52" i="101"/>
  <c r="AE30" i="101"/>
  <c r="AT69" i="101"/>
  <c r="AE58" i="100"/>
  <c r="AU11" i="100"/>
  <c r="AO64" i="100"/>
  <c r="AO60" i="100" s="1"/>
  <c r="AI34" i="100"/>
  <c r="AP49" i="475"/>
  <c r="AB73" i="475"/>
  <c r="AE73" i="475"/>
  <c r="AD73" i="475"/>
  <c r="AI73" i="475"/>
  <c r="AC73" i="475"/>
  <c r="AA73" i="475"/>
  <c r="AH73" i="475"/>
  <c r="AG73" i="475"/>
  <c r="AF73" i="475"/>
  <c r="AN72" i="475"/>
  <c r="AV73" i="475"/>
  <c r="AV72" i="475" s="1"/>
  <c r="AR66" i="475"/>
  <c r="AP66" i="475"/>
  <c r="AP65" i="475" s="1"/>
  <c r="AQ66" i="475"/>
  <c r="AR59" i="475"/>
  <c r="AG69" i="475"/>
  <c r="AG68" i="475" s="1"/>
  <c r="AF69" i="475"/>
  <c r="AF68" i="475" s="1"/>
  <c r="AC69" i="475"/>
  <c r="AC68" i="475" s="1"/>
  <c r="AA69" i="475"/>
  <c r="AH69" i="475"/>
  <c r="AH68" i="475" s="1"/>
  <c r="AE69" i="475"/>
  <c r="AE68" i="475" s="1"/>
  <c r="AD69" i="475"/>
  <c r="AD68" i="475" s="1"/>
  <c r="AB69" i="475"/>
  <c r="AB68" i="475" s="1"/>
  <c r="AI69" i="475"/>
  <c r="AI68" i="475" s="1"/>
  <c r="AG32" i="475"/>
  <c r="AF31" i="475"/>
  <c r="AE31" i="475"/>
  <c r="AI31" i="475"/>
  <c r="AA31" i="475"/>
  <c r="AH31" i="475"/>
  <c r="AG31" i="475"/>
  <c r="AD31" i="475"/>
  <c r="AC31" i="475"/>
  <c r="AB31" i="475"/>
  <c r="AO3" i="475"/>
  <c r="AO2" i="475" s="1"/>
  <c r="AR3" i="475"/>
  <c r="AR2" i="475" s="1"/>
  <c r="AU3" i="475"/>
  <c r="AU2" i="475" s="1"/>
  <c r="AT3" i="475"/>
  <c r="AT2" i="475" s="1"/>
  <c r="AS3" i="475"/>
  <c r="AS2" i="475" s="1"/>
  <c r="AQ3" i="475"/>
  <c r="AQ2" i="475" s="1"/>
  <c r="AN3" i="475"/>
  <c r="AP3" i="475"/>
  <c r="AP2" i="475" s="1"/>
  <c r="AG71" i="123"/>
  <c r="AG70" i="123" s="1"/>
  <c r="AE71" i="123"/>
  <c r="AE70" i="123" s="1"/>
  <c r="AD71" i="123"/>
  <c r="AD70" i="123" s="1"/>
  <c r="AC71" i="123"/>
  <c r="AC70" i="123" s="1"/>
  <c r="AB71" i="123"/>
  <c r="AB70" i="123" s="1"/>
  <c r="AA71" i="123"/>
  <c r="AI71" i="123"/>
  <c r="AI70" i="123" s="1"/>
  <c r="AH71" i="123"/>
  <c r="AH70" i="123" s="1"/>
  <c r="AF71" i="123"/>
  <c r="AF70" i="123" s="1"/>
  <c r="AT15" i="475"/>
  <c r="AS15" i="475"/>
  <c r="AO15" i="475"/>
  <c r="AR15" i="475"/>
  <c r="AQ15" i="475"/>
  <c r="AP15" i="475"/>
  <c r="AN15" i="475"/>
  <c r="AU15" i="475"/>
  <c r="AI8" i="475"/>
  <c r="AA8" i="475"/>
  <c r="AD8" i="475"/>
  <c r="AB8" i="475"/>
  <c r="AH8" i="475"/>
  <c r="AG8" i="475"/>
  <c r="AF8" i="475"/>
  <c r="AC8" i="475"/>
  <c r="AE8" i="475"/>
  <c r="AI69" i="125"/>
  <c r="AI68" i="125" s="1"/>
  <c r="AA69" i="125"/>
  <c r="AH69" i="125"/>
  <c r="AH68" i="125" s="1"/>
  <c r="AG69" i="125"/>
  <c r="AG68" i="125" s="1"/>
  <c r="AF69" i="125"/>
  <c r="AF68" i="125" s="1"/>
  <c r="AE69" i="125"/>
  <c r="AE68" i="125" s="1"/>
  <c r="AD69" i="125"/>
  <c r="AD68" i="125" s="1"/>
  <c r="AC69" i="125"/>
  <c r="AC68" i="125" s="1"/>
  <c r="AB69" i="125"/>
  <c r="AB68" i="125" s="1"/>
  <c r="AD23" i="475"/>
  <c r="AC23" i="475"/>
  <c r="AG23" i="475"/>
  <c r="AF23" i="475"/>
  <c r="AB23" i="475"/>
  <c r="AA23" i="475"/>
  <c r="AI23" i="475"/>
  <c r="AH23" i="475"/>
  <c r="AE23" i="475"/>
  <c r="AC48" i="475"/>
  <c r="AQ32" i="475"/>
  <c r="AG20" i="475"/>
  <c r="AF20" i="475"/>
  <c r="AF12" i="475" s="1"/>
  <c r="AB20" i="475"/>
  <c r="AI20" i="475"/>
  <c r="AA20" i="475"/>
  <c r="AH20" i="475"/>
  <c r="AH12" i="475" s="1"/>
  <c r="AE20" i="475"/>
  <c r="AE12" i="475" s="1"/>
  <c r="AD20" i="475"/>
  <c r="AC20" i="475"/>
  <c r="AR34" i="475"/>
  <c r="AQ34" i="475"/>
  <c r="AU34" i="475"/>
  <c r="AT34" i="475"/>
  <c r="AP34" i="475"/>
  <c r="AO34" i="475"/>
  <c r="AN34" i="475"/>
  <c r="AS34" i="475"/>
  <c r="AG30" i="475"/>
  <c r="AF30" i="475"/>
  <c r="AB30" i="475"/>
  <c r="AI30" i="475"/>
  <c r="AA30" i="475"/>
  <c r="AH30" i="475"/>
  <c r="AE30" i="475"/>
  <c r="AD30" i="475"/>
  <c r="AC30" i="475"/>
  <c r="AT11" i="475"/>
  <c r="AS11" i="475"/>
  <c r="AO11" i="475"/>
  <c r="AN11" i="475"/>
  <c r="AU11" i="475"/>
  <c r="AR11" i="475"/>
  <c r="AP11" i="475"/>
  <c r="AQ11" i="475"/>
  <c r="AO23" i="125"/>
  <c r="AU23" i="125"/>
  <c r="AT23" i="125"/>
  <c r="AS23" i="125"/>
  <c r="AN23" i="125"/>
  <c r="AR23" i="125"/>
  <c r="AQ23" i="125"/>
  <c r="AP23" i="125"/>
  <c r="AC67" i="125"/>
  <c r="AB67" i="125"/>
  <c r="AI67" i="125"/>
  <c r="AA67" i="125"/>
  <c r="AH67" i="125"/>
  <c r="AG67" i="125"/>
  <c r="AF67" i="125"/>
  <c r="AE67" i="125"/>
  <c r="AD67" i="125"/>
  <c r="AP42" i="125"/>
  <c r="AN25" i="125"/>
  <c r="AT25" i="125"/>
  <c r="AS25" i="125"/>
  <c r="AR25" i="125"/>
  <c r="AU25" i="125"/>
  <c r="AQ25" i="125"/>
  <c r="AP25" i="125"/>
  <c r="AO25" i="125"/>
  <c r="AR67" i="123"/>
  <c r="AU73" i="123"/>
  <c r="AU72" i="123" s="1"/>
  <c r="AP73" i="123"/>
  <c r="AP72" i="123" s="1"/>
  <c r="AQ73" i="123"/>
  <c r="AQ72" i="123" s="1"/>
  <c r="AO73" i="123"/>
  <c r="AO72" i="123" s="1"/>
  <c r="AG67" i="123"/>
  <c r="AG65" i="123" s="1"/>
  <c r="AD67" i="123"/>
  <c r="AD65" i="123" s="1"/>
  <c r="AC67" i="123"/>
  <c r="AE58" i="123"/>
  <c r="AB58" i="123"/>
  <c r="AG58" i="123"/>
  <c r="AF58" i="123"/>
  <c r="AP29" i="123"/>
  <c r="AU29" i="123"/>
  <c r="AT29" i="123"/>
  <c r="AS29" i="123"/>
  <c r="AQ29" i="123"/>
  <c r="AO29" i="123"/>
  <c r="AN29" i="123"/>
  <c r="AR29" i="123"/>
  <c r="AI21" i="125"/>
  <c r="AA21" i="125"/>
  <c r="AG21" i="125"/>
  <c r="AF21" i="125"/>
  <c r="AE21" i="125"/>
  <c r="AD21" i="125"/>
  <c r="AH21" i="125"/>
  <c r="AB21" i="125"/>
  <c r="AC21" i="125"/>
  <c r="AE40" i="123"/>
  <c r="AO41" i="123"/>
  <c r="AN41" i="123"/>
  <c r="AT41" i="123"/>
  <c r="AR41" i="123"/>
  <c r="AP41" i="123"/>
  <c r="AD40" i="123"/>
  <c r="AO11" i="123"/>
  <c r="AI44" i="122"/>
  <c r="AA44" i="122"/>
  <c r="AG44" i="122"/>
  <c r="AE44" i="122"/>
  <c r="AC44" i="122"/>
  <c r="AF44" i="122"/>
  <c r="AD44" i="122"/>
  <c r="AB44" i="122"/>
  <c r="AH44" i="122"/>
  <c r="AN27" i="122"/>
  <c r="AT27" i="122"/>
  <c r="AR27" i="122"/>
  <c r="AP27" i="122"/>
  <c r="AU27" i="122"/>
  <c r="AS27" i="122"/>
  <c r="AQ27" i="122"/>
  <c r="AO27" i="122"/>
  <c r="AB69" i="123"/>
  <c r="AB68" i="123" s="1"/>
  <c r="AG69" i="123"/>
  <c r="AG68" i="123" s="1"/>
  <c r="AF69" i="123"/>
  <c r="AF68" i="123" s="1"/>
  <c r="AC69" i="123"/>
  <c r="AC68" i="123" s="1"/>
  <c r="AI69" i="123"/>
  <c r="AI68" i="123" s="1"/>
  <c r="AA69" i="123"/>
  <c r="AH69" i="123"/>
  <c r="AH68" i="123" s="1"/>
  <c r="AE69" i="123"/>
  <c r="AE68" i="123" s="1"/>
  <c r="AD69" i="123"/>
  <c r="AD68" i="123" s="1"/>
  <c r="AJ52" i="122"/>
  <c r="AN73" i="123"/>
  <c r="AN58" i="123"/>
  <c r="AT45" i="125"/>
  <c r="AN10" i="123"/>
  <c r="AP10" i="123"/>
  <c r="AH60" i="123"/>
  <c r="AR11" i="123"/>
  <c r="AT64" i="122"/>
  <c r="AN20" i="122"/>
  <c r="AU20" i="122"/>
  <c r="AS20" i="122"/>
  <c r="AQ20" i="122"/>
  <c r="AP20" i="122"/>
  <c r="AO20" i="122"/>
  <c r="AF10" i="123"/>
  <c r="AS64" i="122"/>
  <c r="AA17" i="122"/>
  <c r="AE19" i="122"/>
  <c r="AC19" i="122"/>
  <c r="AG19" i="122"/>
  <c r="AD19" i="122"/>
  <c r="AH17" i="122"/>
  <c r="AR18" i="122"/>
  <c r="AQ8" i="122"/>
  <c r="AN8" i="122"/>
  <c r="AU8" i="122"/>
  <c r="AT8" i="122"/>
  <c r="AS8" i="122"/>
  <c r="AR8" i="122"/>
  <c r="AP8" i="122"/>
  <c r="AO8" i="122"/>
  <c r="AR35" i="122"/>
  <c r="AP35" i="122"/>
  <c r="AN35" i="122"/>
  <c r="AT35" i="122"/>
  <c r="AU35" i="122"/>
  <c r="AS35" i="122"/>
  <c r="AQ35" i="122"/>
  <c r="AO35" i="122"/>
  <c r="AJ18" i="122"/>
  <c r="AR9" i="122"/>
  <c r="AO9" i="122"/>
  <c r="AN9" i="122"/>
  <c r="AU9" i="122"/>
  <c r="AT9" i="122"/>
  <c r="AS9" i="122"/>
  <c r="AQ9" i="122"/>
  <c r="AP9" i="122"/>
  <c r="AR71" i="121"/>
  <c r="AR70" i="121" s="1"/>
  <c r="AO71" i="121"/>
  <c r="AO70" i="121" s="1"/>
  <c r="AN71" i="121"/>
  <c r="AU71" i="121"/>
  <c r="AU70" i="121" s="1"/>
  <c r="AT71" i="121"/>
  <c r="AT70" i="121" s="1"/>
  <c r="AS71" i="121"/>
  <c r="AS70" i="121" s="1"/>
  <c r="AS68" i="121" s="1"/>
  <c r="AQ71" i="121"/>
  <c r="AQ70" i="121" s="1"/>
  <c r="AP71" i="121"/>
  <c r="AP70" i="121" s="1"/>
  <c r="AU65" i="122"/>
  <c r="AU11" i="122"/>
  <c r="AE37" i="121"/>
  <c r="AC37" i="121"/>
  <c r="AB37" i="121"/>
  <c r="AI37" i="121"/>
  <c r="AH37" i="121"/>
  <c r="AG37" i="121"/>
  <c r="AF37" i="121"/>
  <c r="AD37" i="121"/>
  <c r="AA37" i="121"/>
  <c r="AH15" i="121"/>
  <c r="AI15" i="121"/>
  <c r="AF15" i="121"/>
  <c r="AE15" i="121"/>
  <c r="AD15" i="121"/>
  <c r="AC15" i="121"/>
  <c r="AB15" i="121"/>
  <c r="AA15" i="121"/>
  <c r="AG15" i="121"/>
  <c r="AB39" i="122"/>
  <c r="AH39" i="122"/>
  <c r="AF39" i="122"/>
  <c r="AD39" i="122"/>
  <c r="AI39" i="122"/>
  <c r="AG39" i="122"/>
  <c r="AE39" i="122"/>
  <c r="AC39" i="122"/>
  <c r="AA39" i="122"/>
  <c r="AJ23" i="122"/>
  <c r="AN70" i="122"/>
  <c r="AN40" i="122"/>
  <c r="AT40" i="122"/>
  <c r="AR40" i="122"/>
  <c r="AP40" i="122"/>
  <c r="AO40" i="122"/>
  <c r="AU40" i="122"/>
  <c r="AS40" i="122"/>
  <c r="AQ40" i="122"/>
  <c r="AJ4" i="122"/>
  <c r="AF29" i="121"/>
  <c r="AD29" i="121"/>
  <c r="AA29" i="121"/>
  <c r="AI29" i="121"/>
  <c r="AH29" i="121"/>
  <c r="AG29" i="121"/>
  <c r="AE29" i="121"/>
  <c r="AC29" i="121"/>
  <c r="AB29" i="121"/>
  <c r="AG36" i="121"/>
  <c r="AG23" i="121"/>
  <c r="AE23" i="121"/>
  <c r="AC23" i="121"/>
  <c r="AA23" i="121"/>
  <c r="AI23" i="121"/>
  <c r="AH23" i="121"/>
  <c r="AF23" i="121"/>
  <c r="AD23" i="121"/>
  <c r="AB23" i="121"/>
  <c r="AT20" i="122"/>
  <c r="AG20" i="122"/>
  <c r="AO44" i="121"/>
  <c r="AU44" i="121"/>
  <c r="AT44" i="121"/>
  <c r="AP44" i="121"/>
  <c r="AN44" i="121"/>
  <c r="AS44" i="121"/>
  <c r="AR44" i="121"/>
  <c r="AQ44" i="121"/>
  <c r="AE78" i="121"/>
  <c r="AC78" i="121"/>
  <c r="AB78" i="121"/>
  <c r="AH78" i="121"/>
  <c r="AG78" i="121"/>
  <c r="AF78" i="121"/>
  <c r="AD78" i="121"/>
  <c r="AA78" i="121"/>
  <c r="AI78" i="121"/>
  <c r="AF25" i="121"/>
  <c r="AD25" i="121"/>
  <c r="AG25" i="121"/>
  <c r="AC25" i="121"/>
  <c r="AB25" i="121"/>
  <c r="AA25" i="121"/>
  <c r="AI25" i="121"/>
  <c r="AH25" i="121"/>
  <c r="AE25" i="121"/>
  <c r="AH11" i="122"/>
  <c r="AF11" i="122"/>
  <c r="AE11" i="122"/>
  <c r="AH26" i="121"/>
  <c r="AF26" i="121"/>
  <c r="AI26" i="121"/>
  <c r="AG26" i="121"/>
  <c r="AE26" i="121"/>
  <c r="AD26" i="121"/>
  <c r="AC26" i="121"/>
  <c r="AB26" i="121"/>
  <c r="AA26" i="121"/>
  <c r="AA3" i="121"/>
  <c r="AG3" i="121"/>
  <c r="AG2" i="121" s="1"/>
  <c r="AB3" i="121"/>
  <c r="AB2" i="121" s="1"/>
  <c r="AO78" i="120"/>
  <c r="AJ10" i="122"/>
  <c r="AQ56" i="120"/>
  <c r="AN56" i="120"/>
  <c r="AS56" i="120"/>
  <c r="AR56" i="120"/>
  <c r="AU56" i="120"/>
  <c r="AT56" i="120"/>
  <c r="AP56" i="120"/>
  <c r="AO56" i="120"/>
  <c r="AS36" i="120"/>
  <c r="AR36" i="120"/>
  <c r="AO36" i="120"/>
  <c r="AT36" i="120"/>
  <c r="AN36" i="120"/>
  <c r="AV71" i="120"/>
  <c r="AV70" i="120" s="1"/>
  <c r="AN70" i="120"/>
  <c r="AN68" i="120" s="1"/>
  <c r="AT21" i="120"/>
  <c r="AS21" i="120"/>
  <c r="AQ21" i="120"/>
  <c r="AP21" i="120"/>
  <c r="AN21" i="120"/>
  <c r="AU21" i="120"/>
  <c r="AR21" i="120"/>
  <c r="AO21" i="120"/>
  <c r="AR56" i="119"/>
  <c r="AP56" i="119"/>
  <c r="AU56" i="119"/>
  <c r="AT56" i="119"/>
  <c r="AS56" i="119"/>
  <c r="AQ56" i="119"/>
  <c r="AO56" i="119"/>
  <c r="AN56" i="119"/>
  <c r="AH69" i="120"/>
  <c r="AH68" i="120" s="1"/>
  <c r="AG23" i="120"/>
  <c r="AG17" i="120"/>
  <c r="AD78" i="120"/>
  <c r="AC78" i="120"/>
  <c r="AB78" i="120"/>
  <c r="AA78" i="120"/>
  <c r="AI78" i="120"/>
  <c r="AH78" i="120"/>
  <c r="AE78" i="120"/>
  <c r="AN55" i="119"/>
  <c r="AT55" i="119"/>
  <c r="AQ55" i="119"/>
  <c r="AP55" i="119"/>
  <c r="AU55" i="119"/>
  <c r="AS55" i="119"/>
  <c r="AR55" i="119"/>
  <c r="AO55" i="119"/>
  <c r="AH19" i="120"/>
  <c r="AF19" i="120"/>
  <c r="AE19" i="120"/>
  <c r="AP59" i="119"/>
  <c r="AE41" i="119"/>
  <c r="AC41" i="119"/>
  <c r="AH41" i="119"/>
  <c r="AB41" i="119"/>
  <c r="AA41" i="119"/>
  <c r="AG41" i="119"/>
  <c r="AF41" i="119"/>
  <c r="AD41" i="119"/>
  <c r="AI41" i="119"/>
  <c r="AJ24" i="120"/>
  <c r="AI19" i="120"/>
  <c r="AH35" i="119"/>
  <c r="AE35" i="119"/>
  <c r="AF35" i="119"/>
  <c r="AD35" i="119"/>
  <c r="AC35" i="119"/>
  <c r="AI35" i="119"/>
  <c r="AG35" i="119"/>
  <c r="AA35" i="119"/>
  <c r="AB35" i="119"/>
  <c r="AN53" i="119"/>
  <c r="AB25" i="119"/>
  <c r="AN54" i="119"/>
  <c r="AV44" i="119"/>
  <c r="AT42" i="118"/>
  <c r="AR42" i="118"/>
  <c r="AU42" i="118"/>
  <c r="AS42" i="118"/>
  <c r="AQ42" i="118"/>
  <c r="AP42" i="118"/>
  <c r="AO42" i="118"/>
  <c r="AN42" i="118"/>
  <c r="AC24" i="119"/>
  <c r="AH24" i="119"/>
  <c r="AG24" i="119"/>
  <c r="AF24" i="119"/>
  <c r="AE24" i="119"/>
  <c r="AA24" i="119"/>
  <c r="AI24" i="119"/>
  <c r="AD24" i="119"/>
  <c r="AB24" i="119"/>
  <c r="AR4" i="119"/>
  <c r="AR2" i="119" s="1"/>
  <c r="AP4" i="119"/>
  <c r="AP2" i="119" s="1"/>
  <c r="AU4" i="119"/>
  <c r="AU2" i="119" s="1"/>
  <c r="AT4" i="119"/>
  <c r="AT2" i="119" s="1"/>
  <c r="AS4" i="119"/>
  <c r="AS2" i="119" s="1"/>
  <c r="AQ4" i="119"/>
  <c r="AQ2" i="119" s="1"/>
  <c r="AO4" i="119"/>
  <c r="AO2" i="119" s="1"/>
  <c r="AN4" i="119"/>
  <c r="AG53" i="118"/>
  <c r="AD53" i="118"/>
  <c r="AB53" i="118"/>
  <c r="AA53" i="118"/>
  <c r="AI53" i="118"/>
  <c r="AH53" i="118"/>
  <c r="AF53" i="118"/>
  <c r="AE53" i="118"/>
  <c r="AC53" i="118"/>
  <c r="AD51" i="118"/>
  <c r="AD48" i="118"/>
  <c r="AS35" i="118"/>
  <c r="AS29" i="118"/>
  <c r="AG27" i="119"/>
  <c r="AD27" i="119"/>
  <c r="AI27" i="119"/>
  <c r="AH27" i="119"/>
  <c r="AF27" i="119"/>
  <c r="AB27" i="119"/>
  <c r="AA27" i="119"/>
  <c r="AE27" i="119"/>
  <c r="AC27" i="119"/>
  <c r="AB36" i="118"/>
  <c r="AH36" i="118"/>
  <c r="AC36" i="118"/>
  <c r="AA36" i="118"/>
  <c r="AI36" i="118"/>
  <c r="AG36" i="118"/>
  <c r="AF36" i="118"/>
  <c r="AE36" i="118"/>
  <c r="AD36" i="118"/>
  <c r="AI10" i="118"/>
  <c r="AA10" i="118"/>
  <c r="AG10" i="118"/>
  <c r="AF10" i="118"/>
  <c r="AE10" i="118"/>
  <c r="AD10" i="118"/>
  <c r="AC10" i="118"/>
  <c r="AH10" i="118"/>
  <c r="AB10" i="118"/>
  <c r="AO34" i="119"/>
  <c r="AT34" i="119"/>
  <c r="AP34" i="119"/>
  <c r="AN34" i="119"/>
  <c r="AS34" i="119"/>
  <c r="AR34" i="119"/>
  <c r="AQ34" i="119"/>
  <c r="AU34" i="119"/>
  <c r="AE51" i="118"/>
  <c r="AT36" i="118"/>
  <c r="AR36" i="118"/>
  <c r="AO36" i="118"/>
  <c r="AN36" i="118"/>
  <c r="AU36" i="118"/>
  <c r="AS36" i="118"/>
  <c r="AQ36" i="118"/>
  <c r="AP36" i="118"/>
  <c r="AB30" i="119"/>
  <c r="AG30" i="119"/>
  <c r="AH30" i="119"/>
  <c r="AF30" i="119"/>
  <c r="AE30" i="119"/>
  <c r="AA30" i="119"/>
  <c r="AI30" i="119"/>
  <c r="AD30" i="119"/>
  <c r="AC30" i="119"/>
  <c r="AF59" i="118"/>
  <c r="AS34" i="118"/>
  <c r="AQ34" i="118"/>
  <c r="AT34" i="118"/>
  <c r="AR34" i="118"/>
  <c r="AP34" i="118"/>
  <c r="AO34" i="118"/>
  <c r="AN34" i="118"/>
  <c r="AU34" i="118"/>
  <c r="AA27" i="118"/>
  <c r="AA14" i="118"/>
  <c r="AQ42" i="117"/>
  <c r="AP42" i="117"/>
  <c r="AO42" i="117"/>
  <c r="AT42" i="117"/>
  <c r="AS42" i="117"/>
  <c r="AU42" i="117"/>
  <c r="AR42" i="117"/>
  <c r="AN42" i="117"/>
  <c r="AF57" i="117"/>
  <c r="AE57" i="117"/>
  <c r="AD57" i="117"/>
  <c r="AC57" i="117"/>
  <c r="AH57" i="117"/>
  <c r="AG57" i="117"/>
  <c r="AI57" i="117"/>
  <c r="AB57" i="117"/>
  <c r="AA57" i="117"/>
  <c r="AO45" i="117"/>
  <c r="AE32" i="117"/>
  <c r="AC32" i="117"/>
  <c r="AH32" i="117"/>
  <c r="AG32" i="117"/>
  <c r="AI32" i="117"/>
  <c r="AF32" i="117"/>
  <c r="AA32" i="117"/>
  <c r="AB32" i="117"/>
  <c r="AD32" i="117"/>
  <c r="AT11" i="118"/>
  <c r="AR11" i="118"/>
  <c r="AS11" i="118"/>
  <c r="AQ11" i="118"/>
  <c r="AP11" i="118"/>
  <c r="AO11" i="118"/>
  <c r="AU11" i="118"/>
  <c r="AN11" i="118"/>
  <c r="AH64" i="116"/>
  <c r="AH60" i="116" s="1"/>
  <c r="AQ54" i="117"/>
  <c r="AP54" i="117"/>
  <c r="AO54" i="117"/>
  <c r="AT54" i="117"/>
  <c r="AS54" i="117"/>
  <c r="AN54" i="117"/>
  <c r="AU54" i="117"/>
  <c r="AR54" i="117"/>
  <c r="AS8" i="117"/>
  <c r="AU8" i="117"/>
  <c r="AO8" i="117"/>
  <c r="AN8" i="117"/>
  <c r="AP8" i="117"/>
  <c r="AT8" i="117"/>
  <c r="AR8" i="117"/>
  <c r="AQ8" i="117"/>
  <c r="AI35" i="116"/>
  <c r="AA35" i="116"/>
  <c r="AG35" i="116"/>
  <c r="AF35" i="116"/>
  <c r="AB35" i="116"/>
  <c r="AD35" i="116"/>
  <c r="AC35" i="116"/>
  <c r="AH35" i="116"/>
  <c r="AE35" i="116"/>
  <c r="AQ59" i="118"/>
  <c r="AR71" i="117"/>
  <c r="AR70" i="117" s="1"/>
  <c r="AQ71" i="117"/>
  <c r="AQ70" i="117" s="1"/>
  <c r="AP71" i="117"/>
  <c r="AP70" i="117" s="1"/>
  <c r="AO71" i="117"/>
  <c r="AO70" i="117" s="1"/>
  <c r="AT71" i="117"/>
  <c r="AT70" i="117" s="1"/>
  <c r="AS71" i="117"/>
  <c r="AS70" i="117" s="1"/>
  <c r="AU71" i="117"/>
  <c r="AU70" i="117" s="1"/>
  <c r="AN71" i="117"/>
  <c r="AB44" i="117"/>
  <c r="AQ25" i="118"/>
  <c r="AO25" i="118"/>
  <c r="AS25" i="118"/>
  <c r="AR25" i="118"/>
  <c r="AP25" i="118"/>
  <c r="AN25" i="118"/>
  <c r="AU25" i="118"/>
  <c r="AT25" i="118"/>
  <c r="AG40" i="117"/>
  <c r="AF40" i="117"/>
  <c r="AE40" i="117"/>
  <c r="AB40" i="117"/>
  <c r="AI40" i="117"/>
  <c r="AA40" i="117"/>
  <c r="AC40" i="117"/>
  <c r="AH40" i="117"/>
  <c r="AD40" i="117"/>
  <c r="AH55" i="117"/>
  <c r="AF55" i="117"/>
  <c r="AE55" i="117"/>
  <c r="AB55" i="117"/>
  <c r="AI59" i="116"/>
  <c r="AV31" i="117"/>
  <c r="AQ49" i="116"/>
  <c r="AA10" i="116"/>
  <c r="AG10" i="116"/>
  <c r="AD10" i="116"/>
  <c r="AC10" i="116"/>
  <c r="AB10" i="116"/>
  <c r="AQ20" i="117"/>
  <c r="AO36" i="116"/>
  <c r="AP36" i="116"/>
  <c r="AQ36" i="116"/>
  <c r="AN36" i="116"/>
  <c r="AS36" i="116"/>
  <c r="AR36" i="116"/>
  <c r="AE10" i="116"/>
  <c r="AT18" i="124"/>
  <c r="AS18" i="124"/>
  <c r="AR18" i="124"/>
  <c r="AQ18" i="124"/>
  <c r="AP18" i="124"/>
  <c r="AO18" i="124"/>
  <c r="AU18" i="124"/>
  <c r="AN18" i="124"/>
  <c r="AA36" i="117"/>
  <c r="AG65" i="116"/>
  <c r="AN21" i="116"/>
  <c r="AT21" i="116"/>
  <c r="AS21" i="116"/>
  <c r="AU21" i="116"/>
  <c r="AR21" i="116"/>
  <c r="AQ21" i="116"/>
  <c r="AP21" i="116"/>
  <c r="AO21" i="116"/>
  <c r="AC57" i="124"/>
  <c r="AP46" i="124"/>
  <c r="AP78" i="124"/>
  <c r="AB30" i="124"/>
  <c r="AG32" i="116"/>
  <c r="AI32" i="116"/>
  <c r="AH32" i="116"/>
  <c r="AO78" i="124"/>
  <c r="AO36" i="124"/>
  <c r="AN36" i="124"/>
  <c r="AU36" i="124"/>
  <c r="AT36" i="124"/>
  <c r="AS36" i="124"/>
  <c r="AR36" i="124"/>
  <c r="AQ36" i="124"/>
  <c r="AP36" i="124"/>
  <c r="AP31" i="124"/>
  <c r="AR31" i="124"/>
  <c r="AQ31" i="124"/>
  <c r="AI8" i="124"/>
  <c r="AA8" i="124"/>
  <c r="AH8" i="124"/>
  <c r="AG8" i="124"/>
  <c r="AF8" i="124"/>
  <c r="AE8" i="124"/>
  <c r="AD8" i="124"/>
  <c r="AC8" i="124"/>
  <c r="AB8" i="124"/>
  <c r="AI69" i="115"/>
  <c r="AI68" i="115" s="1"/>
  <c r="AA69" i="115"/>
  <c r="AH69" i="115"/>
  <c r="AH68" i="115" s="1"/>
  <c r="AG69" i="115"/>
  <c r="AG68" i="115" s="1"/>
  <c r="AF69" i="115"/>
  <c r="AF68" i="115" s="1"/>
  <c r="AE69" i="115"/>
  <c r="AE68" i="115" s="1"/>
  <c r="AD69" i="115"/>
  <c r="AD68" i="115" s="1"/>
  <c r="AC69" i="115"/>
  <c r="AC68" i="115" s="1"/>
  <c r="AB69" i="115"/>
  <c r="AB68" i="115" s="1"/>
  <c r="AR51" i="115"/>
  <c r="AQ51" i="115"/>
  <c r="AP51" i="115"/>
  <c r="AT58" i="116"/>
  <c r="AE32" i="116"/>
  <c r="AT51" i="115"/>
  <c r="AE29" i="116"/>
  <c r="AR28" i="124"/>
  <c r="AS28" i="124"/>
  <c r="AA46" i="116"/>
  <c r="AV17" i="116"/>
  <c r="AT32" i="124"/>
  <c r="AB48" i="124"/>
  <c r="AH64" i="115"/>
  <c r="AG64" i="115"/>
  <c r="AG60" i="115" s="1"/>
  <c r="AF64" i="115"/>
  <c r="AF60" i="115" s="1"/>
  <c r="AE64" i="115"/>
  <c r="AE60" i="115" s="1"/>
  <c r="AD64" i="115"/>
  <c r="AD60" i="115" s="1"/>
  <c r="AI64" i="115"/>
  <c r="AI60" i="115" s="1"/>
  <c r="AC64" i="115"/>
  <c r="AB64" i="115"/>
  <c r="AA64" i="115"/>
  <c r="AG54" i="115"/>
  <c r="AF54" i="115"/>
  <c r="AE54" i="115"/>
  <c r="AD54" i="115"/>
  <c r="AC54" i="115"/>
  <c r="AH54" i="115"/>
  <c r="AB54" i="115"/>
  <c r="AA54" i="115"/>
  <c r="AI54" i="115"/>
  <c r="AU49" i="115"/>
  <c r="AT49" i="115"/>
  <c r="AS49" i="115"/>
  <c r="AR49" i="115"/>
  <c r="AQ49" i="115"/>
  <c r="AP49" i="115"/>
  <c r="AO49" i="115"/>
  <c r="AN49" i="115"/>
  <c r="AE38" i="115"/>
  <c r="AD38" i="115"/>
  <c r="AC38" i="115"/>
  <c r="AQ37" i="115"/>
  <c r="AP37" i="115"/>
  <c r="AO37" i="115"/>
  <c r="AN37" i="115"/>
  <c r="AU37" i="115"/>
  <c r="AT37" i="115"/>
  <c r="AS37" i="115"/>
  <c r="AR37" i="115"/>
  <c r="AC3" i="115"/>
  <c r="AC2" i="115" s="1"/>
  <c r="AB3" i="115"/>
  <c r="AB2" i="115" s="1"/>
  <c r="AI3" i="115"/>
  <c r="AI2" i="115" s="1"/>
  <c r="AA3" i="115"/>
  <c r="AG3" i="115"/>
  <c r="AG2" i="115" s="1"/>
  <c r="AH3" i="115"/>
  <c r="AH2" i="115" s="1"/>
  <c r="AE3" i="115"/>
  <c r="AE2" i="115" s="1"/>
  <c r="AD3" i="115"/>
  <c r="AD2" i="115" s="1"/>
  <c r="AF3" i="115"/>
  <c r="AF2" i="115" s="1"/>
  <c r="AF56" i="115"/>
  <c r="AT64" i="114"/>
  <c r="AS64" i="114"/>
  <c r="AR64" i="114"/>
  <c r="AP64" i="114"/>
  <c r="AU64" i="114"/>
  <c r="AQ64" i="114"/>
  <c r="AO64" i="114"/>
  <c r="AN64" i="114"/>
  <c r="AH14" i="117"/>
  <c r="AH12" i="117" s="1"/>
  <c r="AC14" i="117"/>
  <c r="AB14" i="117"/>
  <c r="AI14" i="117"/>
  <c r="AG14" i="117"/>
  <c r="AA14" i="117"/>
  <c r="AF14" i="117"/>
  <c r="AE14" i="117"/>
  <c r="AD14" i="117"/>
  <c r="AR68" i="115"/>
  <c r="AH35" i="115"/>
  <c r="AG35" i="115"/>
  <c r="AF35" i="115"/>
  <c r="AE35" i="115"/>
  <c r="AD35" i="115"/>
  <c r="AC35" i="115"/>
  <c r="AB35" i="115"/>
  <c r="AA35" i="115"/>
  <c r="AI35" i="115"/>
  <c r="AU8" i="115"/>
  <c r="AT8" i="115"/>
  <c r="AS8" i="115"/>
  <c r="AQ8" i="115"/>
  <c r="AR8" i="115"/>
  <c r="AP8" i="115"/>
  <c r="AO8" i="115"/>
  <c r="AN8" i="115"/>
  <c r="AB71" i="112"/>
  <c r="AB70" i="112" s="1"/>
  <c r="AG71" i="112"/>
  <c r="AG70" i="112" s="1"/>
  <c r="AE71" i="112"/>
  <c r="AE70" i="112" s="1"/>
  <c r="AC71" i="112"/>
  <c r="AC70" i="112" s="1"/>
  <c r="AA71" i="112"/>
  <c r="AH71" i="112"/>
  <c r="AH70" i="112" s="1"/>
  <c r="AF71" i="112"/>
  <c r="AF70" i="112" s="1"/>
  <c r="AD71" i="112"/>
  <c r="AD70" i="112" s="1"/>
  <c r="AI71" i="112"/>
  <c r="AI70" i="112" s="1"/>
  <c r="AR37" i="124"/>
  <c r="AG37" i="115"/>
  <c r="AF37" i="115"/>
  <c r="AE37" i="115"/>
  <c r="AD37" i="115"/>
  <c r="AC37" i="115"/>
  <c r="AI37" i="115"/>
  <c r="AH37" i="115"/>
  <c r="AB37" i="115"/>
  <c r="AA37" i="115"/>
  <c r="AD11" i="115"/>
  <c r="AI55" i="124"/>
  <c r="AA17" i="124"/>
  <c r="AO63" i="115"/>
  <c r="AS23" i="114"/>
  <c r="AT23" i="114"/>
  <c r="AT22" i="114" s="1"/>
  <c r="AP8" i="472"/>
  <c r="AN8" i="472"/>
  <c r="AO11" i="124"/>
  <c r="AN11" i="124"/>
  <c r="AU11" i="124"/>
  <c r="AT11" i="124"/>
  <c r="AS11" i="124"/>
  <c r="AR11" i="124"/>
  <c r="AQ11" i="124"/>
  <c r="AP11" i="124"/>
  <c r="AN15" i="115"/>
  <c r="AU15" i="115"/>
  <c r="AT15" i="115"/>
  <c r="AR15" i="115"/>
  <c r="AS15" i="115"/>
  <c r="AQ15" i="115"/>
  <c r="AP15" i="115"/>
  <c r="AO15" i="115"/>
  <c r="AI11" i="115"/>
  <c r="AT9" i="116"/>
  <c r="AR9" i="116"/>
  <c r="AQ9" i="116"/>
  <c r="AO9" i="116"/>
  <c r="AN9" i="116"/>
  <c r="AU9" i="116"/>
  <c r="AS9" i="116"/>
  <c r="AP9" i="116"/>
  <c r="AT29" i="472"/>
  <c r="AS20" i="472"/>
  <c r="AP20" i="472"/>
  <c r="AO20" i="472"/>
  <c r="AN20" i="472"/>
  <c r="AU20" i="472"/>
  <c r="AR20" i="472"/>
  <c r="AQ20" i="472"/>
  <c r="AT20" i="472"/>
  <c r="AR42" i="112"/>
  <c r="AO42" i="112"/>
  <c r="AU42" i="112"/>
  <c r="AT42" i="112"/>
  <c r="AS29" i="472"/>
  <c r="AD24" i="472"/>
  <c r="AD65" i="112"/>
  <c r="AQ39" i="472"/>
  <c r="AN17" i="114"/>
  <c r="AB53" i="472"/>
  <c r="AH24" i="472"/>
  <c r="AT51" i="114"/>
  <c r="AJ72" i="112"/>
  <c r="AJ29" i="112"/>
  <c r="AG67" i="114"/>
  <c r="AS59" i="114"/>
  <c r="AQ14" i="472"/>
  <c r="AN14" i="472"/>
  <c r="AU14" i="472"/>
  <c r="AT14" i="472"/>
  <c r="AS14" i="472"/>
  <c r="AR14" i="472"/>
  <c r="AO14" i="472"/>
  <c r="AP14" i="472"/>
  <c r="AO58" i="112"/>
  <c r="AG51" i="112"/>
  <c r="AE51" i="112"/>
  <c r="AD51" i="112"/>
  <c r="AT17" i="112"/>
  <c r="AO58" i="111"/>
  <c r="AS58" i="111"/>
  <c r="AR58" i="111"/>
  <c r="AU58" i="111"/>
  <c r="AQ58" i="111"/>
  <c r="AP58" i="111"/>
  <c r="AN58" i="111"/>
  <c r="AT58" i="111"/>
  <c r="AC51" i="111"/>
  <c r="AF51" i="111"/>
  <c r="AE51" i="111"/>
  <c r="AH51" i="111"/>
  <c r="AB51" i="111"/>
  <c r="AA51" i="111"/>
  <c r="AI51" i="111"/>
  <c r="AG51" i="111"/>
  <c r="AD51" i="111"/>
  <c r="AE31" i="124"/>
  <c r="AI13" i="114"/>
  <c r="AA13" i="114"/>
  <c r="AH13" i="114"/>
  <c r="AD13" i="114"/>
  <c r="AG13" i="114"/>
  <c r="AF13" i="114"/>
  <c r="AE13" i="114"/>
  <c r="AC13" i="114"/>
  <c r="AB13" i="114"/>
  <c r="AU57" i="472"/>
  <c r="AS57" i="472"/>
  <c r="AR57" i="472"/>
  <c r="AP57" i="472"/>
  <c r="AO57" i="472"/>
  <c r="AO55" i="472"/>
  <c r="AT55" i="472"/>
  <c r="AS55" i="472"/>
  <c r="AR55" i="472"/>
  <c r="AU55" i="472"/>
  <c r="AQ55" i="472"/>
  <c r="AP55" i="472"/>
  <c r="AN55" i="472"/>
  <c r="AG9" i="472"/>
  <c r="AA51" i="112"/>
  <c r="AI66" i="472"/>
  <c r="AI65" i="472" s="1"/>
  <c r="AV48" i="111"/>
  <c r="AT53" i="112"/>
  <c r="AI41" i="112"/>
  <c r="AA41" i="112"/>
  <c r="AF41" i="112"/>
  <c r="AD41" i="112"/>
  <c r="AH41" i="112"/>
  <c r="AG41" i="112"/>
  <c r="AE41" i="112"/>
  <c r="AC41" i="112"/>
  <c r="AB41" i="112"/>
  <c r="AR34" i="112"/>
  <c r="AO34" i="112"/>
  <c r="AU34" i="112"/>
  <c r="AT34" i="112"/>
  <c r="AV28" i="112"/>
  <c r="AB14" i="112"/>
  <c r="AG14" i="112"/>
  <c r="AF14" i="112"/>
  <c r="AE14" i="112"/>
  <c r="AI14" i="112"/>
  <c r="AA14" i="112"/>
  <c r="AH14" i="112"/>
  <c r="AD14" i="112"/>
  <c r="AC14" i="112"/>
  <c r="AC38" i="111"/>
  <c r="AH38" i="111"/>
  <c r="AB38" i="111"/>
  <c r="AF38" i="111"/>
  <c r="AE38" i="111"/>
  <c r="AD38" i="111"/>
  <c r="AA38" i="111"/>
  <c r="AI38" i="111"/>
  <c r="AG38" i="111"/>
  <c r="AH55" i="112"/>
  <c r="AQ73" i="111"/>
  <c r="AQ72" i="111" s="1"/>
  <c r="AN73" i="111"/>
  <c r="AP73" i="111"/>
  <c r="AP72" i="111" s="1"/>
  <c r="AT73" i="111"/>
  <c r="AT72" i="111" s="1"/>
  <c r="AS73" i="111"/>
  <c r="AS72" i="111" s="1"/>
  <c r="AR73" i="111"/>
  <c r="AR72" i="111" s="1"/>
  <c r="AO73" i="111"/>
  <c r="AO72" i="111" s="1"/>
  <c r="AU73" i="111"/>
  <c r="AU72" i="111" s="1"/>
  <c r="AT25" i="472"/>
  <c r="AE69" i="111"/>
  <c r="AE68" i="111" s="1"/>
  <c r="AS39" i="111"/>
  <c r="AQ39" i="111"/>
  <c r="AR31" i="112"/>
  <c r="AQ31" i="112"/>
  <c r="AT31" i="112"/>
  <c r="AI9" i="112"/>
  <c r="AA9" i="112"/>
  <c r="AF9" i="112"/>
  <c r="AC9" i="112"/>
  <c r="AD9" i="112"/>
  <c r="AB9" i="112"/>
  <c r="AH9" i="112"/>
  <c r="AG9" i="112"/>
  <c r="AE9" i="112"/>
  <c r="AC8" i="112"/>
  <c r="AH8" i="112"/>
  <c r="AD8" i="112"/>
  <c r="AB8" i="112"/>
  <c r="AF8" i="112"/>
  <c r="AI8" i="112"/>
  <c r="AG8" i="112"/>
  <c r="AE8" i="112"/>
  <c r="AA8" i="112"/>
  <c r="AI67" i="111"/>
  <c r="AI65" i="111" s="1"/>
  <c r="AF67" i="111"/>
  <c r="AF65" i="111" s="1"/>
  <c r="AE67" i="111"/>
  <c r="AE65" i="111" s="1"/>
  <c r="AD67" i="111"/>
  <c r="AD65" i="111" s="1"/>
  <c r="AA67" i="111"/>
  <c r="AG67" i="111"/>
  <c r="AG65" i="111" s="1"/>
  <c r="AT57" i="111"/>
  <c r="AI36" i="111"/>
  <c r="AA36" i="111"/>
  <c r="AH36" i="111"/>
  <c r="AC36" i="111"/>
  <c r="AG36" i="111"/>
  <c r="AF36" i="111"/>
  <c r="AE36" i="111"/>
  <c r="AD36" i="111"/>
  <c r="AB36" i="111"/>
  <c r="AU61" i="110"/>
  <c r="AU60" i="110" s="1"/>
  <c r="AP16" i="472"/>
  <c r="AH65" i="112"/>
  <c r="AN20" i="112"/>
  <c r="AJ17" i="112"/>
  <c r="AR71" i="111"/>
  <c r="AR70" i="111" s="1"/>
  <c r="AQ71" i="111"/>
  <c r="AQ70" i="111" s="1"/>
  <c r="AO71" i="111"/>
  <c r="AH55" i="111"/>
  <c r="AI55" i="111"/>
  <c r="AG55" i="111"/>
  <c r="AB55" i="111"/>
  <c r="AF55" i="111"/>
  <c r="AE55" i="111"/>
  <c r="AD55" i="111"/>
  <c r="AC55" i="111"/>
  <c r="AA55" i="111"/>
  <c r="AU46" i="111"/>
  <c r="AS46" i="111"/>
  <c r="AR46" i="111"/>
  <c r="AP46" i="111"/>
  <c r="AO46" i="111"/>
  <c r="AN46" i="111"/>
  <c r="AT46" i="111"/>
  <c r="AQ46" i="111"/>
  <c r="AE41" i="111"/>
  <c r="AD41" i="111"/>
  <c r="AC41" i="111"/>
  <c r="AB41" i="111"/>
  <c r="AI41" i="111"/>
  <c r="AH41" i="111"/>
  <c r="AI26" i="111"/>
  <c r="AA26" i="111"/>
  <c r="AE26" i="111"/>
  <c r="AH26" i="111"/>
  <c r="AB26" i="111"/>
  <c r="AG26" i="111"/>
  <c r="AF26" i="111"/>
  <c r="AD26" i="111"/>
  <c r="AC26" i="111"/>
  <c r="AB56" i="110"/>
  <c r="AU20" i="114"/>
  <c r="AU8" i="472"/>
  <c r="AD27" i="112"/>
  <c r="AD11" i="112"/>
  <c r="AJ11" i="112" s="1"/>
  <c r="AT71" i="111"/>
  <c r="AT70" i="111" s="1"/>
  <c r="AQ64" i="111"/>
  <c r="AA41" i="111"/>
  <c r="AN61" i="114"/>
  <c r="AO45" i="112"/>
  <c r="AT45" i="112"/>
  <c r="AR45" i="112"/>
  <c r="AU45" i="112"/>
  <c r="AS45" i="112"/>
  <c r="AP45" i="112"/>
  <c r="AN45" i="112"/>
  <c r="AQ45" i="112"/>
  <c r="AT36" i="112"/>
  <c r="AN36" i="112"/>
  <c r="AS36" i="112"/>
  <c r="AQ36" i="112"/>
  <c r="AO36" i="112"/>
  <c r="AG54" i="111"/>
  <c r="AC54" i="111"/>
  <c r="AB54" i="111"/>
  <c r="AE54" i="111"/>
  <c r="AA54" i="111"/>
  <c r="AI54" i="111"/>
  <c r="AH54" i="111"/>
  <c r="AF54" i="111"/>
  <c r="AD54" i="111"/>
  <c r="AR39" i="111"/>
  <c r="AS34" i="111"/>
  <c r="AQ27" i="111"/>
  <c r="AR27" i="111"/>
  <c r="AU27" i="111"/>
  <c r="AP27" i="111"/>
  <c r="AO27" i="111"/>
  <c r="AN27" i="111"/>
  <c r="AT27" i="111"/>
  <c r="AS27" i="111"/>
  <c r="AS61" i="110"/>
  <c r="AS60" i="110" s="1"/>
  <c r="AB18" i="111"/>
  <c r="AD18" i="111"/>
  <c r="AG18" i="111"/>
  <c r="AF18" i="111"/>
  <c r="AE18" i="111"/>
  <c r="AC18" i="111"/>
  <c r="AA18" i="111"/>
  <c r="AI18" i="111"/>
  <c r="AH18" i="111"/>
  <c r="AI26" i="110"/>
  <c r="AA26" i="110"/>
  <c r="AH26" i="110"/>
  <c r="AE26" i="110"/>
  <c r="AD26" i="110"/>
  <c r="AC26" i="110"/>
  <c r="AG26" i="110"/>
  <c r="AF26" i="110"/>
  <c r="AB26" i="110"/>
  <c r="AI64" i="110"/>
  <c r="AA64" i="110"/>
  <c r="AD64" i="110"/>
  <c r="AG64" i="110"/>
  <c r="AF64" i="110"/>
  <c r="AE64" i="110"/>
  <c r="AC64" i="110"/>
  <c r="AH64" i="110"/>
  <c r="AB64" i="110"/>
  <c r="AQ45" i="110"/>
  <c r="AT45" i="110"/>
  <c r="AN45" i="110"/>
  <c r="AU45" i="110"/>
  <c r="AS45" i="110"/>
  <c r="AR45" i="110"/>
  <c r="AP45" i="110"/>
  <c r="AO45" i="110"/>
  <c r="AF31" i="110"/>
  <c r="AJ32" i="110"/>
  <c r="AT20" i="110"/>
  <c r="AV32" i="110"/>
  <c r="AT52" i="107"/>
  <c r="AS23" i="111"/>
  <c r="AO23" i="111"/>
  <c r="AR23" i="111"/>
  <c r="AP23" i="111"/>
  <c r="AN23" i="111"/>
  <c r="AU23" i="111"/>
  <c r="AT23" i="111"/>
  <c r="AQ23" i="111"/>
  <c r="AR59" i="110"/>
  <c r="AN30" i="110"/>
  <c r="AU30" i="110"/>
  <c r="AR30" i="110"/>
  <c r="AQ30" i="110"/>
  <c r="AP30" i="110"/>
  <c r="AT30" i="110"/>
  <c r="AS30" i="110"/>
  <c r="AO30" i="110"/>
  <c r="AE55" i="110"/>
  <c r="AG27" i="110"/>
  <c r="AQ20" i="110"/>
  <c r="AE31" i="110"/>
  <c r="AQ17" i="110"/>
  <c r="AN17" i="110"/>
  <c r="AU17" i="110"/>
  <c r="AT17" i="110"/>
  <c r="AS17" i="110"/>
  <c r="AR17" i="110"/>
  <c r="AP17" i="110"/>
  <c r="AO17" i="110"/>
  <c r="AB18" i="110"/>
  <c r="AF18" i="110"/>
  <c r="AE18" i="110"/>
  <c r="AC18" i="110"/>
  <c r="AA18" i="110"/>
  <c r="AH18" i="110"/>
  <c r="AD18" i="110"/>
  <c r="AI18" i="110"/>
  <c r="AG34" i="108"/>
  <c r="AF34" i="108"/>
  <c r="AB34" i="108"/>
  <c r="AO13" i="108"/>
  <c r="AN13" i="108"/>
  <c r="AS13" i="108"/>
  <c r="AR13" i="108"/>
  <c r="AU13" i="108"/>
  <c r="AT13" i="108"/>
  <c r="AQ13" i="108"/>
  <c r="AP13" i="108"/>
  <c r="AQ53" i="107"/>
  <c r="AQ29" i="108"/>
  <c r="AT2" i="108"/>
  <c r="AR56" i="107"/>
  <c r="AC41" i="107"/>
  <c r="AA41" i="107"/>
  <c r="AI41" i="107"/>
  <c r="AF41" i="107"/>
  <c r="AE41" i="107"/>
  <c r="AH41" i="107"/>
  <c r="AD41" i="107"/>
  <c r="AU27" i="107"/>
  <c r="AR3" i="110"/>
  <c r="AR2" i="110" s="1"/>
  <c r="AQ3" i="110"/>
  <c r="AQ2" i="110" s="1"/>
  <c r="AP3" i="110"/>
  <c r="AP2" i="110" s="1"/>
  <c r="AU3" i="110"/>
  <c r="AU2" i="110" s="1"/>
  <c r="AT3" i="110"/>
  <c r="AT2" i="110" s="1"/>
  <c r="AS3" i="110"/>
  <c r="AS2" i="110" s="1"/>
  <c r="AO3" i="110"/>
  <c r="AO2" i="110" s="1"/>
  <c r="AN3" i="110"/>
  <c r="AG58" i="108"/>
  <c r="AE58" i="108"/>
  <c r="AD58" i="108"/>
  <c r="AI58" i="108"/>
  <c r="AA58" i="108"/>
  <c r="AH58" i="108"/>
  <c r="AF58" i="108"/>
  <c r="AC58" i="108"/>
  <c r="AB58" i="108"/>
  <c r="AR26" i="108"/>
  <c r="AQ26" i="108"/>
  <c r="AN26" i="108"/>
  <c r="AU26" i="108"/>
  <c r="AR57" i="107"/>
  <c r="AP37" i="107"/>
  <c r="AO37" i="107"/>
  <c r="AT37" i="107"/>
  <c r="AS37" i="107"/>
  <c r="AQ37" i="107"/>
  <c r="AV20" i="107"/>
  <c r="AP13" i="107"/>
  <c r="AO13" i="107"/>
  <c r="AN13" i="107"/>
  <c r="AU13" i="107"/>
  <c r="AU12" i="107" s="1"/>
  <c r="AR13" i="107"/>
  <c r="AT13" i="107"/>
  <c r="AS13" i="107"/>
  <c r="AQ13" i="107"/>
  <c r="AQ14" i="108"/>
  <c r="AP14" i="108"/>
  <c r="AU14" i="108"/>
  <c r="AT14" i="108"/>
  <c r="AS14" i="108"/>
  <c r="AR14" i="108"/>
  <c r="AO14" i="108"/>
  <c r="AN14" i="108"/>
  <c r="AU53" i="108"/>
  <c r="AQ56" i="107"/>
  <c r="AU54" i="110"/>
  <c r="AN66" i="108"/>
  <c r="AT66" i="108"/>
  <c r="AR66" i="108"/>
  <c r="AQ66" i="108"/>
  <c r="AU66" i="108"/>
  <c r="AU65" i="108" s="1"/>
  <c r="AS66" i="108"/>
  <c r="AP66" i="108"/>
  <c r="AO66" i="108"/>
  <c r="AR63" i="107"/>
  <c r="AV51" i="107"/>
  <c r="AV66" i="106"/>
  <c r="AV21" i="110"/>
  <c r="AB64" i="108"/>
  <c r="AH64" i="108"/>
  <c r="AG64" i="108"/>
  <c r="AD64" i="108"/>
  <c r="AC64" i="108"/>
  <c r="AI64" i="108"/>
  <c r="AF64" i="108"/>
  <c r="AE64" i="108"/>
  <c r="AA64" i="108"/>
  <c r="AD43" i="108"/>
  <c r="AC43" i="108"/>
  <c r="AH43" i="108"/>
  <c r="AG43" i="108"/>
  <c r="AI43" i="108"/>
  <c r="AF43" i="108"/>
  <c r="AE43" i="108"/>
  <c r="AB43" i="108"/>
  <c r="AA43" i="108"/>
  <c r="AH35" i="108"/>
  <c r="AG35" i="108"/>
  <c r="AD35" i="108"/>
  <c r="AC35" i="108"/>
  <c r="AI35" i="108"/>
  <c r="AF35" i="108"/>
  <c r="AE35" i="108"/>
  <c r="AB35" i="108"/>
  <c r="AA35" i="108"/>
  <c r="AU10" i="106"/>
  <c r="AT10" i="106"/>
  <c r="AQ10" i="106"/>
  <c r="AO10" i="106"/>
  <c r="AS10" i="106"/>
  <c r="AR10" i="106"/>
  <c r="AP10" i="106"/>
  <c r="AN10" i="106"/>
  <c r="AR30" i="107"/>
  <c r="AU30" i="107"/>
  <c r="AT30" i="107"/>
  <c r="AS30" i="107"/>
  <c r="AQ30" i="107"/>
  <c r="AO30" i="107"/>
  <c r="AN30" i="107"/>
  <c r="AP30" i="107"/>
  <c r="AA65" i="107"/>
  <c r="AH49" i="106"/>
  <c r="AG49" i="106"/>
  <c r="AF49" i="106"/>
  <c r="AC49" i="106"/>
  <c r="AD49" i="106"/>
  <c r="AB49" i="106"/>
  <c r="AA49" i="106"/>
  <c r="AI49" i="106"/>
  <c r="AE49" i="106"/>
  <c r="AB48" i="106"/>
  <c r="AN39" i="106"/>
  <c r="AU39" i="106"/>
  <c r="AQ39" i="106"/>
  <c r="AP39" i="106"/>
  <c r="AJ21" i="105"/>
  <c r="AT40" i="103"/>
  <c r="AR40" i="103"/>
  <c r="AO40" i="103"/>
  <c r="AU40" i="103"/>
  <c r="AS40" i="103"/>
  <c r="AQ40" i="103"/>
  <c r="AP40" i="103"/>
  <c r="AN40" i="103"/>
  <c r="AH29" i="108"/>
  <c r="AG39" i="107"/>
  <c r="AD35" i="106"/>
  <c r="AE57" i="107"/>
  <c r="AB71" i="106"/>
  <c r="AB70" i="106" s="1"/>
  <c r="AV49" i="106"/>
  <c r="AV25" i="106"/>
  <c r="AH61" i="105"/>
  <c r="AH60" i="105" s="1"/>
  <c r="AG61" i="105"/>
  <c r="AD61" i="105"/>
  <c r="AD60" i="105" s="1"/>
  <c r="AC61" i="105"/>
  <c r="AC60" i="105" s="1"/>
  <c r="AA61" i="105"/>
  <c r="AI61" i="105"/>
  <c r="AF61" i="105"/>
  <c r="AF60" i="105" s="1"/>
  <c r="AE61" i="105"/>
  <c r="AB61" i="105"/>
  <c r="AT11" i="107"/>
  <c r="AE61" i="106"/>
  <c r="AE60" i="106" s="1"/>
  <c r="AD61" i="106"/>
  <c r="AD60" i="106" s="1"/>
  <c r="AC61" i="106"/>
  <c r="AB61" i="106"/>
  <c r="AG61" i="106"/>
  <c r="AI61" i="106"/>
  <c r="AI60" i="106" s="1"/>
  <c r="AH61" i="106"/>
  <c r="AF61" i="106"/>
  <c r="AA61" i="106"/>
  <c r="AE71" i="106"/>
  <c r="AE70" i="106" s="1"/>
  <c r="AR57" i="106"/>
  <c r="AE46" i="106"/>
  <c r="AF32" i="107"/>
  <c r="AT15" i="106"/>
  <c r="AR15" i="106"/>
  <c r="AN15" i="106"/>
  <c r="AI63" i="105"/>
  <c r="AA63" i="105"/>
  <c r="AE63" i="105"/>
  <c r="AN46" i="105"/>
  <c r="AF35" i="106"/>
  <c r="AC69" i="105"/>
  <c r="AC68" i="105" s="1"/>
  <c r="AB69" i="105"/>
  <c r="AB68" i="105" s="1"/>
  <c r="AG69" i="105"/>
  <c r="AG68" i="105" s="1"/>
  <c r="AI69" i="105"/>
  <c r="AI68" i="105" s="1"/>
  <c r="AF69" i="105"/>
  <c r="AF68" i="105" s="1"/>
  <c r="AE69" i="105"/>
  <c r="AE68" i="105" s="1"/>
  <c r="AD69" i="105"/>
  <c r="AD68" i="105" s="1"/>
  <c r="AH69" i="105"/>
  <c r="AH68" i="105" s="1"/>
  <c r="AA69" i="105"/>
  <c r="AO29" i="103"/>
  <c r="AS29" i="103"/>
  <c r="AG63" i="105"/>
  <c r="AS54" i="105"/>
  <c r="AA8" i="105"/>
  <c r="AD51" i="103"/>
  <c r="AN29" i="103"/>
  <c r="AR16" i="103"/>
  <c r="AF35" i="102"/>
  <c r="AH35" i="102"/>
  <c r="AG35" i="102"/>
  <c r="AE35" i="102"/>
  <c r="AD35" i="102"/>
  <c r="AC35" i="102"/>
  <c r="AB35" i="102"/>
  <c r="AA35" i="102"/>
  <c r="AI35" i="102"/>
  <c r="AT58" i="101"/>
  <c r="AS58" i="101"/>
  <c r="AR58" i="101"/>
  <c r="AQ58" i="101"/>
  <c r="AP58" i="101"/>
  <c r="AO58" i="101"/>
  <c r="AN58" i="101"/>
  <c r="AU58" i="101"/>
  <c r="AT66" i="100"/>
  <c r="AR66" i="100"/>
  <c r="AQ66" i="100"/>
  <c r="AP66" i="100"/>
  <c r="AN66" i="100"/>
  <c r="AO66" i="100"/>
  <c r="AU66" i="100"/>
  <c r="AS66" i="100"/>
  <c r="AS65" i="100" s="1"/>
  <c r="AP37" i="100"/>
  <c r="AT37" i="100"/>
  <c r="AU43" i="106"/>
  <c r="AV21" i="105"/>
  <c r="AT34" i="103"/>
  <c r="AR34" i="103"/>
  <c r="AO34" i="103"/>
  <c r="AU34" i="103"/>
  <c r="AS34" i="103"/>
  <c r="AQ34" i="103"/>
  <c r="AP34" i="103"/>
  <c r="AN34" i="103"/>
  <c r="AN27" i="103"/>
  <c r="AT27" i="103"/>
  <c r="AQ27" i="103"/>
  <c r="AU27" i="103"/>
  <c r="AS27" i="103"/>
  <c r="AR27" i="103"/>
  <c r="AP27" i="103"/>
  <c r="AO27" i="103"/>
  <c r="AB13" i="103"/>
  <c r="AF13" i="103"/>
  <c r="AH66" i="102"/>
  <c r="AH65" i="102" s="1"/>
  <c r="AC61" i="101"/>
  <c r="AR14" i="105"/>
  <c r="AP14" i="105"/>
  <c r="AU14" i="105"/>
  <c r="AU12" i="105" s="1"/>
  <c r="AT14" i="105"/>
  <c r="AS14" i="105"/>
  <c r="AQ14" i="105"/>
  <c r="AQ12" i="105" s="1"/>
  <c r="AO14" i="105"/>
  <c r="AN14" i="105"/>
  <c r="AN12" i="105" s="1"/>
  <c r="AR4" i="105"/>
  <c r="AR2" i="105" s="1"/>
  <c r="AO4" i="105"/>
  <c r="AO2" i="105" s="1"/>
  <c r="AS58" i="103"/>
  <c r="AQ58" i="103"/>
  <c r="AN58" i="103"/>
  <c r="AP58" i="103"/>
  <c r="AO58" i="103"/>
  <c r="AU58" i="103"/>
  <c r="AT58" i="103"/>
  <c r="AR58" i="103"/>
  <c r="AO52" i="103"/>
  <c r="AU52" i="103"/>
  <c r="AR52" i="103"/>
  <c r="AQ52" i="103"/>
  <c r="AP52" i="103"/>
  <c r="AN52" i="103"/>
  <c r="AT52" i="103"/>
  <c r="AS52" i="103"/>
  <c r="AI20" i="103"/>
  <c r="AA20" i="103"/>
  <c r="AG20" i="103"/>
  <c r="AD20" i="103"/>
  <c r="AC20" i="103"/>
  <c r="AB20" i="103"/>
  <c r="AH20" i="103"/>
  <c r="AF20" i="103"/>
  <c r="AE20" i="103"/>
  <c r="AP55" i="102"/>
  <c r="AN55" i="102"/>
  <c r="AS55" i="102"/>
  <c r="AI34" i="102"/>
  <c r="AB61" i="101"/>
  <c r="AB60" i="101" s="1"/>
  <c r="AN28" i="101"/>
  <c r="AR28" i="101"/>
  <c r="AP28" i="101"/>
  <c r="AH73" i="100"/>
  <c r="AU59" i="100"/>
  <c r="AI35" i="106"/>
  <c r="AA46" i="105"/>
  <c r="AJ46" i="105" s="1"/>
  <c r="AQ2" i="105"/>
  <c r="AD35" i="103"/>
  <c r="AS18" i="103"/>
  <c r="AO61" i="102"/>
  <c r="AJ26" i="102"/>
  <c r="AR67" i="101"/>
  <c r="AI61" i="101"/>
  <c r="AI60" i="101" s="1"/>
  <c r="AG35" i="100"/>
  <c r="AT71" i="105"/>
  <c r="AT70" i="105" s="1"/>
  <c r="AT29" i="105"/>
  <c r="AN29" i="105"/>
  <c r="AJ18" i="105"/>
  <c r="AA66" i="103"/>
  <c r="AG9" i="103"/>
  <c r="AD9" i="103"/>
  <c r="AA9" i="103"/>
  <c r="AH52" i="102"/>
  <c r="AH27" i="102"/>
  <c r="AP19" i="102"/>
  <c r="AO19" i="102"/>
  <c r="AN19" i="102"/>
  <c r="AU19" i="102"/>
  <c r="AT19" i="102"/>
  <c r="AS19" i="102"/>
  <c r="AR19" i="102"/>
  <c r="AQ19" i="102"/>
  <c r="AS9" i="102"/>
  <c r="AT54" i="101"/>
  <c r="AR54" i="101"/>
  <c r="AQ31" i="101"/>
  <c r="AF14" i="100"/>
  <c r="AQ21" i="106"/>
  <c r="AR21" i="106"/>
  <c r="AH13" i="106"/>
  <c r="AS41" i="105"/>
  <c r="AQ9" i="105"/>
  <c r="AO9" i="105"/>
  <c r="AT9" i="105"/>
  <c r="AS9" i="105"/>
  <c r="AU9" i="105"/>
  <c r="AR9" i="105"/>
  <c r="AP9" i="105"/>
  <c r="AN9" i="105"/>
  <c r="AB63" i="103"/>
  <c r="AF63" i="103"/>
  <c r="AD57" i="103"/>
  <c r="AB34" i="103"/>
  <c r="AJ55" i="102"/>
  <c r="AG28" i="102"/>
  <c r="AG61" i="101"/>
  <c r="AG60" i="101" s="1"/>
  <c r="AS35" i="106"/>
  <c r="AO21" i="106"/>
  <c r="AB8" i="106"/>
  <c r="AI8" i="106"/>
  <c r="AA8" i="106"/>
  <c r="AF8" i="106"/>
  <c r="AH8" i="106"/>
  <c r="AE8" i="106"/>
  <c r="AC8" i="106"/>
  <c r="AG8" i="106"/>
  <c r="AD8" i="106"/>
  <c r="AU2" i="106"/>
  <c r="AJ64" i="105"/>
  <c r="AF43" i="105"/>
  <c r="AH13" i="105"/>
  <c r="AS2" i="105"/>
  <c r="AR66" i="103"/>
  <c r="AN15" i="103"/>
  <c r="AT15" i="103"/>
  <c r="AQ15" i="103"/>
  <c r="AR15" i="103"/>
  <c r="AP15" i="103"/>
  <c r="AO15" i="103"/>
  <c r="AU15" i="103"/>
  <c r="AS15" i="103"/>
  <c r="AF30" i="102"/>
  <c r="AE18" i="102"/>
  <c r="AD18" i="102"/>
  <c r="AC18" i="102"/>
  <c r="AB18" i="102"/>
  <c r="AI18" i="102"/>
  <c r="AA18" i="102"/>
  <c r="AH18" i="102"/>
  <c r="AG18" i="102"/>
  <c r="AF18" i="102"/>
  <c r="AF10" i="102"/>
  <c r="AE57" i="101"/>
  <c r="AD57" i="101"/>
  <c r="AC57" i="101"/>
  <c r="AB57" i="101"/>
  <c r="AI57" i="101"/>
  <c r="AA57" i="101"/>
  <c r="AH57" i="101"/>
  <c r="AG57" i="101"/>
  <c r="AF57" i="101"/>
  <c r="AR18" i="101"/>
  <c r="AQ18" i="101"/>
  <c r="AP18" i="101"/>
  <c r="AO18" i="101"/>
  <c r="AN18" i="101"/>
  <c r="AT18" i="101"/>
  <c r="AU18" i="101"/>
  <c r="AS18" i="101"/>
  <c r="AR9" i="101"/>
  <c r="AQ9" i="101"/>
  <c r="AP9" i="101"/>
  <c r="AO9" i="101"/>
  <c r="AN9" i="101"/>
  <c r="AT9" i="101"/>
  <c r="AU9" i="101"/>
  <c r="AS9" i="101"/>
  <c r="AD32" i="102"/>
  <c r="AP69" i="101"/>
  <c r="AF37" i="101"/>
  <c r="AI3" i="101"/>
  <c r="AI2" i="101" s="1"/>
  <c r="AA3" i="101"/>
  <c r="AH3" i="101"/>
  <c r="AH2" i="101" s="1"/>
  <c r="AG3" i="101"/>
  <c r="AF3" i="101"/>
  <c r="AF2" i="101" s="1"/>
  <c r="AE3" i="101"/>
  <c r="AC3" i="101"/>
  <c r="AC2" i="101" s="1"/>
  <c r="AD3" i="101"/>
  <c r="AD2" i="101" s="1"/>
  <c r="AB3" i="101"/>
  <c r="AB2" i="101" s="1"/>
  <c r="AU48" i="100"/>
  <c r="AU15" i="100"/>
  <c r="AG11" i="100"/>
  <c r="AE11" i="100"/>
  <c r="AD11" i="100"/>
  <c r="AC11" i="100"/>
  <c r="AI11" i="100"/>
  <c r="AA11" i="100"/>
  <c r="AH11" i="100"/>
  <c r="AF11" i="100"/>
  <c r="AB11" i="100"/>
  <c r="AD27" i="102"/>
  <c r="AE26" i="101"/>
  <c r="AC15" i="101"/>
  <c r="AB15" i="101"/>
  <c r="AI15" i="101"/>
  <c r="AA15" i="101"/>
  <c r="AH15" i="101"/>
  <c r="AG15" i="101"/>
  <c r="AE15" i="101"/>
  <c r="AF15" i="101"/>
  <c r="AD15" i="101"/>
  <c r="AR71" i="100"/>
  <c r="AR70" i="100" s="1"/>
  <c r="AR68" i="100" s="1"/>
  <c r="AC49" i="100"/>
  <c r="AI49" i="100"/>
  <c r="AA49" i="100"/>
  <c r="AH49" i="100"/>
  <c r="AG49" i="100"/>
  <c r="AE49" i="100"/>
  <c r="AF49" i="100"/>
  <c r="AD49" i="100"/>
  <c r="AB49" i="100"/>
  <c r="AN41" i="100"/>
  <c r="AA13" i="100"/>
  <c r="AA45" i="102"/>
  <c r="AE35" i="101"/>
  <c r="AD35" i="101"/>
  <c r="AC35" i="101"/>
  <c r="AB35" i="101"/>
  <c r="AI35" i="101"/>
  <c r="AA35" i="101"/>
  <c r="AG35" i="101"/>
  <c r="AH35" i="101"/>
  <c r="AF35" i="101"/>
  <c r="AP29" i="101"/>
  <c r="AN71" i="100"/>
  <c r="AO41" i="100"/>
  <c r="AR37" i="100"/>
  <c r="AN20" i="100"/>
  <c r="AT20" i="100"/>
  <c r="AS20" i="100"/>
  <c r="AR20" i="100"/>
  <c r="AP20" i="100"/>
  <c r="AO20" i="100"/>
  <c r="AU20" i="100"/>
  <c r="AQ20" i="100"/>
  <c r="AH13" i="100"/>
  <c r="AU40" i="101"/>
  <c r="AC17" i="101"/>
  <c r="AB17" i="101"/>
  <c r="AI17" i="101"/>
  <c r="AA17" i="101"/>
  <c r="AH17" i="101"/>
  <c r="AG17" i="101"/>
  <c r="AE17" i="101"/>
  <c r="AF17" i="101"/>
  <c r="AD17" i="101"/>
  <c r="AE14" i="101"/>
  <c r="AR58" i="100"/>
  <c r="AP58" i="100"/>
  <c r="AO58" i="100"/>
  <c r="AN58" i="100"/>
  <c r="AT58" i="100"/>
  <c r="AQ58" i="100"/>
  <c r="AU58" i="100"/>
  <c r="AS58" i="100"/>
  <c r="AV4" i="100"/>
  <c r="AT52" i="105"/>
  <c r="AO23" i="102"/>
  <c r="AO22" i="102" s="1"/>
  <c r="AI48" i="101"/>
  <c r="AR54" i="100"/>
  <c r="AP54" i="100"/>
  <c r="AN54" i="100"/>
  <c r="AU54" i="101"/>
  <c r="AD46" i="101"/>
  <c r="AB46" i="101"/>
  <c r="AH46" i="101"/>
  <c r="AF46" i="101"/>
  <c r="AS43" i="101"/>
  <c r="AH8" i="101"/>
  <c r="AT64" i="101"/>
  <c r="AO51" i="101"/>
  <c r="AO39" i="101"/>
  <c r="AP30" i="101"/>
  <c r="AH24" i="101"/>
  <c r="AR48" i="100"/>
  <c r="AR43" i="100"/>
  <c r="AR40" i="100"/>
  <c r="AR36" i="100"/>
  <c r="AD18" i="100"/>
  <c r="AB18" i="100"/>
  <c r="AI18" i="100"/>
  <c r="AA18" i="100"/>
  <c r="AH18" i="100"/>
  <c r="AF18" i="100"/>
  <c r="AG18" i="100"/>
  <c r="AE18" i="100"/>
  <c r="AC18" i="100"/>
  <c r="AE9" i="102"/>
  <c r="AC52" i="101"/>
  <c r="AF30" i="101"/>
  <c r="AH69" i="100"/>
  <c r="AT63" i="100"/>
  <c r="AF58" i="100"/>
  <c r="AN11" i="100"/>
  <c r="AT36" i="100"/>
  <c r="AQ64" i="100"/>
  <c r="AQ60" i="100" s="1"/>
  <c r="AE39" i="123"/>
  <c r="AC39" i="123"/>
  <c r="AB39" i="123"/>
  <c r="AI39" i="123"/>
  <c r="AP27" i="123"/>
  <c r="AU27" i="123"/>
  <c r="AT27" i="123"/>
  <c r="AS27" i="123"/>
  <c r="AQ27" i="123"/>
  <c r="AO27" i="123"/>
  <c r="AN27" i="123"/>
  <c r="AR27" i="123"/>
  <c r="AC51" i="123"/>
  <c r="AG51" i="123"/>
  <c r="AH51" i="123"/>
  <c r="AE51" i="123"/>
  <c r="AB51" i="123"/>
  <c r="AI51" i="123"/>
  <c r="AF51" i="123"/>
  <c r="AD51" i="123"/>
  <c r="AA51" i="123"/>
  <c r="AD35" i="123"/>
  <c r="AC35" i="123"/>
  <c r="AB35" i="123"/>
  <c r="AF35" i="123"/>
  <c r="AD29" i="125"/>
  <c r="AB29" i="125"/>
  <c r="AI29" i="125"/>
  <c r="AA29" i="125"/>
  <c r="AH29" i="125"/>
  <c r="AG29" i="125"/>
  <c r="AF29" i="125"/>
  <c r="AE29" i="125"/>
  <c r="AC29" i="125"/>
  <c r="AP59" i="123"/>
  <c r="AU59" i="123"/>
  <c r="AT59" i="123"/>
  <c r="AS59" i="123"/>
  <c r="AQ59" i="123"/>
  <c r="AR59" i="123"/>
  <c r="AO59" i="123"/>
  <c r="AN59" i="123"/>
  <c r="AJ42" i="123"/>
  <c r="AF34" i="123"/>
  <c r="AC34" i="123"/>
  <c r="AB34" i="123"/>
  <c r="AA34" i="123"/>
  <c r="AH34" i="123"/>
  <c r="AG34" i="123"/>
  <c r="AE34" i="123"/>
  <c r="AD34" i="123"/>
  <c r="AI34" i="123"/>
  <c r="AC15" i="123"/>
  <c r="AB15" i="123"/>
  <c r="AI15" i="123"/>
  <c r="AA15" i="123"/>
  <c r="AG15" i="123"/>
  <c r="AF15" i="123"/>
  <c r="AE15" i="123"/>
  <c r="AE12" i="123" s="1"/>
  <c r="AD15" i="123"/>
  <c r="AH15" i="123"/>
  <c r="AI9" i="123"/>
  <c r="AA9" i="123"/>
  <c r="AV48" i="122"/>
  <c r="AJ37" i="122"/>
  <c r="AP58" i="123"/>
  <c r="AF63" i="122"/>
  <c r="AE63" i="122"/>
  <c r="AD63" i="122"/>
  <c r="AB63" i="122"/>
  <c r="AH63" i="122"/>
  <c r="AH60" i="122" s="1"/>
  <c r="AG63" i="122"/>
  <c r="AG60" i="122" s="1"/>
  <c r="AI63" i="122"/>
  <c r="AC63" i="122"/>
  <c r="AA63" i="122"/>
  <c r="AN54" i="122"/>
  <c r="AT54" i="122"/>
  <c r="AR54" i="122"/>
  <c r="AP54" i="122"/>
  <c r="AO54" i="122"/>
  <c r="AQ54" i="122"/>
  <c r="AU54" i="122"/>
  <c r="AS54" i="122"/>
  <c r="AR38" i="122"/>
  <c r="AN38" i="122"/>
  <c r="AT38" i="122"/>
  <c r="AP38" i="122"/>
  <c r="AO38" i="122"/>
  <c r="AN28" i="122"/>
  <c r="AH58" i="121"/>
  <c r="AS13" i="123"/>
  <c r="AR13" i="123"/>
  <c r="AQ13" i="123"/>
  <c r="AO13" i="123"/>
  <c r="AN13" i="123"/>
  <c r="AU13" i="123"/>
  <c r="AT13" i="123"/>
  <c r="AP13" i="123"/>
  <c r="AG66" i="122"/>
  <c r="AF66" i="122"/>
  <c r="AF65" i="122" s="1"/>
  <c r="AE66" i="122"/>
  <c r="AE65" i="122" s="1"/>
  <c r="AC66" i="122"/>
  <c r="AC65" i="122" s="1"/>
  <c r="AI66" i="122"/>
  <c r="AI65" i="122" s="1"/>
  <c r="AA66" i="122"/>
  <c r="AH66" i="122"/>
  <c r="AD66" i="122"/>
  <c r="AD65" i="122" s="1"/>
  <c r="AB66" i="122"/>
  <c r="AB65" i="122" s="1"/>
  <c r="AF58" i="121"/>
  <c r="AR25" i="122"/>
  <c r="AN25" i="122"/>
  <c r="AT25" i="122"/>
  <c r="AP25" i="122"/>
  <c r="AE55" i="121"/>
  <c r="AB55" i="121"/>
  <c r="AI55" i="121"/>
  <c r="AA55" i="121"/>
  <c r="AH55" i="121"/>
  <c r="AG55" i="121"/>
  <c r="AF55" i="121"/>
  <c r="AD55" i="121"/>
  <c r="AC55" i="121"/>
  <c r="AB28" i="122"/>
  <c r="AH28" i="122"/>
  <c r="AF28" i="122"/>
  <c r="AD28" i="122"/>
  <c r="AD22" i="122" s="1"/>
  <c r="AF57" i="121"/>
  <c r="AC57" i="121"/>
  <c r="AB57" i="121"/>
  <c r="AI57" i="121"/>
  <c r="AA57" i="121"/>
  <c r="AH57" i="121"/>
  <c r="AG57" i="121"/>
  <c r="AE57" i="121"/>
  <c r="AD57" i="121"/>
  <c r="AD28" i="121"/>
  <c r="AB28" i="121"/>
  <c r="AI28" i="121"/>
  <c r="AH28" i="121"/>
  <c r="AG28" i="121"/>
  <c r="AF28" i="121"/>
  <c r="AE28" i="121"/>
  <c r="AC28" i="121"/>
  <c r="AA28" i="121"/>
  <c r="AC14" i="121"/>
  <c r="AH14" i="121"/>
  <c r="AF14" i="121"/>
  <c r="AE14" i="121"/>
  <c r="AD14" i="121"/>
  <c r="AB14" i="121"/>
  <c r="AA14" i="121"/>
  <c r="AI14" i="121"/>
  <c r="AG14" i="121"/>
  <c r="AG8" i="121"/>
  <c r="AD8" i="121"/>
  <c r="AH8" i="121"/>
  <c r="AT48" i="120"/>
  <c r="AQ48" i="120"/>
  <c r="AN48" i="120"/>
  <c r="AU48" i="120"/>
  <c r="AS48" i="120"/>
  <c r="AP48" i="120"/>
  <c r="AO48" i="120"/>
  <c r="AR48" i="120"/>
  <c r="AT39" i="122"/>
  <c r="AR39" i="122"/>
  <c r="AP39" i="122"/>
  <c r="AN39" i="122"/>
  <c r="AQ39" i="122"/>
  <c r="AU39" i="122"/>
  <c r="AS39" i="122"/>
  <c r="AO39" i="122"/>
  <c r="AJ29" i="122"/>
  <c r="AV49" i="122"/>
  <c r="AD2" i="122"/>
  <c r="AN20" i="121"/>
  <c r="AU20" i="121"/>
  <c r="AP20" i="121"/>
  <c r="AJ72" i="120"/>
  <c r="AV41" i="122"/>
  <c r="AU18" i="121"/>
  <c r="AI19" i="121"/>
  <c r="AA19" i="121"/>
  <c r="AF19" i="121"/>
  <c r="AD19" i="121"/>
  <c r="AC19" i="121"/>
  <c r="AB19" i="121"/>
  <c r="AH19" i="121"/>
  <c r="AG19" i="121"/>
  <c r="AE19" i="121"/>
  <c r="AI36" i="120"/>
  <c r="AH36" i="120"/>
  <c r="AF36" i="120"/>
  <c r="AE36" i="120"/>
  <c r="AC36" i="120"/>
  <c r="AB36" i="120"/>
  <c r="AA36" i="120"/>
  <c r="AD36" i="120"/>
  <c r="AD18" i="121"/>
  <c r="AC18" i="121"/>
  <c r="AB18" i="121"/>
  <c r="AA18" i="121"/>
  <c r="AI18" i="121"/>
  <c r="AF18" i="121"/>
  <c r="AT73" i="120"/>
  <c r="AT72" i="120" s="1"/>
  <c r="AR73" i="120"/>
  <c r="AR72" i="120" s="1"/>
  <c r="AQ73" i="120"/>
  <c r="AQ72" i="120" s="1"/>
  <c r="AO73" i="120"/>
  <c r="AO72" i="120" s="1"/>
  <c r="AN73" i="120"/>
  <c r="AU73" i="120"/>
  <c r="AU72" i="120" s="1"/>
  <c r="AS73" i="120"/>
  <c r="AS72" i="120" s="1"/>
  <c r="AP73" i="120"/>
  <c r="AP72" i="120" s="1"/>
  <c r="AB8" i="121"/>
  <c r="AH56" i="120"/>
  <c r="AE56" i="120"/>
  <c r="AB56" i="120"/>
  <c r="AI56" i="120"/>
  <c r="AA56" i="120"/>
  <c r="AD56" i="120"/>
  <c r="AC56" i="120"/>
  <c r="AG56" i="120"/>
  <c r="AF56" i="120"/>
  <c r="AE8" i="120"/>
  <c r="AO55" i="120"/>
  <c r="AT55" i="120"/>
  <c r="AQ55" i="120"/>
  <c r="AP55" i="120"/>
  <c r="AU55" i="120"/>
  <c r="AS55" i="120"/>
  <c r="AR55" i="120"/>
  <c r="AN55" i="120"/>
  <c r="AF35" i="120"/>
  <c r="AD35" i="120"/>
  <c r="AC35" i="120"/>
  <c r="AB35" i="120"/>
  <c r="AA35" i="120"/>
  <c r="AH35" i="120"/>
  <c r="AG35" i="120"/>
  <c r="AE35" i="120"/>
  <c r="AI35" i="120"/>
  <c r="AB8" i="120"/>
  <c r="AQ44" i="120"/>
  <c r="AN44" i="120"/>
  <c r="AR44" i="120"/>
  <c r="AU44" i="120"/>
  <c r="AT44" i="120"/>
  <c r="AS44" i="120"/>
  <c r="AP44" i="120"/>
  <c r="AO44" i="120"/>
  <c r="AQ10" i="120"/>
  <c r="AS10" i="120"/>
  <c r="AP10" i="120"/>
  <c r="AU10" i="120"/>
  <c r="AT10" i="120"/>
  <c r="AR10" i="120"/>
  <c r="AO10" i="120"/>
  <c r="AN10" i="120"/>
  <c r="AI63" i="120"/>
  <c r="AA63" i="120"/>
  <c r="AF63" i="120"/>
  <c r="AC63" i="120"/>
  <c r="AB63" i="120"/>
  <c r="AH63" i="120"/>
  <c r="AG63" i="120"/>
  <c r="AE63" i="120"/>
  <c r="AD63" i="120"/>
  <c r="AR42" i="120"/>
  <c r="AG34" i="120"/>
  <c r="AD34" i="120"/>
  <c r="AC34" i="120"/>
  <c r="AI54" i="119"/>
  <c r="AA54" i="119"/>
  <c r="AG54" i="119"/>
  <c r="AD54" i="119"/>
  <c r="AC54" i="119"/>
  <c r="AE54" i="119"/>
  <c r="AB54" i="119"/>
  <c r="AH54" i="119"/>
  <c r="AF54" i="119"/>
  <c r="AG25" i="119"/>
  <c r="AN13" i="120"/>
  <c r="AR13" i="120"/>
  <c r="AP13" i="120"/>
  <c r="AU13" i="120"/>
  <c r="AT13" i="120"/>
  <c r="AS13" i="120"/>
  <c r="AQ13" i="120"/>
  <c r="AO13" i="120"/>
  <c r="AS59" i="119"/>
  <c r="AO49" i="119"/>
  <c r="AU49" i="119"/>
  <c r="AR49" i="119"/>
  <c r="AQ49" i="119"/>
  <c r="AP49" i="119"/>
  <c r="AN49" i="119"/>
  <c r="AT49" i="119"/>
  <c r="AS49" i="119"/>
  <c r="AR18" i="119"/>
  <c r="AQ18" i="119"/>
  <c r="AP18" i="119"/>
  <c r="AT18" i="119"/>
  <c r="AO18" i="119"/>
  <c r="AN18" i="119"/>
  <c r="AD16" i="119"/>
  <c r="AA16" i="119"/>
  <c r="AI16" i="119"/>
  <c r="AH16" i="119"/>
  <c r="AE16" i="119"/>
  <c r="AC16" i="119"/>
  <c r="AB16" i="119"/>
  <c r="AG16" i="119"/>
  <c r="AF16" i="119"/>
  <c r="AI15" i="120"/>
  <c r="AG15" i="120"/>
  <c r="AD15" i="120"/>
  <c r="AC15" i="120"/>
  <c r="AN20" i="119"/>
  <c r="AB31" i="120"/>
  <c r="AC31" i="120"/>
  <c r="AA31" i="120"/>
  <c r="AI31" i="120"/>
  <c r="AH31" i="120"/>
  <c r="AF31" i="120"/>
  <c r="AE31" i="120"/>
  <c r="AD31" i="120"/>
  <c r="AG31" i="120"/>
  <c r="AN2" i="120"/>
  <c r="AE25" i="119"/>
  <c r="AF20" i="119"/>
  <c r="AD20" i="119"/>
  <c r="AB20" i="119"/>
  <c r="AU24" i="119"/>
  <c r="AR24" i="119"/>
  <c r="AT24" i="119"/>
  <c r="AS24" i="119"/>
  <c r="AQ24" i="119"/>
  <c r="AN24" i="119"/>
  <c r="AP24" i="119"/>
  <c r="AO24" i="119"/>
  <c r="AD19" i="118"/>
  <c r="AB19" i="118"/>
  <c r="AA19" i="118"/>
  <c r="AI19" i="118"/>
  <c r="AH19" i="118"/>
  <c r="AE19" i="118"/>
  <c r="AC19" i="118"/>
  <c r="AG19" i="118"/>
  <c r="AF19" i="118"/>
  <c r="AH23" i="119"/>
  <c r="AE23" i="119"/>
  <c r="AF23" i="119"/>
  <c r="AD23" i="119"/>
  <c r="AC23" i="119"/>
  <c r="AI23" i="119"/>
  <c r="AG23" i="119"/>
  <c r="AB23" i="119"/>
  <c r="AA23" i="119"/>
  <c r="AH4" i="119"/>
  <c r="AH2" i="119" s="1"/>
  <c r="AF4" i="119"/>
  <c r="AF2" i="119" s="1"/>
  <c r="AC4" i="119"/>
  <c r="AC2" i="119" s="1"/>
  <c r="AB4" i="119"/>
  <c r="AB2" i="119" s="1"/>
  <c r="AI4" i="119"/>
  <c r="AI2" i="119" s="1"/>
  <c r="AA4" i="119"/>
  <c r="AE4" i="119"/>
  <c r="AE2" i="119" s="1"/>
  <c r="AD4" i="119"/>
  <c r="AD2" i="119" s="1"/>
  <c r="AG4" i="119"/>
  <c r="AG2" i="119" s="1"/>
  <c r="AB43" i="118"/>
  <c r="AH43" i="118"/>
  <c r="AC43" i="118"/>
  <c r="AA43" i="118"/>
  <c r="AI43" i="118"/>
  <c r="AG43" i="118"/>
  <c r="AF43" i="118"/>
  <c r="AE43" i="118"/>
  <c r="AD43" i="118"/>
  <c r="AB40" i="118"/>
  <c r="AH40" i="118"/>
  <c r="AC40" i="118"/>
  <c r="AA40" i="118"/>
  <c r="AI40" i="118"/>
  <c r="AG40" i="118"/>
  <c r="AF40" i="118"/>
  <c r="AE40" i="118"/>
  <c r="AD40" i="118"/>
  <c r="AR29" i="118"/>
  <c r="AV20" i="120"/>
  <c r="AE14" i="119"/>
  <c r="AD14" i="119"/>
  <c r="AC14" i="119"/>
  <c r="AB14" i="119"/>
  <c r="AH14" i="119"/>
  <c r="AG14" i="119"/>
  <c r="AF14" i="119"/>
  <c r="AI14" i="119"/>
  <c r="AA14" i="119"/>
  <c r="AV15" i="119"/>
  <c r="AT30" i="119"/>
  <c r="AQ30" i="119"/>
  <c r="AU30" i="119"/>
  <c r="AS30" i="119"/>
  <c r="AR30" i="119"/>
  <c r="AN30" i="119"/>
  <c r="AP30" i="119"/>
  <c r="AO30" i="119"/>
  <c r="AC38" i="119"/>
  <c r="AA38" i="119"/>
  <c r="AF38" i="119"/>
  <c r="AE38" i="119"/>
  <c r="AD38" i="119"/>
  <c r="AI38" i="119"/>
  <c r="AH38" i="119"/>
  <c r="AB42" i="118"/>
  <c r="AH42" i="118"/>
  <c r="AG42" i="118"/>
  <c r="AF42" i="118"/>
  <c r="AE42" i="118"/>
  <c r="AD42" i="118"/>
  <c r="AC42" i="118"/>
  <c r="AA42" i="118"/>
  <c r="AI42" i="118"/>
  <c r="AB38" i="118"/>
  <c r="AH38" i="118"/>
  <c r="AG38" i="118"/>
  <c r="AF38" i="118"/>
  <c r="AE38" i="118"/>
  <c r="AD38" i="118"/>
  <c r="AC38" i="118"/>
  <c r="AA38" i="118"/>
  <c r="AI38" i="118"/>
  <c r="AF4" i="118"/>
  <c r="AF2" i="118" s="1"/>
  <c r="AE4" i="118"/>
  <c r="AD4" i="118"/>
  <c r="AD2" i="118" s="1"/>
  <c r="AC4" i="118"/>
  <c r="AC2" i="118" s="1"/>
  <c r="AH4" i="118"/>
  <c r="AG4" i="118"/>
  <c r="AG2" i="118" s="1"/>
  <c r="AB4" i="118"/>
  <c r="AB2" i="118" s="1"/>
  <c r="AA4" i="118"/>
  <c r="AI4" i="118"/>
  <c r="AE63" i="117"/>
  <c r="AD63" i="117"/>
  <c r="AC63" i="117"/>
  <c r="AB63" i="117"/>
  <c r="AG63" i="117"/>
  <c r="AF63" i="117"/>
  <c r="AA63" i="117"/>
  <c r="AI63" i="117"/>
  <c r="AH63" i="117"/>
  <c r="AF39" i="117"/>
  <c r="AE39" i="117"/>
  <c r="AD39" i="117"/>
  <c r="AI39" i="117"/>
  <c r="AA39" i="117"/>
  <c r="AH39" i="117"/>
  <c r="AC39" i="117"/>
  <c r="AB39" i="117"/>
  <c r="AG39" i="117"/>
  <c r="AE69" i="116"/>
  <c r="AE68" i="116" s="1"/>
  <c r="AD69" i="116"/>
  <c r="AD68" i="116" s="1"/>
  <c r="AC69" i="116"/>
  <c r="AC68" i="116" s="1"/>
  <c r="AF64" i="116"/>
  <c r="AF60" i="116" s="1"/>
  <c r="AG30" i="117"/>
  <c r="AE30" i="117"/>
  <c r="AB30" i="117"/>
  <c r="AI30" i="117"/>
  <c r="AA30" i="117"/>
  <c r="AH30" i="117"/>
  <c r="AF30" i="117"/>
  <c r="AD30" i="117"/>
  <c r="AC30" i="117"/>
  <c r="AA68" i="117"/>
  <c r="AR61" i="117"/>
  <c r="AQ61" i="117"/>
  <c r="AP61" i="117"/>
  <c r="AO61" i="117"/>
  <c r="AT61" i="117"/>
  <c r="AS61" i="117"/>
  <c r="AU61" i="117"/>
  <c r="AN61" i="117"/>
  <c r="AB8" i="117"/>
  <c r="AD8" i="117"/>
  <c r="AC8" i="117"/>
  <c r="AA8" i="117"/>
  <c r="AI8" i="117"/>
  <c r="AE8" i="117"/>
  <c r="AH8" i="117"/>
  <c r="AG8" i="117"/>
  <c r="AF8" i="117"/>
  <c r="AT32" i="118"/>
  <c r="AB69" i="116"/>
  <c r="AB68" i="116" s="1"/>
  <c r="AG59" i="116"/>
  <c r="AB63" i="116"/>
  <c r="AB60" i="116" s="1"/>
  <c r="AA63" i="116"/>
  <c r="AG63" i="116"/>
  <c r="AP39" i="124"/>
  <c r="AU25" i="117"/>
  <c r="AS25" i="117"/>
  <c r="AP25" i="117"/>
  <c r="AO25" i="117"/>
  <c r="AT25" i="117"/>
  <c r="AN25" i="117"/>
  <c r="AR25" i="117"/>
  <c r="AQ25" i="117"/>
  <c r="AF46" i="116"/>
  <c r="AG17" i="116"/>
  <c r="AG12" i="116" s="1"/>
  <c r="AE17" i="116"/>
  <c r="AD17" i="116"/>
  <c r="AH17" i="116"/>
  <c r="AF17" i="116"/>
  <c r="AC17" i="116"/>
  <c r="AC12" i="116" s="1"/>
  <c r="AB17" i="116"/>
  <c r="AB12" i="116" s="1"/>
  <c r="AA17" i="116"/>
  <c r="AI17" i="116"/>
  <c r="AH54" i="116"/>
  <c r="AG54" i="116"/>
  <c r="AE54" i="116"/>
  <c r="AD54" i="116"/>
  <c r="AI54" i="116"/>
  <c r="AF54" i="116"/>
  <c r="AC54" i="116"/>
  <c r="AB54" i="116"/>
  <c r="AA54" i="116"/>
  <c r="AD27" i="116"/>
  <c r="AB27" i="116"/>
  <c r="AA41" i="117"/>
  <c r="AI41" i="117"/>
  <c r="AE41" i="117"/>
  <c r="AD41" i="117"/>
  <c r="AO32" i="116"/>
  <c r="AU32" i="116"/>
  <c r="AT32" i="116"/>
  <c r="AP32" i="116"/>
  <c r="AS32" i="116"/>
  <c r="AR32" i="116"/>
  <c r="AQ32" i="116"/>
  <c r="AN32" i="116"/>
  <c r="AP19" i="116"/>
  <c r="AN19" i="116"/>
  <c r="AU19" i="116"/>
  <c r="AS19" i="116"/>
  <c r="AR19" i="116"/>
  <c r="AQ19" i="116"/>
  <c r="AO19" i="116"/>
  <c r="AT19" i="116"/>
  <c r="AU46" i="124"/>
  <c r="AU78" i="124"/>
  <c r="AU39" i="124"/>
  <c r="AD34" i="124"/>
  <c r="AC34" i="124"/>
  <c r="AB34" i="124"/>
  <c r="AI34" i="124"/>
  <c r="AA34" i="124"/>
  <c r="AH34" i="124"/>
  <c r="AG34" i="124"/>
  <c r="AF34" i="124"/>
  <c r="AE34" i="124"/>
  <c r="AJ51" i="117"/>
  <c r="AT78" i="124"/>
  <c r="AG40" i="116"/>
  <c r="AE40" i="116"/>
  <c r="AD40" i="116"/>
  <c r="AH40" i="116"/>
  <c r="AI40" i="116"/>
  <c r="AF40" i="116"/>
  <c r="AC40" i="116"/>
  <c r="AB40" i="116"/>
  <c r="AA40" i="116"/>
  <c r="AV64" i="115"/>
  <c r="AB59" i="115"/>
  <c r="AI59" i="115"/>
  <c r="AA59" i="115"/>
  <c r="AH59" i="115"/>
  <c r="AG59" i="115"/>
  <c r="AF59" i="115"/>
  <c r="AE59" i="115"/>
  <c r="AD59" i="115"/>
  <c r="AC59" i="115"/>
  <c r="AU53" i="114"/>
  <c r="AT53" i="114"/>
  <c r="AS53" i="114"/>
  <c r="AQ53" i="114"/>
  <c r="AR53" i="114"/>
  <c r="AP53" i="114"/>
  <c r="AO53" i="114"/>
  <c r="AN53" i="114"/>
  <c r="AU15" i="114"/>
  <c r="AO15" i="114"/>
  <c r="AN15" i="114"/>
  <c r="AS27" i="117"/>
  <c r="AQ27" i="117"/>
  <c r="AN27" i="117"/>
  <c r="AU27" i="117"/>
  <c r="AT27" i="117"/>
  <c r="AR27" i="117"/>
  <c r="AP27" i="117"/>
  <c r="AO27" i="117"/>
  <c r="AC9" i="124"/>
  <c r="AB9" i="124"/>
  <c r="AI9" i="124"/>
  <c r="AA9" i="124"/>
  <c r="AH9" i="124"/>
  <c r="AG9" i="124"/>
  <c r="AF9" i="124"/>
  <c r="AD9" i="124"/>
  <c r="AE9" i="124"/>
  <c r="AE11" i="117"/>
  <c r="AD11" i="117"/>
  <c r="AF11" i="117"/>
  <c r="AQ14" i="117"/>
  <c r="AT14" i="117"/>
  <c r="AS14" i="117"/>
  <c r="AN14" i="117"/>
  <c r="AO14" i="117"/>
  <c r="AU14" i="117"/>
  <c r="AR14" i="117"/>
  <c r="AP14" i="117"/>
  <c r="AT37" i="124"/>
  <c r="AC10" i="115"/>
  <c r="AB10" i="115"/>
  <c r="AI10" i="115"/>
  <c r="AA10" i="115"/>
  <c r="AG10" i="115"/>
  <c r="AH10" i="115"/>
  <c r="AF10" i="115"/>
  <c r="AE10" i="115"/>
  <c r="AD10" i="115"/>
  <c r="AI10" i="472"/>
  <c r="AB61" i="112"/>
  <c r="AG61" i="112"/>
  <c r="AE61" i="112"/>
  <c r="AE60" i="112" s="1"/>
  <c r="AF61" i="112"/>
  <c r="AD61" i="112"/>
  <c r="AI61" i="112"/>
  <c r="AH61" i="112"/>
  <c r="AC61" i="112"/>
  <c r="AA61" i="112"/>
  <c r="AE45" i="115"/>
  <c r="AD45" i="115"/>
  <c r="AC45" i="115"/>
  <c r="AN20" i="115"/>
  <c r="AU20" i="115"/>
  <c r="AT20" i="115"/>
  <c r="AR20" i="115"/>
  <c r="AS20" i="115"/>
  <c r="AQ20" i="115"/>
  <c r="AP20" i="115"/>
  <c r="AO20" i="115"/>
  <c r="AC55" i="124"/>
  <c r="AI17" i="124"/>
  <c r="AH56" i="115"/>
  <c r="AS29" i="115"/>
  <c r="AR29" i="115"/>
  <c r="AQ29" i="115"/>
  <c r="AO29" i="115"/>
  <c r="AU29" i="115"/>
  <c r="AT29" i="115"/>
  <c r="AP29" i="115"/>
  <c r="AN29" i="115"/>
  <c r="AE73" i="472"/>
  <c r="AB73" i="472"/>
  <c r="AI73" i="472"/>
  <c r="AA73" i="472"/>
  <c r="AH73" i="472"/>
  <c r="AG73" i="472"/>
  <c r="AF73" i="472"/>
  <c r="AD73" i="472"/>
  <c r="AC73" i="472"/>
  <c r="AR40" i="115"/>
  <c r="AQ40" i="115"/>
  <c r="AP40" i="115"/>
  <c r="AO40" i="115"/>
  <c r="AN40" i="115"/>
  <c r="AU40" i="115"/>
  <c r="AT40" i="115"/>
  <c r="AS40" i="115"/>
  <c r="AB11" i="115"/>
  <c r="AO30" i="116"/>
  <c r="AU30" i="116"/>
  <c r="AT30" i="116"/>
  <c r="AN30" i="116"/>
  <c r="AS30" i="116"/>
  <c r="AR30" i="116"/>
  <c r="AQ30" i="116"/>
  <c r="AP30" i="116"/>
  <c r="AO53" i="472"/>
  <c r="AT53" i="472"/>
  <c r="AS53" i="472"/>
  <c r="AR53" i="472"/>
  <c r="AU53" i="472"/>
  <c r="AQ53" i="472"/>
  <c r="AP53" i="472"/>
  <c r="AN53" i="472"/>
  <c r="AD17" i="472"/>
  <c r="AI17" i="472"/>
  <c r="AA17" i="472"/>
  <c r="AH17" i="472"/>
  <c r="AG17" i="472"/>
  <c r="AC17" i="472"/>
  <c r="AB17" i="472"/>
  <c r="AF17" i="472"/>
  <c r="AE17" i="472"/>
  <c r="AB42" i="112"/>
  <c r="AE42" i="112"/>
  <c r="AD42" i="112"/>
  <c r="AC42" i="112"/>
  <c r="AA42" i="112"/>
  <c r="AH42" i="112"/>
  <c r="AF42" i="112"/>
  <c r="AI42" i="112"/>
  <c r="AB45" i="115"/>
  <c r="AD35" i="114"/>
  <c r="AC35" i="114"/>
  <c r="AB35" i="114"/>
  <c r="AG35" i="114"/>
  <c r="AA35" i="114"/>
  <c r="AI35" i="114"/>
  <c r="AE35" i="114"/>
  <c r="AH35" i="114"/>
  <c r="AF35" i="114"/>
  <c r="AO38" i="112"/>
  <c r="AT38" i="112"/>
  <c r="AR38" i="112"/>
  <c r="AS38" i="112"/>
  <c r="AQ38" i="112"/>
  <c r="AU38" i="112"/>
  <c r="AP38" i="112"/>
  <c r="AN38" i="112"/>
  <c r="AN24" i="115"/>
  <c r="AU24" i="115"/>
  <c r="AT24" i="115"/>
  <c r="AR24" i="115"/>
  <c r="AS24" i="115"/>
  <c r="AQ24" i="115"/>
  <c r="AP24" i="115"/>
  <c r="AO24" i="115"/>
  <c r="AH11" i="114"/>
  <c r="AG11" i="114"/>
  <c r="AD11" i="114"/>
  <c r="AA11" i="114"/>
  <c r="AI11" i="114"/>
  <c r="AF11" i="114"/>
  <c r="AE11" i="114"/>
  <c r="AC11" i="114"/>
  <c r="AB11" i="114"/>
  <c r="AU41" i="472"/>
  <c r="AS41" i="472"/>
  <c r="AR41" i="472"/>
  <c r="AP41" i="472"/>
  <c r="AO41" i="472"/>
  <c r="AA24" i="472"/>
  <c r="AI3" i="116"/>
  <c r="AI2" i="116" s="1"/>
  <c r="AA3" i="116"/>
  <c r="AG3" i="116"/>
  <c r="AG2" i="116" s="1"/>
  <c r="AF3" i="116"/>
  <c r="AF2" i="116" s="1"/>
  <c r="AB3" i="116"/>
  <c r="AH3" i="116"/>
  <c r="AH2" i="116" s="1"/>
  <c r="AE3" i="116"/>
  <c r="AE2" i="116" s="1"/>
  <c r="AD3" i="116"/>
  <c r="AD2" i="116" s="1"/>
  <c r="AC3" i="116"/>
  <c r="AC2" i="116" s="1"/>
  <c r="AS15" i="114"/>
  <c r="AF21" i="472"/>
  <c r="AC21" i="472"/>
  <c r="AG21" i="472"/>
  <c r="AD21" i="472"/>
  <c r="AD61" i="124"/>
  <c r="AD60" i="124" s="1"/>
  <c r="AC61" i="124"/>
  <c r="AC60" i="124" s="1"/>
  <c r="AE61" i="124"/>
  <c r="AE60" i="124" s="1"/>
  <c r="AB61" i="124"/>
  <c r="AB60" i="124" s="1"/>
  <c r="AA61" i="124"/>
  <c r="AI61" i="124"/>
  <c r="AH61" i="124"/>
  <c r="AH60" i="124" s="1"/>
  <c r="AG61" i="124"/>
  <c r="AG60" i="124" s="1"/>
  <c r="AF61" i="124"/>
  <c r="AF60" i="124" s="1"/>
  <c r="AI67" i="114"/>
  <c r="AG20" i="114"/>
  <c r="AF20" i="114"/>
  <c r="AE20" i="114"/>
  <c r="AI20" i="114"/>
  <c r="AC20" i="114"/>
  <c r="AB20" i="114"/>
  <c r="AA20" i="114"/>
  <c r="AH20" i="114"/>
  <c r="AD20" i="114"/>
  <c r="AG61" i="472"/>
  <c r="AG60" i="472" s="1"/>
  <c r="AD61" i="472"/>
  <c r="AD60" i="472" s="1"/>
  <c r="AC61" i="472"/>
  <c r="AC60" i="472" s="1"/>
  <c r="AB61" i="472"/>
  <c r="AB60" i="472" s="1"/>
  <c r="AI61" i="472"/>
  <c r="AI60" i="472" s="1"/>
  <c r="AH61" i="472"/>
  <c r="AF61" i="472"/>
  <c r="AE61" i="472"/>
  <c r="AE60" i="472" s="1"/>
  <c r="AA61" i="472"/>
  <c r="AB21" i="472"/>
  <c r="AG31" i="124"/>
  <c r="AS13" i="114"/>
  <c r="AR13" i="114"/>
  <c r="AP13" i="114"/>
  <c r="AU13" i="114"/>
  <c r="AN13" i="114"/>
  <c r="AT13" i="114"/>
  <c r="AQ13" i="114"/>
  <c r="AO13" i="114"/>
  <c r="AS66" i="472"/>
  <c r="AQ66" i="472"/>
  <c r="AQ65" i="472" s="1"/>
  <c r="AP66" i="472"/>
  <c r="AJ49" i="112"/>
  <c r="AS23" i="472"/>
  <c r="AP23" i="472"/>
  <c r="AO23" i="472"/>
  <c r="AN23" i="472"/>
  <c r="AU23" i="472"/>
  <c r="AT23" i="472"/>
  <c r="AQ23" i="472"/>
  <c r="AR23" i="472"/>
  <c r="AT16" i="112"/>
  <c r="AQ16" i="112"/>
  <c r="AN16" i="112"/>
  <c r="AR16" i="112"/>
  <c r="AP16" i="112"/>
  <c r="AU16" i="112"/>
  <c r="AS16" i="112"/>
  <c r="AO16" i="112"/>
  <c r="AP61" i="111"/>
  <c r="AU61" i="111"/>
  <c r="AO61" i="111"/>
  <c r="AT61" i="111"/>
  <c r="AS61" i="111"/>
  <c r="AR61" i="111"/>
  <c r="AQ61" i="111"/>
  <c r="AN61" i="111"/>
  <c r="AQ53" i="112"/>
  <c r="AJ52" i="112"/>
  <c r="AR41" i="112"/>
  <c r="AO41" i="112"/>
  <c r="AU41" i="112"/>
  <c r="AT41" i="112"/>
  <c r="AN41" i="112"/>
  <c r="AS41" i="112"/>
  <c r="AQ41" i="112"/>
  <c r="AP41" i="112"/>
  <c r="AN65" i="111"/>
  <c r="AT38" i="111"/>
  <c r="AR38" i="111"/>
  <c r="AS38" i="111"/>
  <c r="AQ38" i="111"/>
  <c r="AP38" i="111"/>
  <c r="AO38" i="111"/>
  <c r="AN38" i="111"/>
  <c r="AU38" i="111"/>
  <c r="AC55" i="112"/>
  <c r="AE19" i="472"/>
  <c r="AB19" i="472"/>
  <c r="AI19" i="472"/>
  <c r="AA19" i="472"/>
  <c r="AH19" i="472"/>
  <c r="AG19" i="472"/>
  <c r="AF19" i="472"/>
  <c r="AC19" i="472"/>
  <c r="AD19" i="472"/>
  <c r="AP64" i="112"/>
  <c r="AU64" i="112"/>
  <c r="AU60" i="112" s="1"/>
  <c r="AS64" i="112"/>
  <c r="AS60" i="112" s="1"/>
  <c r="AO64" i="112"/>
  <c r="AN64" i="112"/>
  <c r="AQ64" i="112"/>
  <c r="AT64" i="112"/>
  <c r="AT60" i="112" s="1"/>
  <c r="AR64" i="112"/>
  <c r="AR60" i="112" s="1"/>
  <c r="AH43" i="112"/>
  <c r="AB43" i="112"/>
  <c r="AF43" i="112"/>
  <c r="AE43" i="112"/>
  <c r="AC43" i="112"/>
  <c r="AS16" i="472"/>
  <c r="AJ35" i="112"/>
  <c r="AO20" i="112"/>
  <c r="AD46" i="111"/>
  <c r="AH46" i="111"/>
  <c r="AB46" i="111"/>
  <c r="AA46" i="111"/>
  <c r="AI46" i="111"/>
  <c r="AG46" i="111"/>
  <c r="AF46" i="111"/>
  <c r="AE46" i="111"/>
  <c r="AC46" i="111"/>
  <c r="AQ69" i="110"/>
  <c r="AO69" i="110"/>
  <c r="AO68" i="110" s="1"/>
  <c r="AN69" i="110"/>
  <c r="AU69" i="110"/>
  <c r="AU68" i="110" s="1"/>
  <c r="AT69" i="110"/>
  <c r="AR69" i="110"/>
  <c r="AP28" i="110"/>
  <c r="AO28" i="110"/>
  <c r="AU28" i="110"/>
  <c r="AT28" i="110"/>
  <c r="AS28" i="110"/>
  <c r="AR28" i="110"/>
  <c r="AQ28" i="110"/>
  <c r="AN28" i="110"/>
  <c r="AO8" i="472"/>
  <c r="AE27" i="112"/>
  <c r="AO10" i="112"/>
  <c r="AP10" i="112"/>
  <c r="AN10" i="112"/>
  <c r="AR10" i="112"/>
  <c r="AU10" i="112"/>
  <c r="AS10" i="112"/>
  <c r="AQ10" i="112"/>
  <c r="AT32" i="111"/>
  <c r="AP32" i="111"/>
  <c r="AS32" i="111"/>
  <c r="AO32" i="111"/>
  <c r="AN32" i="111"/>
  <c r="AU32" i="111"/>
  <c r="AR32" i="111"/>
  <c r="AQ32" i="111"/>
  <c r="AH17" i="111"/>
  <c r="AC17" i="111"/>
  <c r="AD17" i="111"/>
  <c r="AB17" i="111"/>
  <c r="AA17" i="111"/>
  <c r="AI17" i="111"/>
  <c r="AG17" i="111"/>
  <c r="AF17" i="111"/>
  <c r="AE17" i="111"/>
  <c r="AP69" i="110"/>
  <c r="AT10" i="112"/>
  <c r="AS18" i="111"/>
  <c r="AN18" i="111"/>
  <c r="AQ18" i="111"/>
  <c r="AT18" i="111"/>
  <c r="AR18" i="111"/>
  <c r="AP18" i="111"/>
  <c r="AO18" i="111"/>
  <c r="AU18" i="111"/>
  <c r="AE59" i="110"/>
  <c r="AH59" i="110"/>
  <c r="AI59" i="110"/>
  <c r="AF59" i="110"/>
  <c r="AD59" i="110"/>
  <c r="AC59" i="110"/>
  <c r="AB59" i="110"/>
  <c r="AG59" i="110"/>
  <c r="AA59" i="110"/>
  <c r="AV15" i="111"/>
  <c r="AD31" i="110"/>
  <c r="AV23" i="110"/>
  <c r="AD8" i="110"/>
  <c r="AC8" i="110"/>
  <c r="AB8" i="110"/>
  <c r="AI8" i="110"/>
  <c r="AH8" i="110"/>
  <c r="AG8" i="110"/>
  <c r="AE8" i="110"/>
  <c r="AA8" i="110"/>
  <c r="AF8" i="110"/>
  <c r="AJ15" i="111"/>
  <c r="AN53" i="110"/>
  <c r="AU53" i="110"/>
  <c r="AS53" i="110"/>
  <c r="AR53" i="110"/>
  <c r="AQ53" i="110"/>
  <c r="AP53" i="110"/>
  <c r="AR46" i="110"/>
  <c r="AU46" i="110"/>
  <c r="AO46" i="110"/>
  <c r="AT46" i="110"/>
  <c r="AS46" i="110"/>
  <c r="AN46" i="110"/>
  <c r="AQ46" i="110"/>
  <c r="AP46" i="110"/>
  <c r="AD4" i="110"/>
  <c r="AC4" i="110"/>
  <c r="AB4" i="110"/>
  <c r="AA4" i="110"/>
  <c r="AI4" i="110"/>
  <c r="AH4" i="110"/>
  <c r="AF4" i="110"/>
  <c r="AE4" i="110"/>
  <c r="AG4" i="110"/>
  <c r="AS73" i="110"/>
  <c r="AS72" i="110" s="1"/>
  <c r="AN73" i="110"/>
  <c r="AP73" i="110"/>
  <c r="AP72" i="110" s="1"/>
  <c r="AO73" i="110"/>
  <c r="AO72" i="110" s="1"/>
  <c r="AU73" i="110"/>
  <c r="AU72" i="110" s="1"/>
  <c r="AT73" i="110"/>
  <c r="AT72" i="110" s="1"/>
  <c r="AQ73" i="110"/>
  <c r="AQ72" i="110" s="1"/>
  <c r="AR73" i="110"/>
  <c r="AR72" i="110" s="1"/>
  <c r="AP53" i="112"/>
  <c r="AN70" i="110"/>
  <c r="AH51" i="110"/>
  <c r="AC51" i="110"/>
  <c r="AE51" i="110"/>
  <c r="AB51" i="110"/>
  <c r="AA51" i="110"/>
  <c r="AI51" i="110"/>
  <c r="AG51" i="110"/>
  <c r="AF51" i="110"/>
  <c r="AD51" i="110"/>
  <c r="AD71" i="110"/>
  <c r="AD70" i="110" s="1"/>
  <c r="AG71" i="110"/>
  <c r="AG70" i="110" s="1"/>
  <c r="AI71" i="110"/>
  <c r="AI70" i="110" s="1"/>
  <c r="AH71" i="110"/>
  <c r="AH70" i="110" s="1"/>
  <c r="AF71" i="110"/>
  <c r="AF70" i="110" s="1"/>
  <c r="AE71" i="110"/>
  <c r="AE70" i="110" s="1"/>
  <c r="AC71" i="110"/>
  <c r="AC70" i="110" s="1"/>
  <c r="AB71" i="110"/>
  <c r="AB70" i="110" s="1"/>
  <c r="AA71" i="110"/>
  <c r="AC71" i="108"/>
  <c r="AC70" i="108" s="1"/>
  <c r="AA71" i="108"/>
  <c r="AE71" i="108"/>
  <c r="AE70" i="108" s="1"/>
  <c r="AG71" i="108"/>
  <c r="AG70" i="108" s="1"/>
  <c r="AF71" i="108"/>
  <c r="AF70" i="108" s="1"/>
  <c r="AB71" i="108"/>
  <c r="AB70" i="108" s="1"/>
  <c r="AV59" i="111"/>
  <c r="AF61" i="108"/>
  <c r="AC61" i="108"/>
  <c r="AB61" i="108"/>
  <c r="AD56" i="107"/>
  <c r="AC56" i="107"/>
  <c r="AG56" i="107"/>
  <c r="AF56" i="107"/>
  <c r="AE56" i="107"/>
  <c r="AB56" i="107"/>
  <c r="AA56" i="107"/>
  <c r="AI56" i="107"/>
  <c r="AH56" i="107"/>
  <c r="AQ41" i="107"/>
  <c r="AT41" i="107"/>
  <c r="AO41" i="107"/>
  <c r="AN41" i="107"/>
  <c r="AS41" i="107"/>
  <c r="AR41" i="107"/>
  <c r="AU41" i="107"/>
  <c r="AP41" i="107"/>
  <c r="AR53" i="107"/>
  <c r="AJ17" i="110"/>
  <c r="AC26" i="108"/>
  <c r="AH26" i="108"/>
  <c r="AG26" i="108"/>
  <c r="AD26" i="108"/>
  <c r="AR35" i="108"/>
  <c r="AQ35" i="108"/>
  <c r="AN35" i="108"/>
  <c r="AU35" i="108"/>
  <c r="AP35" i="108"/>
  <c r="AO35" i="108"/>
  <c r="AT35" i="108"/>
  <c r="AS35" i="108"/>
  <c r="AE26" i="108"/>
  <c r="AD37" i="107"/>
  <c r="AB37" i="107"/>
  <c r="AG37" i="107"/>
  <c r="AF37" i="107"/>
  <c r="AI37" i="107"/>
  <c r="AE37" i="107"/>
  <c r="AU29" i="107"/>
  <c r="AR29" i="107"/>
  <c r="AT10" i="107"/>
  <c r="AR10" i="107"/>
  <c r="AC15" i="108"/>
  <c r="AB15" i="108"/>
  <c r="AG15" i="108"/>
  <c r="AF15" i="108"/>
  <c r="AA15" i="108"/>
  <c r="AI15" i="108"/>
  <c r="AH15" i="108"/>
  <c r="AE15" i="108"/>
  <c r="AD15" i="108"/>
  <c r="AN53" i="108"/>
  <c r="AV34" i="110"/>
  <c r="AU67" i="106"/>
  <c r="AU65" i="106" s="1"/>
  <c r="AT67" i="106"/>
  <c r="AT65" i="106" s="1"/>
  <c r="AR67" i="106"/>
  <c r="AR65" i="106" s="1"/>
  <c r="AB35" i="106"/>
  <c r="AB16" i="107"/>
  <c r="AA16" i="107"/>
  <c r="AI16" i="107"/>
  <c r="AH16" i="107"/>
  <c r="AG16" i="107"/>
  <c r="AD16" i="107"/>
  <c r="AC16" i="107"/>
  <c r="AF16" i="107"/>
  <c r="AE16" i="107"/>
  <c r="AQ67" i="106"/>
  <c r="AQ65" i="106" s="1"/>
  <c r="AE56" i="106"/>
  <c r="AD56" i="106"/>
  <c r="AA56" i="106"/>
  <c r="AI56" i="106"/>
  <c r="AH56" i="106"/>
  <c r="AF56" i="106"/>
  <c r="AV57" i="105"/>
  <c r="AF48" i="105"/>
  <c r="AE48" i="105"/>
  <c r="AI48" i="105"/>
  <c r="AG48" i="105"/>
  <c r="AC48" i="105"/>
  <c r="AB48" i="105"/>
  <c r="AA48" i="105"/>
  <c r="AH48" i="105"/>
  <c r="AD48" i="105"/>
  <c r="AJ15" i="105"/>
  <c r="AE51" i="103"/>
  <c r="AB51" i="103"/>
  <c r="AI51" i="103"/>
  <c r="AF21" i="107"/>
  <c r="AE21" i="107"/>
  <c r="AD21" i="107"/>
  <c r="AC21" i="107"/>
  <c r="AB21" i="107"/>
  <c r="AI21" i="107"/>
  <c r="AH21" i="107"/>
  <c r="AG21" i="107"/>
  <c r="AA21" i="107"/>
  <c r="AG53" i="106"/>
  <c r="AV19" i="107"/>
  <c r="AF71" i="106"/>
  <c r="AF70" i="106" s="1"/>
  <c r="AU52" i="107"/>
  <c r="AT54" i="106"/>
  <c r="AQ54" i="106"/>
  <c r="AP54" i="106"/>
  <c r="C11" i="418"/>
  <c r="AE53" i="106"/>
  <c r="AO26" i="106"/>
  <c r="AN26" i="106"/>
  <c r="AQ26" i="106"/>
  <c r="AV17" i="106"/>
  <c r="AP58" i="105"/>
  <c r="AO58" i="105"/>
  <c r="AT58" i="105"/>
  <c r="AR58" i="105"/>
  <c r="AN58" i="105"/>
  <c r="AU58" i="105"/>
  <c r="AS58" i="105"/>
  <c r="AQ58" i="105"/>
  <c r="AS36" i="105"/>
  <c r="AR36" i="105"/>
  <c r="AP36" i="105"/>
  <c r="AN36" i="105"/>
  <c r="AU36" i="105"/>
  <c r="AT36" i="105"/>
  <c r="AQ36" i="105"/>
  <c r="AO36" i="105"/>
  <c r="AV30" i="106"/>
  <c r="AP59" i="105"/>
  <c r="AG34" i="103"/>
  <c r="AC29" i="103"/>
  <c r="AG29" i="101"/>
  <c r="AF29" i="101"/>
  <c r="AE29" i="101"/>
  <c r="AD29" i="101"/>
  <c r="AC29" i="101"/>
  <c r="AI29" i="101"/>
  <c r="AA29" i="101"/>
  <c r="AH29" i="101"/>
  <c r="AB29" i="101"/>
  <c r="AP48" i="103"/>
  <c r="AU48" i="103"/>
  <c r="AT48" i="103"/>
  <c r="AR48" i="103"/>
  <c r="AQ13" i="103"/>
  <c r="AN13" i="103"/>
  <c r="AT13" i="103"/>
  <c r="AS13" i="103"/>
  <c r="AC10" i="103"/>
  <c r="AI10" i="103"/>
  <c r="AA10" i="103"/>
  <c r="AF10" i="103"/>
  <c r="AB10" i="103"/>
  <c r="AH10" i="103"/>
  <c r="AG10" i="103"/>
  <c r="AE10" i="103"/>
  <c r="AD10" i="103"/>
  <c r="AB53" i="102"/>
  <c r="AI53" i="102"/>
  <c r="AG53" i="102"/>
  <c r="AF53" i="102"/>
  <c r="AD53" i="102"/>
  <c r="AD50" i="102" s="1"/>
  <c r="AC53" i="102"/>
  <c r="AI4" i="105"/>
  <c r="AF4" i="105"/>
  <c r="AA4" i="105"/>
  <c r="AO51" i="103"/>
  <c r="AA52" i="102"/>
  <c r="AU32" i="101"/>
  <c r="AI73" i="100"/>
  <c r="AA73" i="100"/>
  <c r="AE73" i="100"/>
  <c r="AC73" i="100"/>
  <c r="AR59" i="100"/>
  <c r="AP59" i="100"/>
  <c r="AN59" i="100"/>
  <c r="AH14" i="100"/>
  <c r="AT65" i="105"/>
  <c r="AT61" i="105"/>
  <c r="AA28" i="105"/>
  <c r="AG28" i="105"/>
  <c r="AF28" i="105"/>
  <c r="AC28" i="105"/>
  <c r="AT53" i="103"/>
  <c r="AR53" i="103"/>
  <c r="AO53" i="103"/>
  <c r="AN53" i="103"/>
  <c r="AU53" i="103"/>
  <c r="AS53" i="103"/>
  <c r="AQ53" i="103"/>
  <c r="AP53" i="103"/>
  <c r="AF51" i="103"/>
  <c r="AJ38" i="102"/>
  <c r="AA61" i="101"/>
  <c r="AO8" i="101"/>
  <c r="AN8" i="101"/>
  <c r="AU8" i="101"/>
  <c r="AR8" i="101"/>
  <c r="AQ8" i="101"/>
  <c r="AS8" i="101"/>
  <c r="AG14" i="100"/>
  <c r="AN70" i="105"/>
  <c r="AU49" i="103"/>
  <c r="AS49" i="103"/>
  <c r="AR49" i="103"/>
  <c r="AP49" i="103"/>
  <c r="AO49" i="103"/>
  <c r="AO44" i="103"/>
  <c r="AU44" i="103"/>
  <c r="AR44" i="103"/>
  <c r="AS44" i="103"/>
  <c r="AQ44" i="103"/>
  <c r="AP44" i="103"/>
  <c r="AN44" i="103"/>
  <c r="AT44" i="103"/>
  <c r="AC52" i="102"/>
  <c r="AH24" i="102"/>
  <c r="AQ67" i="101"/>
  <c r="AH61" i="101"/>
  <c r="AH60" i="101" s="1"/>
  <c r="AC53" i="101"/>
  <c r="AB53" i="101"/>
  <c r="AI53" i="101"/>
  <c r="AA53" i="101"/>
  <c r="AH53" i="101"/>
  <c r="AG53" i="101"/>
  <c r="AE53" i="101"/>
  <c r="AF53" i="101"/>
  <c r="AD53" i="101"/>
  <c r="AP37" i="101"/>
  <c r="AO37" i="101"/>
  <c r="AN37" i="101"/>
  <c r="AU37" i="101"/>
  <c r="AT37" i="101"/>
  <c r="AR37" i="101"/>
  <c r="AS37" i="101"/>
  <c r="AQ37" i="101"/>
  <c r="AC31" i="101"/>
  <c r="AB31" i="101"/>
  <c r="AI31" i="101"/>
  <c r="AA31" i="101"/>
  <c r="AH31" i="101"/>
  <c r="AG31" i="101"/>
  <c r="AE31" i="101"/>
  <c r="AF31" i="101"/>
  <c r="AD31" i="101"/>
  <c r="AT25" i="101"/>
  <c r="AR25" i="101"/>
  <c r="AQ63" i="103"/>
  <c r="AN63" i="103"/>
  <c r="AT63" i="103"/>
  <c r="AS63" i="103"/>
  <c r="AB52" i="103"/>
  <c r="AF52" i="103"/>
  <c r="AG27" i="102"/>
  <c r="AH43" i="105"/>
  <c r="AI27" i="105"/>
  <c r="AA27" i="105"/>
  <c r="AH27" i="105"/>
  <c r="AF27" i="105"/>
  <c r="AC27" i="105"/>
  <c r="AB27" i="105"/>
  <c r="AG27" i="105"/>
  <c r="AE27" i="105"/>
  <c r="AD27" i="105"/>
  <c r="AB13" i="105"/>
  <c r="AB12" i="105" s="1"/>
  <c r="AV3" i="105"/>
  <c r="AN2" i="105"/>
  <c r="AU66" i="103"/>
  <c r="AI51" i="102"/>
  <c r="AF27" i="102"/>
  <c r="AR16" i="102"/>
  <c r="AQ16" i="102"/>
  <c r="AP16" i="102"/>
  <c r="AO16" i="102"/>
  <c r="AN16" i="102"/>
  <c r="AU16" i="102"/>
  <c r="AT16" i="102"/>
  <c r="AS16" i="102"/>
  <c r="AQ9" i="102"/>
  <c r="AE71" i="101"/>
  <c r="AE70" i="101" s="1"/>
  <c r="AD71" i="101"/>
  <c r="AD70" i="101" s="1"/>
  <c r="AC71" i="101"/>
  <c r="AC70" i="101" s="1"/>
  <c r="AB71" i="101"/>
  <c r="AB70" i="101" s="1"/>
  <c r="AI71" i="101"/>
  <c r="AI70" i="101" s="1"/>
  <c r="AA71" i="101"/>
  <c r="AH71" i="101"/>
  <c r="AH70" i="101" s="1"/>
  <c r="AG71" i="101"/>
  <c r="AG70" i="101" s="1"/>
  <c r="AF71" i="101"/>
  <c r="AF70" i="101" s="1"/>
  <c r="AQ63" i="101"/>
  <c r="AT42" i="101"/>
  <c r="AN42" i="101"/>
  <c r="AO27" i="101"/>
  <c r="AD28" i="102"/>
  <c r="AN26" i="101"/>
  <c r="AT26" i="101"/>
  <c r="AN48" i="100"/>
  <c r="AN15" i="100"/>
  <c r="AF26" i="101"/>
  <c r="AO26" i="101"/>
  <c r="AB45" i="102"/>
  <c r="AN40" i="101"/>
  <c r="AO35" i="101"/>
  <c r="AN35" i="101"/>
  <c r="AU35" i="101"/>
  <c r="AT35" i="101"/>
  <c r="AS35" i="101"/>
  <c r="AQ35" i="101"/>
  <c r="AR35" i="101"/>
  <c r="AP35" i="101"/>
  <c r="AQ29" i="101"/>
  <c r="AA14" i="101"/>
  <c r="AO71" i="100"/>
  <c r="AO70" i="100" s="1"/>
  <c r="AQ41" i="100"/>
  <c r="AS37" i="100"/>
  <c r="AB9" i="100"/>
  <c r="AF9" i="100"/>
  <c r="AD9" i="100"/>
  <c r="AH9" i="100"/>
  <c r="AJ30" i="105"/>
  <c r="AP23" i="102"/>
  <c r="AP22" i="102" s="1"/>
  <c r="AO42" i="101"/>
  <c r="AB27" i="101"/>
  <c r="AH27" i="101"/>
  <c r="AE27" i="101"/>
  <c r="AF27" i="101"/>
  <c r="AD27" i="101"/>
  <c r="AH20" i="101"/>
  <c r="AG20" i="101"/>
  <c r="AF20" i="101"/>
  <c r="AE20" i="101"/>
  <c r="AD20" i="101"/>
  <c r="AB20" i="101"/>
  <c r="AC20" i="101"/>
  <c r="AA20" i="101"/>
  <c r="AI20" i="101"/>
  <c r="AS45" i="100"/>
  <c r="AT18" i="103"/>
  <c r="AN54" i="101"/>
  <c r="AN45" i="101"/>
  <c r="AB8" i="101"/>
  <c r="AN46" i="100"/>
  <c r="AB35" i="100"/>
  <c r="AQ36" i="102"/>
  <c r="AN36" i="102"/>
  <c r="AU36" i="102"/>
  <c r="AT36" i="102"/>
  <c r="AS36" i="102"/>
  <c r="AR36" i="102"/>
  <c r="AP36" i="102"/>
  <c r="AO36" i="102"/>
  <c r="AD61" i="101"/>
  <c r="AP51" i="101"/>
  <c r="AE46" i="101"/>
  <c r="AQ30" i="101"/>
  <c r="AA24" i="101"/>
  <c r="AA69" i="100"/>
  <c r="AU57" i="100"/>
  <c r="AS57" i="100"/>
  <c r="AR57" i="100"/>
  <c r="AQ57" i="100"/>
  <c r="AO57" i="100"/>
  <c r="AT57" i="100"/>
  <c r="AP57" i="100"/>
  <c r="AN57" i="100"/>
  <c r="AO46" i="100"/>
  <c r="AR15" i="100"/>
  <c r="AH20" i="102"/>
  <c r="AF20" i="102"/>
  <c r="AE20" i="102"/>
  <c r="AD20" i="102"/>
  <c r="AC20" i="102"/>
  <c r="AB20" i="102"/>
  <c r="AG30" i="101"/>
  <c r="AC23" i="101"/>
  <c r="AA23" i="101"/>
  <c r="AI23" i="101"/>
  <c r="AB69" i="100"/>
  <c r="AB68" i="100" s="1"/>
  <c r="AG52" i="100"/>
  <c r="AE52" i="100"/>
  <c r="AA58" i="100"/>
  <c r="O54" i="114"/>
  <c r="P54" i="114" s="1"/>
  <c r="O48" i="101"/>
  <c r="P48" i="101" s="1"/>
  <c r="O66" i="101"/>
  <c r="P66" i="101" s="1"/>
  <c r="O32" i="111"/>
  <c r="P32" i="111" s="1"/>
  <c r="O32" i="112"/>
  <c r="P32" i="112" s="1"/>
  <c r="O55" i="105"/>
  <c r="P55" i="105" s="1"/>
  <c r="O54" i="105"/>
  <c r="P54" i="105" s="1"/>
  <c r="O39" i="110"/>
  <c r="P39" i="110" s="1"/>
  <c r="O64" i="112"/>
  <c r="P64" i="112" s="1"/>
  <c r="O32" i="114"/>
  <c r="P32" i="114" s="1"/>
  <c r="O51" i="123"/>
  <c r="P51" i="123" s="1"/>
  <c r="O30" i="101"/>
  <c r="P30" i="101" s="1"/>
  <c r="O21" i="118"/>
  <c r="P21" i="118" s="1"/>
  <c r="O51" i="110"/>
  <c r="P51" i="110" s="1"/>
  <c r="O11" i="472"/>
  <c r="P11" i="472" s="1"/>
  <c r="O22" i="101"/>
  <c r="P22" i="101" s="1"/>
  <c r="O31" i="101"/>
  <c r="P31" i="101" s="1"/>
  <c r="O37" i="112"/>
  <c r="P37" i="112" s="1"/>
  <c r="O66" i="120"/>
  <c r="P66" i="120" s="1"/>
  <c r="O29" i="103"/>
  <c r="P29" i="103" s="1"/>
  <c r="O48" i="105"/>
  <c r="P48" i="105" s="1"/>
  <c r="O11" i="112"/>
  <c r="P11" i="112" s="1"/>
  <c r="O27" i="112"/>
  <c r="P27" i="112" s="1"/>
  <c r="O45" i="101"/>
  <c r="P45" i="101" s="1"/>
  <c r="O21" i="114"/>
  <c r="P21" i="114" s="1"/>
  <c r="O31" i="114"/>
  <c r="P31" i="114" s="1"/>
  <c r="O28" i="124"/>
  <c r="P28" i="124" s="1"/>
  <c r="O66" i="119"/>
  <c r="P66" i="119" s="1"/>
  <c r="O29" i="107"/>
  <c r="P29" i="107" s="1"/>
  <c r="O32" i="115"/>
  <c r="O54" i="117"/>
  <c r="P54" i="117" s="1"/>
  <c r="O11" i="119"/>
  <c r="P11" i="119" s="1"/>
  <c r="O50" i="125"/>
  <c r="P50" i="125" s="1"/>
  <c r="AV27" i="104"/>
  <c r="AA59" i="104"/>
  <c r="AC44" i="104"/>
  <c r="AI23" i="104"/>
  <c r="AN24" i="104"/>
  <c r="AO24" i="104"/>
  <c r="AF66" i="104"/>
  <c r="AB59" i="104"/>
  <c r="AC59" i="104"/>
  <c r="AH21" i="104"/>
  <c r="AI21" i="104"/>
  <c r="AI59" i="104"/>
  <c r="AO64" i="104"/>
  <c r="AD59" i="104"/>
  <c r="AN46" i="104"/>
  <c r="AO13" i="104"/>
  <c r="AP13" i="104"/>
  <c r="AN13" i="104"/>
  <c r="AE59" i="104"/>
  <c r="AQ46" i="104"/>
  <c r="AS32" i="104"/>
  <c r="AF59" i="104"/>
  <c r="AN32" i="104"/>
  <c r="AT46" i="104"/>
  <c r="AH46" i="104"/>
  <c r="AU49" i="104"/>
  <c r="AI4" i="104"/>
  <c r="AB4" i="104"/>
  <c r="AU24" i="104"/>
  <c r="AJ26" i="104"/>
  <c r="T17" i="103"/>
  <c r="AG63" i="104"/>
  <c r="AA63" i="104"/>
  <c r="AD63" i="104"/>
  <c r="AC63" i="104"/>
  <c r="AB63" i="104"/>
  <c r="AH63" i="104"/>
  <c r="AE63" i="104"/>
  <c r="AP67" i="104"/>
  <c r="AO67" i="104"/>
  <c r="AN67" i="104"/>
  <c r="AU67" i="104"/>
  <c r="AT67" i="104"/>
  <c r="AR67" i="104"/>
  <c r="AS67" i="104"/>
  <c r="AQ67" i="104"/>
  <c r="AG61" i="104"/>
  <c r="AF61" i="104"/>
  <c r="AE61" i="104"/>
  <c r="AD61" i="104"/>
  <c r="AC61" i="104"/>
  <c r="AI61" i="104"/>
  <c r="AA61" i="104"/>
  <c r="AH61" i="104"/>
  <c r="AB61" i="104"/>
  <c r="AI64" i="104"/>
  <c r="AA64" i="104"/>
  <c r="AH64" i="104"/>
  <c r="AD64" i="104"/>
  <c r="AB64" i="104"/>
  <c r="AF64" i="104"/>
  <c r="AH29" i="104"/>
  <c r="AG29" i="104"/>
  <c r="AC29" i="104"/>
  <c r="AA29" i="104"/>
  <c r="AI29" i="104"/>
  <c r="AF29" i="104"/>
  <c r="AE29" i="104"/>
  <c r="AD29" i="104"/>
  <c r="AB29" i="104"/>
  <c r="AJ32" i="104"/>
  <c r="AI58" i="104"/>
  <c r="AA58" i="104"/>
  <c r="AH58" i="104"/>
  <c r="AG58" i="104"/>
  <c r="AF58" i="104"/>
  <c r="AE58" i="104"/>
  <c r="AC58" i="104"/>
  <c r="AB58" i="104"/>
  <c r="AD58" i="104"/>
  <c r="AI63" i="104"/>
  <c r="AF63" i="104"/>
  <c r="AT44" i="104"/>
  <c r="AU44" i="104"/>
  <c r="AR44" i="104"/>
  <c r="AQ44" i="104"/>
  <c r="AP44" i="104"/>
  <c r="AO44" i="104"/>
  <c r="AS44" i="104"/>
  <c r="AN44" i="104"/>
  <c r="AR66" i="104"/>
  <c r="AQ66" i="104"/>
  <c r="AP66" i="104"/>
  <c r="AO66" i="104"/>
  <c r="AN66" i="104"/>
  <c r="AT66" i="104"/>
  <c r="AU66" i="104"/>
  <c r="AS66" i="104"/>
  <c r="AH66" i="104"/>
  <c r="AI66" i="104"/>
  <c r="AC66" i="104"/>
  <c r="AA66" i="104"/>
  <c r="AD66" i="104"/>
  <c r="AN48" i="104"/>
  <c r="AU48" i="104"/>
  <c r="AS48" i="104"/>
  <c r="AP48" i="104"/>
  <c r="AT48" i="104"/>
  <c r="AQ48" i="104"/>
  <c r="AR48" i="104"/>
  <c r="AO48" i="104"/>
  <c r="AE71" i="104"/>
  <c r="AD71" i="104"/>
  <c r="AC71" i="104"/>
  <c r="AB71" i="104"/>
  <c r="AI71" i="104"/>
  <c r="AA71" i="104"/>
  <c r="AG71" i="104"/>
  <c r="AH71" i="104"/>
  <c r="AF71" i="104"/>
  <c r="AQ61" i="104"/>
  <c r="AP61" i="104"/>
  <c r="AO61" i="104"/>
  <c r="AN61" i="104"/>
  <c r="AU61" i="104"/>
  <c r="AS61" i="104"/>
  <c r="AT61" i="104"/>
  <c r="AR61" i="104"/>
  <c r="AV69" i="104"/>
  <c r="AP63" i="104"/>
  <c r="AO63" i="104"/>
  <c r="AN63" i="104"/>
  <c r="AU63" i="104"/>
  <c r="AT63" i="104"/>
  <c r="AR63" i="104"/>
  <c r="AS63" i="104"/>
  <c r="AQ63" i="104"/>
  <c r="AB66" i="104"/>
  <c r="AF67" i="104"/>
  <c r="AE67" i="104"/>
  <c r="AD67" i="104"/>
  <c r="AC67" i="104"/>
  <c r="AB67" i="104"/>
  <c r="AH67" i="104"/>
  <c r="AA67" i="104"/>
  <c r="AI67" i="104"/>
  <c r="AG67" i="104"/>
  <c r="AN35" i="104"/>
  <c r="AT35" i="104"/>
  <c r="AS35" i="104"/>
  <c r="AR35" i="104"/>
  <c r="AQ35" i="104"/>
  <c r="AO35" i="104"/>
  <c r="AU35" i="104"/>
  <c r="AP35" i="104"/>
  <c r="AP59" i="104"/>
  <c r="AO59" i="104"/>
  <c r="AN59" i="104"/>
  <c r="AU59" i="104"/>
  <c r="AT59" i="104"/>
  <c r="AR59" i="104"/>
  <c r="AS59" i="104"/>
  <c r="AQ59" i="104"/>
  <c r="AG66" i="104"/>
  <c r="AF38" i="104"/>
  <c r="AD38" i="104"/>
  <c r="AC38" i="104"/>
  <c r="AB38" i="104"/>
  <c r="AI38" i="104"/>
  <c r="AA38" i="104"/>
  <c r="AG38" i="104"/>
  <c r="AH38" i="104"/>
  <c r="AE38" i="104"/>
  <c r="AG28" i="104"/>
  <c r="AF28" i="104"/>
  <c r="AB28" i="104"/>
  <c r="AH28" i="104"/>
  <c r="AE28" i="104"/>
  <c r="AD28" i="104"/>
  <c r="AC28" i="104"/>
  <c r="AA28" i="104"/>
  <c r="AI28" i="104"/>
  <c r="AG44" i="104"/>
  <c r="AQ14" i="104"/>
  <c r="AP14" i="104"/>
  <c r="AO14" i="104"/>
  <c r="AN14" i="104"/>
  <c r="AU14" i="104"/>
  <c r="AT14" i="104"/>
  <c r="AS14" i="104"/>
  <c r="AR14" i="104"/>
  <c r="AE52" i="104"/>
  <c r="AD52" i="104"/>
  <c r="AC52" i="104"/>
  <c r="AI52" i="104"/>
  <c r="AA52" i="104"/>
  <c r="AH52" i="104"/>
  <c r="AG52" i="104"/>
  <c r="AF52" i="104"/>
  <c r="AB52" i="104"/>
  <c r="AI34" i="104"/>
  <c r="AA34" i="104"/>
  <c r="AG34" i="104"/>
  <c r="AF34" i="104"/>
  <c r="AD34" i="104"/>
  <c r="AB34" i="104"/>
  <c r="AH34" i="104"/>
  <c r="AE34" i="104"/>
  <c r="AC34" i="104"/>
  <c r="AH9" i="104"/>
  <c r="AG9" i="104"/>
  <c r="AF9" i="104"/>
  <c r="AE9" i="104"/>
  <c r="AD9" i="104"/>
  <c r="AC9" i="104"/>
  <c r="AB9" i="104"/>
  <c r="AI9" i="104"/>
  <c r="AA9" i="104"/>
  <c r="AO8" i="104"/>
  <c r="AN8" i="104"/>
  <c r="AU8" i="104"/>
  <c r="AS8" i="104"/>
  <c r="AR8" i="104"/>
  <c r="AQ8" i="104"/>
  <c r="AH16" i="104"/>
  <c r="AG16" i="104"/>
  <c r="AF16" i="104"/>
  <c r="AE16" i="104"/>
  <c r="AD16" i="104"/>
  <c r="AC16" i="104"/>
  <c r="AB16" i="104"/>
  <c r="AI16" i="104"/>
  <c r="AA16" i="104"/>
  <c r="AI8" i="104"/>
  <c r="AI44" i="104"/>
  <c r="AU32" i="104"/>
  <c r="AD3" i="104"/>
  <c r="AD2" i="104" s="1"/>
  <c r="AC3" i="104"/>
  <c r="AC2" i="104" s="1"/>
  <c r="AB3" i="104"/>
  <c r="AI3" i="104"/>
  <c r="AA3" i="104"/>
  <c r="AA2" i="104" s="1"/>
  <c r="AH3" i="104"/>
  <c r="AH2" i="104" s="1"/>
  <c r="AG3" i="104"/>
  <c r="AG2" i="104" s="1"/>
  <c r="AF3" i="104"/>
  <c r="AF2" i="104" s="1"/>
  <c r="AE3" i="104"/>
  <c r="AE2" i="104" s="1"/>
  <c r="AJ31" i="104"/>
  <c r="AT39" i="104"/>
  <c r="AR39" i="104"/>
  <c r="AQ39" i="104"/>
  <c r="AP39" i="104"/>
  <c r="AO39" i="104"/>
  <c r="AU39" i="104"/>
  <c r="AS39" i="104"/>
  <c r="AN39" i="104"/>
  <c r="AJ49" i="104"/>
  <c r="AJ10" i="104"/>
  <c r="AB8" i="104"/>
  <c r="AG45" i="104"/>
  <c r="AA45" i="104"/>
  <c r="AP38" i="104"/>
  <c r="AN38" i="104"/>
  <c r="AU38" i="104"/>
  <c r="AT38" i="104"/>
  <c r="AS38" i="104"/>
  <c r="AQ38" i="104"/>
  <c r="AR38" i="104"/>
  <c r="AO38" i="104"/>
  <c r="AB44" i="104"/>
  <c r="AJ25" i="104"/>
  <c r="AC8" i="104"/>
  <c r="AJ35" i="104"/>
  <c r="AJ72" i="104"/>
  <c r="AP32" i="104"/>
  <c r="AH23" i="104"/>
  <c r="AC23" i="104"/>
  <c r="AB23" i="104"/>
  <c r="AD8" i="104"/>
  <c r="AD48" i="104"/>
  <c r="AI48" i="104"/>
  <c r="AA48" i="104"/>
  <c r="AC48" i="104"/>
  <c r="AH48" i="104"/>
  <c r="AG48" i="104"/>
  <c r="AE48" i="104"/>
  <c r="AF48" i="104"/>
  <c r="AB48" i="104"/>
  <c r="AN64" i="104"/>
  <c r="AT64" i="104"/>
  <c r="AJ15" i="104"/>
  <c r="AN3" i="104"/>
  <c r="AU3" i="104"/>
  <c r="AU2" i="104" s="1"/>
  <c r="AT3" i="104"/>
  <c r="AT2" i="104" s="1"/>
  <c r="AS3" i="104"/>
  <c r="AS2" i="104" s="1"/>
  <c r="AR3" i="104"/>
  <c r="AR2" i="104" s="1"/>
  <c r="AQ3" i="104"/>
  <c r="AP3" i="104"/>
  <c r="AP2" i="104" s="1"/>
  <c r="AO3" i="104"/>
  <c r="AO2" i="104" s="1"/>
  <c r="AJ30" i="104"/>
  <c r="AP18" i="104"/>
  <c r="AO18" i="104"/>
  <c r="AN18" i="104"/>
  <c r="AU18" i="104"/>
  <c r="AT18" i="104"/>
  <c r="AS18" i="104"/>
  <c r="AR18" i="104"/>
  <c r="AQ18" i="104"/>
  <c r="AA44" i="104"/>
  <c r="AG57" i="104"/>
  <c r="AE57" i="104"/>
  <c r="AS34" i="104"/>
  <c r="AQ34" i="104"/>
  <c r="AP34" i="104"/>
  <c r="AO34" i="104"/>
  <c r="AN34" i="104"/>
  <c r="AT34" i="104"/>
  <c r="AU34" i="104"/>
  <c r="AR34" i="104"/>
  <c r="AR9" i="104"/>
  <c r="AQ9" i="104"/>
  <c r="AP9" i="104"/>
  <c r="AO9" i="104"/>
  <c r="AN9" i="104"/>
  <c r="AU9" i="104"/>
  <c r="AT9" i="104"/>
  <c r="AS9" i="104"/>
  <c r="AR16" i="104"/>
  <c r="AQ16" i="104"/>
  <c r="AP16" i="104"/>
  <c r="AO16" i="104"/>
  <c r="AN16" i="104"/>
  <c r="AU16" i="104"/>
  <c r="AT16" i="104"/>
  <c r="AS16" i="104"/>
  <c r="AE8" i="104"/>
  <c r="AJ14" i="104"/>
  <c r="AJ11" i="104"/>
  <c r="AQ64" i="104"/>
  <c r="AQ43" i="104"/>
  <c r="AN43" i="104"/>
  <c r="AU43" i="104"/>
  <c r="AT43" i="104"/>
  <c r="AS43" i="104"/>
  <c r="AR43" i="104"/>
  <c r="AO43" i="104"/>
  <c r="AP43" i="104"/>
  <c r="AG59" i="104"/>
  <c r="AO40" i="104"/>
  <c r="AU40" i="104"/>
  <c r="AT40" i="104"/>
  <c r="AS40" i="104"/>
  <c r="AR40" i="104"/>
  <c r="AP40" i="104"/>
  <c r="AQ40" i="104"/>
  <c r="AN40" i="104"/>
  <c r="AO71" i="104"/>
  <c r="AO70" i="104" s="1"/>
  <c r="AN71" i="104"/>
  <c r="AU71" i="104"/>
  <c r="AU70" i="104" s="1"/>
  <c r="AT71" i="104"/>
  <c r="AT70" i="104" s="1"/>
  <c r="AS71" i="104"/>
  <c r="AS70" i="104" s="1"/>
  <c r="AQ71" i="104"/>
  <c r="AQ70" i="104" s="1"/>
  <c r="AP71" i="104"/>
  <c r="AP70" i="104" s="1"/>
  <c r="AR71" i="104"/>
  <c r="AR70" i="104" s="1"/>
  <c r="AP46" i="104"/>
  <c r="AG46" i="104"/>
  <c r="AF45" i="104"/>
  <c r="AP11" i="104"/>
  <c r="AO11" i="104"/>
  <c r="AN11" i="104"/>
  <c r="AU11" i="104"/>
  <c r="AT11" i="104"/>
  <c r="AS11" i="104"/>
  <c r="AR11" i="104"/>
  <c r="AQ11" i="104"/>
  <c r="AD44" i="104"/>
  <c r="AO57" i="104"/>
  <c r="AQ57" i="104"/>
  <c r="AN29" i="104"/>
  <c r="AT29" i="104"/>
  <c r="AS29" i="104"/>
  <c r="AP29" i="104"/>
  <c r="AE20" i="104"/>
  <c r="AD20" i="104"/>
  <c r="AC20" i="104"/>
  <c r="AB20" i="104"/>
  <c r="AI20" i="104"/>
  <c r="AA20" i="104"/>
  <c r="AH20" i="104"/>
  <c r="AG20" i="104"/>
  <c r="AF20" i="104"/>
  <c r="AJ18" i="104"/>
  <c r="AG8" i="104"/>
  <c r="AF8" i="104"/>
  <c r="AH51" i="104"/>
  <c r="AG51" i="104"/>
  <c r="AE51" i="104"/>
  <c r="AF51" i="104"/>
  <c r="AC51" i="104"/>
  <c r="AB51" i="104"/>
  <c r="AA51" i="104"/>
  <c r="AI51" i="104"/>
  <c r="AD51" i="104"/>
  <c r="AJ27" i="104"/>
  <c r="AQ28" i="104"/>
  <c r="AP28" i="104"/>
  <c r="AT28" i="104"/>
  <c r="AU28" i="104"/>
  <c r="AS28" i="104"/>
  <c r="AR28" i="104"/>
  <c r="AO28" i="104"/>
  <c r="AN28" i="104"/>
  <c r="AJ24" i="104"/>
  <c r="AB17" i="104"/>
  <c r="AI17" i="104"/>
  <c r="AA17" i="104"/>
  <c r="AH17" i="104"/>
  <c r="AF17" i="104"/>
  <c r="AE17" i="104"/>
  <c r="AD17" i="104"/>
  <c r="AG17" i="104"/>
  <c r="AE44" i="104"/>
  <c r="AJ36" i="104"/>
  <c r="AH8" i="104"/>
  <c r="AS64" i="104"/>
  <c r="AB55" i="104"/>
  <c r="AI55" i="104"/>
  <c r="AA55" i="104"/>
  <c r="AF55" i="104"/>
  <c r="AD55" i="104"/>
  <c r="AC55" i="104"/>
  <c r="AU53" i="104"/>
  <c r="AT53" i="104"/>
  <c r="AS53" i="104"/>
  <c r="AR53" i="104"/>
  <c r="AP53" i="104"/>
  <c r="AQ53" i="104"/>
  <c r="AN53" i="104"/>
  <c r="AO53" i="104"/>
  <c r="AU31" i="104"/>
  <c r="AT31" i="104"/>
  <c r="AP31" i="104"/>
  <c r="AS31" i="104"/>
  <c r="AR31" i="104"/>
  <c r="AQ31" i="104"/>
  <c r="AO31" i="104"/>
  <c r="AN31" i="104"/>
  <c r="AF46" i="104"/>
  <c r="AI19" i="104"/>
  <c r="AA19" i="104"/>
  <c r="AH19" i="104"/>
  <c r="AG19" i="104"/>
  <c r="AF19" i="104"/>
  <c r="AE19" i="104"/>
  <c r="AD19" i="104"/>
  <c r="AC19" i="104"/>
  <c r="AB19" i="104"/>
  <c r="AH55" i="104"/>
  <c r="AF44" i="104"/>
  <c r="AQ32" i="104"/>
  <c r="AQ21" i="104"/>
  <c r="AS21" i="104"/>
  <c r="AO52" i="104"/>
  <c r="AN52" i="104"/>
  <c r="AU52" i="104"/>
  <c r="AS52" i="104"/>
  <c r="AQ52" i="104"/>
  <c r="AR52" i="104"/>
  <c r="AT52" i="104"/>
  <c r="AP52" i="104"/>
  <c r="AT21" i="104"/>
  <c r="AB39" i="104"/>
  <c r="AH39" i="104"/>
  <c r="AG39" i="104"/>
  <c r="AF39" i="104"/>
  <c r="AE39" i="104"/>
  <c r="AC39" i="104"/>
  <c r="AI39" i="104"/>
  <c r="AD39" i="104"/>
  <c r="AA39" i="104"/>
  <c r="AO20" i="104"/>
  <c r="AN20" i="104"/>
  <c r="AU20" i="104"/>
  <c r="AT20" i="104"/>
  <c r="AS20" i="104"/>
  <c r="AR20" i="104"/>
  <c r="AQ20" i="104"/>
  <c r="AP20" i="104"/>
  <c r="AT36" i="104"/>
  <c r="AQ36" i="104"/>
  <c r="O54" i="101"/>
  <c r="P54" i="101" s="1"/>
  <c r="A6" i="418"/>
  <c r="A7" i="54"/>
  <c r="O48" i="123"/>
  <c r="P48" i="123" s="1"/>
  <c r="D20" i="418"/>
  <c r="D7" i="418"/>
  <c r="O12" i="122"/>
  <c r="P12" i="122" s="1"/>
  <c r="O12" i="475"/>
  <c r="P12" i="475" s="1"/>
  <c r="O19" i="125"/>
  <c r="P19" i="125" s="1"/>
  <c r="O51" i="122"/>
  <c r="P51" i="122" s="1"/>
  <c r="O48" i="122"/>
  <c r="P48" i="122" s="1"/>
  <c r="O41" i="122"/>
  <c r="P41" i="122" s="1"/>
  <c r="O51" i="121"/>
  <c r="P51" i="121" s="1"/>
  <c r="O38" i="120"/>
  <c r="P38" i="120" s="1"/>
  <c r="O34" i="118"/>
  <c r="P34" i="118" s="1"/>
  <c r="O33" i="120"/>
  <c r="P33" i="120" s="1"/>
  <c r="O24" i="120"/>
  <c r="P24" i="120" s="1"/>
  <c r="O22" i="119"/>
  <c r="P22" i="119" s="1"/>
  <c r="O28" i="118"/>
  <c r="P28" i="118" s="1"/>
  <c r="O41" i="117"/>
  <c r="P41" i="117" s="1"/>
  <c r="O13" i="116"/>
  <c r="P13" i="116" s="1"/>
  <c r="O35" i="124"/>
  <c r="P35" i="124" s="1"/>
  <c r="O41" i="115"/>
  <c r="P41" i="115" s="1"/>
  <c r="O42" i="124"/>
  <c r="P42" i="124" s="1"/>
  <c r="O18" i="114"/>
  <c r="P18" i="114" s="1"/>
  <c r="O45" i="114"/>
  <c r="P45" i="114" s="1"/>
  <c r="O57" i="114"/>
  <c r="P57" i="114" s="1"/>
  <c r="O50" i="114"/>
  <c r="P50" i="114" s="1"/>
  <c r="O22" i="114"/>
  <c r="P22" i="114" s="1"/>
  <c r="O52" i="114"/>
  <c r="P52" i="114" s="1"/>
  <c r="O60" i="114"/>
  <c r="P60" i="114" s="1"/>
  <c r="O28" i="112"/>
  <c r="P28" i="112" s="1"/>
  <c r="O17" i="106"/>
  <c r="P17" i="106" s="1"/>
  <c r="O43" i="107"/>
  <c r="P43" i="107" s="1"/>
  <c r="O43" i="103"/>
  <c r="P43" i="103" s="1"/>
  <c r="O54" i="103"/>
  <c r="P54" i="103" s="1"/>
  <c r="O28" i="102"/>
  <c r="P28" i="102" s="1"/>
  <c r="O17" i="101"/>
  <c r="P17" i="101" s="1"/>
  <c r="V10" i="101"/>
  <c r="N8" i="674" s="1"/>
  <c r="O43" i="100"/>
  <c r="P43" i="100" s="1"/>
  <c r="V13" i="114"/>
  <c r="Q20" i="674" s="1"/>
  <c r="AV2" i="114"/>
  <c r="H42" i="674" l="1"/>
  <c r="H49" i="674"/>
  <c r="H44" i="674"/>
  <c r="AV16" i="108"/>
  <c r="D33" i="680"/>
  <c r="I25" i="753"/>
  <c r="O7" i="753"/>
  <c r="AV57" i="108"/>
  <c r="AV27" i="108"/>
  <c r="AV34" i="108"/>
  <c r="AV32" i="108"/>
  <c r="AE2" i="108"/>
  <c r="AJ13" i="108"/>
  <c r="AJ11" i="108"/>
  <c r="C102" i="755"/>
  <c r="AI2" i="108"/>
  <c r="AJ3" i="108"/>
  <c r="AC2" i="108"/>
  <c r="AV20" i="108"/>
  <c r="AV46" i="108"/>
  <c r="AR65" i="108"/>
  <c r="AT68" i="108"/>
  <c r="AN68" i="108"/>
  <c r="AO68" i="108"/>
  <c r="C63" i="755"/>
  <c r="C61" i="755"/>
  <c r="C64" i="755"/>
  <c r="B65" i="755"/>
  <c r="C65" i="755" s="1"/>
  <c r="C57" i="755"/>
  <c r="C62" i="755"/>
  <c r="C58" i="755"/>
  <c r="C60" i="755"/>
  <c r="P32" i="115"/>
  <c r="AC65" i="102"/>
  <c r="AC60" i="101"/>
  <c r="AC60" i="106"/>
  <c r="AI60" i="124"/>
  <c r="AG60" i="116"/>
  <c r="AV64" i="472"/>
  <c r="AR60" i="110"/>
  <c r="AD60" i="101"/>
  <c r="AF60" i="472"/>
  <c r="AH60" i="472"/>
  <c r="AO60" i="101"/>
  <c r="C62" i="682"/>
  <c r="AR68" i="110"/>
  <c r="AR68" i="103"/>
  <c r="AR68" i="124"/>
  <c r="AV73" i="102"/>
  <c r="AV72" i="102" s="1"/>
  <c r="AJ69" i="101"/>
  <c r="AJ68" i="101" s="1"/>
  <c r="AN68" i="116"/>
  <c r="AU68" i="120"/>
  <c r="AQ50" i="114"/>
  <c r="AV54" i="472"/>
  <c r="AJ21" i="120"/>
  <c r="AJ41" i="120"/>
  <c r="AJ28" i="120"/>
  <c r="AJ51" i="120"/>
  <c r="M77" i="59"/>
  <c r="AJ25" i="120"/>
  <c r="AD65" i="120"/>
  <c r="AJ30" i="120"/>
  <c r="AE2" i="120"/>
  <c r="G26" i="418"/>
  <c r="G29" i="418"/>
  <c r="G28" i="418"/>
  <c r="G27" i="418"/>
  <c r="AV10" i="101"/>
  <c r="AB65" i="110"/>
  <c r="AJ27" i="100"/>
  <c r="AJ46" i="119"/>
  <c r="AJ56" i="116"/>
  <c r="AE12" i="124"/>
  <c r="AJ40" i="106"/>
  <c r="AJ10" i="119"/>
  <c r="AJ9" i="105"/>
  <c r="AS6" i="472"/>
  <c r="AV58" i="118"/>
  <c r="AR12" i="107"/>
  <c r="AB22" i="116"/>
  <c r="AD22" i="123"/>
  <c r="AJ49" i="110"/>
  <c r="AR65" i="472"/>
  <c r="AJ25" i="106"/>
  <c r="AJ78" i="105"/>
  <c r="AJ10" i="107"/>
  <c r="AJ54" i="122"/>
  <c r="AV24" i="102"/>
  <c r="AJ21" i="116"/>
  <c r="AJ9" i="106"/>
  <c r="AU22" i="472"/>
  <c r="AQ22" i="102"/>
  <c r="AV19" i="475"/>
  <c r="AJ69" i="118"/>
  <c r="AJ68" i="118" s="1"/>
  <c r="AI65" i="103"/>
  <c r="AJ32" i="101"/>
  <c r="AE50" i="123"/>
  <c r="AV10" i="105"/>
  <c r="AJ28" i="101"/>
  <c r="AJ24" i="116"/>
  <c r="AV48" i="123"/>
  <c r="AO65" i="105"/>
  <c r="AJ16" i="117"/>
  <c r="AJ67" i="124"/>
  <c r="AI65" i="115"/>
  <c r="AR12" i="112"/>
  <c r="AD12" i="123"/>
  <c r="AE60" i="103"/>
  <c r="AJ25" i="111"/>
  <c r="AJ51" i="122"/>
  <c r="AN68" i="125"/>
  <c r="AV34" i="107"/>
  <c r="AV30" i="102"/>
  <c r="AV53" i="123"/>
  <c r="AC12" i="123"/>
  <c r="AJ32" i="102"/>
  <c r="AE22" i="123"/>
  <c r="AU68" i="105"/>
  <c r="AJ46" i="117"/>
  <c r="AU65" i="105"/>
  <c r="AU65" i="102"/>
  <c r="AQ68" i="108"/>
  <c r="AJ57" i="472"/>
  <c r="AJ49" i="108"/>
  <c r="AO22" i="106"/>
  <c r="AJ36" i="115"/>
  <c r="AJ31" i="114"/>
  <c r="AJ39" i="121"/>
  <c r="AF12" i="110"/>
  <c r="AU12" i="112"/>
  <c r="AP22" i="472"/>
  <c r="AB60" i="106"/>
  <c r="AE65" i="106"/>
  <c r="AQ65" i="125"/>
  <c r="AP68" i="105"/>
  <c r="AV34" i="101"/>
  <c r="AV32" i="103"/>
  <c r="AV35" i="123"/>
  <c r="AO68" i="116"/>
  <c r="AQ22" i="472"/>
  <c r="AA22" i="123"/>
  <c r="AI60" i="111"/>
  <c r="AI65" i="110"/>
  <c r="AJ53" i="105"/>
  <c r="AV57" i="114"/>
  <c r="AJ46" i="108"/>
  <c r="AJ11" i="116"/>
  <c r="AU60" i="116"/>
  <c r="AV23" i="103"/>
  <c r="AJ57" i="120"/>
  <c r="AF12" i="117"/>
  <c r="AQ68" i="106"/>
  <c r="AV13" i="100"/>
  <c r="AJ58" i="116"/>
  <c r="AJ21" i="100"/>
  <c r="E10" i="418"/>
  <c r="C60" i="683"/>
  <c r="G77" i="120"/>
  <c r="AJ56" i="104"/>
  <c r="AV39" i="102"/>
  <c r="AJ39" i="102"/>
  <c r="AV51" i="106"/>
  <c r="AJ56" i="112"/>
  <c r="AJ53" i="112"/>
  <c r="AJ56" i="117"/>
  <c r="AV44" i="122"/>
  <c r="AV48" i="108"/>
  <c r="AG65" i="112"/>
  <c r="AJ43" i="104"/>
  <c r="AV43" i="105"/>
  <c r="AV58" i="117"/>
  <c r="AV42" i="104"/>
  <c r="AV55" i="110"/>
  <c r="AE12" i="111"/>
  <c r="AV25" i="110"/>
  <c r="AN68" i="106"/>
  <c r="AV46" i="106"/>
  <c r="AJ51" i="106"/>
  <c r="AT12" i="112"/>
  <c r="AJ19" i="110"/>
  <c r="AJ42" i="475"/>
  <c r="AJ57" i="114"/>
  <c r="AJ57" i="110"/>
  <c r="AJ46" i="475"/>
  <c r="AJ58" i="117"/>
  <c r="AV58" i="114"/>
  <c r="AN50" i="107"/>
  <c r="AN65" i="105"/>
  <c r="AJ54" i="123"/>
  <c r="AV56" i="112"/>
  <c r="AS65" i="102"/>
  <c r="AJ61" i="107"/>
  <c r="AJ57" i="105"/>
  <c r="AQ22" i="106"/>
  <c r="AV43" i="112"/>
  <c r="AJ54" i="104"/>
  <c r="AJ38" i="123"/>
  <c r="AV54" i="107"/>
  <c r="AV64" i="107"/>
  <c r="AV58" i="108"/>
  <c r="AJ57" i="119"/>
  <c r="AV56" i="124"/>
  <c r="AV57" i="103"/>
  <c r="AJ61" i="120"/>
  <c r="AE60" i="102"/>
  <c r="AJ43" i="111"/>
  <c r="AV46" i="125"/>
  <c r="AV61" i="120"/>
  <c r="AJ18" i="472"/>
  <c r="AV48" i="105"/>
  <c r="AI65" i="112"/>
  <c r="AB65" i="112"/>
  <c r="AV29" i="114"/>
  <c r="AV24" i="112"/>
  <c r="AJ46" i="102"/>
  <c r="AJ45" i="121"/>
  <c r="AJ25" i="114"/>
  <c r="AJ41" i="121"/>
  <c r="AJ51" i="115"/>
  <c r="AJ54" i="120"/>
  <c r="AJ4" i="114"/>
  <c r="AJ57" i="112"/>
  <c r="AJ48" i="123"/>
  <c r="AV38" i="106"/>
  <c r="AJ40" i="114"/>
  <c r="AV55" i="124"/>
  <c r="AJ78" i="117"/>
  <c r="AV30" i="114"/>
  <c r="AE12" i="122"/>
  <c r="AV24" i="110"/>
  <c r="AO68" i="106"/>
  <c r="AV53" i="106"/>
  <c r="AJ48" i="119"/>
  <c r="AJ64" i="123"/>
  <c r="AV78" i="104"/>
  <c r="AJ38" i="121"/>
  <c r="AJ55" i="475"/>
  <c r="AJ40" i="102"/>
  <c r="AJ38" i="117"/>
  <c r="AJ38" i="120"/>
  <c r="AV69" i="107"/>
  <c r="AJ78" i="475"/>
  <c r="AV78" i="125"/>
  <c r="M77" i="115"/>
  <c r="M77" i="107"/>
  <c r="M77" i="472"/>
  <c r="M77" i="112"/>
  <c r="M77" i="104"/>
  <c r="M77" i="101"/>
  <c r="M77" i="122"/>
  <c r="M77" i="103"/>
  <c r="M77" i="111"/>
  <c r="M77" i="125"/>
  <c r="M77" i="124"/>
  <c r="M77" i="118"/>
  <c r="M77" i="121"/>
  <c r="M77" i="105"/>
  <c r="M77" i="100"/>
  <c r="M77" i="106"/>
  <c r="M77" i="119"/>
  <c r="M77" i="117"/>
  <c r="M77" i="116"/>
  <c r="AV40" i="105"/>
  <c r="AJ40" i="112"/>
  <c r="AV40" i="106"/>
  <c r="AV40" i="117"/>
  <c r="AV40" i="119"/>
  <c r="AV40" i="123"/>
  <c r="AE65" i="103"/>
  <c r="AH65" i="122"/>
  <c r="AE65" i="114"/>
  <c r="AH65" i="101"/>
  <c r="AU65" i="111"/>
  <c r="AP65" i="102"/>
  <c r="AP65" i="100"/>
  <c r="AP65" i="123"/>
  <c r="AV67" i="472"/>
  <c r="AR65" i="103"/>
  <c r="AI65" i="101"/>
  <c r="AE65" i="112"/>
  <c r="AJ67" i="112"/>
  <c r="AD65" i="115"/>
  <c r="AR65" i="100"/>
  <c r="AU65" i="472"/>
  <c r="AC65" i="101"/>
  <c r="AS65" i="121"/>
  <c r="AD65" i="101"/>
  <c r="AG65" i="122"/>
  <c r="AS65" i="108"/>
  <c r="AE65" i="101"/>
  <c r="AV71" i="112"/>
  <c r="AV70" i="112" s="1"/>
  <c r="AO68" i="472"/>
  <c r="AO68" i="114"/>
  <c r="AS68" i="108"/>
  <c r="AQ68" i="117"/>
  <c r="AV71" i="475"/>
  <c r="AV70" i="475" s="1"/>
  <c r="AP68" i="124"/>
  <c r="AV73" i="124"/>
  <c r="AV72" i="124" s="1"/>
  <c r="AR68" i="116"/>
  <c r="AP68" i="108"/>
  <c r="AP68" i="116"/>
  <c r="AJ71" i="472"/>
  <c r="AJ70" i="472" s="1"/>
  <c r="AS68" i="106"/>
  <c r="AQ68" i="110"/>
  <c r="AP68" i="475"/>
  <c r="AV71" i="105"/>
  <c r="AV70" i="105" s="1"/>
  <c r="AV68" i="112"/>
  <c r="AT68" i="472"/>
  <c r="AT68" i="475"/>
  <c r="AO68" i="100"/>
  <c r="AU68" i="106"/>
  <c r="AO68" i="121"/>
  <c r="AP68" i="101"/>
  <c r="AO68" i="117"/>
  <c r="AU68" i="472"/>
  <c r="AP68" i="102"/>
  <c r="AB60" i="112"/>
  <c r="AP60" i="107"/>
  <c r="AQ60" i="123"/>
  <c r="AJ64" i="121"/>
  <c r="AT60" i="125"/>
  <c r="AS60" i="123"/>
  <c r="AE60" i="475"/>
  <c r="AO60" i="111"/>
  <c r="AI60" i="112"/>
  <c r="AH60" i="112"/>
  <c r="AC60" i="120"/>
  <c r="AT60" i="100"/>
  <c r="AD60" i="112"/>
  <c r="AD60" i="107"/>
  <c r="AF60" i="102"/>
  <c r="AG60" i="103"/>
  <c r="AG60" i="100"/>
  <c r="AB60" i="107"/>
  <c r="AP60" i="116"/>
  <c r="AP60" i="125"/>
  <c r="AF60" i="101"/>
  <c r="AC60" i="111"/>
  <c r="AH60" i="121"/>
  <c r="AV64" i="123"/>
  <c r="AR60" i="103"/>
  <c r="AP60" i="123"/>
  <c r="AH60" i="118"/>
  <c r="AP60" i="112"/>
  <c r="AG60" i="123"/>
  <c r="AH60" i="475"/>
  <c r="AC60" i="123"/>
  <c r="AR60" i="116"/>
  <c r="AS60" i="116"/>
  <c r="AB60" i="115"/>
  <c r="AE60" i="107"/>
  <c r="AC60" i="115"/>
  <c r="AI60" i="475"/>
  <c r="AO50" i="107"/>
  <c r="AH50" i="112"/>
  <c r="AJ58" i="124"/>
  <c r="AD50" i="101"/>
  <c r="AV56" i="114"/>
  <c r="AV57" i="475"/>
  <c r="AE50" i="112"/>
  <c r="AI50" i="112"/>
  <c r="AV58" i="472"/>
  <c r="AV56" i="116"/>
  <c r="AV58" i="124"/>
  <c r="AG50" i="112"/>
  <c r="AC50" i="117"/>
  <c r="AD50" i="117"/>
  <c r="AJ58" i="115"/>
  <c r="AV54" i="123"/>
  <c r="AJ54" i="106"/>
  <c r="AC50" i="123"/>
  <c r="AJ54" i="103"/>
  <c r="AE50" i="102"/>
  <c r="AA50" i="117"/>
  <c r="AV53" i="102"/>
  <c r="AH50" i="119"/>
  <c r="AD50" i="124"/>
  <c r="AE50" i="103"/>
  <c r="AG50" i="122"/>
  <c r="AC50" i="119"/>
  <c r="AS50" i="107"/>
  <c r="AJ51" i="124"/>
  <c r="AG50" i="106"/>
  <c r="AV51" i="121"/>
  <c r="AJ48" i="121"/>
  <c r="AV46" i="119"/>
  <c r="AJ45" i="123"/>
  <c r="AF33" i="472"/>
  <c r="AJ44" i="101"/>
  <c r="AJ43" i="115"/>
  <c r="AV43" i="472"/>
  <c r="AV42" i="472"/>
  <c r="AT33" i="472"/>
  <c r="AG33" i="472"/>
  <c r="AJ42" i="102"/>
  <c r="AJ42" i="110"/>
  <c r="AC33" i="117"/>
  <c r="AV41" i="108"/>
  <c r="AV41" i="104"/>
  <c r="AV41" i="125"/>
  <c r="AJ41" i="104"/>
  <c r="AV41" i="119"/>
  <c r="AV40" i="100"/>
  <c r="AE33" i="124"/>
  <c r="AG33" i="103"/>
  <c r="AH33" i="472"/>
  <c r="AJ56" i="108"/>
  <c r="AU33" i="107"/>
  <c r="AJ17" i="108"/>
  <c r="AC33" i="124"/>
  <c r="AI33" i="124"/>
  <c r="AV42" i="114"/>
  <c r="AD33" i="472"/>
  <c r="AJ38" i="114"/>
  <c r="AC33" i="114"/>
  <c r="AJ41" i="475"/>
  <c r="AC33" i="472"/>
  <c r="C5" i="418"/>
  <c r="E5" i="418" s="1"/>
  <c r="AV42" i="103"/>
  <c r="AJ35" i="124"/>
  <c r="AJ45" i="111"/>
  <c r="AJ59" i="102"/>
  <c r="AJ20" i="100"/>
  <c r="AT68" i="114"/>
  <c r="AJ48" i="122"/>
  <c r="AJ24" i="111"/>
  <c r="AJ15" i="102"/>
  <c r="AJ21" i="102"/>
  <c r="AJ31" i="102"/>
  <c r="AV45" i="106"/>
  <c r="AD12" i="111"/>
  <c r="AQ50" i="106"/>
  <c r="AF12" i="123"/>
  <c r="AG2" i="101"/>
  <c r="AH33" i="121"/>
  <c r="AH22" i="123"/>
  <c r="AD2" i="111"/>
  <c r="AT2" i="124"/>
  <c r="AJ31" i="111"/>
  <c r="AF65" i="103"/>
  <c r="AV36" i="115"/>
  <c r="AV38" i="115"/>
  <c r="AV45" i="101"/>
  <c r="AG12" i="123"/>
  <c r="AF12" i="124"/>
  <c r="AB50" i="112"/>
  <c r="AJ16" i="105"/>
  <c r="AV4" i="102"/>
  <c r="AJ29" i="472"/>
  <c r="AD22" i="116"/>
  <c r="AF50" i="123"/>
  <c r="AV55" i="104"/>
  <c r="AP68" i="110"/>
  <c r="AB12" i="123"/>
  <c r="AD12" i="110"/>
  <c r="AJ58" i="112"/>
  <c r="AJ45" i="117"/>
  <c r="AJ44" i="112"/>
  <c r="AJ63" i="121"/>
  <c r="AJ64" i="114"/>
  <c r="AJ19" i="101"/>
  <c r="AV35" i="100"/>
  <c r="AJ39" i="472"/>
  <c r="AI50" i="103"/>
  <c r="AP12" i="112"/>
  <c r="AI50" i="119"/>
  <c r="AD12" i="117"/>
  <c r="AJ48" i="117"/>
  <c r="AR68" i="114"/>
  <c r="AI60" i="116"/>
  <c r="AJ23" i="106"/>
  <c r="AR22" i="107"/>
  <c r="AD50" i="112"/>
  <c r="AU22" i="106"/>
  <c r="AV18" i="110"/>
  <c r="AS68" i="114"/>
  <c r="AF60" i="111"/>
  <c r="AJ38" i="105"/>
  <c r="AV25" i="115"/>
  <c r="AD22" i="114"/>
  <c r="AH60" i="103"/>
  <c r="AT50" i="107"/>
  <c r="AB50" i="123"/>
  <c r="AV57" i="107"/>
  <c r="AP50" i="107"/>
  <c r="AJ37" i="475"/>
  <c r="AJ37" i="105"/>
  <c r="AI12" i="111"/>
  <c r="AI12" i="117"/>
  <c r="AI65" i="102"/>
  <c r="AT68" i="101"/>
  <c r="AV69" i="106"/>
  <c r="AJ28" i="114"/>
  <c r="AN68" i="118"/>
  <c r="AT22" i="472"/>
  <c r="AF33" i="114"/>
  <c r="AE50" i="119"/>
  <c r="AH12" i="123"/>
  <c r="AC12" i="117"/>
  <c r="AH22" i="114"/>
  <c r="AG65" i="119"/>
  <c r="AV36" i="119"/>
  <c r="AV53" i="111"/>
  <c r="AJ73" i="121"/>
  <c r="AJ73" i="124"/>
  <c r="AJ17" i="118"/>
  <c r="AV45" i="121"/>
  <c r="AP50" i="101"/>
  <c r="AD50" i="119"/>
  <c r="AB12" i="110"/>
  <c r="AJ64" i="111"/>
  <c r="AJ32" i="124"/>
  <c r="AV69" i="111"/>
  <c r="AB22" i="119"/>
  <c r="AG22" i="123"/>
  <c r="AB22" i="102"/>
  <c r="AV43" i="117"/>
  <c r="AV9" i="111"/>
  <c r="AJ37" i="123"/>
  <c r="AE60" i="101"/>
  <c r="AV58" i="102"/>
  <c r="AJ25" i="101"/>
  <c r="AB50" i="105"/>
  <c r="AI33" i="472"/>
  <c r="AJ37" i="104"/>
  <c r="AJ37" i="102"/>
  <c r="AJ37" i="108"/>
  <c r="AG33" i="114"/>
  <c r="AJ37" i="100"/>
  <c r="AG33" i="123"/>
  <c r="AB33" i="124"/>
  <c r="AV69" i="108"/>
  <c r="AJ42" i="120"/>
  <c r="AJ53" i="120"/>
  <c r="AF65" i="120"/>
  <c r="G25" i="418"/>
  <c r="J80" i="121"/>
  <c r="AT68" i="111"/>
  <c r="AV42" i="111"/>
  <c r="AV26" i="111"/>
  <c r="AV21" i="111"/>
  <c r="AV49" i="111"/>
  <c r="AV11" i="111"/>
  <c r="AU2" i="111"/>
  <c r="AV16" i="111"/>
  <c r="AV66" i="111"/>
  <c r="AQ60" i="111"/>
  <c r="AU68" i="111"/>
  <c r="AQ68" i="111"/>
  <c r="AV25" i="111"/>
  <c r="AR60" i="111"/>
  <c r="AQ2" i="111"/>
  <c r="AR68" i="111"/>
  <c r="AS60" i="111"/>
  <c r="AR2" i="111"/>
  <c r="AT12" i="123"/>
  <c r="AQ68" i="121"/>
  <c r="AU65" i="121"/>
  <c r="AJ49" i="120"/>
  <c r="AE60" i="120"/>
  <c r="AJ58" i="120"/>
  <c r="AJ46" i="120"/>
  <c r="AD60" i="120"/>
  <c r="AG60" i="120"/>
  <c r="AJ43" i="120"/>
  <c r="AG50" i="120"/>
  <c r="AB2" i="120"/>
  <c r="E76" i="736"/>
  <c r="AE50" i="120"/>
  <c r="AJ23" i="120"/>
  <c r="AI60" i="120"/>
  <c r="AO60" i="108"/>
  <c r="AV39" i="108"/>
  <c r="AV59" i="108"/>
  <c r="AV44" i="108"/>
  <c r="AV11" i="108"/>
  <c r="AQ65" i="108"/>
  <c r="AQ60" i="108"/>
  <c r="AP60" i="108"/>
  <c r="AJ45" i="108"/>
  <c r="AJ20" i="108"/>
  <c r="AH65" i="108"/>
  <c r="AR60" i="121"/>
  <c r="AH2" i="118"/>
  <c r="AE60" i="118"/>
  <c r="AH65" i="118"/>
  <c r="AC60" i="118"/>
  <c r="AI2" i="118"/>
  <c r="AE2" i="118"/>
  <c r="AF60" i="118"/>
  <c r="AO60" i="118"/>
  <c r="AV32" i="117"/>
  <c r="AV52" i="117"/>
  <c r="AP50" i="117"/>
  <c r="AU60" i="117"/>
  <c r="AS60" i="117"/>
  <c r="AT60" i="117"/>
  <c r="AO60" i="117"/>
  <c r="AR2" i="117"/>
  <c r="AT68" i="117"/>
  <c r="AP2" i="117"/>
  <c r="AQ2" i="117"/>
  <c r="AV11" i="116"/>
  <c r="AV37" i="116"/>
  <c r="AU2" i="116"/>
  <c r="AQ60" i="116"/>
  <c r="AP2" i="116"/>
  <c r="AR50" i="124"/>
  <c r="AD60" i="118"/>
  <c r="AJ41" i="118"/>
  <c r="AJ64" i="118"/>
  <c r="AJ24" i="118"/>
  <c r="AD50" i="118"/>
  <c r="AJ30" i="118"/>
  <c r="AJ55" i="118"/>
  <c r="AG60" i="118"/>
  <c r="AH60" i="120"/>
  <c r="AB50" i="120"/>
  <c r="AC22" i="120"/>
  <c r="AV57" i="123"/>
  <c r="AN65" i="122"/>
  <c r="AU60" i="121"/>
  <c r="AP60" i="121"/>
  <c r="AR65" i="120"/>
  <c r="AV58" i="120"/>
  <c r="AP22" i="120"/>
  <c r="AT68" i="118"/>
  <c r="AO65" i="117"/>
  <c r="AV56" i="117"/>
  <c r="AV16" i="116"/>
  <c r="AV15" i="116"/>
  <c r="AV17" i="114"/>
  <c r="AS60" i="102"/>
  <c r="AO2" i="107"/>
  <c r="AV61" i="116"/>
  <c r="AT33" i="102"/>
  <c r="AN12" i="111"/>
  <c r="AR2" i="112"/>
  <c r="AV26" i="115"/>
  <c r="AV57" i="110"/>
  <c r="AV30" i="117"/>
  <c r="AV71" i="110"/>
  <c r="AV70" i="110" s="1"/>
  <c r="AQ22" i="110"/>
  <c r="AO12" i="107"/>
  <c r="AV53" i="100"/>
  <c r="AV49" i="100"/>
  <c r="AS2" i="112"/>
  <c r="AN50" i="115"/>
  <c r="AS12" i="107"/>
  <c r="AV31" i="115"/>
  <c r="AS22" i="472"/>
  <c r="AV46" i="105"/>
  <c r="AP60" i="101"/>
  <c r="AP2" i="107"/>
  <c r="AV44" i="115"/>
  <c r="AV40" i="108"/>
  <c r="AU50" i="107"/>
  <c r="AN22" i="110"/>
  <c r="AS22" i="114"/>
  <c r="AR60" i="122"/>
  <c r="AR22" i="472"/>
  <c r="AS12" i="123"/>
  <c r="AS50" i="112"/>
  <c r="AV59" i="124"/>
  <c r="AQ50" i="124"/>
  <c r="AN68" i="124"/>
  <c r="AS50" i="124"/>
  <c r="AV35" i="124"/>
  <c r="AA65" i="108"/>
  <c r="AJ21" i="108"/>
  <c r="AC60" i="108"/>
  <c r="AV18" i="108"/>
  <c r="AV42" i="108"/>
  <c r="AV30" i="108"/>
  <c r="AV37" i="108"/>
  <c r="AV49" i="108"/>
  <c r="AV25" i="108"/>
  <c r="AT60" i="108"/>
  <c r="AQ50" i="108"/>
  <c r="AS33" i="108"/>
  <c r="AT33" i="108"/>
  <c r="AV71" i="108"/>
  <c r="AV70" i="108" s="1"/>
  <c r="AO33" i="108"/>
  <c r="AR60" i="108"/>
  <c r="AV4" i="108"/>
  <c r="AV2" i="108" s="1"/>
  <c r="AP33" i="108"/>
  <c r="AS60" i="108"/>
  <c r="AQ33" i="108"/>
  <c r="AT65" i="108"/>
  <c r="AR33" i="108"/>
  <c r="AV64" i="125"/>
  <c r="AV58" i="125"/>
  <c r="AU60" i="125"/>
  <c r="AQ65" i="475"/>
  <c r="AR65" i="475"/>
  <c r="AV38" i="475"/>
  <c r="AV67" i="475"/>
  <c r="AV20" i="475"/>
  <c r="AV25" i="475"/>
  <c r="AU65" i="475"/>
  <c r="AT33" i="475"/>
  <c r="AR33" i="475"/>
  <c r="AU60" i="475"/>
  <c r="AQ60" i="125"/>
  <c r="AO60" i="125"/>
  <c r="AV71" i="125"/>
  <c r="AV70" i="125" s="1"/>
  <c r="AV68" i="125" s="1"/>
  <c r="AV39" i="125"/>
  <c r="AR60" i="123"/>
  <c r="AQ12" i="123"/>
  <c r="AU60" i="122"/>
  <c r="AV17" i="122"/>
  <c r="AU12" i="122"/>
  <c r="AV71" i="122"/>
  <c r="AV70" i="122" s="1"/>
  <c r="AV66" i="122"/>
  <c r="AS68" i="122"/>
  <c r="AR12" i="122"/>
  <c r="AV28" i="122"/>
  <c r="AV11" i="122"/>
  <c r="AV42" i="122"/>
  <c r="AP68" i="121"/>
  <c r="AV38" i="121"/>
  <c r="AV42" i="121"/>
  <c r="AV34" i="121"/>
  <c r="AO60" i="120"/>
  <c r="AV49" i="121"/>
  <c r="AR68" i="121"/>
  <c r="AV8" i="121"/>
  <c r="AV13" i="119"/>
  <c r="AV45" i="119"/>
  <c r="AV66" i="119"/>
  <c r="AV43" i="119"/>
  <c r="AV8" i="119"/>
  <c r="AV9" i="119"/>
  <c r="AR65" i="119"/>
  <c r="AV42" i="119"/>
  <c r="AV26" i="119"/>
  <c r="AV10" i="119"/>
  <c r="AR50" i="117"/>
  <c r="AS50" i="117"/>
  <c r="AV16" i="117"/>
  <c r="AV28" i="117"/>
  <c r="AV23" i="124"/>
  <c r="AV48" i="116"/>
  <c r="AU12" i="116"/>
  <c r="AV42" i="116"/>
  <c r="AU68" i="116"/>
  <c r="AP50" i="115"/>
  <c r="AV54" i="115"/>
  <c r="AP60" i="124"/>
  <c r="AV57" i="124"/>
  <c r="AV54" i="124"/>
  <c r="AV66" i="116"/>
  <c r="AV65" i="116" s="1"/>
  <c r="AV4" i="116"/>
  <c r="AS12" i="116"/>
  <c r="AV31" i="116"/>
  <c r="AT60" i="116"/>
  <c r="AV71" i="116"/>
  <c r="AV70" i="116" s="1"/>
  <c r="AV55" i="116"/>
  <c r="AV46" i="117"/>
  <c r="AV64" i="117"/>
  <c r="AV4" i="117"/>
  <c r="AU50" i="117"/>
  <c r="AT50" i="117"/>
  <c r="AV35" i="117"/>
  <c r="AV55" i="117"/>
  <c r="AU2" i="117"/>
  <c r="AV54" i="119"/>
  <c r="AV43" i="120"/>
  <c r="AV38" i="120"/>
  <c r="AO22" i="120"/>
  <c r="AN22" i="120"/>
  <c r="AV39" i="120"/>
  <c r="AV45" i="120"/>
  <c r="AQ22" i="120"/>
  <c r="AV57" i="120"/>
  <c r="AV30" i="120"/>
  <c r="AU12" i="120"/>
  <c r="AV71" i="115"/>
  <c r="AV70" i="115" s="1"/>
  <c r="AV68" i="115" s="1"/>
  <c r="AR50" i="115"/>
  <c r="AO50" i="124"/>
  <c r="AP50" i="124"/>
  <c r="AU60" i="124"/>
  <c r="AT50" i="124"/>
  <c r="AV8" i="124"/>
  <c r="AU50" i="124"/>
  <c r="AS60" i="124"/>
  <c r="AT60" i="124"/>
  <c r="AU65" i="116"/>
  <c r="AQ12" i="116"/>
  <c r="AR60" i="117"/>
  <c r="AO50" i="117"/>
  <c r="AT2" i="117"/>
  <c r="AV20" i="119"/>
  <c r="AU12" i="119"/>
  <c r="AV27" i="120"/>
  <c r="AS22" i="120"/>
  <c r="AT12" i="120"/>
  <c r="AR22" i="120"/>
  <c r="AR60" i="120"/>
  <c r="AO12" i="120"/>
  <c r="AV24" i="121"/>
  <c r="AO60" i="121"/>
  <c r="AV40" i="121"/>
  <c r="AR65" i="123"/>
  <c r="AJ30" i="100"/>
  <c r="AD60" i="100"/>
  <c r="AT50" i="100"/>
  <c r="AV11" i="100"/>
  <c r="AE33" i="100"/>
  <c r="AV43" i="100"/>
  <c r="AI33" i="100"/>
  <c r="AR60" i="100"/>
  <c r="AJ45" i="100"/>
  <c r="AR60" i="118"/>
  <c r="AV37" i="118"/>
  <c r="AO65" i="118"/>
  <c r="AV24" i="118"/>
  <c r="AO68" i="118"/>
  <c r="AU60" i="118"/>
  <c r="AU68" i="118"/>
  <c r="AS68" i="118"/>
  <c r="AR65" i="118"/>
  <c r="AU65" i="118"/>
  <c r="AQ60" i="118"/>
  <c r="AP12" i="118"/>
  <c r="AV71" i="118"/>
  <c r="AV70" i="118" s="1"/>
  <c r="AV18" i="118"/>
  <c r="AT60" i="118"/>
  <c r="AU2" i="118"/>
  <c r="AP60" i="118"/>
  <c r="AV54" i="118"/>
  <c r="AT65" i="118"/>
  <c r="AV30" i="118"/>
  <c r="AS12" i="118"/>
  <c r="AV8" i="118"/>
  <c r="AP22" i="118"/>
  <c r="AQ2" i="118"/>
  <c r="AQ12" i="118"/>
  <c r="E15" i="674"/>
  <c r="V10" i="108"/>
  <c r="N15" i="674" s="1"/>
  <c r="AV51" i="111"/>
  <c r="AC12" i="111"/>
  <c r="AC2" i="111"/>
  <c r="AJ57" i="118"/>
  <c r="AV17" i="118"/>
  <c r="AV64" i="118"/>
  <c r="AV49" i="118"/>
  <c r="AI65" i="118"/>
  <c r="AV69" i="118"/>
  <c r="AS60" i="118"/>
  <c r="AR12" i="118"/>
  <c r="AB65" i="118"/>
  <c r="AJ27" i="118"/>
  <c r="AJ26" i="118"/>
  <c r="AB60" i="118"/>
  <c r="AU12" i="118"/>
  <c r="AJ34" i="102"/>
  <c r="AT22" i="102"/>
  <c r="AC33" i="102"/>
  <c r="AJ29" i="102"/>
  <c r="AH60" i="102"/>
  <c r="AV32" i="102"/>
  <c r="AV34" i="102"/>
  <c r="AJ49" i="107"/>
  <c r="AV54" i="121"/>
  <c r="AJ58" i="106"/>
  <c r="AV64" i="116"/>
  <c r="AJ59" i="103"/>
  <c r="M79" i="120"/>
  <c r="M77" i="120" s="1"/>
  <c r="M8" i="120" s="1"/>
  <c r="M79" i="110"/>
  <c r="M79" i="475"/>
  <c r="M79" i="123"/>
  <c r="M79" i="102"/>
  <c r="M79" i="114"/>
  <c r="AT22" i="116"/>
  <c r="AF50" i="117"/>
  <c r="AB12" i="111"/>
  <c r="AT50" i="472"/>
  <c r="AH50" i="117"/>
  <c r="E19" i="418"/>
  <c r="E16" i="418"/>
  <c r="E8" i="418"/>
  <c r="E18" i="418"/>
  <c r="E3" i="418"/>
  <c r="O26" i="475"/>
  <c r="P26" i="475" s="1"/>
  <c r="O34" i="123"/>
  <c r="P34" i="123" s="1"/>
  <c r="O73" i="110"/>
  <c r="P73" i="110" s="1"/>
  <c r="O73" i="112"/>
  <c r="P73" i="112" s="1"/>
  <c r="AS22" i="118"/>
  <c r="AS50" i="106"/>
  <c r="AV38" i="117"/>
  <c r="AJ37" i="112"/>
  <c r="AJ78" i="104"/>
  <c r="AJ13" i="118"/>
  <c r="AV53" i="124"/>
  <c r="AV64" i="111"/>
  <c r="AV37" i="111"/>
  <c r="AV51" i="108"/>
  <c r="AJ37" i="118"/>
  <c r="AV37" i="106"/>
  <c r="AV8" i="120"/>
  <c r="AJ66" i="119"/>
  <c r="AJ59" i="117"/>
  <c r="AJ59" i="475"/>
  <c r="AJ11" i="111"/>
  <c r="AV10" i="121"/>
  <c r="AJ14" i="111"/>
  <c r="AJ8" i="118"/>
  <c r="AV10" i="110"/>
  <c r="AV78" i="116"/>
  <c r="AJ37" i="110"/>
  <c r="AJ78" i="111"/>
  <c r="AJ78" i="102"/>
  <c r="AV13" i="111"/>
  <c r="AJ78" i="112"/>
  <c r="AS68" i="111"/>
  <c r="AJ58" i="118"/>
  <c r="AJ44" i="118"/>
  <c r="AJ44" i="472"/>
  <c r="AV37" i="112"/>
  <c r="AJ13" i="124"/>
  <c r="AU68" i="101"/>
  <c r="AV67" i="102"/>
  <c r="AT68" i="110"/>
  <c r="AJ67" i="120"/>
  <c r="AC65" i="118"/>
  <c r="AV71" i="107"/>
  <c r="AV70" i="107" s="1"/>
  <c r="AR68" i="105"/>
  <c r="AJ71" i="103"/>
  <c r="AJ70" i="103" s="1"/>
  <c r="AF65" i="110"/>
  <c r="AC65" i="120"/>
  <c r="AF65" i="108"/>
  <c r="AB65" i="120"/>
  <c r="AS68" i="105"/>
  <c r="AP68" i="111"/>
  <c r="AV71" i="472"/>
  <c r="AV70" i="472" s="1"/>
  <c r="AR68" i="108"/>
  <c r="AF60" i="120"/>
  <c r="AU60" i="101"/>
  <c r="AE60" i="100"/>
  <c r="AD60" i="122"/>
  <c r="AF60" i="100"/>
  <c r="AU60" i="108"/>
  <c r="AP60" i="111"/>
  <c r="AF60" i="112"/>
  <c r="AI60" i="107"/>
  <c r="AG60" i="112"/>
  <c r="AC60" i="112"/>
  <c r="AB60" i="120"/>
  <c r="AH60" i="106"/>
  <c r="AV64" i="103"/>
  <c r="AV61" i="121"/>
  <c r="AS60" i="121"/>
  <c r="AT60" i="121"/>
  <c r="AE50" i="117"/>
  <c r="AP50" i="106"/>
  <c r="AQ50" i="115"/>
  <c r="AV55" i="100"/>
  <c r="AV54" i="101"/>
  <c r="AT50" i="106"/>
  <c r="AH50" i="123"/>
  <c r="AV54" i="114"/>
  <c r="AV53" i="108"/>
  <c r="AT50" i="115"/>
  <c r="AG50" i="100"/>
  <c r="AH50" i="102"/>
  <c r="AT50" i="108"/>
  <c r="AI50" i="101"/>
  <c r="AJ54" i="472"/>
  <c r="AF50" i="102"/>
  <c r="AO50" i="108"/>
  <c r="O54" i="475"/>
  <c r="P54" i="475" s="1"/>
  <c r="AJ51" i="107"/>
  <c r="AE33" i="114"/>
  <c r="AV43" i="111"/>
  <c r="AV46" i="102"/>
  <c r="AJ48" i="124"/>
  <c r="AB33" i="472"/>
  <c r="AS33" i="106"/>
  <c r="AS33" i="122"/>
  <c r="AJ38" i="100"/>
  <c r="AJ41" i="100"/>
  <c r="AV27" i="102"/>
  <c r="AJ13" i="117"/>
  <c r="AS12" i="111"/>
  <c r="AS12" i="120"/>
  <c r="AP12" i="120"/>
  <c r="AH12" i="106"/>
  <c r="AG12" i="475"/>
  <c r="AQ12" i="112"/>
  <c r="AV14" i="122"/>
  <c r="AU12" i="106"/>
  <c r="AV11" i="119"/>
  <c r="AV11" i="472"/>
  <c r="AP65" i="105"/>
  <c r="AJ66" i="110"/>
  <c r="AQ50" i="117"/>
  <c r="AJ59" i="108"/>
  <c r="AD50" i="123"/>
  <c r="AO50" i="472"/>
  <c r="AE50" i="101"/>
  <c r="AI50" i="123"/>
  <c r="AB50" i="119"/>
  <c r="AJ52" i="472"/>
  <c r="AO33" i="123"/>
  <c r="AE33" i="472"/>
  <c r="AV49" i="110"/>
  <c r="AS33" i="475"/>
  <c r="AV49" i="101"/>
  <c r="AJ49" i="121"/>
  <c r="AD33" i="475"/>
  <c r="AH33" i="124"/>
  <c r="AU33" i="108"/>
  <c r="AG33" i="112"/>
  <c r="AD33" i="124"/>
  <c r="AP33" i="102"/>
  <c r="AE33" i="110"/>
  <c r="AR33" i="106"/>
  <c r="AI33" i="114"/>
  <c r="AH12" i="105"/>
  <c r="AD12" i="475"/>
  <c r="AP12" i="114"/>
  <c r="AO12" i="116"/>
  <c r="AJ10" i="100"/>
  <c r="AU12" i="123"/>
  <c r="AJ4" i="103"/>
  <c r="AV4" i="111"/>
  <c r="AV4" i="118"/>
  <c r="AH2" i="108"/>
  <c r="AJ48" i="115"/>
  <c r="AJ43" i="124"/>
  <c r="AJ45" i="472"/>
  <c r="F80" i="472"/>
  <c r="F17" i="418"/>
  <c r="I17" i="418" s="1"/>
  <c r="D21" i="680" s="1"/>
  <c r="AO50" i="101"/>
  <c r="AV3" i="120"/>
  <c r="AV2" i="120" s="1"/>
  <c r="AV4" i="103"/>
  <c r="AJ4" i="108"/>
  <c r="AJ2" i="108" s="1"/>
  <c r="AE2" i="102"/>
  <c r="AQ2" i="116"/>
  <c r="AE2" i="101"/>
  <c r="AJ4" i="106"/>
  <c r="AA2" i="106"/>
  <c r="AB2" i="116"/>
  <c r="AR2" i="116"/>
  <c r="AJ3" i="124"/>
  <c r="AQ2" i="104"/>
  <c r="AJ4" i="120"/>
  <c r="AQ2" i="112"/>
  <c r="AH2" i="124"/>
  <c r="AT2" i="107"/>
  <c r="AP2" i="111"/>
  <c r="AU6" i="121"/>
  <c r="AS6" i="120"/>
  <c r="AP6" i="112"/>
  <c r="AC6" i="117"/>
  <c r="AT6" i="122"/>
  <c r="AV69" i="121"/>
  <c r="E14" i="418"/>
  <c r="AP6" i="121"/>
  <c r="AT6" i="121"/>
  <c r="AN6" i="120"/>
  <c r="AV7" i="120"/>
  <c r="AU6" i="112"/>
  <c r="AJ7" i="117"/>
  <c r="AA6" i="117"/>
  <c r="AR6" i="122"/>
  <c r="AR6" i="121"/>
  <c r="AP6" i="120"/>
  <c r="AT6" i="112"/>
  <c r="AG6" i="117"/>
  <c r="AP6" i="122"/>
  <c r="AB6" i="475"/>
  <c r="AB6" i="105"/>
  <c r="AQ6" i="103"/>
  <c r="AS6" i="125"/>
  <c r="AR6" i="100"/>
  <c r="AI6" i="475"/>
  <c r="AI6" i="105"/>
  <c r="AU6" i="120"/>
  <c r="AR6" i="112"/>
  <c r="AE6" i="117"/>
  <c r="AV7" i="122"/>
  <c r="AN6" i="122"/>
  <c r="AG6" i="475"/>
  <c r="AH6" i="475"/>
  <c r="AH6" i="105"/>
  <c r="AN6" i="103"/>
  <c r="AV7" i="103"/>
  <c r="AE6" i="475"/>
  <c r="AE6" i="105"/>
  <c r="AT6" i="103"/>
  <c r="AU6" i="125"/>
  <c r="AT6" i="100"/>
  <c r="AT6" i="108"/>
  <c r="AH6" i="118"/>
  <c r="AD6" i="122"/>
  <c r="AB6" i="102"/>
  <c r="AS6" i="105"/>
  <c r="AH6" i="111"/>
  <c r="AH6" i="114"/>
  <c r="AP6" i="116"/>
  <c r="AI6" i="120"/>
  <c r="AB6" i="120"/>
  <c r="AA6" i="123"/>
  <c r="AJ7" i="123"/>
  <c r="AV7" i="111"/>
  <c r="AN6" i="111"/>
  <c r="AG6" i="108"/>
  <c r="AU6" i="118"/>
  <c r="AT6" i="123"/>
  <c r="AR6" i="110"/>
  <c r="AA6" i="101"/>
  <c r="AJ7" i="101"/>
  <c r="AJ7" i="116"/>
  <c r="AA6" i="116"/>
  <c r="AH6" i="124"/>
  <c r="AP6" i="106"/>
  <c r="AT6" i="472"/>
  <c r="AS6" i="101"/>
  <c r="AO6" i="124"/>
  <c r="AJ7" i="119"/>
  <c r="AA6" i="119"/>
  <c r="AG6" i="115"/>
  <c r="AH6" i="104"/>
  <c r="AG6" i="110"/>
  <c r="AP6" i="117"/>
  <c r="AV7" i="475"/>
  <c r="AN6" i="475"/>
  <c r="AS6" i="115"/>
  <c r="AS6" i="104"/>
  <c r="AF6" i="106"/>
  <c r="AD6" i="107"/>
  <c r="AH6" i="472"/>
  <c r="AJ7" i="472"/>
  <c r="AA6" i="472"/>
  <c r="AH6" i="100"/>
  <c r="AB6" i="121"/>
  <c r="AE6" i="112"/>
  <c r="AP6" i="102"/>
  <c r="AO6" i="119"/>
  <c r="AB6" i="103"/>
  <c r="AD6" i="103"/>
  <c r="AO6" i="107"/>
  <c r="AT6" i="114"/>
  <c r="AJ7" i="125"/>
  <c r="AS6" i="121"/>
  <c r="AR6" i="120"/>
  <c r="AO6" i="112"/>
  <c r="AH6" i="117"/>
  <c r="AB6" i="117"/>
  <c r="AS6" i="122"/>
  <c r="AD6" i="475"/>
  <c r="AD6" i="105"/>
  <c r="AS6" i="103"/>
  <c r="AN6" i="125"/>
  <c r="AV7" i="125"/>
  <c r="AS6" i="100"/>
  <c r="AS6" i="108"/>
  <c r="AA6" i="118"/>
  <c r="AJ7" i="118"/>
  <c r="AG6" i="118"/>
  <c r="AC6" i="122"/>
  <c r="AI6" i="102"/>
  <c r="AR6" i="105"/>
  <c r="AG6" i="111"/>
  <c r="AG6" i="114"/>
  <c r="AO6" i="116"/>
  <c r="AH6" i="120"/>
  <c r="AH6" i="123"/>
  <c r="AU6" i="111"/>
  <c r="AE6" i="108"/>
  <c r="AT6" i="118"/>
  <c r="AS6" i="123"/>
  <c r="AQ6" i="110"/>
  <c r="AH6" i="101"/>
  <c r="AG6" i="116"/>
  <c r="AH6" i="116"/>
  <c r="AG6" i="124"/>
  <c r="AO6" i="106"/>
  <c r="AR6" i="101"/>
  <c r="AU6" i="124"/>
  <c r="AG6" i="119"/>
  <c r="AH6" i="119"/>
  <c r="AF6" i="115"/>
  <c r="AG6" i="104"/>
  <c r="AF6" i="110"/>
  <c r="AO6" i="117"/>
  <c r="AU6" i="475"/>
  <c r="AR6" i="115"/>
  <c r="AR6" i="104"/>
  <c r="AE6" i="106"/>
  <c r="AB6" i="107"/>
  <c r="AG6" i="472"/>
  <c r="AF6" i="100"/>
  <c r="AI6" i="121"/>
  <c r="AD6" i="112"/>
  <c r="AO6" i="102"/>
  <c r="AT6" i="119"/>
  <c r="AC6" i="103"/>
  <c r="AU6" i="107"/>
  <c r="AS6" i="114"/>
  <c r="AQ6" i="120"/>
  <c r="AV7" i="112"/>
  <c r="AN6" i="112"/>
  <c r="AI6" i="117"/>
  <c r="AQ6" i="122"/>
  <c r="AC6" i="475"/>
  <c r="AC6" i="105"/>
  <c r="AR6" i="103"/>
  <c r="AT6" i="125"/>
  <c r="AQ6" i="100"/>
  <c r="AR6" i="108"/>
  <c r="AI6" i="118"/>
  <c r="AI6" i="122"/>
  <c r="AB6" i="122"/>
  <c r="AJ7" i="102"/>
  <c r="AA6" i="102"/>
  <c r="AQ6" i="105"/>
  <c r="AF6" i="111"/>
  <c r="AF6" i="114"/>
  <c r="AV7" i="116"/>
  <c r="AN6" i="116"/>
  <c r="AE6" i="120"/>
  <c r="AG6" i="123"/>
  <c r="AT6" i="111"/>
  <c r="AD6" i="108"/>
  <c r="AS6" i="118"/>
  <c r="AR6" i="123"/>
  <c r="AP6" i="110"/>
  <c r="AG6" i="101"/>
  <c r="AF6" i="116"/>
  <c r="AE6" i="124"/>
  <c r="AF6" i="124"/>
  <c r="AV7" i="106"/>
  <c r="AN6" i="106"/>
  <c r="AR6" i="472"/>
  <c r="AQ6" i="101"/>
  <c r="AN6" i="124"/>
  <c r="AV7" i="124"/>
  <c r="AF6" i="119"/>
  <c r="AD6" i="115"/>
  <c r="AE6" i="115"/>
  <c r="AF6" i="104"/>
  <c r="AE6" i="110"/>
  <c r="AV7" i="117"/>
  <c r="AN6" i="117"/>
  <c r="AT6" i="475"/>
  <c r="AQ6" i="115"/>
  <c r="AQ6" i="104"/>
  <c r="AD6" i="106"/>
  <c r="AC6" i="107"/>
  <c r="AF6" i="472"/>
  <c r="AG6" i="100"/>
  <c r="AA6" i="121"/>
  <c r="AJ7" i="121"/>
  <c r="AC6" i="112"/>
  <c r="AU6" i="102"/>
  <c r="AP6" i="119"/>
  <c r="AI6" i="103"/>
  <c r="AS6" i="107"/>
  <c r="AR6" i="114"/>
  <c r="AQ6" i="108"/>
  <c r="AF6" i="118"/>
  <c r="AH6" i="122"/>
  <c r="AE6" i="102"/>
  <c r="AH6" i="102"/>
  <c r="AP6" i="105"/>
  <c r="AE6" i="111"/>
  <c r="AE6" i="114"/>
  <c r="AU6" i="116"/>
  <c r="AJ7" i="120"/>
  <c r="AA6" i="120"/>
  <c r="AF6" i="123"/>
  <c r="AS6" i="111"/>
  <c r="AC6" i="108"/>
  <c r="AR6" i="118"/>
  <c r="AQ6" i="123"/>
  <c r="AO6" i="110"/>
  <c r="AC6" i="101"/>
  <c r="AE6" i="116"/>
  <c r="AD6" i="124"/>
  <c r="AU6" i="106"/>
  <c r="AQ6" i="472"/>
  <c r="AP6" i="101"/>
  <c r="AT6" i="124"/>
  <c r="AC6" i="119"/>
  <c r="AC6" i="115"/>
  <c r="AD6" i="104"/>
  <c r="AE6" i="104"/>
  <c r="AD6" i="110"/>
  <c r="AU6" i="117"/>
  <c r="AS6" i="475"/>
  <c r="AP6" i="115"/>
  <c r="AP6" i="104"/>
  <c r="AC6" i="106"/>
  <c r="AI6" i="107"/>
  <c r="AE6" i="472"/>
  <c r="AE6" i="100"/>
  <c r="AH6" i="121"/>
  <c r="AB6" i="112"/>
  <c r="AN6" i="102"/>
  <c r="AV7" i="102"/>
  <c r="AV7" i="119"/>
  <c r="AN6" i="119"/>
  <c r="AA6" i="103"/>
  <c r="AJ7" i="103"/>
  <c r="AN6" i="107"/>
  <c r="AV7" i="107"/>
  <c r="AQ6" i="114"/>
  <c r="AP6" i="103"/>
  <c r="AR6" i="125"/>
  <c r="AO6" i="100"/>
  <c r="AP6" i="108"/>
  <c r="AE6" i="118"/>
  <c r="AJ7" i="122"/>
  <c r="AA6" i="122"/>
  <c r="AG6" i="102"/>
  <c r="AO6" i="105"/>
  <c r="AC6" i="111"/>
  <c r="AD6" i="111"/>
  <c r="AD6" i="114"/>
  <c r="AT6" i="116"/>
  <c r="AG6" i="120"/>
  <c r="AE6" i="123"/>
  <c r="AR6" i="111"/>
  <c r="AB6" i="108"/>
  <c r="AO6" i="118"/>
  <c r="AP6" i="123"/>
  <c r="AV7" i="110"/>
  <c r="AN6" i="110"/>
  <c r="AE6" i="101"/>
  <c r="AF6" i="101"/>
  <c r="AD6" i="116"/>
  <c r="AC6" i="124"/>
  <c r="AT6" i="106"/>
  <c r="AP6" i="472"/>
  <c r="AO6" i="101"/>
  <c r="AS6" i="124"/>
  <c r="AE6" i="119"/>
  <c r="AB6" i="115"/>
  <c r="AC6" i="104"/>
  <c r="AC6" i="110"/>
  <c r="AT6" i="117"/>
  <c r="AR6" i="475"/>
  <c r="AO6" i="115"/>
  <c r="AO6" i="104"/>
  <c r="AB6" i="106"/>
  <c r="AA6" i="107"/>
  <c r="AJ7" i="107"/>
  <c r="AD6" i="472"/>
  <c r="AJ7" i="100"/>
  <c r="AA6" i="100"/>
  <c r="AF6" i="121"/>
  <c r="AI6" i="112"/>
  <c r="AT6" i="102"/>
  <c r="AU6" i="119"/>
  <c r="AH6" i="103"/>
  <c r="AT6" i="107"/>
  <c r="AP6" i="114"/>
  <c r="AQ6" i="121"/>
  <c r="AO6" i="120"/>
  <c r="AS6" i="112"/>
  <c r="AF6" i="117"/>
  <c r="AO6" i="122"/>
  <c r="AJ7" i="475"/>
  <c r="AA6" i="475"/>
  <c r="AJ7" i="105"/>
  <c r="AA6" i="105"/>
  <c r="AO6" i="103"/>
  <c r="AQ6" i="125"/>
  <c r="AV7" i="100"/>
  <c r="AN6" i="100"/>
  <c r="AO6" i="108"/>
  <c r="AD6" i="118"/>
  <c r="AG6" i="122"/>
  <c r="AF6" i="102"/>
  <c r="AV7" i="105"/>
  <c r="AN6" i="105"/>
  <c r="AB6" i="111"/>
  <c r="AB6" i="114"/>
  <c r="AC6" i="114"/>
  <c r="AS6" i="116"/>
  <c r="AF6" i="120"/>
  <c r="AC6" i="123"/>
  <c r="AD6" i="123"/>
  <c r="AQ6" i="111"/>
  <c r="AI6" i="108"/>
  <c r="AV7" i="118"/>
  <c r="AN6" i="118"/>
  <c r="AO6" i="123"/>
  <c r="AU6" i="110"/>
  <c r="AD6" i="101"/>
  <c r="AC6" i="116"/>
  <c r="AB6" i="124"/>
  <c r="AS6" i="106"/>
  <c r="AO6" i="472"/>
  <c r="AT6" i="101"/>
  <c r="AR6" i="124"/>
  <c r="AD6" i="119"/>
  <c r="AI6" i="115"/>
  <c r="AB6" i="104"/>
  <c r="AH6" i="110"/>
  <c r="AB6" i="110"/>
  <c r="AS6" i="117"/>
  <c r="AQ6" i="475"/>
  <c r="AV7" i="115"/>
  <c r="AN6" i="115"/>
  <c r="AV7" i="104"/>
  <c r="AN6" i="104"/>
  <c r="AI6" i="106"/>
  <c r="AH6" i="107"/>
  <c r="AC6" i="472"/>
  <c r="AC6" i="100"/>
  <c r="AD6" i="100"/>
  <c r="AE6" i="121"/>
  <c r="AJ7" i="112"/>
  <c r="AA6" i="112"/>
  <c r="AS6" i="102"/>
  <c r="AS6" i="119"/>
  <c r="AG6" i="103"/>
  <c r="AR6" i="107"/>
  <c r="AO6" i="114"/>
  <c r="AP6" i="125"/>
  <c r="AP6" i="100"/>
  <c r="AV7" i="108"/>
  <c r="AN6" i="108"/>
  <c r="AC6" i="118"/>
  <c r="AF6" i="122"/>
  <c r="AD6" i="102"/>
  <c r="AU6" i="105"/>
  <c r="AI6" i="111"/>
  <c r="AA6" i="114"/>
  <c r="AJ7" i="114"/>
  <c r="AR6" i="116"/>
  <c r="AD6" i="120"/>
  <c r="AB6" i="123"/>
  <c r="AP6" i="111"/>
  <c r="AJ7" i="108"/>
  <c r="AA6" i="108"/>
  <c r="AQ6" i="118"/>
  <c r="AV7" i="123"/>
  <c r="AN6" i="123"/>
  <c r="AT6" i="110"/>
  <c r="AB6" i="101"/>
  <c r="AB6" i="116"/>
  <c r="AI6" i="124"/>
  <c r="AR6" i="106"/>
  <c r="AV7" i="472"/>
  <c r="AN6" i="472"/>
  <c r="AN6" i="101"/>
  <c r="AV7" i="101"/>
  <c r="AQ6" i="124"/>
  <c r="AB6" i="119"/>
  <c r="AJ7" i="115"/>
  <c r="AA6" i="115"/>
  <c r="AI6" i="104"/>
  <c r="AJ7" i="110"/>
  <c r="AA6" i="110"/>
  <c r="AR6" i="117"/>
  <c r="AP6" i="475"/>
  <c r="AU6" i="115"/>
  <c r="AU6" i="104"/>
  <c r="AH6" i="106"/>
  <c r="AJ7" i="106"/>
  <c r="AA6" i="106"/>
  <c r="AG6" i="107"/>
  <c r="AB6" i="472"/>
  <c r="AB6" i="100"/>
  <c r="AG6" i="121"/>
  <c r="AD6" i="121"/>
  <c r="AH6" i="112"/>
  <c r="AR6" i="102"/>
  <c r="AR6" i="119"/>
  <c r="AF6" i="103"/>
  <c r="AQ6" i="107"/>
  <c r="AV7" i="114"/>
  <c r="AN6" i="114"/>
  <c r="AV7" i="121"/>
  <c r="AN6" i="121"/>
  <c r="AT6" i="120"/>
  <c r="AQ6" i="112"/>
  <c r="AD6" i="117"/>
  <c r="AU6" i="122"/>
  <c r="AF6" i="475"/>
  <c r="AF6" i="105"/>
  <c r="AG6" i="105"/>
  <c r="AU6" i="103"/>
  <c r="AO6" i="125"/>
  <c r="AU6" i="100"/>
  <c r="AU6" i="108"/>
  <c r="AB6" i="118"/>
  <c r="AE6" i="122"/>
  <c r="AC6" i="102"/>
  <c r="AT6" i="105"/>
  <c r="AA6" i="111"/>
  <c r="AJ7" i="111"/>
  <c r="AI6" i="114"/>
  <c r="AQ6" i="116"/>
  <c r="AC6" i="120"/>
  <c r="AI6" i="123"/>
  <c r="AO6" i="111"/>
  <c r="AF6" i="108"/>
  <c r="AH6" i="108"/>
  <c r="AP6" i="118"/>
  <c r="AU6" i="123"/>
  <c r="AS6" i="110"/>
  <c r="AI6" i="101"/>
  <c r="AI6" i="116"/>
  <c r="AJ7" i="124"/>
  <c r="AA6" i="124"/>
  <c r="AQ6" i="106"/>
  <c r="AU6" i="472"/>
  <c r="AU6" i="101"/>
  <c r="AP6" i="124"/>
  <c r="AI6" i="119"/>
  <c r="AH6" i="115"/>
  <c r="AJ7" i="104"/>
  <c r="AA6" i="104"/>
  <c r="AI6" i="110"/>
  <c r="AQ6" i="117"/>
  <c r="AO6" i="475"/>
  <c r="AT6" i="115"/>
  <c r="AT6" i="104"/>
  <c r="AG6" i="106"/>
  <c r="AE6" i="107"/>
  <c r="AF6" i="107"/>
  <c r="AI6" i="472"/>
  <c r="AI6" i="100"/>
  <c r="AC6" i="121"/>
  <c r="AF6" i="112"/>
  <c r="AG6" i="112"/>
  <c r="AQ6" i="102"/>
  <c r="AQ6" i="119"/>
  <c r="AE6" i="103"/>
  <c r="AP6" i="107"/>
  <c r="AU6" i="114"/>
  <c r="AN68" i="122"/>
  <c r="AJ45" i="120"/>
  <c r="AV45" i="104"/>
  <c r="AJ29" i="106"/>
  <c r="E17" i="418"/>
  <c r="E13" i="418"/>
  <c r="AJ25" i="108"/>
  <c r="AU68" i="117"/>
  <c r="AN68" i="111"/>
  <c r="AJ63" i="110"/>
  <c r="AJ63" i="101"/>
  <c r="AV69" i="116"/>
  <c r="AG65" i="108"/>
  <c r="AJ42" i="116"/>
  <c r="AV78" i="100"/>
  <c r="AQ68" i="116"/>
  <c r="AT68" i="121"/>
  <c r="AJ69" i="106"/>
  <c r="AJ68" i="106" s="1"/>
  <c r="AU68" i="121"/>
  <c r="AQ68" i="100"/>
  <c r="AS68" i="117"/>
  <c r="AP68" i="117"/>
  <c r="AU68" i="100"/>
  <c r="AJ69" i="112"/>
  <c r="AJ68" i="112" s="1"/>
  <c r="AJ67" i="105"/>
  <c r="AJ65" i="105" s="1"/>
  <c r="AP65" i="108"/>
  <c r="AT65" i="472"/>
  <c r="AF65" i="123"/>
  <c r="AD65" i="118"/>
  <c r="AQ65" i="102"/>
  <c r="AT65" i="114"/>
  <c r="AH65" i="114"/>
  <c r="AO65" i="121"/>
  <c r="AS65" i="472"/>
  <c r="AP65" i="121"/>
  <c r="AQ65" i="100"/>
  <c r="AR65" i="121"/>
  <c r="AF65" i="101"/>
  <c r="AE65" i="118"/>
  <c r="AT65" i="102"/>
  <c r="AT60" i="105"/>
  <c r="AR60" i="472"/>
  <c r="AR60" i="125"/>
  <c r="AC60" i="107"/>
  <c r="AN60" i="120"/>
  <c r="AP60" i="475"/>
  <c r="AP60" i="103"/>
  <c r="AO60" i="122"/>
  <c r="AT60" i="115"/>
  <c r="AE60" i="111"/>
  <c r="AP60" i="102"/>
  <c r="AJ61" i="115"/>
  <c r="AJ45" i="114"/>
  <c r="AJ42" i="114"/>
  <c r="AB60" i="475"/>
  <c r="AJ61" i="123"/>
  <c r="AJ42" i="104"/>
  <c r="AV42" i="115"/>
  <c r="AV42" i="106"/>
  <c r="AJ42" i="117"/>
  <c r="AU60" i="120"/>
  <c r="AJ45" i="124"/>
  <c r="AJ42" i="122"/>
  <c r="AJ42" i="105"/>
  <c r="AV42" i="105"/>
  <c r="AI60" i="118"/>
  <c r="AH60" i="100"/>
  <c r="AS60" i="100"/>
  <c r="AJ61" i="118"/>
  <c r="AC60" i="475"/>
  <c r="AF60" i="123"/>
  <c r="AH60" i="115"/>
  <c r="AH60" i="111"/>
  <c r="AF60" i="106"/>
  <c r="AT60" i="111"/>
  <c r="AC60" i="100"/>
  <c r="AO60" i="124"/>
  <c r="AV63" i="111"/>
  <c r="AV63" i="110"/>
  <c r="AV63" i="119"/>
  <c r="AJ63" i="111"/>
  <c r="AB60" i="105"/>
  <c r="AB60" i="111"/>
  <c r="AU60" i="115"/>
  <c r="AQ60" i="117"/>
  <c r="AT65" i="100"/>
  <c r="AH65" i="120"/>
  <c r="AJ65" i="112"/>
  <c r="AI65" i="120"/>
  <c r="AD65" i="114"/>
  <c r="AJ66" i="116"/>
  <c r="AF60" i="108"/>
  <c r="AU60" i="111"/>
  <c r="AG60" i="106"/>
  <c r="AS60" i="101"/>
  <c r="AU60" i="100"/>
  <c r="AO60" i="102"/>
  <c r="AQ60" i="121"/>
  <c r="AJ45" i="106"/>
  <c r="AV43" i="115"/>
  <c r="AV43" i="103"/>
  <c r="AJ43" i="114"/>
  <c r="AJ42" i="106"/>
  <c r="AJ42" i="100"/>
  <c r="AJ18" i="112"/>
  <c r="AJ4" i="111"/>
  <c r="AJ36" i="472"/>
  <c r="AV18" i="115"/>
  <c r="AV67" i="122"/>
  <c r="AI33" i="121"/>
  <c r="AV67" i="117"/>
  <c r="AO60" i="472"/>
  <c r="AQ60" i="102"/>
  <c r="AP60" i="122"/>
  <c r="AV63" i="115"/>
  <c r="AQ60" i="472"/>
  <c r="AS60" i="125"/>
  <c r="AJ78" i="101"/>
  <c r="AI65" i="108"/>
  <c r="AJ34" i="115"/>
  <c r="AV15" i="123"/>
  <c r="AJ8" i="472"/>
  <c r="AJ36" i="116"/>
  <c r="AV38" i="123"/>
  <c r="AV45" i="103"/>
  <c r="AJ69" i="124"/>
  <c r="AJ68" i="124" s="1"/>
  <c r="AJ15" i="117"/>
  <c r="AJ26" i="100"/>
  <c r="AV67" i="111"/>
  <c r="AV30" i="115"/>
  <c r="AV9" i="115"/>
  <c r="AJ13" i="472"/>
  <c r="AJ41" i="101"/>
  <c r="AJ44" i="108"/>
  <c r="AQ60" i="105"/>
  <c r="AS33" i="102"/>
  <c r="AU33" i="102"/>
  <c r="AV39" i="100"/>
  <c r="AJ39" i="106"/>
  <c r="AJ39" i="119"/>
  <c r="AJ39" i="116"/>
  <c r="AV40" i="107"/>
  <c r="AJ40" i="472"/>
  <c r="AP33" i="110"/>
  <c r="AV40" i="472"/>
  <c r="AB33" i="103"/>
  <c r="AV41" i="118"/>
  <c r="AV45" i="115"/>
  <c r="AV78" i="111"/>
  <c r="AJ42" i="121"/>
  <c r="AV44" i="106"/>
  <c r="AJ45" i="101"/>
  <c r="AV44" i="112"/>
  <c r="AJ41" i="115"/>
  <c r="AN33" i="121"/>
  <c r="AV34" i="472"/>
  <c r="AJ38" i="106"/>
  <c r="AJ38" i="108"/>
  <c r="AD33" i="121"/>
  <c r="AJ17" i="115"/>
  <c r="AV23" i="104"/>
  <c r="AJ19" i="475"/>
  <c r="AE22" i="119"/>
  <c r="AV13" i="105"/>
  <c r="AV13" i="118"/>
  <c r="AJ13" i="107"/>
  <c r="AV13" i="116"/>
  <c r="AV13" i="115"/>
  <c r="AJ8" i="108"/>
  <c r="AJ8" i="122"/>
  <c r="AJ9" i="115"/>
  <c r="AJ8" i="111"/>
  <c r="AJ9" i="120"/>
  <c r="AV8" i="111"/>
  <c r="AV73" i="101"/>
  <c r="AV72" i="101" s="1"/>
  <c r="AR68" i="122"/>
  <c r="AT68" i="103"/>
  <c r="AU68" i="114"/>
  <c r="AO65" i="108"/>
  <c r="AO65" i="472"/>
  <c r="AQ65" i="117"/>
  <c r="AR65" i="117"/>
  <c r="AO65" i="100"/>
  <c r="AC65" i="114"/>
  <c r="AB65" i="101"/>
  <c r="AG65" i="120"/>
  <c r="AP65" i="111"/>
  <c r="AS65" i="122"/>
  <c r="AC65" i="108"/>
  <c r="AO60" i="110"/>
  <c r="AJ45" i="118"/>
  <c r="AT33" i="106"/>
  <c r="AP33" i="475"/>
  <c r="AV43" i="116"/>
  <c r="AJ43" i="101"/>
  <c r="AQ33" i="123"/>
  <c r="AJ78" i="106"/>
  <c r="AJ40" i="105"/>
  <c r="AI33" i="103"/>
  <c r="AF33" i="124"/>
  <c r="AV38" i="472"/>
  <c r="AD33" i="100"/>
  <c r="AV31" i="112"/>
  <c r="AJ28" i="102"/>
  <c r="AG22" i="102"/>
  <c r="AO22" i="472"/>
  <c r="AC12" i="110"/>
  <c r="AD12" i="124"/>
  <c r="AE22" i="114"/>
  <c r="AJ27" i="107"/>
  <c r="AJ24" i="472"/>
  <c r="AC22" i="119"/>
  <c r="AD22" i="119"/>
  <c r="AR12" i="120"/>
  <c r="AJ30" i="124"/>
  <c r="AI22" i="114"/>
  <c r="AJ21" i="101"/>
  <c r="AH22" i="119"/>
  <c r="AA22" i="120"/>
  <c r="AQ12" i="120"/>
  <c r="AI22" i="119"/>
  <c r="AF22" i="119"/>
  <c r="AQ22" i="118"/>
  <c r="AV26" i="102"/>
  <c r="AJ30" i="106"/>
  <c r="AE12" i="119"/>
  <c r="AD12" i="105"/>
  <c r="AT12" i="114"/>
  <c r="AP12" i="123"/>
  <c r="AS12" i="105"/>
  <c r="AT12" i="122"/>
  <c r="AF12" i="111"/>
  <c r="AG12" i="111"/>
  <c r="AT12" i="118"/>
  <c r="AN12" i="112"/>
  <c r="AR12" i="123"/>
  <c r="AI12" i="123"/>
  <c r="AV19" i="103"/>
  <c r="AJ19" i="103"/>
  <c r="AV18" i="114"/>
  <c r="AG12" i="117"/>
  <c r="AE12" i="117"/>
  <c r="AV16" i="124"/>
  <c r="AJ16" i="106"/>
  <c r="AV16" i="100"/>
  <c r="AT12" i="107"/>
  <c r="AQ12" i="114"/>
  <c r="AB12" i="117"/>
  <c r="AF12" i="116"/>
  <c r="AR12" i="116"/>
  <c r="AV13" i="472"/>
  <c r="AJ9" i="121"/>
  <c r="AV8" i="114"/>
  <c r="AA33" i="102"/>
  <c r="AJ61" i="102"/>
  <c r="AI60" i="100"/>
  <c r="AP60" i="117"/>
  <c r="AH12" i="111"/>
  <c r="AJ28" i="103"/>
  <c r="AB60" i="108"/>
  <c r="AU22" i="110"/>
  <c r="AD2" i="472"/>
  <c r="AJ40" i="111"/>
  <c r="AJ9" i="114"/>
  <c r="AG65" i="101"/>
  <c r="AJ67" i="110"/>
  <c r="AU65" i="103"/>
  <c r="AQ65" i="123"/>
  <c r="AP65" i="125"/>
  <c r="AV67" i="105"/>
  <c r="AV65" i="105" s="1"/>
  <c r="AJ67" i="115"/>
  <c r="AJ66" i="108"/>
  <c r="AB65" i="115"/>
  <c r="AB65" i="108"/>
  <c r="AV67" i="121"/>
  <c r="AT65" i="123"/>
  <c r="AT65" i="475"/>
  <c r="AH2" i="472"/>
  <c r="AJ73" i="104"/>
  <c r="AV3" i="118"/>
  <c r="AN2" i="118"/>
  <c r="AJ78" i="124"/>
  <c r="AB2" i="472"/>
  <c r="AJ42" i="119"/>
  <c r="AJ40" i="104"/>
  <c r="AV39" i="105"/>
  <c r="AI2" i="104"/>
  <c r="AV40" i="111"/>
  <c r="AV57" i="116"/>
  <c r="AJ57" i="108"/>
  <c r="AV69" i="117"/>
  <c r="AR68" i="117"/>
  <c r="AV69" i="122"/>
  <c r="AJ69" i="117"/>
  <c r="AJ68" i="117" s="1"/>
  <c r="AJ69" i="107"/>
  <c r="AJ68" i="107" s="1"/>
  <c r="AV73" i="104"/>
  <c r="AV72" i="104" s="1"/>
  <c r="AJ73" i="110"/>
  <c r="AJ73" i="122"/>
  <c r="AV73" i="117"/>
  <c r="AV72" i="117" s="1"/>
  <c r="AJ73" i="111"/>
  <c r="AJ73" i="119"/>
  <c r="O71" i="117"/>
  <c r="P71" i="117" s="1"/>
  <c r="AJ73" i="120"/>
  <c r="AJ73" i="115"/>
  <c r="AJ73" i="106"/>
  <c r="O73" i="472"/>
  <c r="P73" i="472" s="1"/>
  <c r="AF33" i="110"/>
  <c r="AJ42" i="115"/>
  <c r="AJ45" i="107"/>
  <c r="AJ78" i="100"/>
  <c r="AJ44" i="124"/>
  <c r="AJ43" i="116"/>
  <c r="AO33" i="102"/>
  <c r="AN33" i="110"/>
  <c r="AA33" i="120"/>
  <c r="AH33" i="123"/>
  <c r="AQ33" i="475"/>
  <c r="AV78" i="102"/>
  <c r="AO33" i="475"/>
  <c r="AB33" i="114"/>
  <c r="AU33" i="475"/>
  <c r="AP33" i="106"/>
  <c r="AQ33" i="102"/>
  <c r="AJ41" i="108"/>
  <c r="AD33" i="114"/>
  <c r="O73" i="103"/>
  <c r="P73" i="103" s="1"/>
  <c r="O70" i="106"/>
  <c r="AJ40" i="103"/>
  <c r="AR33" i="102"/>
  <c r="AH33" i="114"/>
  <c r="AG33" i="124"/>
  <c r="AF33" i="100"/>
  <c r="AV40" i="101"/>
  <c r="AC33" i="122"/>
  <c r="AJ69" i="104"/>
  <c r="AJ68" i="104" s="1"/>
  <c r="AV69" i="100"/>
  <c r="AV69" i="120"/>
  <c r="AV68" i="120" s="1"/>
  <c r="AS65" i="123"/>
  <c r="AV61" i="123"/>
  <c r="AN60" i="123"/>
  <c r="AJ58" i="100"/>
  <c r="AG50" i="101"/>
  <c r="AP50" i="120"/>
  <c r="AV52" i="472"/>
  <c r="AR50" i="107"/>
  <c r="AJ52" i="107"/>
  <c r="AJ55" i="115"/>
  <c r="AG50" i="123"/>
  <c r="AS50" i="472"/>
  <c r="AP33" i="111"/>
  <c r="AJ42" i="101"/>
  <c r="AJ46" i="107"/>
  <c r="AB33" i="117"/>
  <c r="AJ45" i="475"/>
  <c r="AV41" i="115"/>
  <c r="O71" i="107"/>
  <c r="P71" i="107" s="1"/>
  <c r="AV64" i="475"/>
  <c r="AC2" i="472"/>
  <c r="AJ57" i="106"/>
  <c r="AJ59" i="124"/>
  <c r="AE2" i="472"/>
  <c r="AJ45" i="116"/>
  <c r="AV27" i="472"/>
  <c r="AJ24" i="101"/>
  <c r="AP22" i="110"/>
  <c r="AV48" i="115"/>
  <c r="AT65" i="103"/>
  <c r="AJ54" i="114"/>
  <c r="AT12" i="472"/>
  <c r="AH22" i="102"/>
  <c r="AQ12" i="103"/>
  <c r="AG22" i="112"/>
  <c r="AJ49" i="114"/>
  <c r="AV78" i="118"/>
  <c r="AV48" i="100"/>
  <c r="AJ44" i="100"/>
  <c r="AJ40" i="107"/>
  <c r="AJ21" i="121"/>
  <c r="AJ36" i="119"/>
  <c r="AO12" i="472"/>
  <c r="AV51" i="102"/>
  <c r="AP68" i="106"/>
  <c r="AJ41" i="103"/>
  <c r="AV24" i="114"/>
  <c r="AJ63" i="124"/>
  <c r="AV24" i="111"/>
  <c r="AJ16" i="108"/>
  <c r="AJ23" i="108"/>
  <c r="AU22" i="120"/>
  <c r="AR2" i="123"/>
  <c r="AV14" i="112"/>
  <c r="O64" i="105"/>
  <c r="P64" i="105" s="1"/>
  <c r="AS33" i="118"/>
  <c r="AG33" i="119"/>
  <c r="AU50" i="119"/>
  <c r="AO65" i="114"/>
  <c r="AJ3" i="119"/>
  <c r="AJ8" i="114"/>
  <c r="AJ67" i="100"/>
  <c r="AJ65" i="100" s="1"/>
  <c r="AA65" i="100"/>
  <c r="AG33" i="110"/>
  <c r="AQ2" i="123"/>
  <c r="AV46" i="115"/>
  <c r="AV78" i="119"/>
  <c r="AV17" i="102"/>
  <c r="AJ43" i="472"/>
  <c r="AV36" i="472"/>
  <c r="AJ64" i="472"/>
  <c r="AQ65" i="114"/>
  <c r="AJ32" i="111"/>
  <c r="AJ58" i="114"/>
  <c r="AV31" i="118"/>
  <c r="AU33" i="116"/>
  <c r="AD65" i="117"/>
  <c r="AP60" i="115"/>
  <c r="AS2" i="123"/>
  <c r="AI65" i="117"/>
  <c r="AS33" i="123"/>
  <c r="AJ3" i="107"/>
  <c r="AH2" i="107"/>
  <c r="AH33" i="111"/>
  <c r="AJ35" i="111"/>
  <c r="AT33" i="100"/>
  <c r="AJ34" i="114"/>
  <c r="O73" i="108"/>
  <c r="P73" i="108" s="1"/>
  <c r="O71" i="105"/>
  <c r="P71" i="105" s="1"/>
  <c r="AF22" i="122"/>
  <c r="AT22" i="120"/>
  <c r="AJ18" i="101"/>
  <c r="AJ24" i="114"/>
  <c r="AQ22" i="125"/>
  <c r="AI22" i="122"/>
  <c r="AJ18" i="124"/>
  <c r="AB2" i="104"/>
  <c r="AG2" i="472"/>
  <c r="AV24" i="124"/>
  <c r="AJ38" i="101"/>
  <c r="AJ32" i="118"/>
  <c r="AJ20" i="106"/>
  <c r="AI22" i="102"/>
  <c r="AI22" i="118"/>
  <c r="AE50" i="124"/>
  <c r="AF2" i="472"/>
  <c r="AI50" i="102"/>
  <c r="AG50" i="110"/>
  <c r="AH12" i="119"/>
  <c r="AF50" i="105"/>
  <c r="AV67" i="108"/>
  <c r="AV14" i="120"/>
  <c r="AG60" i="105"/>
  <c r="AI33" i="122"/>
  <c r="AE12" i="106"/>
  <c r="AV36" i="103"/>
  <c r="AJ73" i="105"/>
  <c r="AV26" i="120"/>
  <c r="AJ25" i="112"/>
  <c r="AV39" i="115"/>
  <c r="AV36" i="121"/>
  <c r="AJ11" i="472"/>
  <c r="AJ25" i="116"/>
  <c r="AC2" i="106"/>
  <c r="AJ3" i="106"/>
  <c r="AF22" i="104"/>
  <c r="AG22" i="119"/>
  <c r="AQ33" i="120"/>
  <c r="AJ4" i="100"/>
  <c r="AV31" i="110"/>
  <c r="AD33" i="110"/>
  <c r="AH33" i="110"/>
  <c r="AC12" i="124"/>
  <c r="AU60" i="119"/>
  <c r="AD60" i="102"/>
  <c r="AJ37" i="111"/>
  <c r="AJ39" i="118"/>
  <c r="AV10" i="104"/>
  <c r="AJ13" i="104"/>
  <c r="AH33" i="100"/>
  <c r="AJ78" i="472"/>
  <c r="AJ35" i="118"/>
  <c r="AJ19" i="106"/>
  <c r="AV53" i="105"/>
  <c r="AJ20" i="118"/>
  <c r="AV13" i="112"/>
  <c r="AC50" i="110"/>
  <c r="AJ45" i="103"/>
  <c r="AC65" i="117"/>
  <c r="AU2" i="123"/>
  <c r="AO50" i="106"/>
  <c r="AJ26" i="103"/>
  <c r="AQ33" i="125"/>
  <c r="AJ32" i="115"/>
  <c r="AV34" i="125"/>
  <c r="AV4" i="125"/>
  <c r="AV2" i="125" s="1"/>
  <c r="AQ2" i="125"/>
  <c r="AS65" i="114"/>
  <c r="AV19" i="106"/>
  <c r="AJ41" i="124"/>
  <c r="AJ18" i="107"/>
  <c r="AV24" i="107"/>
  <c r="AJ24" i="110"/>
  <c r="AJ78" i="118"/>
  <c r="AJ55" i="106"/>
  <c r="AV66" i="125"/>
  <c r="AJ32" i="106"/>
  <c r="AE33" i="108"/>
  <c r="AV63" i="112"/>
  <c r="AJ63" i="472"/>
  <c r="AJ63" i="115"/>
  <c r="AJ43" i="103"/>
  <c r="AJ49" i="124"/>
  <c r="AJ18" i="118"/>
  <c r="AJ35" i="472"/>
  <c r="AJ4" i="107"/>
  <c r="AN2" i="124"/>
  <c r="AV3" i="124"/>
  <c r="AV2" i="124" s="1"/>
  <c r="AJ25" i="100"/>
  <c r="AV3" i="100"/>
  <c r="AV2" i="100" s="1"/>
  <c r="AN2" i="100"/>
  <c r="AI50" i="110"/>
  <c r="AV41" i="124"/>
  <c r="AB22" i="118"/>
  <c r="AV56" i="101"/>
  <c r="AJ34" i="110"/>
  <c r="AV31" i="111"/>
  <c r="AV49" i="472"/>
  <c r="AJ40" i="100"/>
  <c r="AV27" i="124"/>
  <c r="AV30" i="111"/>
  <c r="AJ43" i="119"/>
  <c r="AV67" i="110"/>
  <c r="AV65" i="110" s="1"/>
  <c r="AJ28" i="124"/>
  <c r="AJ31" i="100"/>
  <c r="AJ48" i="108"/>
  <c r="AJ23" i="123"/>
  <c r="AV13" i="121"/>
  <c r="AJ3" i="118"/>
  <c r="AV10" i="472"/>
  <c r="AB22" i="106"/>
  <c r="AV37" i="103"/>
  <c r="AJ4" i="112"/>
  <c r="AV15" i="125"/>
  <c r="AN2" i="101"/>
  <c r="AV4" i="101"/>
  <c r="AV2" i="101" s="1"/>
  <c r="AS2" i="121"/>
  <c r="AV4" i="121"/>
  <c r="AV2" i="121" s="1"/>
  <c r="AV35" i="103"/>
  <c r="AV14" i="100"/>
  <c r="AJ14" i="116"/>
  <c r="AS12" i="103"/>
  <c r="AH12" i="110"/>
  <c r="AO12" i="123"/>
  <c r="AR12" i="114"/>
  <c r="AP12" i="107"/>
  <c r="AV14" i="124"/>
  <c r="AJ13" i="101"/>
  <c r="AJ13" i="116"/>
  <c r="AJ13" i="119"/>
  <c r="AS12" i="112"/>
  <c r="AJ11" i="121"/>
  <c r="AV9" i="114"/>
  <c r="AV9" i="117"/>
  <c r="AJ8" i="107"/>
  <c r="AV8" i="123"/>
  <c r="AE22" i="104"/>
  <c r="AJ21" i="104"/>
  <c r="AV55" i="120"/>
  <c r="AD33" i="123"/>
  <c r="AV55" i="102"/>
  <c r="AV58" i="103"/>
  <c r="AV27" i="103"/>
  <c r="AD50" i="103"/>
  <c r="AI33" i="108"/>
  <c r="AQ12" i="472"/>
  <c r="AR33" i="101"/>
  <c r="AD12" i="119"/>
  <c r="AE33" i="123"/>
  <c r="AJ73" i="472"/>
  <c r="AP12" i="108"/>
  <c r="AH12" i="121"/>
  <c r="AV51" i="115"/>
  <c r="AJ15" i="103"/>
  <c r="AJ36" i="123"/>
  <c r="AD33" i="120"/>
  <c r="AJ41" i="111"/>
  <c r="AG22" i="103"/>
  <c r="AJ43" i="123"/>
  <c r="AO12" i="114"/>
  <c r="AS22" i="117"/>
  <c r="AG33" i="120"/>
  <c r="AA33" i="122"/>
  <c r="AV19" i="119"/>
  <c r="AJ52" i="103"/>
  <c r="AS12" i="108"/>
  <c r="AD65" i="103"/>
  <c r="AJ67" i="103"/>
  <c r="AC70" i="115"/>
  <c r="AJ71" i="115"/>
  <c r="AJ70" i="115" s="1"/>
  <c r="AR65" i="102"/>
  <c r="AV66" i="102"/>
  <c r="AV65" i="102" s="1"/>
  <c r="AF22" i="106"/>
  <c r="AJ64" i="101"/>
  <c r="AT22" i="117"/>
  <c r="AE12" i="121"/>
  <c r="AV21" i="106"/>
  <c r="AC33" i="111"/>
  <c r="AJ38" i="111"/>
  <c r="AU33" i="118"/>
  <c r="AV10" i="123"/>
  <c r="AJ10" i="108"/>
  <c r="AB22" i="115"/>
  <c r="AV43" i="124"/>
  <c r="AV54" i="125"/>
  <c r="AV58" i="107"/>
  <c r="AJ39" i="110"/>
  <c r="AV48" i="107"/>
  <c r="AV11" i="110"/>
  <c r="AJ20" i="107"/>
  <c r="AJ55" i="108"/>
  <c r="AJ11" i="102"/>
  <c r="AV35" i="102"/>
  <c r="AJ46" i="472"/>
  <c r="AJ54" i="124"/>
  <c r="AJ10" i="121"/>
  <c r="AJ42" i="472"/>
  <c r="AV8" i="102"/>
  <c r="AJ18" i="103"/>
  <c r="AV69" i="124"/>
  <c r="AU68" i="124"/>
  <c r="AJ55" i="116"/>
  <c r="AJ53" i="119"/>
  <c r="AV25" i="114"/>
  <c r="AJ28" i="105"/>
  <c r="AS12" i="114"/>
  <c r="AD33" i="117"/>
  <c r="AI12" i="119"/>
  <c r="AC33" i="120"/>
  <c r="AJ17" i="122"/>
  <c r="AH22" i="475"/>
  <c r="AJ8" i="475"/>
  <c r="AJ31" i="475"/>
  <c r="AV67" i="107"/>
  <c r="AV41" i="111"/>
  <c r="AV54" i="112"/>
  <c r="AV18" i="117"/>
  <c r="AF65" i="117"/>
  <c r="AJ25" i="107"/>
  <c r="AV18" i="116"/>
  <c r="AV39" i="116"/>
  <c r="AC22" i="118"/>
  <c r="AP65" i="118"/>
  <c r="AV9" i="108"/>
  <c r="AG60" i="102"/>
  <c r="AV64" i="108"/>
  <c r="AJ28" i="118"/>
  <c r="AV41" i="102"/>
  <c r="AJ44" i="103"/>
  <c r="AV26" i="105"/>
  <c r="AV21" i="121"/>
  <c r="AV24" i="101"/>
  <c r="AJ18" i="119"/>
  <c r="AJ26" i="106"/>
  <c r="AJ36" i="100"/>
  <c r="AB65" i="124"/>
  <c r="AJ66" i="124"/>
  <c r="AJ65" i="124" s="1"/>
  <c r="AJ16" i="101"/>
  <c r="AJ42" i="103"/>
  <c r="AV39" i="118"/>
  <c r="AV25" i="102"/>
  <c r="AJ46" i="124"/>
  <c r="AJ13" i="121"/>
  <c r="AV53" i="103"/>
  <c r="AP22" i="117"/>
  <c r="AT50" i="119"/>
  <c r="AV56" i="100"/>
  <c r="AJ24" i="115"/>
  <c r="AV10" i="122"/>
  <c r="AV44" i="114"/>
  <c r="AV37" i="119"/>
  <c r="AO60" i="119"/>
  <c r="AP12" i="106"/>
  <c r="AV54" i="102"/>
  <c r="AV64" i="102"/>
  <c r="AJ54" i="117"/>
  <c r="AJ64" i="475"/>
  <c r="AJ44" i="106"/>
  <c r="AJ55" i="103"/>
  <c r="AJ54" i="100"/>
  <c r="AV32" i="114"/>
  <c r="AV64" i="124"/>
  <c r="AJ66" i="107"/>
  <c r="AJ65" i="107" s="1"/>
  <c r="AE65" i="107"/>
  <c r="AV63" i="124"/>
  <c r="AJ64" i="124"/>
  <c r="AJ21" i="115"/>
  <c r="AJ56" i="124"/>
  <c r="AJ39" i="103"/>
  <c r="AJ30" i="108"/>
  <c r="AJ27" i="105"/>
  <c r="AJ31" i="101"/>
  <c r="AV24" i="119"/>
  <c r="AJ39" i="123"/>
  <c r="AV64" i="114"/>
  <c r="AV11" i="118"/>
  <c r="AP33" i="118"/>
  <c r="AJ15" i="121"/>
  <c r="AJ37" i="121"/>
  <c r="AJ26" i="115"/>
  <c r="AJ17" i="117"/>
  <c r="AV44" i="117"/>
  <c r="AV38" i="116"/>
  <c r="AJ49" i="103"/>
  <c r="AJ19" i="108"/>
  <c r="AV28" i="106"/>
  <c r="AV21" i="114"/>
  <c r="AV21" i="125"/>
  <c r="AV19" i="123"/>
  <c r="AV28" i="125"/>
  <c r="AV37" i="114"/>
  <c r="AV39" i="114"/>
  <c r="AV41" i="114"/>
  <c r="AV55" i="107"/>
  <c r="AV16" i="101"/>
  <c r="AJ17" i="106"/>
  <c r="AV13" i="101"/>
  <c r="AV49" i="114"/>
  <c r="AJ19" i="114"/>
  <c r="AV25" i="121"/>
  <c r="AJ39" i="100"/>
  <c r="AJ9" i="119"/>
  <c r="AJ63" i="122"/>
  <c r="AB33" i="123"/>
  <c r="AV26" i="108"/>
  <c r="AJ10" i="116"/>
  <c r="AE22" i="103"/>
  <c r="AJ41" i="106"/>
  <c r="AE65" i="117"/>
  <c r="AV45" i="108"/>
  <c r="AJ36" i="112"/>
  <c r="AV48" i="110"/>
  <c r="AV26" i="122"/>
  <c r="AV52" i="101"/>
  <c r="AV29" i="116"/>
  <c r="AJ28" i="107"/>
  <c r="AV78" i="106"/>
  <c r="AJ53" i="121"/>
  <c r="AV61" i="100"/>
  <c r="AV45" i="114"/>
  <c r="AJ32" i="108"/>
  <c r="AV44" i="100"/>
  <c r="AJ38" i="472"/>
  <c r="AV40" i="114"/>
  <c r="AJ31" i="116"/>
  <c r="AV61" i="118"/>
  <c r="AI22" i="101"/>
  <c r="AB50" i="110"/>
  <c r="AQ22" i="117"/>
  <c r="AJ8" i="117"/>
  <c r="AJ38" i="119"/>
  <c r="AB12" i="119"/>
  <c r="AV48" i="120"/>
  <c r="AC33" i="123"/>
  <c r="AI33" i="106"/>
  <c r="AI33" i="102"/>
  <c r="AV15" i="106"/>
  <c r="AS22" i="125"/>
  <c r="AF22" i="475"/>
  <c r="AF22" i="103"/>
  <c r="AJ52" i="114"/>
  <c r="AH65" i="117"/>
  <c r="AJ21" i="106"/>
  <c r="AC22" i="114"/>
  <c r="AJ19" i="119"/>
  <c r="AJ48" i="120"/>
  <c r="AB50" i="106"/>
  <c r="AV16" i="110"/>
  <c r="AJ31" i="472"/>
  <c r="AV31" i="472"/>
  <c r="AJ55" i="114"/>
  <c r="AJ25" i="117"/>
  <c r="AJ48" i="114"/>
  <c r="AJ19" i="115"/>
  <c r="AJ40" i="101"/>
  <c r="AJ73" i="116"/>
  <c r="AJ39" i="101"/>
  <c r="AJ27" i="108"/>
  <c r="AJ48" i="100"/>
  <c r="AJ32" i="114"/>
  <c r="AJ25" i="472"/>
  <c r="AJ14" i="124"/>
  <c r="AJ44" i="116"/>
  <c r="AJ46" i="100"/>
  <c r="AV31" i="102"/>
  <c r="AJ42" i="108"/>
  <c r="AE50" i="110"/>
  <c r="AU12" i="114"/>
  <c r="AJ9" i="124"/>
  <c r="AR22" i="117"/>
  <c r="AC12" i="119"/>
  <c r="AI33" i="123"/>
  <c r="AJ35" i="123"/>
  <c r="AV29" i="103"/>
  <c r="AG33" i="115"/>
  <c r="AJ38" i="115"/>
  <c r="AJ58" i="123"/>
  <c r="AT22" i="125"/>
  <c r="AG22" i="475"/>
  <c r="AH50" i="105"/>
  <c r="AJ18" i="114"/>
  <c r="AR60" i="115"/>
  <c r="AV57" i="125"/>
  <c r="AJ28" i="108"/>
  <c r="AJ20" i="123"/>
  <c r="AV8" i="107"/>
  <c r="AJ21" i="112"/>
  <c r="AI60" i="102"/>
  <c r="AJ10" i="110"/>
  <c r="AU65" i="114"/>
  <c r="AJ53" i="107"/>
  <c r="AJ49" i="472"/>
  <c r="AU70" i="103"/>
  <c r="AU68" i="103" s="1"/>
  <c r="AV71" i="103"/>
  <c r="AV70" i="103" s="1"/>
  <c r="AJ51" i="101"/>
  <c r="AJ34" i="107"/>
  <c r="AJ39" i="124"/>
  <c r="AV24" i="472"/>
  <c r="AV31" i="123"/>
  <c r="AJ28" i="115"/>
  <c r="AV20" i="103"/>
  <c r="AJ42" i="124"/>
  <c r="AJ40" i="124"/>
  <c r="AJ27" i="115"/>
  <c r="AT33" i="101"/>
  <c r="AU33" i="101"/>
  <c r="AJ20" i="102"/>
  <c r="AV57" i="100"/>
  <c r="AJ27" i="101"/>
  <c r="AO33" i="101"/>
  <c r="AV42" i="101"/>
  <c r="AV16" i="102"/>
  <c r="AV10" i="112"/>
  <c r="AJ8" i="110"/>
  <c r="AJ43" i="112"/>
  <c r="AJ4" i="104"/>
  <c r="AJ9" i="100"/>
  <c r="AQ33" i="101"/>
  <c r="AV26" i="101"/>
  <c r="AJ52" i="102"/>
  <c r="AV53" i="110"/>
  <c r="AJ59" i="110"/>
  <c r="AJ46" i="111"/>
  <c r="AJ42" i="112"/>
  <c r="AV29" i="115"/>
  <c r="AV14" i="117"/>
  <c r="AV15" i="114"/>
  <c r="AO22" i="117"/>
  <c r="AJ40" i="118"/>
  <c r="AV18" i="119"/>
  <c r="AV49" i="119"/>
  <c r="AJ63" i="120"/>
  <c r="AA60" i="120"/>
  <c r="AJ19" i="121"/>
  <c r="AF12" i="121"/>
  <c r="AJ57" i="121"/>
  <c r="AJ55" i="121"/>
  <c r="AV36" i="100"/>
  <c r="AJ45" i="102"/>
  <c r="AV19" i="102"/>
  <c r="AV28" i="101"/>
  <c r="AS33" i="103"/>
  <c r="AV40" i="103"/>
  <c r="AQ12" i="108"/>
  <c r="AF33" i="108"/>
  <c r="AV30" i="110"/>
  <c r="AO22" i="111"/>
  <c r="AF33" i="111"/>
  <c r="AJ67" i="111"/>
  <c r="AJ65" i="111" s="1"/>
  <c r="AA65" i="111"/>
  <c r="AR33" i="112"/>
  <c r="AJ41" i="112"/>
  <c r="AE12" i="114"/>
  <c r="AF50" i="111"/>
  <c r="AU12" i="472"/>
  <c r="AT12" i="115"/>
  <c r="AV8" i="115"/>
  <c r="AI33" i="115"/>
  <c r="AH33" i="115"/>
  <c r="AS33" i="115"/>
  <c r="AJ46" i="116"/>
  <c r="AV21" i="116"/>
  <c r="AP33" i="119"/>
  <c r="AJ24" i="119"/>
  <c r="AV21" i="120"/>
  <c r="AV36" i="120"/>
  <c r="AN33" i="120"/>
  <c r="AH22" i="121"/>
  <c r="AT33" i="122"/>
  <c r="AT50" i="120"/>
  <c r="AV37" i="101"/>
  <c r="AO50" i="103"/>
  <c r="AJ29" i="101"/>
  <c r="AE50" i="106"/>
  <c r="AJ16" i="107"/>
  <c r="AJ15" i="108"/>
  <c r="AD50" i="110"/>
  <c r="AH50" i="110"/>
  <c r="AO12" i="112"/>
  <c r="AJ20" i="114"/>
  <c r="AV24" i="115"/>
  <c r="AV32" i="116"/>
  <c r="AJ54" i="116"/>
  <c r="AJ30" i="117"/>
  <c r="AV30" i="119"/>
  <c r="AJ43" i="118"/>
  <c r="AJ54" i="119"/>
  <c r="AJ56" i="120"/>
  <c r="AV20" i="121"/>
  <c r="AJ28" i="122"/>
  <c r="AB22" i="122"/>
  <c r="AV59" i="123"/>
  <c r="AJ29" i="125"/>
  <c r="AH12" i="100"/>
  <c r="AV20" i="100"/>
  <c r="AG12" i="101"/>
  <c r="AJ18" i="102"/>
  <c r="AV15" i="103"/>
  <c r="AJ63" i="103"/>
  <c r="AV52" i="103"/>
  <c r="AV14" i="105"/>
  <c r="AU33" i="103"/>
  <c r="AE60" i="105"/>
  <c r="AT12" i="108"/>
  <c r="AG33" i="108"/>
  <c r="AV17" i="110"/>
  <c r="AS22" i="111"/>
  <c r="AV45" i="110"/>
  <c r="AV20" i="112"/>
  <c r="AG33" i="111"/>
  <c r="AV55" i="472"/>
  <c r="AV57" i="472"/>
  <c r="AF12" i="114"/>
  <c r="AD50" i="111"/>
  <c r="AC50" i="111"/>
  <c r="AJ17" i="124"/>
  <c r="AT33" i="115"/>
  <c r="AV36" i="116"/>
  <c r="AT22" i="118"/>
  <c r="AT33" i="119"/>
  <c r="AJ36" i="118"/>
  <c r="AJ53" i="118"/>
  <c r="AI33" i="119"/>
  <c r="AP50" i="119"/>
  <c r="AV35" i="122"/>
  <c r="AN33" i="122"/>
  <c r="AC22" i="101"/>
  <c r="AR12" i="100"/>
  <c r="AV46" i="100"/>
  <c r="AJ20" i="101"/>
  <c r="AS33" i="101"/>
  <c r="AV63" i="103"/>
  <c r="AT22" i="101"/>
  <c r="AV49" i="103"/>
  <c r="AF50" i="110"/>
  <c r="AJ17" i="111"/>
  <c r="AA12" i="111"/>
  <c r="AV32" i="111"/>
  <c r="AV28" i="110"/>
  <c r="AV41" i="112"/>
  <c r="AV38" i="112"/>
  <c r="AV30" i="116"/>
  <c r="AV40" i="115"/>
  <c r="AF12" i="119"/>
  <c r="AJ20" i="119"/>
  <c r="AJ18" i="121"/>
  <c r="AG12" i="121"/>
  <c r="AC12" i="121"/>
  <c r="AV38" i="122"/>
  <c r="AJ15" i="123"/>
  <c r="AA12" i="123"/>
  <c r="AJ35" i="101"/>
  <c r="AJ49" i="100"/>
  <c r="AV9" i="105"/>
  <c r="AV29" i="105"/>
  <c r="AO33" i="103"/>
  <c r="AV58" i="101"/>
  <c r="AJ35" i="102"/>
  <c r="AJ63" i="105"/>
  <c r="AJ49" i="106"/>
  <c r="AC33" i="108"/>
  <c r="AJ41" i="107"/>
  <c r="AU12" i="108"/>
  <c r="AQ22" i="111"/>
  <c r="AJ54" i="111"/>
  <c r="AS33" i="112"/>
  <c r="AV39" i="111"/>
  <c r="AG12" i="114"/>
  <c r="AG50" i="111"/>
  <c r="AV15" i="115"/>
  <c r="AN12" i="115"/>
  <c r="AV11" i="124"/>
  <c r="AB33" i="115"/>
  <c r="AU33" i="115"/>
  <c r="AV49" i="115"/>
  <c r="AJ35" i="116"/>
  <c r="AV8" i="117"/>
  <c r="AO33" i="118"/>
  <c r="AE50" i="118"/>
  <c r="AO33" i="119"/>
  <c r="AJ10" i="118"/>
  <c r="AV44" i="103"/>
  <c r="AF50" i="103"/>
  <c r="AJ4" i="105"/>
  <c r="AJ10" i="103"/>
  <c r="AJ21" i="107"/>
  <c r="AJ48" i="105"/>
  <c r="AV35" i="108"/>
  <c r="AN33" i="108"/>
  <c r="AV64" i="112"/>
  <c r="AN60" i="112"/>
  <c r="AJ17" i="472"/>
  <c r="AV20" i="115"/>
  <c r="AJ59" i="115"/>
  <c r="AJ17" i="116"/>
  <c r="AU22" i="117"/>
  <c r="AG12" i="119"/>
  <c r="AI33" i="120"/>
  <c r="AV39" i="122"/>
  <c r="AI12" i="121"/>
  <c r="AJ28" i="121"/>
  <c r="AV54" i="122"/>
  <c r="AJ9" i="123"/>
  <c r="AV27" i="123"/>
  <c r="AV41" i="100"/>
  <c r="AJ15" i="101"/>
  <c r="AF12" i="103"/>
  <c r="AR33" i="103"/>
  <c r="AI60" i="105"/>
  <c r="AV30" i="107"/>
  <c r="AV10" i="106"/>
  <c r="AD33" i="108"/>
  <c r="AV37" i="107"/>
  <c r="AR12" i="108"/>
  <c r="AT22" i="111"/>
  <c r="AJ64" i="110"/>
  <c r="AJ18" i="111"/>
  <c r="AV36" i="112"/>
  <c r="AJ26" i="111"/>
  <c r="AJ55" i="111"/>
  <c r="AD12" i="114"/>
  <c r="AI50" i="111"/>
  <c r="AV58" i="111"/>
  <c r="AP12" i="472"/>
  <c r="AT50" i="114"/>
  <c r="AO12" i="115"/>
  <c r="AC33" i="115"/>
  <c r="AV37" i="115"/>
  <c r="AN33" i="115"/>
  <c r="AJ54" i="115"/>
  <c r="AV36" i="124"/>
  <c r="AJ55" i="117"/>
  <c r="AB50" i="117"/>
  <c r="AJ40" i="117"/>
  <c r="AV25" i="118"/>
  <c r="AU33" i="119"/>
  <c r="AD33" i="119"/>
  <c r="AG22" i="120"/>
  <c r="AR33" i="120"/>
  <c r="AV56" i="120"/>
  <c r="AJ26" i="121"/>
  <c r="AJ25" i="121"/>
  <c r="AC22" i="121"/>
  <c r="AH22" i="101"/>
  <c r="AI12" i="101"/>
  <c r="AT33" i="103"/>
  <c r="AU22" i="111"/>
  <c r="AS33" i="111"/>
  <c r="AJ36" i="111"/>
  <c r="AA33" i="111"/>
  <c r="AH12" i="114"/>
  <c r="AP12" i="115"/>
  <c r="AV8" i="472"/>
  <c r="AD33" i="115"/>
  <c r="AO33" i="115"/>
  <c r="AJ36" i="117"/>
  <c r="AA33" i="117"/>
  <c r="AV53" i="119"/>
  <c r="AN50" i="119"/>
  <c r="AJ56" i="107"/>
  <c r="AV46" i="110"/>
  <c r="AJ19" i="472"/>
  <c r="AJ11" i="117"/>
  <c r="AV27" i="117"/>
  <c r="AJ63" i="117"/>
  <c r="AV10" i="120"/>
  <c r="AV44" i="120"/>
  <c r="AB12" i="121"/>
  <c r="AJ17" i="101"/>
  <c r="AJ11" i="100"/>
  <c r="AJ9" i="103"/>
  <c r="AJ20" i="103"/>
  <c r="AJ8" i="105"/>
  <c r="AH33" i="108"/>
  <c r="AV14" i="108"/>
  <c r="AV46" i="111"/>
  <c r="AO70" i="111"/>
  <c r="AO68" i="111" s="1"/>
  <c r="AV71" i="111"/>
  <c r="AV70" i="111" s="1"/>
  <c r="AB33" i="111"/>
  <c r="AI33" i="111"/>
  <c r="AJ8" i="112"/>
  <c r="AJ9" i="112"/>
  <c r="AT33" i="112"/>
  <c r="AB50" i="111"/>
  <c r="AR12" i="472"/>
  <c r="AV20" i="472"/>
  <c r="AV9" i="116"/>
  <c r="AQ12" i="115"/>
  <c r="AJ37" i="115"/>
  <c r="AE33" i="115"/>
  <c r="AP33" i="115"/>
  <c r="AV28" i="124"/>
  <c r="AV78" i="124"/>
  <c r="AV18" i="124"/>
  <c r="AR22" i="118"/>
  <c r="AJ32" i="117"/>
  <c r="AJ57" i="117"/>
  <c r="AT33" i="118"/>
  <c r="AR33" i="119"/>
  <c r="AV4" i="119"/>
  <c r="AV2" i="119" s="1"/>
  <c r="AN2" i="119"/>
  <c r="AQ33" i="122"/>
  <c r="AV20" i="122"/>
  <c r="AN12" i="122"/>
  <c r="AV58" i="123"/>
  <c r="AR50" i="111"/>
  <c r="AV59" i="100"/>
  <c r="AV58" i="105"/>
  <c r="AB50" i="103"/>
  <c r="AJ56" i="106"/>
  <c r="AV38" i="111"/>
  <c r="AV16" i="112"/>
  <c r="AJ11" i="114"/>
  <c r="AV53" i="472"/>
  <c r="AJ41" i="117"/>
  <c r="AV25" i="117"/>
  <c r="AN22" i="117"/>
  <c r="AJ39" i="117"/>
  <c r="AJ38" i="118"/>
  <c r="AJ19" i="118"/>
  <c r="AJ16" i="119"/>
  <c r="AJ34" i="120"/>
  <c r="AH33" i="120"/>
  <c r="AJ8" i="121"/>
  <c r="AD12" i="121"/>
  <c r="AV25" i="122"/>
  <c r="AF33" i="123"/>
  <c r="AP33" i="103"/>
  <c r="AV39" i="106"/>
  <c r="AJ43" i="108"/>
  <c r="AO12" i="108"/>
  <c r="AJ18" i="110"/>
  <c r="AP22" i="111"/>
  <c r="AV27" i="111"/>
  <c r="AV45" i="112"/>
  <c r="AD33" i="111"/>
  <c r="AJ14" i="112"/>
  <c r="AU33" i="112"/>
  <c r="AB12" i="114"/>
  <c r="AI12" i="114"/>
  <c r="AH50" i="111"/>
  <c r="AS12" i="472"/>
  <c r="AV42" i="112"/>
  <c r="AF33" i="115"/>
  <c r="AJ14" i="117"/>
  <c r="AA12" i="117"/>
  <c r="AQ33" i="115"/>
  <c r="AV42" i="117"/>
  <c r="AQ33" i="118"/>
  <c r="AV36" i="118"/>
  <c r="AB33" i="119"/>
  <c r="AH33" i="119"/>
  <c r="AT33" i="110"/>
  <c r="AT12" i="103"/>
  <c r="AG22" i="101"/>
  <c r="AV36" i="105"/>
  <c r="AV26" i="106"/>
  <c r="AN22" i="106"/>
  <c r="AV41" i="107"/>
  <c r="AJ4" i="110"/>
  <c r="AV18" i="111"/>
  <c r="AJ10" i="115"/>
  <c r="AJ40" i="116"/>
  <c r="AV19" i="116"/>
  <c r="AI33" i="117"/>
  <c r="AJ42" i="118"/>
  <c r="AJ31" i="120"/>
  <c r="AJ15" i="120"/>
  <c r="AJ35" i="120"/>
  <c r="AJ36" i="120"/>
  <c r="AC50" i="101"/>
  <c r="AE12" i="101"/>
  <c r="AF12" i="101"/>
  <c r="AV9" i="101"/>
  <c r="AV18" i="101"/>
  <c r="AJ57" i="101"/>
  <c r="AQ33" i="103"/>
  <c r="AJ64" i="108"/>
  <c r="AJ58" i="108"/>
  <c r="AR22" i="111"/>
  <c r="AJ26" i="110"/>
  <c r="AE33" i="111"/>
  <c r="AO33" i="112"/>
  <c r="AV34" i="112"/>
  <c r="AC12" i="114"/>
  <c r="AE50" i="111"/>
  <c r="AR12" i="115"/>
  <c r="AR33" i="115"/>
  <c r="AJ27" i="119"/>
  <c r="AF22" i="121"/>
  <c r="AR50" i="103"/>
  <c r="AG50" i="102"/>
  <c r="AC33" i="101"/>
  <c r="AJ27" i="103"/>
  <c r="AT50" i="105"/>
  <c r="AJ30" i="107"/>
  <c r="AH60" i="108"/>
  <c r="AV31" i="108"/>
  <c r="AS33" i="110"/>
  <c r="AB33" i="112"/>
  <c r="AH22" i="112"/>
  <c r="AP12" i="124"/>
  <c r="AV19" i="114"/>
  <c r="AI22" i="116"/>
  <c r="AQ33" i="116"/>
  <c r="AT12" i="116"/>
  <c r="AJ59" i="116"/>
  <c r="AJ67" i="117"/>
  <c r="AV11" i="120"/>
  <c r="AJ29" i="120"/>
  <c r="AR50" i="120"/>
  <c r="AH22" i="120"/>
  <c r="AP33" i="120"/>
  <c r="AC50" i="120"/>
  <c r="AJ46" i="121"/>
  <c r="AC22" i="122"/>
  <c r="AJ27" i="122"/>
  <c r="AV64" i="100"/>
  <c r="AH50" i="101"/>
  <c r="AR22" i="101"/>
  <c r="AS33" i="119"/>
  <c r="AV42" i="118"/>
  <c r="AF33" i="119"/>
  <c r="AV55" i="119"/>
  <c r="AJ78" i="120"/>
  <c r="AS33" i="120"/>
  <c r="AE22" i="121"/>
  <c r="AP33" i="122"/>
  <c r="AJ19" i="122"/>
  <c r="AV27" i="122"/>
  <c r="AV29" i="123"/>
  <c r="AR22" i="125"/>
  <c r="AI22" i="475"/>
  <c r="AJ73" i="475"/>
  <c r="AJ17" i="102"/>
  <c r="AH33" i="103"/>
  <c r="AI2" i="105"/>
  <c r="AE33" i="101"/>
  <c r="AQ60" i="101"/>
  <c r="AJ59" i="101"/>
  <c r="AJ53" i="102"/>
  <c r="AV16" i="103"/>
  <c r="AV39" i="103"/>
  <c r="AU50" i="105"/>
  <c r="AJ63" i="108"/>
  <c r="AJ38" i="110"/>
  <c r="AR22" i="110"/>
  <c r="AJ31" i="112"/>
  <c r="AT12" i="111"/>
  <c r="AV44" i="111"/>
  <c r="AH33" i="112"/>
  <c r="AJ21" i="472"/>
  <c r="AB22" i="112"/>
  <c r="AP50" i="114"/>
  <c r="AV63" i="114"/>
  <c r="AV48" i="114"/>
  <c r="AJ30" i="116"/>
  <c r="AP22" i="115"/>
  <c r="AQ12" i="124"/>
  <c r="AJ55" i="124"/>
  <c r="AV20" i="124"/>
  <c r="AF65" i="114"/>
  <c r="AS22" i="116"/>
  <c r="AJ32" i="116"/>
  <c r="AB65" i="117"/>
  <c r="AV26" i="117"/>
  <c r="AV43" i="118"/>
  <c r="AV35" i="119"/>
  <c r="AU50" i="120"/>
  <c r="AI22" i="120"/>
  <c r="AF50" i="120"/>
  <c r="AJ32" i="122"/>
  <c r="AJ40" i="122"/>
  <c r="AJ20" i="122"/>
  <c r="AH22" i="122"/>
  <c r="AT2" i="123"/>
  <c r="AG22" i="122"/>
  <c r="AJ16" i="123"/>
  <c r="AJ40" i="123"/>
  <c r="AT33" i="123"/>
  <c r="AE33" i="119"/>
  <c r="AV56" i="119"/>
  <c r="AV44" i="121"/>
  <c r="AB22" i="121"/>
  <c r="AG22" i="121"/>
  <c r="AJ29" i="121"/>
  <c r="AR33" i="122"/>
  <c r="AV37" i="102"/>
  <c r="AV27" i="105"/>
  <c r="AJ57" i="103"/>
  <c r="AQ65" i="103"/>
  <c r="AF33" i="101"/>
  <c r="AR60" i="101"/>
  <c r="AB22" i="103"/>
  <c r="AI22" i="103"/>
  <c r="AV59" i="103"/>
  <c r="AO50" i="105"/>
  <c r="AV14" i="107"/>
  <c r="AV24" i="108"/>
  <c r="AU33" i="110"/>
  <c r="AU12" i="111"/>
  <c r="AI33" i="112"/>
  <c r="AR33" i="472"/>
  <c r="AE22" i="112"/>
  <c r="AV46" i="114"/>
  <c r="AO60" i="114"/>
  <c r="AJ32" i="112"/>
  <c r="AJ11" i="115"/>
  <c r="AT22" i="115"/>
  <c r="AR12" i="124"/>
  <c r="AJ16" i="124"/>
  <c r="AV55" i="115"/>
  <c r="AH12" i="118"/>
  <c r="AV11" i="117"/>
  <c r="AV24" i="120"/>
  <c r="AV52" i="120"/>
  <c r="AN50" i="120"/>
  <c r="AJ26" i="120"/>
  <c r="AI50" i="120"/>
  <c r="AJ43" i="121"/>
  <c r="AV30" i="122"/>
  <c r="AJ58" i="122"/>
  <c r="AJ41" i="122"/>
  <c r="AJ19" i="123"/>
  <c r="AP33" i="123"/>
  <c r="AV20" i="125"/>
  <c r="AE12" i="100"/>
  <c r="AD22" i="121"/>
  <c r="AJ39" i="122"/>
  <c r="AO33" i="122"/>
  <c r="AV8" i="122"/>
  <c r="AJ44" i="122"/>
  <c r="AV41" i="123"/>
  <c r="AV11" i="475"/>
  <c r="AJ30" i="475"/>
  <c r="AB22" i="475"/>
  <c r="AV15" i="475"/>
  <c r="AQ50" i="100"/>
  <c r="AP50" i="100"/>
  <c r="AJ26" i="105"/>
  <c r="AG33" i="101"/>
  <c r="AC22" i="103"/>
  <c r="AS50" i="103"/>
  <c r="AR50" i="105"/>
  <c r="AV56" i="105"/>
  <c r="AE33" i="106"/>
  <c r="AJ9" i="110"/>
  <c r="AJ21" i="110"/>
  <c r="AV35" i="110"/>
  <c r="AT50" i="111"/>
  <c r="AV55" i="111"/>
  <c r="AR12" i="111"/>
  <c r="AF33" i="112"/>
  <c r="AQ33" i="111"/>
  <c r="AV26" i="472"/>
  <c r="AC22" i="112"/>
  <c r="AP60" i="114"/>
  <c r="AV32" i="112"/>
  <c r="AO60" i="115"/>
  <c r="AU22" i="115"/>
  <c r="AS12" i="124"/>
  <c r="AG65" i="114"/>
  <c r="AP22" i="116"/>
  <c r="AP33" i="116"/>
  <c r="AV14" i="116"/>
  <c r="AN12" i="116"/>
  <c r="AG65" i="117"/>
  <c r="AV57" i="118"/>
  <c r="AV67" i="119"/>
  <c r="AV65" i="119" s="1"/>
  <c r="AV19" i="120"/>
  <c r="AF22" i="120"/>
  <c r="AQ50" i="120"/>
  <c r="AJ37" i="120"/>
  <c r="AJ55" i="120"/>
  <c r="AA50" i="120"/>
  <c r="AJ11" i="122"/>
  <c r="AV3" i="123"/>
  <c r="AV52" i="122"/>
  <c r="AV14" i="123"/>
  <c r="AV57" i="122"/>
  <c r="AR33" i="123"/>
  <c r="AV55" i="125"/>
  <c r="AJ54" i="475"/>
  <c r="AJ57" i="100"/>
  <c r="AJ67" i="123"/>
  <c r="AC65" i="123"/>
  <c r="AV25" i="125"/>
  <c r="AF22" i="101"/>
  <c r="AP22" i="101"/>
  <c r="AV69" i="103"/>
  <c r="AN68" i="103"/>
  <c r="AG33" i="102"/>
  <c r="AV59" i="102"/>
  <c r="AH33" i="101"/>
  <c r="AT60" i="101"/>
  <c r="AS50" i="105"/>
  <c r="AE60" i="108"/>
  <c r="AJ46" i="110"/>
  <c r="AO33" i="110"/>
  <c r="AV54" i="111"/>
  <c r="AN50" i="111"/>
  <c r="AU60" i="114"/>
  <c r="AO12" i="111"/>
  <c r="AR33" i="111"/>
  <c r="AO33" i="472"/>
  <c r="AO22" i="115"/>
  <c r="AT12" i="124"/>
  <c r="AI12" i="116"/>
  <c r="AQ22" i="116"/>
  <c r="AT33" i="116"/>
  <c r="AP12" i="116"/>
  <c r="AV49" i="116"/>
  <c r="AO22" i="118"/>
  <c r="AD22" i="120"/>
  <c r="AO22" i="123"/>
  <c r="AR50" i="100"/>
  <c r="AV11" i="123"/>
  <c r="AU22" i="125"/>
  <c r="AJ20" i="475"/>
  <c r="AV30" i="101"/>
  <c r="AJ36" i="102"/>
  <c r="AJ48" i="101"/>
  <c r="AD12" i="101"/>
  <c r="AF12" i="100"/>
  <c r="AJ53" i="103"/>
  <c r="AJ8" i="103"/>
  <c r="AQ12" i="107"/>
  <c r="AR33" i="110"/>
  <c r="AQ50" i="111"/>
  <c r="AV14" i="111"/>
  <c r="AC33" i="112"/>
  <c r="AU33" i="111"/>
  <c r="AQ33" i="472"/>
  <c r="AI22" i="112"/>
  <c r="AJ59" i="472"/>
  <c r="AV14" i="114"/>
  <c r="AJ16" i="115"/>
  <c r="AQ60" i="115"/>
  <c r="AQ22" i="115"/>
  <c r="AU12" i="124"/>
  <c r="AJ53" i="114"/>
  <c r="AI65" i="114"/>
  <c r="AR22" i="116"/>
  <c r="AO33" i="116"/>
  <c r="AJ38" i="116"/>
  <c r="AB50" i="118"/>
  <c r="AV38" i="118"/>
  <c r="AF50" i="118"/>
  <c r="AV55" i="118"/>
  <c r="AV48" i="119"/>
  <c r="AS50" i="119"/>
  <c r="AF33" i="120"/>
  <c r="AS50" i="120"/>
  <c r="AJ16" i="120"/>
  <c r="AD50" i="120"/>
  <c r="AJ35" i="121"/>
  <c r="AA33" i="121"/>
  <c r="AV32" i="125"/>
  <c r="AP72" i="122"/>
  <c r="AV73" i="122"/>
  <c r="AV72" i="122" s="1"/>
  <c r="AV18" i="125"/>
  <c r="AV32" i="475"/>
  <c r="AJ29" i="475"/>
  <c r="AJ28" i="100"/>
  <c r="AO50" i="100"/>
  <c r="AV51" i="100"/>
  <c r="AV46" i="101"/>
  <c r="AV31" i="100"/>
  <c r="AD50" i="105"/>
  <c r="AT33" i="120"/>
  <c r="AI22" i="121"/>
  <c r="AV40" i="122"/>
  <c r="AV9" i="122"/>
  <c r="AU33" i="122"/>
  <c r="AO22" i="125"/>
  <c r="AC22" i="475"/>
  <c r="AV28" i="100"/>
  <c r="AD22" i="102"/>
  <c r="AV55" i="101"/>
  <c r="AQ33" i="106"/>
  <c r="AF2" i="105"/>
  <c r="AC50" i="102"/>
  <c r="AD33" i="101"/>
  <c r="AI33" i="101"/>
  <c r="AV14" i="102"/>
  <c r="AV48" i="102"/>
  <c r="AD33" i="103"/>
  <c r="AV44" i="105"/>
  <c r="AH22" i="103"/>
  <c r="AV27" i="106"/>
  <c r="AP50" i="105"/>
  <c r="AV41" i="110"/>
  <c r="AQ33" i="110"/>
  <c r="AO50" i="111"/>
  <c r="AJ10" i="111"/>
  <c r="AB68" i="111"/>
  <c r="AJ69" i="111"/>
  <c r="AJ68" i="111" s="1"/>
  <c r="AP12" i="111"/>
  <c r="AJ30" i="111"/>
  <c r="AD33" i="112"/>
  <c r="AD22" i="112"/>
  <c r="AV11" i="114"/>
  <c r="AR22" i="115"/>
  <c r="AJ15" i="115"/>
  <c r="AV39" i="472"/>
  <c r="AO22" i="116"/>
  <c r="AR33" i="116"/>
  <c r="AF33" i="117"/>
  <c r="AJ9" i="117"/>
  <c r="AJ17" i="119"/>
  <c r="AO50" i="120"/>
  <c r="AB22" i="120"/>
  <c r="AQ12" i="122"/>
  <c r="AO2" i="123"/>
  <c r="AE22" i="122"/>
  <c r="AJ29" i="123"/>
  <c r="AV19" i="125"/>
  <c r="AP12" i="101"/>
  <c r="AV29" i="101"/>
  <c r="AR33" i="118"/>
  <c r="AJ30" i="119"/>
  <c r="AQ33" i="119"/>
  <c r="AC33" i="119"/>
  <c r="AJ41" i="119"/>
  <c r="AO33" i="120"/>
  <c r="AJ78" i="121"/>
  <c r="AP22" i="125"/>
  <c r="AE22" i="475"/>
  <c r="AD22" i="475"/>
  <c r="AU50" i="101"/>
  <c r="AV48" i="101"/>
  <c r="AF22" i="102"/>
  <c r="AV25" i="103"/>
  <c r="AB33" i="101"/>
  <c r="AJ54" i="105"/>
  <c r="AD22" i="103"/>
  <c r="AQ50" i="105"/>
  <c r="AJ15" i="106"/>
  <c r="AJ36" i="106"/>
  <c r="AG33" i="106"/>
  <c r="AV38" i="108"/>
  <c r="AU22" i="108"/>
  <c r="AJ54" i="108"/>
  <c r="AV44" i="110"/>
  <c r="AV20" i="110"/>
  <c r="AU50" i="111"/>
  <c r="AQ12" i="111"/>
  <c r="AE33" i="112"/>
  <c r="AF22" i="112"/>
  <c r="AS22" i="115"/>
  <c r="AO12" i="124"/>
  <c r="AV21" i="124"/>
  <c r="AS33" i="116"/>
  <c r="AV30" i="124"/>
  <c r="AV40" i="124"/>
  <c r="AV48" i="124"/>
  <c r="AJ67" i="118"/>
  <c r="AJ55" i="119"/>
  <c r="AJ64" i="120"/>
  <c r="AH50" i="120"/>
  <c r="AV26" i="121"/>
  <c r="AV78" i="121"/>
  <c r="AV27" i="121"/>
  <c r="AP2" i="123"/>
  <c r="AV45" i="122"/>
  <c r="AV45" i="125"/>
  <c r="AJ53" i="475"/>
  <c r="AP50" i="103"/>
  <c r="AJ24" i="102"/>
  <c r="AA22" i="102"/>
  <c r="AQ60" i="103"/>
  <c r="AU22" i="105"/>
  <c r="AH22" i="106"/>
  <c r="AV67" i="106"/>
  <c r="AV65" i="106" s="1"/>
  <c r="AV63" i="107"/>
  <c r="AR60" i="107"/>
  <c r="AJ53" i="110"/>
  <c r="AV40" i="110"/>
  <c r="AV4" i="112"/>
  <c r="AN2" i="112"/>
  <c r="AV56" i="472"/>
  <c r="AU50" i="472"/>
  <c r="AJ53" i="472"/>
  <c r="AP33" i="472"/>
  <c r="AT50" i="112"/>
  <c r="AJ8" i="115"/>
  <c r="AF22" i="115"/>
  <c r="AV11" i="115"/>
  <c r="AJ11" i="124"/>
  <c r="AI50" i="116"/>
  <c r="AV39" i="124"/>
  <c r="AJ29" i="116"/>
  <c r="AV37" i="117"/>
  <c r="AV17" i="117"/>
  <c r="AU12" i="117"/>
  <c r="AU33" i="120"/>
  <c r="AP12" i="122"/>
  <c r="AJ21" i="122"/>
  <c r="AA22" i="122"/>
  <c r="AR22" i="123"/>
  <c r="AV42" i="125"/>
  <c r="AJ48" i="475"/>
  <c r="AV31" i="475"/>
  <c r="AC50" i="475"/>
  <c r="AJ56" i="475"/>
  <c r="AI22" i="100"/>
  <c r="AV20" i="102"/>
  <c r="AS12" i="102"/>
  <c r="AJ52" i="105"/>
  <c r="AU22" i="103"/>
  <c r="AV41" i="103"/>
  <c r="AV63" i="102"/>
  <c r="AI33" i="105"/>
  <c r="AJ41" i="105"/>
  <c r="AV54" i="106"/>
  <c r="AV16" i="107"/>
  <c r="AI50" i="107"/>
  <c r="AI50" i="108"/>
  <c r="AF12" i="106"/>
  <c r="AP33" i="100"/>
  <c r="AR12" i="106"/>
  <c r="AT60" i="103"/>
  <c r="AQ22" i="105"/>
  <c r="AJ27" i="106"/>
  <c r="AV45" i="102"/>
  <c r="AJ56" i="105"/>
  <c r="AV59" i="106"/>
  <c r="AV28" i="105"/>
  <c r="AJ57" i="107"/>
  <c r="AU22" i="107"/>
  <c r="AJ26" i="108"/>
  <c r="AS60" i="107"/>
  <c r="AV29" i="111"/>
  <c r="AJ48" i="111"/>
  <c r="AO22" i="112"/>
  <c r="AV46" i="472"/>
  <c r="AB22" i="114"/>
  <c r="AO50" i="112"/>
  <c r="AE50" i="116"/>
  <c r="AV46" i="124"/>
  <c r="AR12" i="117"/>
  <c r="AR50" i="119"/>
  <c r="AI50" i="122"/>
  <c r="AR22" i="121"/>
  <c r="AF60" i="122"/>
  <c r="AJ46" i="123"/>
  <c r="AB60" i="122"/>
  <c r="AS22" i="123"/>
  <c r="AV16" i="123"/>
  <c r="AJ67" i="475"/>
  <c r="AE50" i="475"/>
  <c r="AJ63" i="475"/>
  <c r="AB22" i="100"/>
  <c r="AD22" i="101"/>
  <c r="AV38" i="100"/>
  <c r="AV9" i="100"/>
  <c r="AO12" i="101"/>
  <c r="AT12" i="102"/>
  <c r="AC2" i="100"/>
  <c r="AV55" i="105"/>
  <c r="AD12" i="106"/>
  <c r="AO22" i="103"/>
  <c r="AJ32" i="105"/>
  <c r="AJ10" i="102"/>
  <c r="AF50" i="100"/>
  <c r="AF12" i="107"/>
  <c r="AI12" i="107"/>
  <c r="AV57" i="106"/>
  <c r="AJ49" i="101"/>
  <c r="AE33" i="103"/>
  <c r="AO33" i="100"/>
  <c r="AV18" i="103"/>
  <c r="AJ73" i="103"/>
  <c r="AR22" i="105"/>
  <c r="AT22" i="106"/>
  <c r="AV31" i="107"/>
  <c r="AV41" i="106"/>
  <c r="AR22" i="106"/>
  <c r="AJ48" i="106"/>
  <c r="AG60" i="108"/>
  <c r="AU60" i="107"/>
  <c r="AI60" i="108"/>
  <c r="AJ30" i="110"/>
  <c r="AV9" i="110"/>
  <c r="AJ45" i="112"/>
  <c r="AP22" i="112"/>
  <c r="AS33" i="472"/>
  <c r="AJ9" i="116"/>
  <c r="AV31" i="114"/>
  <c r="AV31" i="124"/>
  <c r="AQ50" i="112"/>
  <c r="AC22" i="115"/>
  <c r="AS50" i="115"/>
  <c r="AE12" i="116"/>
  <c r="AJ10" i="117"/>
  <c r="AV39" i="117"/>
  <c r="AO12" i="117"/>
  <c r="AV29" i="119"/>
  <c r="AV53" i="118"/>
  <c r="AF50" i="119"/>
  <c r="AS22" i="121"/>
  <c r="AT22" i="123"/>
  <c r="AV39" i="123"/>
  <c r="AV14" i="125"/>
  <c r="AV9" i="125"/>
  <c r="AF50" i="475"/>
  <c r="AC22" i="100"/>
  <c r="AD22" i="100"/>
  <c r="AU12" i="102"/>
  <c r="AE2" i="100"/>
  <c r="AT22" i="103"/>
  <c r="AJ58" i="103"/>
  <c r="AO12" i="106"/>
  <c r="AF60" i="103"/>
  <c r="AB33" i="105"/>
  <c r="AV45" i="105"/>
  <c r="AC33" i="106"/>
  <c r="AI22" i="107"/>
  <c r="AE22" i="108"/>
  <c r="AC12" i="101"/>
  <c r="AV54" i="103"/>
  <c r="AQ33" i="100"/>
  <c r="AJ35" i="103"/>
  <c r="AU12" i="103"/>
  <c r="AO22" i="105"/>
  <c r="AC22" i="106"/>
  <c r="AJ58" i="107"/>
  <c r="AJ10" i="106"/>
  <c r="AJ43" i="106"/>
  <c r="AV63" i="105"/>
  <c r="AN60" i="105"/>
  <c r="AT60" i="107"/>
  <c r="AS22" i="110"/>
  <c r="AV27" i="112"/>
  <c r="AU22" i="112"/>
  <c r="AU33" i="472"/>
  <c r="AE22" i="115"/>
  <c r="AJ20" i="124"/>
  <c r="AV44" i="124"/>
  <c r="AB50" i="116"/>
  <c r="AH12" i="116"/>
  <c r="AP12" i="117"/>
  <c r="AT22" i="121"/>
  <c r="AV25" i="123"/>
  <c r="AJ41" i="123"/>
  <c r="AJ37" i="101"/>
  <c r="AJ30" i="102"/>
  <c r="AJ55" i="101"/>
  <c r="AD12" i="100"/>
  <c r="AV38" i="101"/>
  <c r="AJ16" i="103"/>
  <c r="AV78" i="103"/>
  <c r="AU50" i="103"/>
  <c r="AJ27" i="102"/>
  <c r="AE50" i="107"/>
  <c r="AJ39" i="105"/>
  <c r="AS33" i="100"/>
  <c r="AF12" i="105"/>
  <c r="AT22" i="105"/>
  <c r="AJ46" i="106"/>
  <c r="AV37" i="105"/>
  <c r="AV28" i="108"/>
  <c r="AJ15" i="110"/>
  <c r="AJ31" i="108"/>
  <c r="AV39" i="110"/>
  <c r="AJ31" i="110"/>
  <c r="AJ56" i="110"/>
  <c r="AR22" i="112"/>
  <c r="AJ25" i="115"/>
  <c r="AV57" i="112"/>
  <c r="AV40" i="112"/>
  <c r="AB12" i="124"/>
  <c r="AF22" i="114"/>
  <c r="AU50" i="112"/>
  <c r="AG22" i="115"/>
  <c r="AV15" i="124"/>
  <c r="AD50" i="116"/>
  <c r="AU50" i="115"/>
  <c r="AD12" i="116"/>
  <c r="AV8" i="116"/>
  <c r="AT12" i="119"/>
  <c r="AQ12" i="117"/>
  <c r="AE22" i="120"/>
  <c r="AV59" i="120"/>
  <c r="AU22" i="121"/>
  <c r="AJ30" i="121"/>
  <c r="AV26" i="125"/>
  <c r="AD50" i="475"/>
  <c r="AB70" i="475"/>
  <c r="AJ71" i="475"/>
  <c r="AJ70" i="475" s="1"/>
  <c r="AJ8" i="100"/>
  <c r="AQ12" i="101"/>
  <c r="AO12" i="102"/>
  <c r="AJ44" i="102"/>
  <c r="AP22" i="103"/>
  <c r="AJ55" i="105"/>
  <c r="AV8" i="105"/>
  <c r="AI50" i="100"/>
  <c r="AI60" i="103"/>
  <c r="AO60" i="105"/>
  <c r="AV61" i="105"/>
  <c r="AV49" i="102"/>
  <c r="AH12" i="103"/>
  <c r="AE12" i="107"/>
  <c r="AB22" i="107"/>
  <c r="AG33" i="100"/>
  <c r="AJ17" i="105"/>
  <c r="AR33" i="100"/>
  <c r="AV43" i="102"/>
  <c r="AC12" i="106"/>
  <c r="AV9" i="102"/>
  <c r="AJ49" i="102"/>
  <c r="AS60" i="103"/>
  <c r="AI12" i="105"/>
  <c r="AN50" i="106"/>
  <c r="AI22" i="106"/>
  <c r="AG22" i="106"/>
  <c r="AJ39" i="107"/>
  <c r="AJ59" i="105"/>
  <c r="AR70" i="106"/>
  <c r="AR68" i="106" s="1"/>
  <c r="AV71" i="106"/>
  <c r="AV70" i="106" s="1"/>
  <c r="AV68" i="106" s="1"/>
  <c r="AJ39" i="108"/>
  <c r="AV58" i="106"/>
  <c r="AJ19" i="107"/>
  <c r="AQ60" i="107"/>
  <c r="AA12" i="110"/>
  <c r="AV52" i="110"/>
  <c r="AJ44" i="110"/>
  <c r="AJ45" i="110"/>
  <c r="AV56" i="111"/>
  <c r="AJ16" i="472"/>
  <c r="AV57" i="111"/>
  <c r="AV46" i="112"/>
  <c r="AJ26" i="472"/>
  <c r="AV59" i="114"/>
  <c r="AT22" i="112"/>
  <c r="AJ63" i="114"/>
  <c r="AH22" i="115"/>
  <c r="AC50" i="116"/>
  <c r="AF50" i="116"/>
  <c r="AV53" i="115"/>
  <c r="AG22" i="116"/>
  <c r="AJ24" i="117"/>
  <c r="AV9" i="120"/>
  <c r="AP22" i="121"/>
  <c r="AD12" i="122"/>
  <c r="AJ64" i="122"/>
  <c r="AJ56" i="122"/>
  <c r="AP22" i="123"/>
  <c r="AV43" i="125"/>
  <c r="AG50" i="475"/>
  <c r="AV24" i="100"/>
  <c r="AB12" i="101"/>
  <c r="AS12" i="101"/>
  <c r="AP12" i="102"/>
  <c r="AG50" i="103"/>
  <c r="AV43" i="101"/>
  <c r="AQ22" i="103"/>
  <c r="AV55" i="103"/>
  <c r="AH50" i="100"/>
  <c r="AV63" i="101"/>
  <c r="AJ16" i="102"/>
  <c r="AV48" i="103"/>
  <c r="AF33" i="103"/>
  <c r="AG33" i="105"/>
  <c r="AV31" i="106"/>
  <c r="AC50" i="107"/>
  <c r="AV39" i="101"/>
  <c r="AP22" i="105"/>
  <c r="AJ10" i="105"/>
  <c r="AD22" i="106"/>
  <c r="AV54" i="110"/>
  <c r="AS60" i="114"/>
  <c r="AV19" i="111"/>
  <c r="AJ59" i="111"/>
  <c r="AQ22" i="112"/>
  <c r="AJ73" i="114"/>
  <c r="AV52" i="114"/>
  <c r="AP50" i="112"/>
  <c r="AV56" i="115"/>
  <c r="AG50" i="116"/>
  <c r="AH22" i="116"/>
  <c r="AV27" i="118"/>
  <c r="AS12" i="117"/>
  <c r="AV10" i="118"/>
  <c r="AV45" i="118"/>
  <c r="AJ56" i="118"/>
  <c r="AJ31" i="119"/>
  <c r="AJ40" i="119"/>
  <c r="AJ58" i="119"/>
  <c r="AJ18" i="120"/>
  <c r="AO22" i="121"/>
  <c r="AB50" i="122"/>
  <c r="AV55" i="123"/>
  <c r="AI50" i="475"/>
  <c r="AH50" i="475"/>
  <c r="AH22" i="100"/>
  <c r="AJ63" i="100"/>
  <c r="AO22" i="100"/>
  <c r="AR12" i="101"/>
  <c r="AQ12" i="102"/>
  <c r="AO33" i="106"/>
  <c r="AS22" i="103"/>
  <c r="AB50" i="100"/>
  <c r="AC50" i="103"/>
  <c r="AP33" i="107"/>
  <c r="AB12" i="107"/>
  <c r="AJ44" i="107"/>
  <c r="AJ55" i="100"/>
  <c r="AU33" i="100"/>
  <c r="AJ24" i="103"/>
  <c r="AV26" i="103"/>
  <c r="AS22" i="105"/>
  <c r="AE22" i="106"/>
  <c r="AH33" i="106"/>
  <c r="AJ35" i="106"/>
  <c r="AJ48" i="107"/>
  <c r="AV32" i="107"/>
  <c r="AV78" i="107"/>
  <c r="AO60" i="107"/>
  <c r="AV48" i="112"/>
  <c r="AS22" i="112"/>
  <c r="AJ14" i="114"/>
  <c r="AJ46" i="114"/>
  <c r="AV37" i="472"/>
  <c r="AU50" i="114"/>
  <c r="AR50" i="112"/>
  <c r="AD22" i="115"/>
  <c r="AI22" i="115"/>
  <c r="AJ78" i="115"/>
  <c r="AH50" i="116"/>
  <c r="AV41" i="117"/>
  <c r="AJ26" i="124"/>
  <c r="AV32" i="124"/>
  <c r="AF22" i="116"/>
  <c r="AE33" i="117"/>
  <c r="AV53" i="116"/>
  <c r="AJ44" i="117"/>
  <c r="AT12" i="117"/>
  <c r="AH50" i="118"/>
  <c r="AJ73" i="118"/>
  <c r="AJ11" i="119"/>
  <c r="AQ22" i="121"/>
  <c r="AQ22" i="123"/>
  <c r="AV67" i="123"/>
  <c r="AB50" i="475"/>
  <c r="AJ25" i="102"/>
  <c r="AU12" i="101"/>
  <c r="AR12" i="102"/>
  <c r="AI2" i="100"/>
  <c r="AR22" i="103"/>
  <c r="AP60" i="105"/>
  <c r="AD60" i="103"/>
  <c r="AG12" i="103"/>
  <c r="AF33" i="105"/>
  <c r="AS22" i="106"/>
  <c r="AV48" i="106"/>
  <c r="AE22" i="107"/>
  <c r="AN50" i="108"/>
  <c r="AR22" i="108"/>
  <c r="AB22" i="108"/>
  <c r="AV63" i="108"/>
  <c r="AV8" i="108"/>
  <c r="AF50" i="108"/>
  <c r="AT60" i="114"/>
  <c r="AJ19" i="111"/>
  <c r="AJ46" i="112"/>
  <c r="AI50" i="472"/>
  <c r="AV55" i="114"/>
  <c r="AP33" i="114"/>
  <c r="AJ49" i="115"/>
  <c r="AV21" i="117"/>
  <c r="AH22" i="117"/>
  <c r="AE22" i="118"/>
  <c r="AJ15" i="118"/>
  <c r="AO33" i="117"/>
  <c r="AF33" i="118"/>
  <c r="AV17" i="121"/>
  <c r="AJ59" i="120"/>
  <c r="AP33" i="121"/>
  <c r="AV37" i="122"/>
  <c r="AV43" i="122"/>
  <c r="AV58" i="122"/>
  <c r="AP50" i="122"/>
  <c r="AC60" i="122"/>
  <c r="AV56" i="122"/>
  <c r="AV58" i="475"/>
  <c r="AJ43" i="105"/>
  <c r="AQ50" i="103"/>
  <c r="AR50" i="106"/>
  <c r="AB60" i="103"/>
  <c r="AJ36" i="103"/>
  <c r="AD33" i="105"/>
  <c r="AH33" i="105"/>
  <c r="AJ29" i="108"/>
  <c r="AG12" i="107"/>
  <c r="AF22" i="107"/>
  <c r="AC22" i="108"/>
  <c r="AB50" i="108"/>
  <c r="AJ40" i="110"/>
  <c r="AJ26" i="112"/>
  <c r="AV17" i="112"/>
  <c r="AQ22" i="114"/>
  <c r="AQ33" i="114"/>
  <c r="AJ18" i="115"/>
  <c r="AV67" i="115"/>
  <c r="AV65" i="115" s="1"/>
  <c r="AV40" i="116"/>
  <c r="AJ45" i="115"/>
  <c r="AJ37" i="124"/>
  <c r="AE22" i="117"/>
  <c r="AG22" i="118"/>
  <c r="AI12" i="118"/>
  <c r="AQ33" i="117"/>
  <c r="AJ29" i="119"/>
  <c r="AJ48" i="118"/>
  <c r="AV67" i="118"/>
  <c r="AC50" i="118"/>
  <c r="AG33" i="118"/>
  <c r="AV46" i="118"/>
  <c r="AQ65" i="118"/>
  <c r="AJ32" i="120"/>
  <c r="AO12" i="122"/>
  <c r="AV13" i="122"/>
  <c r="AV30" i="121"/>
  <c r="AQ33" i="121"/>
  <c r="AV59" i="121"/>
  <c r="AR50" i="122"/>
  <c r="AG33" i="122"/>
  <c r="AE60" i="122"/>
  <c r="AV18" i="123"/>
  <c r="AJ55" i="123"/>
  <c r="AT60" i="122"/>
  <c r="AH33" i="475"/>
  <c r="AS50" i="101"/>
  <c r="AV38" i="103"/>
  <c r="AJ56" i="102"/>
  <c r="AV57" i="101"/>
  <c r="AG22" i="105"/>
  <c r="AV59" i="105"/>
  <c r="AN60" i="108"/>
  <c r="AS50" i="110"/>
  <c r="AP33" i="112"/>
  <c r="AG33" i="117"/>
  <c r="AJ9" i="108"/>
  <c r="AJ29" i="105"/>
  <c r="AB33" i="106"/>
  <c r="AC50" i="105"/>
  <c r="AD12" i="107"/>
  <c r="AB50" i="107"/>
  <c r="AH22" i="107"/>
  <c r="AD22" i="108"/>
  <c r="AE50" i="108"/>
  <c r="AB50" i="472"/>
  <c r="AR22" i="114"/>
  <c r="AT33" i="114"/>
  <c r="AH22" i="118"/>
  <c r="AT33" i="117"/>
  <c r="AG50" i="119"/>
  <c r="AV21" i="119"/>
  <c r="AV16" i="120"/>
  <c r="AR33" i="121"/>
  <c r="AJ78" i="122"/>
  <c r="AU22" i="123"/>
  <c r="AV53" i="121"/>
  <c r="AT50" i="122"/>
  <c r="AJ34" i="122"/>
  <c r="AV26" i="123"/>
  <c r="AF50" i="122"/>
  <c r="AJ18" i="123"/>
  <c r="AJ4" i="475"/>
  <c r="AA2" i="475"/>
  <c r="AV17" i="475"/>
  <c r="AH12" i="101"/>
  <c r="AV40" i="102"/>
  <c r="AV35" i="106"/>
  <c r="AN33" i="106"/>
  <c r="AV41" i="105"/>
  <c r="AH22" i="105"/>
  <c r="AP22" i="106"/>
  <c r="AV4" i="107"/>
  <c r="AQ22" i="107"/>
  <c r="AG33" i="107"/>
  <c r="AF50" i="472"/>
  <c r="AV20" i="114"/>
  <c r="AU33" i="114"/>
  <c r="AC22" i="117"/>
  <c r="AU22" i="118"/>
  <c r="AF12" i="118"/>
  <c r="AU33" i="117"/>
  <c r="AH33" i="118"/>
  <c r="AI33" i="118"/>
  <c r="AJ17" i="120"/>
  <c r="AV41" i="121"/>
  <c r="AU33" i="121"/>
  <c r="AO50" i="122"/>
  <c r="AV18" i="122"/>
  <c r="AV78" i="123"/>
  <c r="AJ59" i="122"/>
  <c r="AJ63" i="123"/>
  <c r="AJ28" i="123"/>
  <c r="AV40" i="125"/>
  <c r="AE33" i="475"/>
  <c r="AI33" i="475"/>
  <c r="AU50" i="100"/>
  <c r="AJ16" i="100"/>
  <c r="AV17" i="101"/>
  <c r="AB12" i="100"/>
  <c r="AV8" i="106"/>
  <c r="AJ64" i="103"/>
  <c r="AU60" i="105"/>
  <c r="AP12" i="105"/>
  <c r="AV42" i="102"/>
  <c r="AB22" i="105"/>
  <c r="AU50" i="106"/>
  <c r="AD33" i="106"/>
  <c r="AV78" i="105"/>
  <c r="AS50" i="108"/>
  <c r="AC12" i="103"/>
  <c r="AJ37" i="103"/>
  <c r="AV55" i="106"/>
  <c r="AH12" i="107"/>
  <c r="AJ78" i="107"/>
  <c r="AG50" i="107"/>
  <c r="AF33" i="106"/>
  <c r="AH22" i="108"/>
  <c r="AV54" i="108"/>
  <c r="AJ59" i="106"/>
  <c r="AG50" i="108"/>
  <c r="AJ29" i="111"/>
  <c r="AJ20" i="110"/>
  <c r="AV37" i="110"/>
  <c r="AG50" i="472"/>
  <c r="AC50" i="112"/>
  <c r="AJ38" i="124"/>
  <c r="AJ20" i="117"/>
  <c r="AJ53" i="116"/>
  <c r="AF22" i="117"/>
  <c r="AV28" i="118"/>
  <c r="AJ41" i="116"/>
  <c r="AP33" i="117"/>
  <c r="AJ21" i="118"/>
  <c r="AJ31" i="118"/>
  <c r="AB33" i="118"/>
  <c r="AS65" i="118"/>
  <c r="AV31" i="119"/>
  <c r="AJ10" i="120"/>
  <c r="AV18" i="121"/>
  <c r="AV32" i="121"/>
  <c r="AS33" i="121"/>
  <c r="AS12" i="122"/>
  <c r="AQ50" i="122"/>
  <c r="AJ44" i="123"/>
  <c r="AC50" i="122"/>
  <c r="AB22" i="123"/>
  <c r="AJ11" i="123"/>
  <c r="AJ38" i="475"/>
  <c r="AJ21" i="475"/>
  <c r="AV16" i="475"/>
  <c r="AF33" i="475"/>
  <c r="AV41" i="475"/>
  <c r="AS22" i="101"/>
  <c r="AV20" i="101"/>
  <c r="AV32" i="100"/>
  <c r="AV59" i="101"/>
  <c r="AV44" i="102"/>
  <c r="AR12" i="105"/>
  <c r="AJ44" i="105"/>
  <c r="AQ12" i="106"/>
  <c r="AE22" i="105"/>
  <c r="AV43" i="107"/>
  <c r="AU50" i="108"/>
  <c r="AS65" i="107"/>
  <c r="AQ22" i="108"/>
  <c r="AI33" i="107"/>
  <c r="AI22" i="108"/>
  <c r="AJ11" i="107"/>
  <c r="AJ53" i="108"/>
  <c r="AH50" i="108"/>
  <c r="AV39" i="112"/>
  <c r="AJ64" i="112"/>
  <c r="AI33" i="110"/>
  <c r="AP2" i="112"/>
  <c r="AV3" i="112"/>
  <c r="AH50" i="472"/>
  <c r="AV78" i="472"/>
  <c r="AV59" i="112"/>
  <c r="AR33" i="114"/>
  <c r="AV29" i="124"/>
  <c r="AV10" i="124"/>
  <c r="AH33" i="117"/>
  <c r="AG22" i="117"/>
  <c r="AD12" i="118"/>
  <c r="AR33" i="117"/>
  <c r="AC33" i="118"/>
  <c r="AJ19" i="120"/>
  <c r="AT33" i="121"/>
  <c r="AS50" i="122"/>
  <c r="AB33" i="122"/>
  <c r="AE33" i="122"/>
  <c r="AS60" i="122"/>
  <c r="AE50" i="122"/>
  <c r="AV37" i="475"/>
  <c r="AV63" i="475"/>
  <c r="AG33" i="475"/>
  <c r="AF60" i="475"/>
  <c r="AU22" i="101"/>
  <c r="AJ4" i="101"/>
  <c r="AJ38" i="103"/>
  <c r="AV56" i="103"/>
  <c r="AT12" i="105"/>
  <c r="AF22" i="105"/>
  <c r="AC22" i="105"/>
  <c r="AV10" i="107"/>
  <c r="AV42" i="107"/>
  <c r="AV52" i="108"/>
  <c r="AO22" i="107"/>
  <c r="AR12" i="103"/>
  <c r="AJ56" i="103"/>
  <c r="AV54" i="105"/>
  <c r="AE12" i="103"/>
  <c r="AJ8" i="102"/>
  <c r="AC33" i="105"/>
  <c r="AC12" i="107"/>
  <c r="AF50" i="107"/>
  <c r="AD50" i="107"/>
  <c r="AG22" i="107"/>
  <c r="AD22" i="107"/>
  <c r="AF22" i="108"/>
  <c r="AV10" i="108"/>
  <c r="AT22" i="110"/>
  <c r="AC50" i="108"/>
  <c r="AB33" i="110"/>
  <c r="AD50" i="472"/>
  <c r="AC50" i="472"/>
  <c r="AR50" i="472"/>
  <c r="AV25" i="472"/>
  <c r="AV44" i="472"/>
  <c r="AS33" i="114"/>
  <c r="AF50" i="112"/>
  <c r="AJ18" i="117"/>
  <c r="AJ11" i="118"/>
  <c r="AB22" i="117"/>
  <c r="AD22" i="118"/>
  <c r="AE60" i="116"/>
  <c r="AG12" i="118"/>
  <c r="AS33" i="117"/>
  <c r="AV59" i="118"/>
  <c r="AE12" i="118"/>
  <c r="AD33" i="118"/>
  <c r="AV28" i="121"/>
  <c r="AV35" i="121"/>
  <c r="AU50" i="122"/>
  <c r="AD33" i="122"/>
  <c r="AI60" i="122"/>
  <c r="AV42" i="123"/>
  <c r="AJ43" i="475"/>
  <c r="AB33" i="475"/>
  <c r="AG60" i="475"/>
  <c r="AV19" i="101"/>
  <c r="AJ26" i="101"/>
  <c r="AV21" i="103"/>
  <c r="AV8" i="103"/>
  <c r="AF65" i="102"/>
  <c r="AV17" i="108"/>
  <c r="AO65" i="107"/>
  <c r="AE33" i="105"/>
  <c r="AV38" i="107"/>
  <c r="AV29" i="110"/>
  <c r="AH50" i="107"/>
  <c r="AC22" i="107"/>
  <c r="AG22" i="108"/>
  <c r="AD50" i="108"/>
  <c r="AJ55" i="110"/>
  <c r="AO22" i="110"/>
  <c r="AV78" i="110"/>
  <c r="AU2" i="112"/>
  <c r="AC33" i="110"/>
  <c r="AJ55" i="112"/>
  <c r="AV21" i="112"/>
  <c r="AE50" i="472"/>
  <c r="AJ14" i="115"/>
  <c r="AV52" i="112"/>
  <c r="AJ48" i="472"/>
  <c r="AJ58" i="111"/>
  <c r="AV28" i="472"/>
  <c r="AO22" i="114"/>
  <c r="AO33" i="114"/>
  <c r="AI12" i="124"/>
  <c r="AV45" i="116"/>
  <c r="AJ54" i="112"/>
  <c r="AJ30" i="114"/>
  <c r="AV57" i="115"/>
  <c r="AI22" i="117"/>
  <c r="AD22" i="117"/>
  <c r="AF22" i="118"/>
  <c r="AO12" i="119"/>
  <c r="AV14" i="119"/>
  <c r="AJ29" i="118"/>
  <c r="AV35" i="118"/>
  <c r="AE33" i="118"/>
  <c r="AJ21" i="119"/>
  <c r="AV67" i="120"/>
  <c r="AJ40" i="120"/>
  <c r="AO33" i="121"/>
  <c r="AF12" i="122"/>
  <c r="AF33" i="122"/>
  <c r="AQ60" i="122"/>
  <c r="AC33" i="475"/>
  <c r="AV44" i="475"/>
  <c r="AQ22" i="101"/>
  <c r="AV42" i="100"/>
  <c r="AJ64" i="100"/>
  <c r="AV4" i="105"/>
  <c r="AV2" i="105" s="1"/>
  <c r="AJ67" i="102"/>
  <c r="AJ38" i="107"/>
  <c r="AQ65" i="107"/>
  <c r="AO50" i="110"/>
  <c r="AU12" i="110"/>
  <c r="AU65" i="107"/>
  <c r="AT22" i="107"/>
  <c r="AE33" i="107"/>
  <c r="AO22" i="108"/>
  <c r="AQ50" i="110"/>
  <c r="AT12" i="110"/>
  <c r="AI12" i="110"/>
  <c r="AV26" i="110"/>
  <c r="AV16" i="472"/>
  <c r="AJ28" i="112"/>
  <c r="AT33" i="111"/>
  <c r="AH60" i="114"/>
  <c r="AV35" i="112"/>
  <c r="AN33" i="112"/>
  <c r="AD50" i="115"/>
  <c r="AC50" i="124"/>
  <c r="AU22" i="116"/>
  <c r="AV20" i="116"/>
  <c r="AV21" i="118"/>
  <c r="AF65" i="118"/>
  <c r="AU50" i="118"/>
  <c r="AR60" i="119"/>
  <c r="AG12" i="122"/>
  <c r="AP22" i="122"/>
  <c r="AV43" i="123"/>
  <c r="AR12" i="475"/>
  <c r="AC12" i="100"/>
  <c r="AS68" i="101"/>
  <c r="AR60" i="102"/>
  <c r="AG12" i="106"/>
  <c r="AV46" i="103"/>
  <c r="AV38" i="105"/>
  <c r="AD33" i="102"/>
  <c r="AV53" i="101"/>
  <c r="AV14" i="103"/>
  <c r="AV11" i="107"/>
  <c r="AV55" i="108"/>
  <c r="AD2" i="110"/>
  <c r="AQ33" i="107"/>
  <c r="AB50" i="114"/>
  <c r="AV42" i="110"/>
  <c r="AJ17" i="114"/>
  <c r="AV41" i="472"/>
  <c r="AE50" i="115"/>
  <c r="AG65" i="118"/>
  <c r="AR50" i="118"/>
  <c r="AV78" i="120"/>
  <c r="AS22" i="122"/>
  <c r="AU12" i="475"/>
  <c r="AR60" i="475"/>
  <c r="AS50" i="100"/>
  <c r="AV45" i="100"/>
  <c r="AD12" i="103"/>
  <c r="AE33" i="102"/>
  <c r="AJ11" i="101"/>
  <c r="AV67" i="101"/>
  <c r="AE50" i="105"/>
  <c r="AE2" i="110"/>
  <c r="AO33" i="107"/>
  <c r="AT22" i="108"/>
  <c r="AJ36" i="110"/>
  <c r="AJ78" i="110"/>
  <c r="AV17" i="111"/>
  <c r="AP50" i="472"/>
  <c r="AJ58" i="105"/>
  <c r="AI50" i="106"/>
  <c r="AT50" i="103"/>
  <c r="AR50" i="108"/>
  <c r="AS22" i="107"/>
  <c r="AH33" i="107"/>
  <c r="AR50" i="110"/>
  <c r="AQ12" i="110"/>
  <c r="AJ54" i="110"/>
  <c r="AJ41" i="110"/>
  <c r="AJ42" i="111"/>
  <c r="AV36" i="111"/>
  <c r="AN33" i="111"/>
  <c r="AJ56" i="472"/>
  <c r="AS50" i="114"/>
  <c r="AI60" i="114"/>
  <c r="AV78" i="114"/>
  <c r="AJ58" i="472"/>
  <c r="AF50" i="115"/>
  <c r="AF50" i="124"/>
  <c r="AV20" i="117"/>
  <c r="AJ57" i="124"/>
  <c r="AV63" i="117"/>
  <c r="AT50" i="118"/>
  <c r="AS60" i="119"/>
  <c r="AV46" i="120"/>
  <c r="AV15" i="121"/>
  <c r="AV43" i="121"/>
  <c r="AJ16" i="122"/>
  <c r="AO22" i="122"/>
  <c r="AJ36" i="122"/>
  <c r="AJ24" i="475"/>
  <c r="AO12" i="475"/>
  <c r="AV64" i="101"/>
  <c r="AB22" i="101"/>
  <c r="AV17" i="103"/>
  <c r="AJ4" i="102"/>
  <c r="AF33" i="102"/>
  <c r="AV38" i="102"/>
  <c r="AV18" i="102"/>
  <c r="AV18" i="106"/>
  <c r="AI50" i="105"/>
  <c r="AV14" i="106"/>
  <c r="AV29" i="108"/>
  <c r="AV56" i="107"/>
  <c r="AF2" i="110"/>
  <c r="AJ37" i="107"/>
  <c r="AS60" i="120"/>
  <c r="AO12" i="110"/>
  <c r="AJ52" i="110"/>
  <c r="AE12" i="110"/>
  <c r="AJ28" i="111"/>
  <c r="AR60" i="114"/>
  <c r="AJ19" i="112"/>
  <c r="AJ39" i="112"/>
  <c r="AV53" i="112"/>
  <c r="AC60" i="114"/>
  <c r="AV30" i="472"/>
  <c r="AV59" i="116"/>
  <c r="AG50" i="115"/>
  <c r="AG50" i="124"/>
  <c r="AV28" i="116"/>
  <c r="AJ49" i="117"/>
  <c r="AQ50" i="119"/>
  <c r="AO50" i="118"/>
  <c r="AT60" i="119"/>
  <c r="AB33" i="120"/>
  <c r="AV41" i="120"/>
  <c r="AV21" i="122"/>
  <c r="AQ22" i="122"/>
  <c r="AV64" i="122"/>
  <c r="AV46" i="123"/>
  <c r="AV29" i="125"/>
  <c r="AU33" i="123"/>
  <c r="AV56" i="123"/>
  <c r="AU65" i="123"/>
  <c r="AV27" i="125"/>
  <c r="AS12" i="475"/>
  <c r="AJ11" i="475"/>
  <c r="AV49" i="475"/>
  <c r="AT60" i="475"/>
  <c r="AJ9" i="102"/>
  <c r="AT12" i="100"/>
  <c r="AE22" i="101"/>
  <c r="AU33" i="106"/>
  <c r="AV15" i="102"/>
  <c r="AJ64" i="102"/>
  <c r="AH33" i="102"/>
  <c r="AR60" i="105"/>
  <c r="AV11" i="103"/>
  <c r="AG2" i="110"/>
  <c r="AR33" i="107"/>
  <c r="AS22" i="108"/>
  <c r="AV58" i="112"/>
  <c r="AV43" i="110"/>
  <c r="AU50" i="110"/>
  <c r="AP12" i="110"/>
  <c r="AD60" i="108"/>
  <c r="AO33" i="111"/>
  <c r="AV34" i="111"/>
  <c r="AQ50" i="472"/>
  <c r="AD60" i="114"/>
  <c r="AV17" i="124"/>
  <c r="AH50" i="115"/>
  <c r="AV38" i="124"/>
  <c r="AH50" i="124"/>
  <c r="AV27" i="116"/>
  <c r="AV15" i="117"/>
  <c r="AB12" i="118"/>
  <c r="AJ32" i="119"/>
  <c r="AR22" i="122"/>
  <c r="AH33" i="122"/>
  <c r="AV31" i="122"/>
  <c r="AV46" i="122"/>
  <c r="AT12" i="475"/>
  <c r="AV24" i="475"/>
  <c r="AF50" i="101"/>
  <c r="AR50" i="101"/>
  <c r="AV18" i="100"/>
  <c r="AJ58" i="101"/>
  <c r="AB33" i="102"/>
  <c r="AV64" i="105"/>
  <c r="AV19" i="105"/>
  <c r="AV21" i="102"/>
  <c r="AJ58" i="102"/>
  <c r="AT12" i="106"/>
  <c r="AJ36" i="108"/>
  <c r="AH2" i="110"/>
  <c r="AS33" i="107"/>
  <c r="AJ43" i="110"/>
  <c r="AE22" i="472"/>
  <c r="AR12" i="119"/>
  <c r="AO12" i="105"/>
  <c r="AI22" i="105"/>
  <c r="AV17" i="105"/>
  <c r="AJ64" i="106"/>
  <c r="AS2" i="107"/>
  <c r="AV29" i="107"/>
  <c r="AV25" i="107"/>
  <c r="AP50" i="108"/>
  <c r="AR65" i="107"/>
  <c r="AC33" i="107"/>
  <c r="AB33" i="107"/>
  <c r="AJ29" i="107"/>
  <c r="AJ73" i="108"/>
  <c r="AJ64" i="107"/>
  <c r="AR12" i="110"/>
  <c r="AV63" i="472"/>
  <c r="AJ27" i="114"/>
  <c r="AG60" i="114"/>
  <c r="AE60" i="114"/>
  <c r="AV16" i="115"/>
  <c r="AV32" i="115"/>
  <c r="AJ29" i="124"/>
  <c r="AB50" i="115"/>
  <c r="AI50" i="124"/>
  <c r="AC12" i="118"/>
  <c r="AP50" i="118"/>
  <c r="AQ60" i="119"/>
  <c r="AJ45" i="119"/>
  <c r="AH12" i="122"/>
  <c r="AU22" i="122"/>
  <c r="AV56" i="125"/>
  <c r="AP12" i="475"/>
  <c r="AS60" i="475"/>
  <c r="AT12" i="101"/>
  <c r="AV49" i="105"/>
  <c r="AT50" i="101"/>
  <c r="AJ48" i="103"/>
  <c r="AJ32" i="107"/>
  <c r="AV19" i="108"/>
  <c r="AV43" i="106"/>
  <c r="AV44" i="107"/>
  <c r="AJ49" i="105"/>
  <c r="AV56" i="106"/>
  <c r="AV63" i="106"/>
  <c r="AP65" i="107"/>
  <c r="AJ40" i="108"/>
  <c r="AF33" i="107"/>
  <c r="AV36" i="108"/>
  <c r="AP50" i="110"/>
  <c r="AV58" i="110"/>
  <c r="AV19" i="472"/>
  <c r="AJ20" i="111"/>
  <c r="AB60" i="114"/>
  <c r="AQ33" i="112"/>
  <c r="AV37" i="124"/>
  <c r="AC50" i="115"/>
  <c r="AJ56" i="115"/>
  <c r="AJ18" i="116"/>
  <c r="AV45" i="117"/>
  <c r="AV52" i="119"/>
  <c r="AV64" i="119"/>
  <c r="AQ50" i="118"/>
  <c r="AV39" i="121"/>
  <c r="AT22" i="122"/>
  <c r="AV21" i="123"/>
  <c r="AO65" i="123"/>
  <c r="AJ58" i="475"/>
  <c r="AV59" i="475"/>
  <c r="AV17" i="100"/>
  <c r="AJ29" i="100"/>
  <c r="AJ41" i="102"/>
  <c r="AJ28" i="106"/>
  <c r="AV10" i="103"/>
  <c r="AO12" i="103"/>
  <c r="AJ9" i="107"/>
  <c r="AB2" i="110"/>
  <c r="AI2" i="110"/>
  <c r="AT33" i="107"/>
  <c r="AV56" i="102"/>
  <c r="AD22" i="105"/>
  <c r="AV11" i="101"/>
  <c r="AJ54" i="101"/>
  <c r="AV57" i="102"/>
  <c r="AV31" i="103"/>
  <c r="AJ73" i="107"/>
  <c r="AV15" i="107"/>
  <c r="AT65" i="107"/>
  <c r="AD33" i="107"/>
  <c r="AJ55" i="107"/>
  <c r="AT50" i="110"/>
  <c r="AS12" i="110"/>
  <c r="AJ14" i="110"/>
  <c r="AV14" i="110"/>
  <c r="AV11" i="112"/>
  <c r="AJ15" i="472"/>
  <c r="AF60" i="114"/>
  <c r="AJ44" i="114"/>
  <c r="AJ44" i="115"/>
  <c r="AI50" i="115"/>
  <c r="AB50" i="124"/>
  <c r="AV48" i="118"/>
  <c r="AV26" i="118"/>
  <c r="AV19" i="118"/>
  <c r="AV57" i="119"/>
  <c r="AO50" i="119"/>
  <c r="AS50" i="118"/>
  <c r="AP60" i="119"/>
  <c r="AV64" i="120"/>
  <c r="AJ8" i="120"/>
  <c r="AJ17" i="121"/>
  <c r="AJ14" i="122"/>
  <c r="AJ10" i="123"/>
  <c r="AV29" i="122"/>
  <c r="AV55" i="122"/>
  <c r="AV30" i="125"/>
  <c r="AQ12" i="475"/>
  <c r="AO60" i="475"/>
  <c r="AO12" i="100"/>
  <c r="AG12" i="100"/>
  <c r="AV41" i="101"/>
  <c r="AV15" i="101"/>
  <c r="AB60" i="100"/>
  <c r="AB60" i="102"/>
  <c r="AG50" i="105"/>
  <c r="AP12" i="103"/>
  <c r="AJ31" i="107"/>
  <c r="AJ18" i="108"/>
  <c r="AJ31" i="106"/>
  <c r="AC2" i="110"/>
  <c r="AV45" i="107"/>
  <c r="AJ58" i="110"/>
  <c r="AD22" i="472"/>
  <c r="AO60" i="112"/>
  <c r="AJ20" i="472"/>
  <c r="AJ26" i="114"/>
  <c r="AV29" i="472"/>
  <c r="AF50" i="114"/>
  <c r="AI50" i="114"/>
  <c r="AU22" i="124"/>
  <c r="AD60" i="117"/>
  <c r="AI60" i="117"/>
  <c r="AV40" i="118"/>
  <c r="AV25" i="119"/>
  <c r="AU68" i="119"/>
  <c r="AD2" i="120"/>
  <c r="AG12" i="120"/>
  <c r="AV32" i="122"/>
  <c r="AV58" i="121"/>
  <c r="AV37" i="121"/>
  <c r="AJ49" i="122"/>
  <c r="AV52" i="105"/>
  <c r="AD12" i="102"/>
  <c r="AV67" i="100"/>
  <c r="AJ17" i="103"/>
  <c r="AV30" i="103"/>
  <c r="AV67" i="103"/>
  <c r="AU65" i="101"/>
  <c r="AB50" i="102"/>
  <c r="AJ14" i="100"/>
  <c r="AQ50" i="102"/>
  <c r="AJ11" i="103"/>
  <c r="AJ14" i="105"/>
  <c r="AQ68" i="102"/>
  <c r="AU33" i="105"/>
  <c r="AU60" i="106"/>
  <c r="AJ43" i="107"/>
  <c r="AI12" i="108"/>
  <c r="AV15" i="108"/>
  <c r="AJ52" i="108"/>
  <c r="AH22" i="111"/>
  <c r="AE22" i="110"/>
  <c r="AB60" i="110"/>
  <c r="AV52" i="111"/>
  <c r="AR65" i="114"/>
  <c r="AJ19" i="116"/>
  <c r="AI12" i="115"/>
  <c r="AJ16" i="118"/>
  <c r="AU22" i="119"/>
  <c r="AE60" i="117"/>
  <c r="AR68" i="119"/>
  <c r="AI12" i="120"/>
  <c r="AT60" i="120"/>
  <c r="AO12" i="121"/>
  <c r="AO50" i="121"/>
  <c r="AJ78" i="123"/>
  <c r="AV49" i="123"/>
  <c r="AC22" i="123"/>
  <c r="AV45" i="475"/>
  <c r="AV27" i="101"/>
  <c r="AF12" i="102"/>
  <c r="AE12" i="102"/>
  <c r="AR50" i="102"/>
  <c r="AO33" i="105"/>
  <c r="AE22" i="111"/>
  <c r="AF22" i="110"/>
  <c r="AE60" i="110"/>
  <c r="AC2" i="112"/>
  <c r="AF12" i="112"/>
  <c r="AE12" i="472"/>
  <c r="AB22" i="124"/>
  <c r="AI22" i="124"/>
  <c r="AJ26" i="119"/>
  <c r="AP33" i="125"/>
  <c r="AC33" i="121"/>
  <c r="AJ27" i="110"/>
  <c r="AF22" i="472"/>
  <c r="AU22" i="114"/>
  <c r="AJ4" i="116"/>
  <c r="AC50" i="114"/>
  <c r="AO22" i="124"/>
  <c r="AB60" i="117"/>
  <c r="AV78" i="117"/>
  <c r="AV28" i="119"/>
  <c r="AV32" i="119"/>
  <c r="AS68" i="119"/>
  <c r="AC2" i="120"/>
  <c r="AJ56" i="119"/>
  <c r="AV63" i="120"/>
  <c r="AV32" i="120"/>
  <c r="AE33" i="120"/>
  <c r="AP12" i="121"/>
  <c r="AV46" i="121"/>
  <c r="AP50" i="121"/>
  <c r="AJ32" i="123"/>
  <c r="AV14" i="475"/>
  <c r="AJ17" i="100"/>
  <c r="AG12" i="102"/>
  <c r="AR68" i="101"/>
  <c r="AJ67" i="101"/>
  <c r="AO65" i="101"/>
  <c r="AC33" i="103"/>
  <c r="AS50" i="102"/>
  <c r="AJ24" i="105"/>
  <c r="AJ31" i="103"/>
  <c r="AR33" i="105"/>
  <c r="AV15" i="105"/>
  <c r="AT68" i="105"/>
  <c r="AO60" i="106"/>
  <c r="AJ15" i="107"/>
  <c r="AV28" i="107"/>
  <c r="AD12" i="108"/>
  <c r="AC50" i="106"/>
  <c r="AV43" i="108"/>
  <c r="AJ78" i="108"/>
  <c r="AD22" i="111"/>
  <c r="AB22" i="111"/>
  <c r="AG22" i="110"/>
  <c r="AH60" i="110"/>
  <c r="AV10" i="111"/>
  <c r="AB2" i="112"/>
  <c r="AV9" i="112"/>
  <c r="AS50" i="111"/>
  <c r="AV45" i="111"/>
  <c r="AS12" i="115"/>
  <c r="AG12" i="112"/>
  <c r="AB12" i="472"/>
  <c r="AJ37" i="114"/>
  <c r="AG50" i="117"/>
  <c r="AV48" i="472"/>
  <c r="AV55" i="112"/>
  <c r="AV59" i="115"/>
  <c r="AJ21" i="117"/>
  <c r="AD50" i="114"/>
  <c r="AP22" i="124"/>
  <c r="AC60" i="117"/>
  <c r="AV59" i="117"/>
  <c r="AO68" i="119"/>
  <c r="AH2" i="120"/>
  <c r="AB12" i="120"/>
  <c r="AQ12" i="121"/>
  <c r="AS50" i="121"/>
  <c r="AV55" i="121"/>
  <c r="AV63" i="122"/>
  <c r="AF22" i="123"/>
  <c r="AJ31" i="123"/>
  <c r="AI12" i="475"/>
  <c r="AV78" i="475"/>
  <c r="AV56" i="475"/>
  <c r="AQ50" i="101"/>
  <c r="AH12" i="102"/>
  <c r="AJ14" i="102"/>
  <c r="AJ32" i="103"/>
  <c r="AP65" i="101"/>
  <c r="AH50" i="103"/>
  <c r="AI12" i="100"/>
  <c r="AV21" i="101"/>
  <c r="AU50" i="102"/>
  <c r="AJ19" i="105"/>
  <c r="AR68" i="102"/>
  <c r="AQ33" i="105"/>
  <c r="AV27" i="107"/>
  <c r="AS60" i="106"/>
  <c r="AE12" i="108"/>
  <c r="AD50" i="106"/>
  <c r="AJ36" i="107"/>
  <c r="AF22" i="111"/>
  <c r="AC22" i="110"/>
  <c r="AB22" i="110"/>
  <c r="AJ28" i="110"/>
  <c r="AI60" i="110"/>
  <c r="AV19" i="112"/>
  <c r="AI2" i="112"/>
  <c r="AV14" i="115"/>
  <c r="AH12" i="112"/>
  <c r="AC12" i="472"/>
  <c r="AJ39" i="114"/>
  <c r="AJ10" i="472"/>
  <c r="AD22" i="124"/>
  <c r="AJ15" i="114"/>
  <c r="AG12" i="115"/>
  <c r="AU33" i="124"/>
  <c r="AC22" i="116"/>
  <c r="AI33" i="116"/>
  <c r="AV44" i="116"/>
  <c r="AV59" i="119"/>
  <c r="AQ12" i="119"/>
  <c r="AC50" i="121"/>
  <c r="AQ60" i="114"/>
  <c r="AI2" i="472"/>
  <c r="AG22" i="472"/>
  <c r="AI22" i="472"/>
  <c r="AJ31" i="124"/>
  <c r="AV10" i="115"/>
  <c r="AE50" i="114"/>
  <c r="AQ22" i="124"/>
  <c r="AF60" i="117"/>
  <c r="AG50" i="118"/>
  <c r="AP68" i="119"/>
  <c r="AF12" i="120"/>
  <c r="AV18" i="120"/>
  <c r="AJ44" i="121"/>
  <c r="AS12" i="121"/>
  <c r="AQ50" i="121"/>
  <c r="AV57" i="121"/>
  <c r="AD50" i="122"/>
  <c r="AJ16" i="475"/>
  <c r="AV63" i="125"/>
  <c r="AB12" i="475"/>
  <c r="AI12" i="103"/>
  <c r="AG65" i="102"/>
  <c r="AJ8" i="101"/>
  <c r="AQ65" i="101"/>
  <c r="AS68" i="102"/>
  <c r="AQ68" i="105"/>
  <c r="AH50" i="106"/>
  <c r="AP60" i="106"/>
  <c r="AI12" i="106"/>
  <c r="AB12" i="108"/>
  <c r="AF50" i="106"/>
  <c r="AV78" i="108"/>
  <c r="AG22" i="111"/>
  <c r="AE2" i="112"/>
  <c r="AB12" i="112"/>
  <c r="AC12" i="112"/>
  <c r="AD12" i="472"/>
  <c r="AJ41" i="114"/>
  <c r="AV19" i="124"/>
  <c r="AE22" i="124"/>
  <c r="AS65" i="120"/>
  <c r="AB33" i="121"/>
  <c r="AV39" i="107"/>
  <c r="AP22" i="108"/>
  <c r="AV27" i="110"/>
  <c r="AV15" i="110"/>
  <c r="AJ27" i="112"/>
  <c r="AH22" i="472"/>
  <c r="AQ60" i="112"/>
  <c r="AV21" i="472"/>
  <c r="AJ4" i="472"/>
  <c r="AO50" i="115"/>
  <c r="AJ20" i="115"/>
  <c r="AG50" i="114"/>
  <c r="AR22" i="124"/>
  <c r="AG60" i="117"/>
  <c r="AP12" i="119"/>
  <c r="AV52" i="118"/>
  <c r="AQ68" i="119"/>
  <c r="AF2" i="120"/>
  <c r="AJ20" i="120"/>
  <c r="AH12" i="120"/>
  <c r="AE65" i="120"/>
  <c r="AQ60" i="120"/>
  <c r="AV42" i="120"/>
  <c r="AU12" i="121"/>
  <c r="AR50" i="121"/>
  <c r="AC12" i="475"/>
  <c r="AV44" i="101"/>
  <c r="AI12" i="102"/>
  <c r="AR65" i="101"/>
  <c r="AO50" i="102"/>
  <c r="AC12" i="105"/>
  <c r="AT68" i="102"/>
  <c r="AP33" i="105"/>
  <c r="AJ29" i="103"/>
  <c r="AV64" i="106"/>
  <c r="AR60" i="106"/>
  <c r="AC12" i="108"/>
  <c r="AV11" i="106"/>
  <c r="AV52" i="107"/>
  <c r="AV53" i="107"/>
  <c r="AI22" i="111"/>
  <c r="AD22" i="110"/>
  <c r="AC60" i="110"/>
  <c r="AJ21" i="111"/>
  <c r="AD2" i="112"/>
  <c r="AH2" i="112"/>
  <c r="AD12" i="112"/>
  <c r="AF12" i="472"/>
  <c r="AG12" i="472"/>
  <c r="AJ67" i="114"/>
  <c r="AV78" i="112"/>
  <c r="AB12" i="115"/>
  <c r="AO33" i="124"/>
  <c r="AR50" i="116"/>
  <c r="AV59" i="110"/>
  <c r="AJ48" i="110"/>
  <c r="AV28" i="111"/>
  <c r="AB22" i="472"/>
  <c r="AJ78" i="114"/>
  <c r="AJ30" i="472"/>
  <c r="AH12" i="124"/>
  <c r="AJ59" i="114"/>
  <c r="AJ40" i="115"/>
  <c r="AV41" i="116"/>
  <c r="AJ10" i="124"/>
  <c r="AH50" i="114"/>
  <c r="AS22" i="124"/>
  <c r="AH60" i="117"/>
  <c r="AJ73" i="117"/>
  <c r="AT68" i="119"/>
  <c r="AG2" i="120"/>
  <c r="AV58" i="119"/>
  <c r="AJ44" i="119"/>
  <c r="AV17" i="120"/>
  <c r="AC12" i="120"/>
  <c r="AE12" i="120"/>
  <c r="AJ16" i="121"/>
  <c r="AR12" i="121"/>
  <c r="AV31" i="121"/>
  <c r="AT50" i="121"/>
  <c r="AJ25" i="123"/>
  <c r="AJ32" i="475"/>
  <c r="AV9" i="475"/>
  <c r="AV29" i="100"/>
  <c r="AB12" i="102"/>
  <c r="AU65" i="100"/>
  <c r="AV32" i="101"/>
  <c r="AT50" i="102"/>
  <c r="AJ56" i="101"/>
  <c r="AU68" i="102"/>
  <c r="AS33" i="105"/>
  <c r="AV30" i="105"/>
  <c r="AJ45" i="105"/>
  <c r="AP22" i="107"/>
  <c r="AQ60" i="106"/>
  <c r="AJ42" i="107"/>
  <c r="AJ63" i="106"/>
  <c r="AF12" i="108"/>
  <c r="AV56" i="108"/>
  <c r="AH22" i="110"/>
  <c r="AG60" i="110"/>
  <c r="AF2" i="112"/>
  <c r="AP50" i="111"/>
  <c r="AU12" i="115"/>
  <c r="AE12" i="112"/>
  <c r="AH12" i="472"/>
  <c r="AJ27" i="472"/>
  <c r="AJ55" i="472"/>
  <c r="AV67" i="114"/>
  <c r="AG22" i="124"/>
  <c r="AC12" i="115"/>
  <c r="AP33" i="124"/>
  <c r="AC33" i="116"/>
  <c r="AS50" i="116"/>
  <c r="AI50" i="117"/>
  <c r="AS12" i="119"/>
  <c r="AR12" i="125"/>
  <c r="AV8" i="112"/>
  <c r="AC22" i="472"/>
  <c r="AR50" i="114"/>
  <c r="AV32" i="472"/>
  <c r="AT22" i="124"/>
  <c r="AJ59" i="118"/>
  <c r="AV17" i="119"/>
  <c r="AV27" i="119"/>
  <c r="AJ46" i="118"/>
  <c r="AV31" i="120"/>
  <c r="AD12" i="120"/>
  <c r="AJ39" i="120"/>
  <c r="AP60" i="120"/>
  <c r="AT12" i="121"/>
  <c r="AV16" i="121"/>
  <c r="AJ31" i="121"/>
  <c r="AU50" i="121"/>
  <c r="AI22" i="123"/>
  <c r="AV31" i="101"/>
  <c r="AC12" i="102"/>
  <c r="AT65" i="101"/>
  <c r="AP50" i="102"/>
  <c r="AT33" i="105"/>
  <c r="AJ54" i="102"/>
  <c r="AT60" i="106"/>
  <c r="AJ36" i="105"/>
  <c r="AH12" i="108"/>
  <c r="AG12" i="108"/>
  <c r="AQ50" i="107"/>
  <c r="AV38" i="110"/>
  <c r="AC22" i="111"/>
  <c r="AI22" i="110"/>
  <c r="AV36" i="110"/>
  <c r="AV20" i="111"/>
  <c r="AF60" i="110"/>
  <c r="AD60" i="110"/>
  <c r="AG2" i="112"/>
  <c r="AV59" i="472"/>
  <c r="AI12" i="112"/>
  <c r="AI12" i="472"/>
  <c r="AP65" i="114"/>
  <c r="AJ29" i="115"/>
  <c r="AH22" i="124"/>
  <c r="AE12" i="115"/>
  <c r="AQ33" i="124"/>
  <c r="AD33" i="116"/>
  <c r="AT22" i="119"/>
  <c r="AG33" i="121"/>
  <c r="AO50" i="116"/>
  <c r="AV32" i="118"/>
  <c r="AO22" i="119"/>
  <c r="AJ28" i="119"/>
  <c r="AP65" i="120"/>
  <c r="AJ27" i="120"/>
  <c r="AV37" i="120"/>
  <c r="AV40" i="120"/>
  <c r="AC12" i="122"/>
  <c r="AJ36" i="121"/>
  <c r="AV10" i="475"/>
  <c r="AO12" i="125"/>
  <c r="AB65" i="475"/>
  <c r="AR22" i="475"/>
  <c r="AV30" i="475"/>
  <c r="AQ68" i="123"/>
  <c r="AJ57" i="122"/>
  <c r="AR50" i="125"/>
  <c r="AV42" i="475"/>
  <c r="AE65" i="475"/>
  <c r="AS50" i="475"/>
  <c r="AF22" i="124"/>
  <c r="AJ27" i="117"/>
  <c r="AJ56" i="114"/>
  <c r="AH12" i="115"/>
  <c r="AV42" i="124"/>
  <c r="AV45" i="124"/>
  <c r="AJ53" i="124"/>
  <c r="AJ28" i="116"/>
  <c r="AP50" i="116"/>
  <c r="AV58" i="116"/>
  <c r="AJ64" i="117"/>
  <c r="AR22" i="119"/>
  <c r="AP12" i="125"/>
  <c r="AC65" i="475"/>
  <c r="AI50" i="121"/>
  <c r="AV38" i="125"/>
  <c r="AU33" i="125"/>
  <c r="AS22" i="475"/>
  <c r="AV16" i="125"/>
  <c r="AO68" i="123"/>
  <c r="AQ50" i="123"/>
  <c r="AT50" i="125"/>
  <c r="AG65" i="475"/>
  <c r="AE33" i="121"/>
  <c r="AU50" i="475"/>
  <c r="AG33" i="116"/>
  <c r="AV54" i="116"/>
  <c r="AV29" i="118"/>
  <c r="AJ37" i="119"/>
  <c r="AO65" i="120"/>
  <c r="AQ12" i="125"/>
  <c r="AI65" i="475"/>
  <c r="AB50" i="121"/>
  <c r="AD50" i="121"/>
  <c r="AJ30" i="123"/>
  <c r="AO22" i="475"/>
  <c r="AP68" i="123"/>
  <c r="AS50" i="123"/>
  <c r="AV54" i="475"/>
  <c r="AU50" i="125"/>
  <c r="AV37" i="104"/>
  <c r="AF33" i="121"/>
  <c r="AP50" i="475"/>
  <c r="AJ17" i="123"/>
  <c r="AO33" i="125"/>
  <c r="AP22" i="475"/>
  <c r="AS68" i="123"/>
  <c r="AP50" i="123"/>
  <c r="AS50" i="125"/>
  <c r="AQ50" i="475"/>
  <c r="AJ49" i="475"/>
  <c r="AJ49" i="119"/>
  <c r="AV39" i="119"/>
  <c r="AQ65" i="120"/>
  <c r="AJ58" i="121"/>
  <c r="AJ27" i="123"/>
  <c r="AJ49" i="123"/>
  <c r="AT12" i="125"/>
  <c r="AD65" i="475"/>
  <c r="AE50" i="121"/>
  <c r="AV19" i="122"/>
  <c r="AT22" i="475"/>
  <c r="AJ26" i="123"/>
  <c r="AU68" i="123"/>
  <c r="AT50" i="123"/>
  <c r="AO50" i="125"/>
  <c r="AJ59" i="121"/>
  <c r="AV8" i="475"/>
  <c r="AV59" i="125"/>
  <c r="AV43" i="475"/>
  <c r="AR33" i="124"/>
  <c r="AB33" i="116"/>
  <c r="AF33" i="116"/>
  <c r="AT50" i="116"/>
  <c r="AV36" i="117"/>
  <c r="AP22" i="119"/>
  <c r="AI12" i="122"/>
  <c r="AS12" i="125"/>
  <c r="AH50" i="121"/>
  <c r="AR33" i="125"/>
  <c r="AJ10" i="475"/>
  <c r="AU22" i="475"/>
  <c r="AU50" i="123"/>
  <c r="AT50" i="475"/>
  <c r="AJ44" i="475"/>
  <c r="AC22" i="124"/>
  <c r="AD12" i="115"/>
  <c r="AS33" i="124"/>
  <c r="AE33" i="116"/>
  <c r="AJ37" i="116"/>
  <c r="AQ50" i="116"/>
  <c r="AJ64" i="116"/>
  <c r="AV38" i="119"/>
  <c r="AQ22" i="119"/>
  <c r="AI50" i="118"/>
  <c r="AV16" i="119"/>
  <c r="AJ44" i="120"/>
  <c r="AA12" i="122"/>
  <c r="AU12" i="125"/>
  <c r="AF50" i="121"/>
  <c r="AS33" i="125"/>
  <c r="AV17" i="125"/>
  <c r="AV53" i="475"/>
  <c r="AV32" i="123"/>
  <c r="AV44" i="123"/>
  <c r="AR68" i="123"/>
  <c r="AO50" i="123"/>
  <c r="AJ52" i="123"/>
  <c r="AJ34" i="121"/>
  <c r="AO50" i="475"/>
  <c r="AN12" i="119"/>
  <c r="AF12" i="115"/>
  <c r="AT33" i="124"/>
  <c r="AH33" i="116"/>
  <c r="AJ78" i="116"/>
  <c r="AU50" i="116"/>
  <c r="AJ25" i="119"/>
  <c r="AS22" i="119"/>
  <c r="AJ52" i="118"/>
  <c r="AU65" i="120"/>
  <c r="AH65" i="475"/>
  <c r="AG50" i="121"/>
  <c r="AT33" i="125"/>
  <c r="AQ22" i="475"/>
  <c r="AV15" i="122"/>
  <c r="AT68" i="123"/>
  <c r="AR50" i="123"/>
  <c r="AJ59" i="123"/>
  <c r="AV20" i="123"/>
  <c r="AQ50" i="125"/>
  <c r="AR50" i="475"/>
  <c r="E15" i="418"/>
  <c r="E9" i="418"/>
  <c r="E11" i="418"/>
  <c r="E20" i="418"/>
  <c r="O13" i="122"/>
  <c r="P13" i="122" s="1"/>
  <c r="O19" i="122"/>
  <c r="P19" i="122" s="1"/>
  <c r="O11" i="100"/>
  <c r="P11" i="100" s="1"/>
  <c r="O50" i="106"/>
  <c r="P50" i="106" s="1"/>
  <c r="O17" i="125"/>
  <c r="P17" i="125" s="1"/>
  <c r="O56" i="108"/>
  <c r="P56" i="108" s="1"/>
  <c r="O71" i="118"/>
  <c r="P71" i="118" s="1"/>
  <c r="O54" i="123"/>
  <c r="P54" i="123" s="1"/>
  <c r="O31" i="472"/>
  <c r="P31" i="472" s="1"/>
  <c r="O73" i="118"/>
  <c r="P73" i="118" s="1"/>
  <c r="V11" i="118"/>
  <c r="O25" i="674" s="1"/>
  <c r="O54" i="472"/>
  <c r="P54" i="472" s="1"/>
  <c r="O71" i="110"/>
  <c r="P71" i="110" s="1"/>
  <c r="O55" i="110"/>
  <c r="P55" i="110" s="1"/>
  <c r="O11" i="125"/>
  <c r="P11" i="125" s="1"/>
  <c r="O35" i="475"/>
  <c r="P35" i="475" s="1"/>
  <c r="O64" i="118"/>
  <c r="P64" i="118" s="1"/>
  <c r="O40" i="115"/>
  <c r="P40" i="115" s="1"/>
  <c r="O71" i="123"/>
  <c r="P71" i="123" s="1"/>
  <c r="O21" i="111"/>
  <c r="P21" i="111" s="1"/>
  <c r="O66" i="114"/>
  <c r="P66" i="114" s="1"/>
  <c r="O30" i="125"/>
  <c r="P30" i="125" s="1"/>
  <c r="O41" i="475"/>
  <c r="P41" i="475" s="1"/>
  <c r="O16" i="107"/>
  <c r="P16" i="107" s="1"/>
  <c r="O17" i="112"/>
  <c r="P17" i="112" s="1"/>
  <c r="O55" i="125"/>
  <c r="P55" i="125" s="1"/>
  <c r="O39" i="475"/>
  <c r="P39" i="475" s="1"/>
  <c r="O29" i="118"/>
  <c r="P29" i="118" s="1"/>
  <c r="O32" i="121"/>
  <c r="P32" i="121" s="1"/>
  <c r="O51" i="101"/>
  <c r="P51" i="101" s="1"/>
  <c r="AJ27" i="125"/>
  <c r="AJ28" i="125"/>
  <c r="AJ67" i="125"/>
  <c r="AJ55" i="125"/>
  <c r="AJ2" i="475"/>
  <c r="AJ21" i="125"/>
  <c r="AJ32" i="125"/>
  <c r="AJ57" i="125"/>
  <c r="AJ19" i="125"/>
  <c r="AJ24" i="125"/>
  <c r="AJ9" i="125"/>
  <c r="AE50" i="100"/>
  <c r="AJ52" i="100"/>
  <c r="AA22" i="101"/>
  <c r="AJ23" i="101"/>
  <c r="AA68" i="100"/>
  <c r="AJ69" i="100"/>
  <c r="AJ68" i="100" s="1"/>
  <c r="AN33" i="102"/>
  <c r="AV36" i="102"/>
  <c r="AJ14" i="101"/>
  <c r="AA12" i="101"/>
  <c r="AV35" i="101"/>
  <c r="AN33" i="101"/>
  <c r="AV15" i="100"/>
  <c r="AN12" i="100"/>
  <c r="AA70" i="101"/>
  <c r="AJ71" i="101"/>
  <c r="AJ70" i="101" s="1"/>
  <c r="AA50" i="101"/>
  <c r="AJ53" i="101"/>
  <c r="AV8" i="101"/>
  <c r="AA60" i="101"/>
  <c r="AJ61" i="101"/>
  <c r="AJ73" i="100"/>
  <c r="AV13" i="103"/>
  <c r="AN12" i="103"/>
  <c r="AA70" i="108"/>
  <c r="AJ71" i="108"/>
  <c r="AJ70" i="108" s="1"/>
  <c r="AA70" i="110"/>
  <c r="AJ71" i="110"/>
  <c r="AJ70" i="110" s="1"/>
  <c r="AA50" i="110"/>
  <c r="AJ51" i="110"/>
  <c r="AV73" i="110"/>
  <c r="AV72" i="110" s="1"/>
  <c r="AN72" i="110"/>
  <c r="AN68" i="110"/>
  <c r="AV69" i="110"/>
  <c r="AV61" i="111"/>
  <c r="AN60" i="111"/>
  <c r="AV23" i="472"/>
  <c r="AN22" i="472"/>
  <c r="AV66" i="472"/>
  <c r="AP65" i="472"/>
  <c r="AV13" i="114"/>
  <c r="AN12" i="114"/>
  <c r="AA60" i="472"/>
  <c r="AJ61" i="472"/>
  <c r="AA60" i="124"/>
  <c r="AJ61" i="124"/>
  <c r="AJ3" i="116"/>
  <c r="AA2" i="116"/>
  <c r="AJ35" i="114"/>
  <c r="AA33" i="114"/>
  <c r="AJ61" i="112"/>
  <c r="AA60" i="112"/>
  <c r="AN50" i="114"/>
  <c r="AV53" i="114"/>
  <c r="AA33" i="124"/>
  <c r="AJ34" i="124"/>
  <c r="AA60" i="116"/>
  <c r="AJ63" i="116"/>
  <c r="AN60" i="117"/>
  <c r="AV61" i="117"/>
  <c r="AJ4" i="118"/>
  <c r="AA2" i="118"/>
  <c r="AA12" i="119"/>
  <c r="AJ14" i="119"/>
  <c r="AJ4" i="119"/>
  <c r="AJ2" i="119" s="1"/>
  <c r="AA2" i="119"/>
  <c r="AA22" i="119"/>
  <c r="AJ23" i="119"/>
  <c r="AV13" i="120"/>
  <c r="AN12" i="120"/>
  <c r="AV73" i="120"/>
  <c r="AV72" i="120" s="1"/>
  <c r="AN72" i="120"/>
  <c r="AJ14" i="121"/>
  <c r="AA12" i="121"/>
  <c r="AA65" i="122"/>
  <c r="AJ66" i="122"/>
  <c r="AJ65" i="122" s="1"/>
  <c r="AV13" i="123"/>
  <c r="AN12" i="123"/>
  <c r="AJ34" i="123"/>
  <c r="AA33" i="123"/>
  <c r="AA50" i="123"/>
  <c r="AJ51" i="123"/>
  <c r="AH68" i="100"/>
  <c r="AJ18" i="100"/>
  <c r="AJ46" i="101"/>
  <c r="AV54" i="100"/>
  <c r="AV58" i="100"/>
  <c r="AN70" i="100"/>
  <c r="AN68" i="100" s="1"/>
  <c r="AV71" i="100"/>
  <c r="AV70" i="100" s="1"/>
  <c r="AJ13" i="100"/>
  <c r="AA12" i="100"/>
  <c r="AU12" i="100"/>
  <c r="AJ3" i="101"/>
  <c r="AA2" i="101"/>
  <c r="AJ8" i="106"/>
  <c r="AA65" i="103"/>
  <c r="AJ66" i="103"/>
  <c r="AJ13" i="103"/>
  <c r="AB12" i="103"/>
  <c r="AN33" i="103"/>
  <c r="AV34" i="103"/>
  <c r="AN65" i="100"/>
  <c r="AV66" i="100"/>
  <c r="AJ69" i="105"/>
  <c r="AJ68" i="105" s="1"/>
  <c r="AA68" i="105"/>
  <c r="AJ61" i="106"/>
  <c r="AA60" i="106"/>
  <c r="AJ61" i="105"/>
  <c r="AJ60" i="105" s="1"/>
  <c r="AA60" i="105"/>
  <c r="AJ35" i="108"/>
  <c r="AA33" i="108"/>
  <c r="AV66" i="108"/>
  <c r="AN65" i="108"/>
  <c r="AV13" i="107"/>
  <c r="AN12" i="107"/>
  <c r="AN2" i="110"/>
  <c r="AV3" i="110"/>
  <c r="AV2" i="110" s="1"/>
  <c r="AV13" i="108"/>
  <c r="AN12" i="108"/>
  <c r="AB33" i="108"/>
  <c r="AJ34" i="108"/>
  <c r="AV23" i="111"/>
  <c r="AN22" i="111"/>
  <c r="AN60" i="114"/>
  <c r="AV61" i="114"/>
  <c r="AN72" i="111"/>
  <c r="AV73" i="111"/>
  <c r="AV72" i="111" s="1"/>
  <c r="AJ51" i="112"/>
  <c r="AA50" i="112"/>
  <c r="AA12" i="114"/>
  <c r="AJ13" i="114"/>
  <c r="AA50" i="111"/>
  <c r="AJ51" i="111"/>
  <c r="AV14" i="472"/>
  <c r="AN12" i="472"/>
  <c r="AJ71" i="112"/>
  <c r="AJ70" i="112" s="1"/>
  <c r="AA70" i="112"/>
  <c r="AA33" i="115"/>
  <c r="AJ35" i="115"/>
  <c r="AJ3" i="115"/>
  <c r="AJ2" i="115" s="1"/>
  <c r="AA2" i="115"/>
  <c r="AA60" i="115"/>
  <c r="AJ64" i="115"/>
  <c r="AA68" i="115"/>
  <c r="AJ69" i="115"/>
  <c r="AJ68" i="115" s="1"/>
  <c r="AJ8" i="124"/>
  <c r="AN70" i="117"/>
  <c r="AN68" i="117" s="1"/>
  <c r="AV71" i="117"/>
  <c r="AV70" i="117" s="1"/>
  <c r="AV54" i="117"/>
  <c r="AN50" i="117"/>
  <c r="AA12" i="118"/>
  <c r="AJ14" i="118"/>
  <c r="AV34" i="118"/>
  <c r="AN33" i="118"/>
  <c r="AN33" i="119"/>
  <c r="AV34" i="119"/>
  <c r="AJ35" i="119"/>
  <c r="AA33" i="119"/>
  <c r="AA2" i="121"/>
  <c r="AJ3" i="121"/>
  <c r="AJ2" i="121" s="1"/>
  <c r="AJ23" i="121"/>
  <c r="AA22" i="121"/>
  <c r="AV71" i="121"/>
  <c r="AV70" i="121" s="1"/>
  <c r="AN70" i="121"/>
  <c r="AN68" i="121" s="1"/>
  <c r="AV73" i="123"/>
  <c r="AV72" i="123" s="1"/>
  <c r="AN72" i="123"/>
  <c r="AJ69" i="123"/>
  <c r="AJ68" i="123" s="1"/>
  <c r="AA68" i="123"/>
  <c r="AV23" i="125"/>
  <c r="AN22" i="125"/>
  <c r="AN33" i="475"/>
  <c r="AV34" i="475"/>
  <c r="AA22" i="475"/>
  <c r="AJ23" i="475"/>
  <c r="AA68" i="125"/>
  <c r="AJ69" i="125"/>
  <c r="AJ68" i="125" s="1"/>
  <c r="AA70" i="123"/>
  <c r="AJ71" i="123"/>
  <c r="AJ70" i="123" s="1"/>
  <c r="AN2" i="475"/>
  <c r="AV3" i="475"/>
  <c r="AV2" i="475" s="1"/>
  <c r="AJ69" i="475"/>
  <c r="AJ68" i="475" s="1"/>
  <c r="AA68" i="475"/>
  <c r="AB50" i="101"/>
  <c r="AJ52" i="101"/>
  <c r="AD46" i="125"/>
  <c r="AD78" i="125"/>
  <c r="AD41" i="125"/>
  <c r="AF39" i="125"/>
  <c r="AH26" i="125"/>
  <c r="AD13" i="125"/>
  <c r="AE49" i="125"/>
  <c r="AE39" i="125"/>
  <c r="AE35" i="125"/>
  <c r="AF66" i="125"/>
  <c r="AF65" i="125" s="1"/>
  <c r="AH54" i="125"/>
  <c r="AD39" i="125"/>
  <c r="AH38" i="125"/>
  <c r="AD35" i="125"/>
  <c r="AH34" i="125"/>
  <c r="AH30" i="125"/>
  <c r="AE26" i="125"/>
  <c r="AH45" i="125"/>
  <c r="AF37" i="125"/>
  <c r="G753" i="125"/>
  <c r="AH56" i="125"/>
  <c r="AF46" i="125"/>
  <c r="AF44" i="125"/>
  <c r="AE37" i="125"/>
  <c r="AE17" i="125"/>
  <c r="AH73" i="125"/>
  <c r="AD53" i="125"/>
  <c r="AE46" i="125"/>
  <c r="AE44" i="125"/>
  <c r="AF78" i="125"/>
  <c r="AF41" i="125"/>
  <c r="AD37" i="125"/>
  <c r="AD17" i="125"/>
  <c r="AE15" i="125"/>
  <c r="AD44" i="125"/>
  <c r="AE78" i="125"/>
  <c r="AE41" i="125"/>
  <c r="AD15" i="125"/>
  <c r="AE13" i="125"/>
  <c r="AF25" i="125"/>
  <c r="AE25" i="125"/>
  <c r="AH4" i="125"/>
  <c r="AH2" i="125" s="1"/>
  <c r="AD11" i="125"/>
  <c r="AE4" i="125"/>
  <c r="AE2" i="125" s="1"/>
  <c r="AC11" i="125"/>
  <c r="AA4" i="125"/>
  <c r="AH18" i="125"/>
  <c r="AA46" i="125"/>
  <c r="AA36" i="125"/>
  <c r="AI44" i="125"/>
  <c r="AI56" i="125"/>
  <c r="AA31" i="125"/>
  <c r="AB73" i="125"/>
  <c r="AC73" i="125"/>
  <c r="AG14" i="125"/>
  <c r="AB17" i="125"/>
  <c r="AG18" i="125"/>
  <c r="AA44" i="125"/>
  <c r="AA35" i="125"/>
  <c r="AI78" i="125"/>
  <c r="AI17" i="125"/>
  <c r="AB72" i="125"/>
  <c r="AC72" i="125"/>
  <c r="AI4" i="125"/>
  <c r="AI2" i="125" s="1"/>
  <c r="AE14" i="125"/>
  <c r="AF14" i="125"/>
  <c r="AI34" i="125"/>
  <c r="AB16" i="125"/>
  <c r="AD38" i="125"/>
  <c r="AH49" i="125"/>
  <c r="AA25" i="125"/>
  <c r="AH35" i="125"/>
  <c r="AC54" i="125"/>
  <c r="AI11" i="125"/>
  <c r="AB38" i="125"/>
  <c r="AA66" i="125"/>
  <c r="AG4" i="125"/>
  <c r="AG2" i="125" s="1"/>
  <c r="AD36" i="125"/>
  <c r="AH72" i="125"/>
  <c r="AG44" i="125"/>
  <c r="AC63" i="125"/>
  <c r="AC37" i="125"/>
  <c r="AA42" i="125"/>
  <c r="AH48" i="125"/>
  <c r="AB59" i="125"/>
  <c r="AE10" i="125"/>
  <c r="AF35" i="125"/>
  <c r="AC43" i="125"/>
  <c r="AE53" i="125"/>
  <c r="AD64" i="125"/>
  <c r="AI73" i="125"/>
  <c r="AF11" i="125"/>
  <c r="AH44" i="125"/>
  <c r="AE72" i="125"/>
  <c r="AG10" i="125"/>
  <c r="AG53" i="125"/>
  <c r="AE18" i="125"/>
  <c r="AI42" i="125"/>
  <c r="AA78" i="125"/>
  <c r="AA56" i="125"/>
  <c r="AI41" i="125"/>
  <c r="AI48" i="125"/>
  <c r="AB39" i="125"/>
  <c r="AC15" i="125"/>
  <c r="AC14" i="125"/>
  <c r="AI26" i="125"/>
  <c r="AA15" i="125"/>
  <c r="AI40" i="125"/>
  <c r="AG73" i="125"/>
  <c r="AI16" i="125"/>
  <c r="AI36" i="125"/>
  <c r="AF4" i="125"/>
  <c r="AF2" i="125" s="1"/>
  <c r="AF36" i="125"/>
  <c r="AF40" i="125"/>
  <c r="AH40" i="125"/>
  <c r="AG49" i="125"/>
  <c r="AH25" i="125"/>
  <c r="AA30" i="125"/>
  <c r="AB54" i="125"/>
  <c r="AB13" i="125"/>
  <c r="AC39" i="125"/>
  <c r="AH66" i="125"/>
  <c r="AH65" i="125" s="1"/>
  <c r="AC25" i="125"/>
  <c r="AE40" i="125"/>
  <c r="AE52" i="125"/>
  <c r="AG37" i="125"/>
  <c r="AG48" i="125"/>
  <c r="AB63" i="125"/>
  <c r="AF43" i="125"/>
  <c r="AF49" i="125"/>
  <c r="AI59" i="125"/>
  <c r="AE11" i="125"/>
  <c r="AA73" i="125"/>
  <c r="AG35" i="125"/>
  <c r="AG11" i="125"/>
  <c r="AA13" i="125"/>
  <c r="AF18" i="125"/>
  <c r="AA18" i="125"/>
  <c r="AA41" i="125"/>
  <c r="AA45" i="125"/>
  <c r="AI39" i="125"/>
  <c r="AI15" i="125"/>
  <c r="AA20" i="125"/>
  <c r="AB53" i="125"/>
  <c r="AB64" i="125"/>
  <c r="AC58" i="125"/>
  <c r="AB14" i="125"/>
  <c r="AH15" i="125"/>
  <c r="AG72" i="125"/>
  <c r="AH16" i="125"/>
  <c r="AB58" i="125"/>
  <c r="AD4" i="125"/>
  <c r="AD2" i="125" s="1"/>
  <c r="AG38" i="125"/>
  <c r="AB42" i="125"/>
  <c r="AH42" i="125"/>
  <c r="AH64" i="125"/>
  <c r="AF73" i="125"/>
  <c r="AF26" i="125"/>
  <c r="AH31" i="125"/>
  <c r="AA38" i="125"/>
  <c r="AI54" i="125"/>
  <c r="AA26" i="125"/>
  <c r="AD40" i="125"/>
  <c r="AD52" i="125"/>
  <c r="AC41" i="125"/>
  <c r="AI53" i="125"/>
  <c r="AI63" i="125"/>
  <c r="AE43" i="125"/>
  <c r="AA59" i="125"/>
  <c r="AF13" i="125"/>
  <c r="AC36" i="125"/>
  <c r="AC45" i="125"/>
  <c r="AD73" i="125"/>
  <c r="AG13" i="125"/>
  <c r="AH37" i="125"/>
  <c r="AH46" i="125"/>
  <c r="AC56" i="125"/>
  <c r="AF48" i="125"/>
  <c r="AC13" i="125"/>
  <c r="S3" i="125"/>
  <c r="C27" i="672" s="1"/>
  <c r="AD18" i="125"/>
  <c r="AE20" i="125"/>
  <c r="AA39" i="125"/>
  <c r="AA48" i="125"/>
  <c r="AI37" i="125"/>
  <c r="AI13" i="125"/>
  <c r="AG30" i="125"/>
  <c r="AB46" i="125"/>
  <c r="AB45" i="125"/>
  <c r="AI8" i="125"/>
  <c r="AC64" i="125"/>
  <c r="AI14" i="125"/>
  <c r="AG63" i="125"/>
  <c r="AG34" i="125"/>
  <c r="AG25" i="125"/>
  <c r="AB11" i="125"/>
  <c r="AG16" i="125"/>
  <c r="AC4" i="125"/>
  <c r="AC2" i="125" s="1"/>
  <c r="AF30" i="125"/>
  <c r="AF34" i="125"/>
  <c r="AA43" i="125"/>
  <c r="AB35" i="125"/>
  <c r="AD49" i="125"/>
  <c r="AD26" i="125"/>
  <c r="AF31" i="125"/>
  <c r="AH43" i="125"/>
  <c r="AA54" i="125"/>
  <c r="AE66" i="125"/>
  <c r="AE65" i="125" s="1"/>
  <c r="AG41" i="125"/>
  <c r="AC52" i="125"/>
  <c r="AF42" i="125"/>
  <c r="AA63" i="125"/>
  <c r="AD43" i="125"/>
  <c r="AG52" i="125"/>
  <c r="AC38" i="125"/>
  <c r="AB56" i="125"/>
  <c r="AG15" i="125"/>
  <c r="AH39" i="125"/>
  <c r="AE58" i="125"/>
  <c r="AD56" i="125"/>
  <c r="AF72" i="125"/>
  <c r="AA53" i="125"/>
  <c r="AC18" i="125"/>
  <c r="AI20" i="125"/>
  <c r="AA37" i="125"/>
  <c r="AI72" i="125"/>
  <c r="AI35" i="125"/>
  <c r="AI31" i="125"/>
  <c r="AB44" i="125"/>
  <c r="AB48" i="125"/>
  <c r="AI10" i="125"/>
  <c r="AC35" i="125"/>
  <c r="AA14" i="125"/>
  <c r="AI43" i="125"/>
  <c r="AG66" i="125"/>
  <c r="AG65" i="125" s="1"/>
  <c r="AE16" i="125"/>
  <c r="AB4" i="125"/>
  <c r="AB2" i="125" s="1"/>
  <c r="AD30" i="125"/>
  <c r="AD34" i="125"/>
  <c r="AF45" i="125"/>
  <c r="AC49" i="125"/>
  <c r="AF8" i="125"/>
  <c r="AC26" i="125"/>
  <c r="AE31" i="125"/>
  <c r="AG39" i="125"/>
  <c r="AD66" i="125"/>
  <c r="AD65" i="125" s="1"/>
  <c r="AF20" i="125"/>
  <c r="AH58" i="125"/>
  <c r="AG42" i="125"/>
  <c r="AB52" i="125"/>
  <c r="AE42" i="125"/>
  <c r="AI58" i="125"/>
  <c r="AH63" i="125"/>
  <c r="AC44" i="125"/>
  <c r="AH53" i="125"/>
  <c r="AF59" i="125"/>
  <c r="AF15" i="125"/>
  <c r="AC40" i="125"/>
  <c r="AG17" i="125"/>
  <c r="AH41" i="125"/>
  <c r="AD48" i="125"/>
  <c r="AF58" i="125"/>
  <c r="AA10" i="125"/>
  <c r="AG26" i="125"/>
  <c r="AB18" i="125"/>
  <c r="AH20" i="125"/>
  <c r="AA72" i="125"/>
  <c r="AA17" i="125"/>
  <c r="AI64" i="125"/>
  <c r="AI38" i="125"/>
  <c r="AC31" i="125"/>
  <c r="AB78" i="125"/>
  <c r="AB43" i="125"/>
  <c r="AI30" i="125"/>
  <c r="AC53" i="125"/>
  <c r="AD14" i="125"/>
  <c r="AH59" i="125"/>
  <c r="AG54" i="125"/>
  <c r="AF16" i="125"/>
  <c r="AA16" i="125"/>
  <c r="AC30" i="125"/>
  <c r="AC34" i="125"/>
  <c r="AE45" i="125"/>
  <c r="AB49" i="125"/>
  <c r="AD8" i="125"/>
  <c r="AD25" i="125"/>
  <c r="AB26" i="125"/>
  <c r="AD31" i="125"/>
  <c r="AF54" i="125"/>
  <c r="AE30" i="125"/>
  <c r="AC66" i="125"/>
  <c r="AC65" i="125" s="1"/>
  <c r="AD20" i="125"/>
  <c r="AF38" i="125"/>
  <c r="AG78" i="125"/>
  <c r="AI52" i="125"/>
  <c r="AD42" i="125"/>
  <c r="AA58" i="125"/>
  <c r="AG45" i="125"/>
  <c r="AG56" i="125"/>
  <c r="AE59" i="125"/>
  <c r="AC48" i="125"/>
  <c r="AF71" i="125"/>
  <c r="AF70" i="125" s="1"/>
  <c r="AE64" i="125"/>
  <c r="AE56" i="125"/>
  <c r="AA11" i="125"/>
  <c r="AF56" i="125"/>
  <c r="AG31" i="125"/>
  <c r="AB25" i="125"/>
  <c r="AD54" i="125"/>
  <c r="AI66" i="125"/>
  <c r="AI65" i="125" s="1"/>
  <c r="AC20" i="125"/>
  <c r="AD72" i="125"/>
  <c r="AD16" i="125"/>
  <c r="AB30" i="125"/>
  <c r="AH36" i="125"/>
  <c r="AC8" i="125"/>
  <c r="AC6" i="125" s="1"/>
  <c r="AI25" i="125"/>
  <c r="AB20" i="125"/>
  <c r="AD58" i="125"/>
  <c r="AI18" i="125"/>
  <c r="AA64" i="125"/>
  <c r="AB41" i="125"/>
  <c r="AC16" i="125"/>
  <c r="AE38" i="125"/>
  <c r="AB8" i="125"/>
  <c r="AH13" i="125"/>
  <c r="AA52" i="125"/>
  <c r="AC78" i="125"/>
  <c r="AB40" i="125"/>
  <c r="AA40" i="125"/>
  <c r="AB37" i="125"/>
  <c r="AH11" i="125"/>
  <c r="AG59" i="125"/>
  <c r="AH17" i="125"/>
  <c r="AI49" i="125"/>
  <c r="AB15" i="125"/>
  <c r="AH52" i="125"/>
  <c r="AG43" i="125"/>
  <c r="AD59" i="125"/>
  <c r="AI46" i="125"/>
  <c r="AB31" i="125"/>
  <c r="AC17" i="125"/>
  <c r="AG20" i="125"/>
  <c r="AA49" i="125"/>
  <c r="AE36" i="125"/>
  <c r="AG46" i="125"/>
  <c r="AC59" i="125"/>
  <c r="AF17" i="125"/>
  <c r="AF53" i="125"/>
  <c r="AF64" i="125"/>
  <c r="AI45" i="125"/>
  <c r="AH14" i="125"/>
  <c r="AE73" i="125"/>
  <c r="AG40" i="125"/>
  <c r="AE63" i="125"/>
  <c r="AG58" i="125"/>
  <c r="AB34" i="125"/>
  <c r="AD45" i="125"/>
  <c r="AA34" i="125"/>
  <c r="AG36" i="125"/>
  <c r="AD63" i="125"/>
  <c r="AG64" i="125"/>
  <c r="AC46" i="125"/>
  <c r="AF63" i="125"/>
  <c r="AE54" i="125"/>
  <c r="AE34" i="125"/>
  <c r="AB66" i="125"/>
  <c r="AB65" i="125" s="1"/>
  <c r="AB36" i="125"/>
  <c r="AC42" i="125"/>
  <c r="AF10" i="125"/>
  <c r="AH78" i="125"/>
  <c r="AE48" i="125"/>
  <c r="AA2" i="102"/>
  <c r="AJ3" i="102"/>
  <c r="AJ2" i="102" s="1"/>
  <c r="AN22" i="102"/>
  <c r="AV23" i="102"/>
  <c r="AS12" i="100"/>
  <c r="AJ21" i="103"/>
  <c r="AJ34" i="103"/>
  <c r="AA33" i="103"/>
  <c r="AN65" i="103"/>
  <c r="AV66" i="103"/>
  <c r="AV65" i="103" s="1"/>
  <c r="AJ3" i="105"/>
  <c r="AA2" i="105"/>
  <c r="AJ51" i="102"/>
  <c r="AA50" i="102"/>
  <c r="AJ61" i="100"/>
  <c r="AA60" i="100"/>
  <c r="AJ34" i="101"/>
  <c r="AA33" i="101"/>
  <c r="AN60" i="101"/>
  <c r="AV61" i="101"/>
  <c r="AN72" i="100"/>
  <c r="AV73" i="100"/>
  <c r="AV72" i="100" s="1"/>
  <c r="AV36" i="101"/>
  <c r="AP33" i="101"/>
  <c r="AJ66" i="102"/>
  <c r="AJ65" i="102" s="1"/>
  <c r="AA65" i="102"/>
  <c r="AA22" i="103"/>
  <c r="AJ23" i="103"/>
  <c r="AV73" i="105"/>
  <c r="AV72" i="105" s="1"/>
  <c r="AN72" i="105"/>
  <c r="AV51" i="105"/>
  <c r="AN50" i="105"/>
  <c r="AA70" i="105"/>
  <c r="AJ71" i="105"/>
  <c r="AJ70" i="105" s="1"/>
  <c r="AA65" i="106"/>
  <c r="AJ67" i="106"/>
  <c r="AJ65" i="106" s="1"/>
  <c r="AA70" i="107"/>
  <c r="AJ71" i="107"/>
  <c r="AJ70" i="107" s="1"/>
  <c r="AJ63" i="107"/>
  <c r="AA60" i="107"/>
  <c r="AA60" i="108"/>
  <c r="AJ61" i="108"/>
  <c r="AJ69" i="110"/>
  <c r="AJ68" i="110" s="1"/>
  <c r="AA68" i="110"/>
  <c r="AJ34" i="112"/>
  <c r="AA33" i="112"/>
  <c r="AN33" i="472"/>
  <c r="AV35" i="472"/>
  <c r="AN60" i="472"/>
  <c r="AV61" i="472"/>
  <c r="AJ23" i="112"/>
  <c r="AA22" i="112"/>
  <c r="AN2" i="116"/>
  <c r="AV3" i="116"/>
  <c r="AV2" i="116" s="1"/>
  <c r="AV61" i="115"/>
  <c r="AV60" i="115" s="1"/>
  <c r="AN60" i="115"/>
  <c r="AN22" i="115"/>
  <c r="AV23" i="115"/>
  <c r="AN12" i="124"/>
  <c r="AV13" i="124"/>
  <c r="AV73" i="115"/>
  <c r="AV72" i="115" s="1"/>
  <c r="AN72" i="115"/>
  <c r="AJ66" i="114"/>
  <c r="AJ65" i="114" s="1"/>
  <c r="AA65" i="114"/>
  <c r="AA2" i="117"/>
  <c r="AJ3" i="117"/>
  <c r="AJ2" i="117" s="1"/>
  <c r="AV23" i="116"/>
  <c r="AN22" i="116"/>
  <c r="AV34" i="116"/>
  <c r="AN33" i="116"/>
  <c r="AJ66" i="117"/>
  <c r="AJ65" i="117" s="1"/>
  <c r="AA65" i="117"/>
  <c r="AV14" i="118"/>
  <c r="AO12" i="118"/>
  <c r="AV71" i="119"/>
  <c r="AV70" i="119" s="1"/>
  <c r="AN70" i="119"/>
  <c r="AN68" i="119" s="1"/>
  <c r="AJ61" i="119"/>
  <c r="AJ60" i="119" s="1"/>
  <c r="AA60" i="119"/>
  <c r="AJ61" i="121"/>
  <c r="AJ60" i="121" s="1"/>
  <c r="AA60" i="121"/>
  <c r="AN65" i="121"/>
  <c r="AV66" i="121"/>
  <c r="AN2" i="123"/>
  <c r="AV4" i="123"/>
  <c r="AV37" i="123"/>
  <c r="AN33" i="123"/>
  <c r="AA70" i="125"/>
  <c r="AV63" i="100"/>
  <c r="AV60" i="100" s="1"/>
  <c r="AN60" i="100"/>
  <c r="AE68" i="100"/>
  <c r="AV51" i="101"/>
  <c r="AN50" i="101"/>
  <c r="AV27" i="100"/>
  <c r="AU22" i="100"/>
  <c r="AQ22" i="100"/>
  <c r="AP22" i="100"/>
  <c r="AR22" i="100"/>
  <c r="AS22" i="100"/>
  <c r="AT22" i="100"/>
  <c r="AV23" i="100"/>
  <c r="AN22" i="100"/>
  <c r="AV8" i="100"/>
  <c r="AJ15" i="100"/>
  <c r="AV69" i="101"/>
  <c r="AA65" i="101"/>
  <c r="AJ66" i="101"/>
  <c r="AJ65" i="101" s="1"/>
  <c r="AN33" i="100"/>
  <c r="AV34" i="100"/>
  <c r="AJ78" i="103"/>
  <c r="AV52" i="100"/>
  <c r="AN50" i="100"/>
  <c r="AV61" i="102"/>
  <c r="AN60" i="102"/>
  <c r="AN60" i="103"/>
  <c r="AV61" i="103"/>
  <c r="AJ13" i="105"/>
  <c r="AA12" i="105"/>
  <c r="AI68" i="102"/>
  <c r="AA68" i="102"/>
  <c r="AJ69" i="102"/>
  <c r="AJ68" i="102" s="1"/>
  <c r="AV23" i="105"/>
  <c r="AN22" i="105"/>
  <c r="AJ24" i="106"/>
  <c r="AA22" i="106"/>
  <c r="AN72" i="103"/>
  <c r="AV73" i="103"/>
  <c r="AV72" i="103" s="1"/>
  <c r="AV3" i="107"/>
  <c r="AN2" i="107"/>
  <c r="AN60" i="107"/>
  <c r="AV61" i="107"/>
  <c r="AV60" i="107" s="1"/>
  <c r="AA68" i="108"/>
  <c r="AJ69" i="108"/>
  <c r="AJ68" i="108" s="1"/>
  <c r="AV61" i="110"/>
  <c r="AV60" i="110" s="1"/>
  <c r="AN60" i="110"/>
  <c r="AN72" i="112"/>
  <c r="AV73" i="112"/>
  <c r="AV72" i="112" s="1"/>
  <c r="AV23" i="112"/>
  <c r="AV22" i="112" s="1"/>
  <c r="AN22" i="112"/>
  <c r="AO50" i="114"/>
  <c r="AV51" i="114"/>
  <c r="AJ69" i="472"/>
  <c r="AJ68" i="472" s="1"/>
  <c r="AA68" i="472"/>
  <c r="AN68" i="472"/>
  <c r="AV69" i="472"/>
  <c r="AV68" i="472" s="1"/>
  <c r="AO70" i="124"/>
  <c r="AO68" i="124" s="1"/>
  <c r="AV71" i="124"/>
  <c r="AV70" i="124" s="1"/>
  <c r="AD2" i="114"/>
  <c r="AJ3" i="114"/>
  <c r="AJ2" i="114" s="1"/>
  <c r="AJ23" i="114"/>
  <c r="AJ22" i="114" s="1"/>
  <c r="AA22" i="114"/>
  <c r="AV51" i="112"/>
  <c r="AN50" i="112"/>
  <c r="AA33" i="472"/>
  <c r="AJ34" i="472"/>
  <c r="AV73" i="472"/>
  <c r="AV72" i="472" s="1"/>
  <c r="AN72" i="472"/>
  <c r="AJ4" i="124"/>
  <c r="AA2" i="124"/>
  <c r="AA22" i="115"/>
  <c r="AJ23" i="115"/>
  <c r="AB68" i="114"/>
  <c r="AJ69" i="114"/>
  <c r="AJ68" i="114" s="1"/>
  <c r="AA12" i="116"/>
  <c r="AJ15" i="116"/>
  <c r="AJ51" i="116"/>
  <c r="AA50" i="116"/>
  <c r="AA70" i="116"/>
  <c r="AJ71" i="116"/>
  <c r="AJ70" i="116" s="1"/>
  <c r="AE22" i="116"/>
  <c r="AJ23" i="116"/>
  <c r="AJ8" i="116"/>
  <c r="AV69" i="114"/>
  <c r="AA22" i="116"/>
  <c r="AJ27" i="116"/>
  <c r="AN22" i="118"/>
  <c r="AV23" i="118"/>
  <c r="AN12" i="118"/>
  <c r="AV15" i="118"/>
  <c r="AV13" i="117"/>
  <c r="AN12" i="117"/>
  <c r="AN72" i="118"/>
  <c r="AV73" i="118"/>
  <c r="AV72" i="118" s="1"/>
  <c r="AA70" i="119"/>
  <c r="AJ71" i="119"/>
  <c r="AJ70" i="119" s="1"/>
  <c r="AJ52" i="119"/>
  <c r="AA50" i="119"/>
  <c r="AV23" i="121"/>
  <c r="AN22" i="121"/>
  <c r="AV23" i="123"/>
  <c r="AN22" i="123"/>
  <c r="AA2" i="123"/>
  <c r="AJ3" i="123"/>
  <c r="AJ2" i="123" s="1"/>
  <c r="AJ23" i="125"/>
  <c r="AV61" i="125"/>
  <c r="AN60" i="125"/>
  <c r="AJ51" i="125"/>
  <c r="AJ61" i="475"/>
  <c r="AA60" i="475"/>
  <c r="AV66" i="475"/>
  <c r="AN65" i="475"/>
  <c r="AN68" i="475"/>
  <c r="AV69" i="475"/>
  <c r="AV68" i="475" s="1"/>
  <c r="AA50" i="475"/>
  <c r="AJ51" i="475"/>
  <c r="AE22" i="100"/>
  <c r="AG22" i="100"/>
  <c r="AF22" i="100"/>
  <c r="AA22" i="100"/>
  <c r="AJ23" i="100"/>
  <c r="AA70" i="100"/>
  <c r="AJ71" i="100"/>
  <c r="AJ70" i="100" s="1"/>
  <c r="AN22" i="101"/>
  <c r="AV25" i="101"/>
  <c r="AV14" i="101"/>
  <c r="AN12" i="101"/>
  <c r="AN12" i="102"/>
  <c r="AV13" i="102"/>
  <c r="AV37" i="100"/>
  <c r="AA2" i="100"/>
  <c r="AJ3" i="100"/>
  <c r="AJ2" i="100" s="1"/>
  <c r="AA2" i="103"/>
  <c r="AJ3" i="103"/>
  <c r="AN22" i="103"/>
  <c r="AV24" i="103"/>
  <c r="AJ30" i="103"/>
  <c r="AD50" i="100"/>
  <c r="AC50" i="100"/>
  <c r="AJ53" i="100"/>
  <c r="AA50" i="100"/>
  <c r="AJ36" i="101"/>
  <c r="AN70" i="102"/>
  <c r="AN68" i="102" s="1"/>
  <c r="AV71" i="102"/>
  <c r="AV70" i="102" s="1"/>
  <c r="AJ61" i="103"/>
  <c r="AA60" i="103"/>
  <c r="AJ14" i="103"/>
  <c r="AA12" i="103"/>
  <c r="AJ34" i="105"/>
  <c r="AA33" i="105"/>
  <c r="AA12" i="107"/>
  <c r="AJ14" i="107"/>
  <c r="AJ12" i="107" s="1"/>
  <c r="AJ67" i="108"/>
  <c r="AD65" i="108"/>
  <c r="AJ54" i="107"/>
  <c r="AA50" i="107"/>
  <c r="AA22" i="107"/>
  <c r="AJ24" i="107"/>
  <c r="AA22" i="108"/>
  <c r="AJ24" i="108"/>
  <c r="AN72" i="108"/>
  <c r="AV73" i="108"/>
  <c r="AV72" i="108" s="1"/>
  <c r="AJ51" i="108"/>
  <c r="AA50" i="108"/>
  <c r="AJ35" i="110"/>
  <c r="AA33" i="110"/>
  <c r="AJ51" i="472"/>
  <c r="AA50" i="472"/>
  <c r="AN70" i="114"/>
  <c r="AN68" i="114" s="1"/>
  <c r="AV71" i="114"/>
  <c r="AV70" i="114" s="1"/>
  <c r="AE65" i="472"/>
  <c r="AJ66" i="472"/>
  <c r="AJ65" i="472" s="1"/>
  <c r="AA70" i="114"/>
  <c r="AJ71" i="114"/>
  <c r="AJ70" i="114" s="1"/>
  <c r="AJ10" i="114"/>
  <c r="AP22" i="114"/>
  <c r="AV23" i="114"/>
  <c r="AV27" i="114"/>
  <c r="AN22" i="114"/>
  <c r="AV35" i="114"/>
  <c r="AN33" i="114"/>
  <c r="AA65" i="116"/>
  <c r="AJ67" i="116"/>
  <c r="AJ65" i="116" s="1"/>
  <c r="AV73" i="116"/>
  <c r="AV72" i="116" s="1"/>
  <c r="AN72" i="116"/>
  <c r="AV51" i="124"/>
  <c r="AN50" i="124"/>
  <c r="AA22" i="117"/>
  <c r="AJ23" i="117"/>
  <c r="AA22" i="118"/>
  <c r="AJ25" i="118"/>
  <c r="AA68" i="116"/>
  <c r="AJ69" i="116"/>
  <c r="AJ68" i="116" s="1"/>
  <c r="AN33" i="117"/>
  <c r="AV34" i="117"/>
  <c r="AV9" i="118"/>
  <c r="AJ8" i="119"/>
  <c r="AJ51" i="118"/>
  <c r="AA50" i="118"/>
  <c r="AA33" i="118"/>
  <c r="AJ34" i="118"/>
  <c r="AV66" i="118"/>
  <c r="AN65" i="118"/>
  <c r="E24" i="418"/>
  <c r="AJ71" i="120"/>
  <c r="AJ70" i="120" s="1"/>
  <c r="AA70" i="120"/>
  <c r="AJ3" i="122"/>
  <c r="AJ2" i="122" s="1"/>
  <c r="AA2" i="122"/>
  <c r="AE68" i="122"/>
  <c r="AJ69" i="122"/>
  <c r="AJ68" i="122" s="1"/>
  <c r="AV51" i="122"/>
  <c r="AN50" i="122"/>
  <c r="AA60" i="122"/>
  <c r="AJ61" i="122"/>
  <c r="AJ60" i="122" s="1"/>
  <c r="AV61" i="122"/>
  <c r="AN60" i="122"/>
  <c r="AJ66" i="123"/>
  <c r="AA65" i="123"/>
  <c r="AJ53" i="122"/>
  <c r="AA50" i="122"/>
  <c r="AA70" i="122"/>
  <c r="AJ71" i="122"/>
  <c r="AJ70" i="122" s="1"/>
  <c r="AN70" i="123"/>
  <c r="AN68" i="123" s="1"/>
  <c r="AV71" i="123"/>
  <c r="AV70" i="123" s="1"/>
  <c r="AA33" i="475"/>
  <c r="AJ34" i="475"/>
  <c r="AV25" i="100"/>
  <c r="AJ30" i="101"/>
  <c r="AN2" i="102"/>
  <c r="AV3" i="102"/>
  <c r="AV2" i="102" s="1"/>
  <c r="AP12" i="100"/>
  <c r="AJ56" i="100"/>
  <c r="AV23" i="101"/>
  <c r="AO22" i="101"/>
  <c r="AV78" i="101"/>
  <c r="AJ34" i="100"/>
  <c r="AB33" i="100"/>
  <c r="AB12" i="106"/>
  <c r="AJ13" i="106"/>
  <c r="AV10" i="100"/>
  <c r="AV26" i="100"/>
  <c r="AV3" i="103"/>
  <c r="AV2" i="103" s="1"/>
  <c r="AN2" i="103"/>
  <c r="AN70" i="101"/>
  <c r="AN68" i="101" s="1"/>
  <c r="AV71" i="101"/>
  <c r="AV70" i="101" s="1"/>
  <c r="AJ35" i="100"/>
  <c r="AA33" i="100"/>
  <c r="AC33" i="100"/>
  <c r="AJ10" i="101"/>
  <c r="AN12" i="106"/>
  <c r="AV13" i="106"/>
  <c r="AA22" i="105"/>
  <c r="AJ23" i="105"/>
  <c r="AA70" i="102"/>
  <c r="AJ71" i="102"/>
  <c r="AJ70" i="102" s="1"/>
  <c r="AN50" i="103"/>
  <c r="AV51" i="103"/>
  <c r="AV66" i="107"/>
  <c r="AN65" i="107"/>
  <c r="AN22" i="107"/>
  <c r="AV23" i="107"/>
  <c r="AJ35" i="107"/>
  <c r="AA33" i="107"/>
  <c r="AV51" i="110"/>
  <c r="AN50" i="110"/>
  <c r="AV13" i="110"/>
  <c r="AN12" i="110"/>
  <c r="AJ71" i="111"/>
  <c r="AJ70" i="111" s="1"/>
  <c r="AA70" i="111"/>
  <c r="AJ9" i="472"/>
  <c r="AA60" i="114"/>
  <c r="AJ61" i="114"/>
  <c r="AA12" i="124"/>
  <c r="AJ15" i="124"/>
  <c r="AJ12" i="124" s="1"/>
  <c r="AJ52" i="115"/>
  <c r="AJ50" i="115" s="1"/>
  <c r="AA50" i="115"/>
  <c r="AV9" i="124"/>
  <c r="AV3" i="117"/>
  <c r="AN2" i="117"/>
  <c r="AA70" i="124"/>
  <c r="AJ71" i="124"/>
  <c r="AJ70" i="124" s="1"/>
  <c r="AA50" i="124"/>
  <c r="AJ52" i="124"/>
  <c r="AV66" i="117"/>
  <c r="AN65" i="117"/>
  <c r="D21" i="418"/>
  <c r="E21" i="418" s="1"/>
  <c r="AN60" i="118"/>
  <c r="AV63" i="118"/>
  <c r="AJ66" i="118"/>
  <c r="AA65" i="118"/>
  <c r="AV51" i="118"/>
  <c r="AN50" i="118"/>
  <c r="AN60" i="119"/>
  <c r="AV61" i="119"/>
  <c r="AJ67" i="119"/>
  <c r="AJ65" i="119" s="1"/>
  <c r="AA65" i="119"/>
  <c r="AN72" i="119"/>
  <c r="AV73" i="119"/>
  <c r="AV72" i="119" s="1"/>
  <c r="AJ67" i="121"/>
  <c r="AJ65" i="121" s="1"/>
  <c r="AA65" i="121"/>
  <c r="AV23" i="122"/>
  <c r="AN22" i="122"/>
  <c r="AN65" i="123"/>
  <c r="AV66" i="123"/>
  <c r="AV13" i="475"/>
  <c r="AN12" i="475"/>
  <c r="AN60" i="475"/>
  <c r="AV61" i="475"/>
  <c r="AV21" i="100"/>
  <c r="AQ12" i="100"/>
  <c r="AJ32" i="100"/>
  <c r="AJ46" i="103"/>
  <c r="AA50" i="106"/>
  <c r="AJ53" i="106"/>
  <c r="AA50" i="105"/>
  <c r="AJ51" i="105"/>
  <c r="AA33" i="106"/>
  <c r="AJ34" i="106"/>
  <c r="AN22" i="108"/>
  <c r="AV23" i="108"/>
  <c r="AA2" i="110"/>
  <c r="AJ3" i="110"/>
  <c r="AJ2" i="110" s="1"/>
  <c r="AV35" i="107"/>
  <c r="AN33" i="107"/>
  <c r="AV3" i="111"/>
  <c r="AV2" i="111" s="1"/>
  <c r="AN2" i="111"/>
  <c r="AJ3" i="472"/>
  <c r="AJ2" i="472" s="1"/>
  <c r="AA2" i="472"/>
  <c r="AJ61" i="111"/>
  <c r="AJ60" i="111" s="1"/>
  <c r="AA60" i="111"/>
  <c r="AA22" i="472"/>
  <c r="AJ23" i="472"/>
  <c r="AV61" i="124"/>
  <c r="AN60" i="124"/>
  <c r="AV51" i="472"/>
  <c r="AN50" i="472"/>
  <c r="AV63" i="116"/>
  <c r="AN60" i="116"/>
  <c r="AJ51" i="114"/>
  <c r="AA50" i="114"/>
  <c r="AV73" i="114"/>
  <c r="AV72" i="114" s="1"/>
  <c r="AN72" i="114"/>
  <c r="AV26" i="124"/>
  <c r="AN22" i="124"/>
  <c r="AJ61" i="117"/>
  <c r="AA60" i="117"/>
  <c r="AA60" i="118"/>
  <c r="AJ63" i="118"/>
  <c r="AV69" i="119"/>
  <c r="AJ3" i="120"/>
  <c r="AA2" i="120"/>
  <c r="AA12" i="120"/>
  <c r="AJ13" i="120"/>
  <c r="AA65" i="120"/>
  <c r="AJ66" i="120"/>
  <c r="AA68" i="120"/>
  <c r="AJ69" i="120"/>
  <c r="AJ68" i="120" s="1"/>
  <c r="AN12" i="121"/>
  <c r="AV14" i="121"/>
  <c r="AB70" i="121"/>
  <c r="AJ71" i="121"/>
  <c r="AJ70" i="121" s="1"/>
  <c r="AV52" i="121"/>
  <c r="AN50" i="121"/>
  <c r="AA2" i="125"/>
  <c r="AJ3" i="125"/>
  <c r="AV67" i="125"/>
  <c r="AN65" i="125"/>
  <c r="AJ61" i="125"/>
  <c r="AJ14" i="475"/>
  <c r="AJ12" i="475" s="1"/>
  <c r="AA12" i="475"/>
  <c r="AC68" i="100"/>
  <c r="AV19" i="100"/>
  <c r="AA12" i="102"/>
  <c r="AJ13" i="102"/>
  <c r="AV30" i="100"/>
  <c r="AN65" i="101"/>
  <c r="AV66" i="101"/>
  <c r="AV52" i="102"/>
  <c r="AN50" i="102"/>
  <c r="AJ51" i="103"/>
  <c r="AA50" i="103"/>
  <c r="AA68" i="103"/>
  <c r="AJ69" i="103"/>
  <c r="AJ68" i="103" s="1"/>
  <c r="AV69" i="102"/>
  <c r="AV34" i="105"/>
  <c r="AN33" i="105"/>
  <c r="AN68" i="105"/>
  <c r="AV69" i="105"/>
  <c r="AV61" i="106"/>
  <c r="AN60" i="106"/>
  <c r="AJ14" i="106"/>
  <c r="AA12" i="106"/>
  <c r="AN72" i="106"/>
  <c r="AV73" i="106"/>
  <c r="AV72" i="106" s="1"/>
  <c r="AA70" i="106"/>
  <c r="AJ71" i="106"/>
  <c r="AJ70" i="106" s="1"/>
  <c r="AN72" i="107"/>
  <c r="AV73" i="107"/>
  <c r="AV72" i="107" s="1"/>
  <c r="AA12" i="108"/>
  <c r="AJ14" i="108"/>
  <c r="AJ23" i="111"/>
  <c r="AJ22" i="111" s="1"/>
  <c r="AA22" i="111"/>
  <c r="AJ23" i="110"/>
  <c r="AA22" i="110"/>
  <c r="AJ3" i="111"/>
  <c r="AJ2" i="111" s="1"/>
  <c r="AA2" i="111"/>
  <c r="AV8" i="110"/>
  <c r="AJ61" i="110"/>
  <c r="AJ60" i="110" s="1"/>
  <c r="AA60" i="110"/>
  <c r="AJ3" i="112"/>
  <c r="AJ2" i="112" s="1"/>
  <c r="AA2" i="112"/>
  <c r="AN2" i="472"/>
  <c r="AV3" i="472"/>
  <c r="AV2" i="472" s="1"/>
  <c r="AJ13" i="112"/>
  <c r="AA12" i="112"/>
  <c r="AJ14" i="472"/>
  <c r="AA12" i="472"/>
  <c r="AV10" i="114"/>
  <c r="AN65" i="114"/>
  <c r="AV66" i="114"/>
  <c r="AV65" i="114" s="1"/>
  <c r="AA65" i="115"/>
  <c r="AJ66" i="115"/>
  <c r="AJ25" i="124"/>
  <c r="AA22" i="124"/>
  <c r="AN2" i="115"/>
  <c r="AV3" i="115"/>
  <c r="AV2" i="115" s="1"/>
  <c r="AN65" i="124"/>
  <c r="AV67" i="124"/>
  <c r="AV65" i="124" s="1"/>
  <c r="AJ13" i="115"/>
  <c r="AA12" i="115"/>
  <c r="AV34" i="124"/>
  <c r="AN33" i="124"/>
  <c r="AJ34" i="116"/>
  <c r="AA33" i="116"/>
  <c r="AV51" i="116"/>
  <c r="AN50" i="116"/>
  <c r="AJ71" i="117"/>
  <c r="AJ70" i="117" s="1"/>
  <c r="AA70" i="117"/>
  <c r="AJ9" i="118"/>
  <c r="AN22" i="119"/>
  <c r="AV23" i="119"/>
  <c r="AJ69" i="119"/>
  <c r="AJ68" i="119" s="1"/>
  <c r="AA68" i="119"/>
  <c r="AN65" i="120"/>
  <c r="AV66" i="120"/>
  <c r="AJ13" i="122"/>
  <c r="AB12" i="122"/>
  <c r="AV3" i="122"/>
  <c r="AV2" i="122" s="1"/>
  <c r="AN2" i="122"/>
  <c r="AN12" i="125"/>
  <c r="AV13" i="125"/>
  <c r="AJ66" i="475"/>
  <c r="AJ65" i="475" s="1"/>
  <c r="AA65" i="475"/>
  <c r="AA50" i="121"/>
  <c r="AJ51" i="121"/>
  <c r="AA68" i="121"/>
  <c r="AJ69" i="121"/>
  <c r="AJ68" i="121" s="1"/>
  <c r="AV36" i="125"/>
  <c r="AN33" i="125"/>
  <c r="AN22" i="475"/>
  <c r="AV23" i="475"/>
  <c r="AV69" i="123"/>
  <c r="AN50" i="123"/>
  <c r="AV51" i="123"/>
  <c r="AV52" i="125"/>
  <c r="AN50" i="125"/>
  <c r="AV51" i="125"/>
  <c r="AP50" i="125"/>
  <c r="AV63" i="121"/>
  <c r="AN60" i="121"/>
  <c r="AN50" i="475"/>
  <c r="AV51" i="475"/>
  <c r="AV8" i="125"/>
  <c r="O48" i="119"/>
  <c r="P48" i="119" s="1"/>
  <c r="O55" i="116"/>
  <c r="P55" i="116" s="1"/>
  <c r="O64" i="114"/>
  <c r="P64" i="114" s="1"/>
  <c r="O51" i="100"/>
  <c r="P51" i="100" s="1"/>
  <c r="O71" i="111"/>
  <c r="P71" i="111" s="1"/>
  <c r="O29" i="120"/>
  <c r="P29" i="120" s="1"/>
  <c r="O51" i="107"/>
  <c r="P51" i="107" s="1"/>
  <c r="O26" i="117"/>
  <c r="P26" i="117" s="1"/>
  <c r="O21" i="123"/>
  <c r="P21" i="123" s="1"/>
  <c r="O28" i="114"/>
  <c r="P28" i="114" s="1"/>
  <c r="O71" i="472"/>
  <c r="P71" i="472" s="1"/>
  <c r="O41" i="114"/>
  <c r="P41" i="114" s="1"/>
  <c r="O37" i="120"/>
  <c r="P37" i="120" s="1"/>
  <c r="O16" i="475"/>
  <c r="P16" i="475" s="1"/>
  <c r="O70" i="472"/>
  <c r="O26" i="108"/>
  <c r="P26" i="108" s="1"/>
  <c r="O19" i="101"/>
  <c r="P19" i="101" s="1"/>
  <c r="O26" i="125"/>
  <c r="P26" i="125" s="1"/>
  <c r="O39" i="114"/>
  <c r="P39" i="114" s="1"/>
  <c r="O54" i="118"/>
  <c r="P54" i="118" s="1"/>
  <c r="O10" i="124"/>
  <c r="P10" i="124" s="1"/>
  <c r="O10" i="120"/>
  <c r="P10" i="120" s="1"/>
  <c r="O54" i="124"/>
  <c r="P54" i="124" s="1"/>
  <c r="O37" i="107"/>
  <c r="P37" i="107" s="1"/>
  <c r="O64" i="125"/>
  <c r="P64" i="125" s="1"/>
  <c r="O35" i="101"/>
  <c r="P35" i="101" s="1"/>
  <c r="O39" i="102"/>
  <c r="P39" i="102" s="1"/>
  <c r="O54" i="107"/>
  <c r="P54" i="107" s="1"/>
  <c r="O10" i="117"/>
  <c r="P10" i="117" s="1"/>
  <c r="O54" i="106"/>
  <c r="P54" i="106" s="1"/>
  <c r="O37" i="115"/>
  <c r="P37" i="115" s="1"/>
  <c r="O30" i="106"/>
  <c r="P30" i="106" s="1"/>
  <c r="O37" i="111"/>
  <c r="P37" i="111" s="1"/>
  <c r="O32" i="117"/>
  <c r="P32" i="117" s="1"/>
  <c r="O21" i="120"/>
  <c r="P21" i="120" s="1"/>
  <c r="O37" i="116"/>
  <c r="P37" i="116" s="1"/>
  <c r="O20" i="101"/>
  <c r="P20" i="101" s="1"/>
  <c r="O55" i="122"/>
  <c r="P55" i="122" s="1"/>
  <c r="O10" i="111"/>
  <c r="P10" i="111" s="1"/>
  <c r="O10" i="108"/>
  <c r="P10" i="108" s="1"/>
  <c r="O32" i="116"/>
  <c r="P32" i="116" s="1"/>
  <c r="O46" i="101"/>
  <c r="P46" i="101" s="1"/>
  <c r="O19" i="108"/>
  <c r="P19" i="108" s="1"/>
  <c r="O52" i="101"/>
  <c r="P52" i="101" s="1"/>
  <c r="O37" i="101"/>
  <c r="P37" i="101" s="1"/>
  <c r="O73" i="111"/>
  <c r="P73" i="111" s="1"/>
  <c r="V14" i="111"/>
  <c r="R17" i="674" s="1"/>
  <c r="O26" i="110"/>
  <c r="P26" i="110" s="1"/>
  <c r="V14" i="114"/>
  <c r="R20" i="674" s="1"/>
  <c r="O73" i="114"/>
  <c r="P73" i="114" s="1"/>
  <c r="O48" i="120"/>
  <c r="P48" i="120" s="1"/>
  <c r="O26" i="121"/>
  <c r="P26" i="121" s="1"/>
  <c r="O21" i="106"/>
  <c r="P21" i="106" s="1"/>
  <c r="O50" i="101"/>
  <c r="P50" i="101" s="1"/>
  <c r="O66" i="104"/>
  <c r="P66" i="104" s="1"/>
  <c r="O65" i="104"/>
  <c r="P65" i="104" s="1"/>
  <c r="O64" i="100"/>
  <c r="P64" i="100" s="1"/>
  <c r="O48" i="104"/>
  <c r="P48" i="104" s="1"/>
  <c r="O51" i="104"/>
  <c r="P51" i="104" s="1"/>
  <c r="O37" i="100"/>
  <c r="P37" i="100" s="1"/>
  <c r="O52" i="104"/>
  <c r="P52" i="104" s="1"/>
  <c r="O11" i="121"/>
  <c r="P11" i="121" s="1"/>
  <c r="F80" i="119"/>
  <c r="AV13" i="104"/>
  <c r="AV49" i="104"/>
  <c r="AV24" i="104"/>
  <c r="AJ23" i="104"/>
  <c r="AD22" i="104"/>
  <c r="AG22" i="104"/>
  <c r="AA12" i="104"/>
  <c r="O55" i="103"/>
  <c r="P55" i="103" s="1"/>
  <c r="O26" i="103"/>
  <c r="P26" i="103" s="1"/>
  <c r="O32" i="104"/>
  <c r="P32" i="104" s="1"/>
  <c r="O24" i="104"/>
  <c r="P24" i="104" s="1"/>
  <c r="O64" i="104"/>
  <c r="P64" i="104" s="1"/>
  <c r="AU50" i="104"/>
  <c r="AR22" i="104"/>
  <c r="AH50" i="104"/>
  <c r="AC33" i="104"/>
  <c r="AV9" i="104"/>
  <c r="AV34" i="104"/>
  <c r="AN33" i="104"/>
  <c r="AJ44" i="104"/>
  <c r="AV64" i="104"/>
  <c r="AI12" i="104"/>
  <c r="AJ3" i="104"/>
  <c r="AJ2" i="104" s="1"/>
  <c r="AV8" i="104"/>
  <c r="AJ52" i="104"/>
  <c r="AU12" i="104"/>
  <c r="AF33" i="104"/>
  <c r="AD65" i="104"/>
  <c r="AT60" i="104"/>
  <c r="AH70" i="104"/>
  <c r="AH65" i="104"/>
  <c r="AR65" i="104"/>
  <c r="AJ58" i="104"/>
  <c r="AD60" i="104"/>
  <c r="AJ39" i="104"/>
  <c r="AV52" i="104"/>
  <c r="AN50" i="104"/>
  <c r="AO50" i="104"/>
  <c r="AS22" i="104"/>
  <c r="AV46" i="104"/>
  <c r="AU68" i="104"/>
  <c r="AO33" i="104"/>
  <c r="AH12" i="104"/>
  <c r="AV38" i="104"/>
  <c r="AG33" i="104"/>
  <c r="AI50" i="104"/>
  <c r="AN12" i="104"/>
  <c r="AV14" i="104"/>
  <c r="AV35" i="104"/>
  <c r="AV63" i="104"/>
  <c r="AS60" i="104"/>
  <c r="AG70" i="104"/>
  <c r="AS65" i="104"/>
  <c r="AE65" i="104"/>
  <c r="AE60" i="104"/>
  <c r="AV67" i="104"/>
  <c r="AJ19" i="104"/>
  <c r="AJ55" i="104"/>
  <c r="AJ17" i="104"/>
  <c r="AU22" i="104"/>
  <c r="AA50" i="104"/>
  <c r="AV11" i="104"/>
  <c r="AN70" i="104"/>
  <c r="AN68" i="104" s="1"/>
  <c r="AV71" i="104"/>
  <c r="AV70" i="104" s="1"/>
  <c r="AV68" i="104" s="1"/>
  <c r="AP33" i="104"/>
  <c r="AJ9" i="104"/>
  <c r="AA33" i="104"/>
  <c r="AJ34" i="104"/>
  <c r="AO12" i="104"/>
  <c r="AJ46" i="104"/>
  <c r="AU60" i="104"/>
  <c r="AA70" i="104"/>
  <c r="AJ71" i="104"/>
  <c r="AJ70" i="104" s="1"/>
  <c r="AU65" i="104"/>
  <c r="AF65" i="104"/>
  <c r="AR50" i="104"/>
  <c r="AF60" i="104"/>
  <c r="AP50" i="104"/>
  <c r="AT22" i="104"/>
  <c r="AJ51" i="104"/>
  <c r="AB50" i="104"/>
  <c r="AG12" i="104"/>
  <c r="AV57" i="104"/>
  <c r="AH33" i="104"/>
  <c r="AO68" i="104"/>
  <c r="AV43" i="104"/>
  <c r="AQ33" i="104"/>
  <c r="AN2" i="104"/>
  <c r="AV3" i="104"/>
  <c r="AV2" i="104" s="1"/>
  <c r="AB22" i="104"/>
  <c r="AV39" i="104"/>
  <c r="AJ16" i="104"/>
  <c r="AI33" i="104"/>
  <c r="AD50" i="104"/>
  <c r="AP12" i="104"/>
  <c r="AC22" i="104"/>
  <c r="AB65" i="104"/>
  <c r="AV61" i="104"/>
  <c r="AN60" i="104"/>
  <c r="AI70" i="104"/>
  <c r="AT65" i="104"/>
  <c r="AJ45" i="104"/>
  <c r="AB60" i="104"/>
  <c r="AG60" i="104"/>
  <c r="AT50" i="104"/>
  <c r="AV21" i="104"/>
  <c r="AV31" i="104"/>
  <c r="AP22" i="104"/>
  <c r="AC50" i="104"/>
  <c r="AR68" i="104"/>
  <c r="AV40" i="104"/>
  <c r="AS33" i="104"/>
  <c r="AE33" i="104"/>
  <c r="AQ12" i="104"/>
  <c r="AJ28" i="104"/>
  <c r="AJ59" i="104"/>
  <c r="AV59" i="104"/>
  <c r="AJ67" i="104"/>
  <c r="AO60" i="104"/>
  <c r="AB70" i="104"/>
  <c r="AN65" i="104"/>
  <c r="AV66" i="104"/>
  <c r="AJ8" i="104"/>
  <c r="AH60" i="104"/>
  <c r="AQ22" i="104"/>
  <c r="AF50" i="104"/>
  <c r="AJ20" i="104"/>
  <c r="AP68" i="104"/>
  <c r="AR33" i="104"/>
  <c r="AD12" i="104"/>
  <c r="AH22" i="104"/>
  <c r="AF12" i="104"/>
  <c r="AB12" i="104"/>
  <c r="AR12" i="104"/>
  <c r="AJ38" i="104"/>
  <c r="AG65" i="104"/>
  <c r="AP60" i="104"/>
  <c r="AC70" i="104"/>
  <c r="AA65" i="104"/>
  <c r="AJ66" i="104"/>
  <c r="AO65" i="104"/>
  <c r="AV44" i="104"/>
  <c r="AJ64" i="104"/>
  <c r="AA60" i="104"/>
  <c r="AJ61" i="104"/>
  <c r="AJ63" i="104"/>
  <c r="AQ50" i="104"/>
  <c r="AV53" i="104"/>
  <c r="AV28" i="104"/>
  <c r="AN22" i="104"/>
  <c r="AC12" i="104"/>
  <c r="AE50" i="104"/>
  <c r="AV29" i="104"/>
  <c r="AQ68" i="104"/>
  <c r="AU33" i="104"/>
  <c r="AE12" i="104"/>
  <c r="AB33" i="104"/>
  <c r="AG50" i="104"/>
  <c r="AS12" i="104"/>
  <c r="AJ57" i="104"/>
  <c r="AR60" i="104"/>
  <c r="AS68" i="104"/>
  <c r="AQ60" i="104"/>
  <c r="AD70" i="104"/>
  <c r="AC65" i="104"/>
  <c r="AP65" i="104"/>
  <c r="AI22" i="104"/>
  <c r="AI60" i="104"/>
  <c r="AV36" i="104"/>
  <c r="AV20" i="104"/>
  <c r="AS50" i="104"/>
  <c r="AO22" i="104"/>
  <c r="AV16" i="104"/>
  <c r="AT33" i="104"/>
  <c r="AV18" i="104"/>
  <c r="AJ48" i="104"/>
  <c r="AV32" i="104"/>
  <c r="AD33" i="104"/>
  <c r="AT12" i="104"/>
  <c r="AA22" i="104"/>
  <c r="AF70" i="104"/>
  <c r="AE70" i="104"/>
  <c r="AV48" i="104"/>
  <c r="AI65" i="104"/>
  <c r="AQ65" i="104"/>
  <c r="AJ29" i="104"/>
  <c r="AC60" i="104"/>
  <c r="AT68" i="104"/>
  <c r="O40" i="101"/>
  <c r="P40" i="101" s="1"/>
  <c r="O39" i="101"/>
  <c r="P39" i="101" s="1"/>
  <c r="O32" i="101"/>
  <c r="P32" i="101" s="1"/>
  <c r="O37" i="106"/>
  <c r="P37" i="106" s="1"/>
  <c r="O37" i="121"/>
  <c r="P37" i="121" s="1"/>
  <c r="O37" i="108"/>
  <c r="P37" i="108" s="1"/>
  <c r="F80" i="121"/>
  <c r="T17" i="121"/>
  <c r="V11" i="475"/>
  <c r="O32" i="674" s="1"/>
  <c r="A8" i="54"/>
  <c r="A7" i="418"/>
  <c r="T17" i="116"/>
  <c r="F80" i="116"/>
  <c r="F20" i="418"/>
  <c r="I20" i="418" s="1"/>
  <c r="D25" i="680" s="1"/>
  <c r="E7" i="418"/>
  <c r="O73" i="121"/>
  <c r="P73" i="121" s="1"/>
  <c r="O19" i="121"/>
  <c r="P19" i="121" s="1"/>
  <c r="O30" i="120"/>
  <c r="P30" i="120" s="1"/>
  <c r="O11" i="122"/>
  <c r="P11" i="122" s="1"/>
  <c r="O22" i="475"/>
  <c r="P22" i="475" s="1"/>
  <c r="O20" i="125"/>
  <c r="P20" i="125" s="1"/>
  <c r="O49" i="475"/>
  <c r="P49" i="475" s="1"/>
  <c r="O32" i="120"/>
  <c r="P32" i="120" s="1"/>
  <c r="O45" i="121"/>
  <c r="P45" i="121" s="1"/>
  <c r="O21" i="122"/>
  <c r="P21" i="122" s="1"/>
  <c r="O65" i="123"/>
  <c r="P65" i="123" s="1"/>
  <c r="O27" i="125"/>
  <c r="P27" i="125" s="1"/>
  <c r="O11" i="120"/>
  <c r="P11" i="120" s="1"/>
  <c r="O48" i="117"/>
  <c r="P48" i="117" s="1"/>
  <c r="O42" i="123"/>
  <c r="P42" i="123" s="1"/>
  <c r="O65" i="121"/>
  <c r="P65" i="121" s="1"/>
  <c r="O32" i="122"/>
  <c r="P32" i="122" s="1"/>
  <c r="O37" i="125"/>
  <c r="P37" i="125" s="1"/>
  <c r="O30" i="475"/>
  <c r="P30" i="475" s="1"/>
  <c r="O32" i="123"/>
  <c r="P32" i="123" s="1"/>
  <c r="O34" i="125"/>
  <c r="P34" i="125" s="1"/>
  <c r="O65" i="475"/>
  <c r="P65" i="475" s="1"/>
  <c r="V9" i="475"/>
  <c r="M32" i="674" s="1"/>
  <c r="O64" i="475"/>
  <c r="P64" i="475" s="1"/>
  <c r="O66" i="475"/>
  <c r="P66" i="475" s="1"/>
  <c r="O45" i="475"/>
  <c r="P45" i="475" s="1"/>
  <c r="O52" i="475"/>
  <c r="P52" i="475" s="1"/>
  <c r="O78" i="475"/>
  <c r="P78" i="475" s="1"/>
  <c r="O51" i="475"/>
  <c r="P51" i="475" s="1"/>
  <c r="O42" i="475"/>
  <c r="P42" i="475" s="1"/>
  <c r="O50" i="475"/>
  <c r="P50" i="475" s="1"/>
  <c r="O55" i="475"/>
  <c r="P55" i="475" s="1"/>
  <c r="O43" i="475"/>
  <c r="P43" i="475" s="1"/>
  <c r="O46" i="475"/>
  <c r="P46" i="475" s="1"/>
  <c r="P48" i="475"/>
  <c r="O44" i="475"/>
  <c r="P44" i="475" s="1"/>
  <c r="O64" i="120"/>
  <c r="P64" i="120" s="1"/>
  <c r="O32" i="475"/>
  <c r="P32" i="475" s="1"/>
  <c r="O11" i="475"/>
  <c r="P11" i="475" s="1"/>
  <c r="O28" i="475"/>
  <c r="P28" i="475" s="1"/>
  <c r="O33" i="475"/>
  <c r="P33" i="475" s="1"/>
  <c r="O29" i="475"/>
  <c r="P29" i="475" s="1"/>
  <c r="O13" i="475"/>
  <c r="P13" i="475" s="1"/>
  <c r="O17" i="475"/>
  <c r="P17" i="475" s="1"/>
  <c r="O34" i="475"/>
  <c r="P34" i="475" s="1"/>
  <c r="O23" i="475"/>
  <c r="P23" i="475" s="1"/>
  <c r="O20" i="475"/>
  <c r="P20" i="475" s="1"/>
  <c r="O38" i="475"/>
  <c r="P38" i="475" s="1"/>
  <c r="O24" i="475"/>
  <c r="P24" i="475" s="1"/>
  <c r="O40" i="475"/>
  <c r="P40" i="475" s="1"/>
  <c r="O27" i="475"/>
  <c r="P27" i="475" s="1"/>
  <c r="O49" i="122"/>
  <c r="P49" i="122" s="1"/>
  <c r="O66" i="125"/>
  <c r="P66" i="125" s="1"/>
  <c r="O78" i="125"/>
  <c r="P78" i="125" s="1"/>
  <c r="O48" i="125"/>
  <c r="P48" i="125" s="1"/>
  <c r="O39" i="125"/>
  <c r="P39" i="125" s="1"/>
  <c r="O40" i="125"/>
  <c r="P40" i="125" s="1"/>
  <c r="O51" i="125"/>
  <c r="P51" i="125" s="1"/>
  <c r="O38" i="125"/>
  <c r="P38" i="125" s="1"/>
  <c r="V14" i="125"/>
  <c r="R31" i="674" s="1"/>
  <c r="O35" i="125"/>
  <c r="P35" i="125" s="1"/>
  <c r="V10" i="125"/>
  <c r="N31" i="674" s="1"/>
  <c r="O46" i="125"/>
  <c r="P46" i="125" s="1"/>
  <c r="O43" i="125"/>
  <c r="P43" i="125" s="1"/>
  <c r="O44" i="125"/>
  <c r="P44" i="125" s="1"/>
  <c r="O45" i="125"/>
  <c r="P45" i="125" s="1"/>
  <c r="O52" i="125"/>
  <c r="P52" i="125" s="1"/>
  <c r="O16" i="125"/>
  <c r="P16" i="125" s="1"/>
  <c r="O28" i="125"/>
  <c r="P28" i="125" s="1"/>
  <c r="O24" i="125"/>
  <c r="P24" i="125" s="1"/>
  <c r="O10" i="125"/>
  <c r="P10" i="125" s="1"/>
  <c r="O12" i="125"/>
  <c r="P12" i="125" s="1"/>
  <c r="O22" i="125"/>
  <c r="P22" i="125" s="1"/>
  <c r="O31" i="125"/>
  <c r="P31" i="125" s="1"/>
  <c r="V13" i="125"/>
  <c r="Q31" i="674" s="1"/>
  <c r="O32" i="125"/>
  <c r="P32" i="125" s="1"/>
  <c r="O29" i="125"/>
  <c r="P29" i="125" s="1"/>
  <c r="O23" i="125"/>
  <c r="P23" i="125" s="1"/>
  <c r="O33" i="125"/>
  <c r="P33" i="125" s="1"/>
  <c r="O55" i="119"/>
  <c r="P55" i="119" s="1"/>
  <c r="O66" i="123"/>
  <c r="P66" i="123" s="1"/>
  <c r="O21" i="119"/>
  <c r="P21" i="119" s="1"/>
  <c r="O19" i="120"/>
  <c r="P19" i="120" s="1"/>
  <c r="O48" i="116"/>
  <c r="P48" i="116" s="1"/>
  <c r="O52" i="123"/>
  <c r="P52" i="123" s="1"/>
  <c r="O50" i="123"/>
  <c r="P50" i="123" s="1"/>
  <c r="O78" i="123"/>
  <c r="P78" i="123" s="1"/>
  <c r="O40" i="123"/>
  <c r="P40" i="123" s="1"/>
  <c r="O43" i="123"/>
  <c r="P43" i="123" s="1"/>
  <c r="O49" i="123"/>
  <c r="P49" i="123" s="1"/>
  <c r="O39" i="123"/>
  <c r="P39" i="123" s="1"/>
  <c r="O41" i="123"/>
  <c r="P41" i="123" s="1"/>
  <c r="O44" i="123"/>
  <c r="P44" i="123" s="1"/>
  <c r="O37" i="123"/>
  <c r="P37" i="123" s="1"/>
  <c r="O11" i="123"/>
  <c r="P11" i="123" s="1"/>
  <c r="O26" i="120"/>
  <c r="P26" i="120" s="1"/>
  <c r="O17" i="123"/>
  <c r="P17" i="123" s="1"/>
  <c r="O13" i="123"/>
  <c r="P13" i="123" s="1"/>
  <c r="O31" i="117"/>
  <c r="P31" i="117" s="1"/>
  <c r="O19" i="123"/>
  <c r="P19" i="123" s="1"/>
  <c r="O22" i="123"/>
  <c r="P22" i="123" s="1"/>
  <c r="O10" i="123"/>
  <c r="P10" i="123" s="1"/>
  <c r="O35" i="123"/>
  <c r="P35" i="123" s="1"/>
  <c r="O27" i="123"/>
  <c r="P27" i="123" s="1"/>
  <c r="O26" i="123"/>
  <c r="P26" i="123" s="1"/>
  <c r="O31" i="123"/>
  <c r="P31" i="123" s="1"/>
  <c r="O20" i="123"/>
  <c r="P20" i="123" s="1"/>
  <c r="O51" i="116"/>
  <c r="P51" i="116" s="1"/>
  <c r="O31" i="119"/>
  <c r="P31" i="119" s="1"/>
  <c r="O28" i="123"/>
  <c r="P28" i="123" s="1"/>
  <c r="O24" i="123"/>
  <c r="P24" i="123" s="1"/>
  <c r="O33" i="123"/>
  <c r="P33" i="123" s="1"/>
  <c r="O31" i="121"/>
  <c r="P31" i="121" s="1"/>
  <c r="O24" i="117"/>
  <c r="P24" i="117" s="1"/>
  <c r="O20" i="120"/>
  <c r="P20" i="120" s="1"/>
  <c r="O51" i="120"/>
  <c r="P51" i="120" s="1"/>
  <c r="O24" i="121"/>
  <c r="P24" i="121" s="1"/>
  <c r="O35" i="122"/>
  <c r="P35" i="122" s="1"/>
  <c r="O43" i="122"/>
  <c r="P43" i="122" s="1"/>
  <c r="O66" i="122"/>
  <c r="P66" i="122" s="1"/>
  <c r="O30" i="122"/>
  <c r="P30" i="122" s="1"/>
  <c r="O34" i="122"/>
  <c r="P34" i="122" s="1"/>
  <c r="O33" i="122"/>
  <c r="P33" i="122" s="1"/>
  <c r="O40" i="122"/>
  <c r="P40" i="122" s="1"/>
  <c r="O52" i="122"/>
  <c r="P52" i="122" s="1"/>
  <c r="O39" i="122"/>
  <c r="P39" i="122" s="1"/>
  <c r="O78" i="122"/>
  <c r="P78" i="122" s="1"/>
  <c r="O42" i="122"/>
  <c r="P42" i="122" s="1"/>
  <c r="O28" i="122"/>
  <c r="P28" i="122" s="1"/>
  <c r="O50" i="122"/>
  <c r="P50" i="122" s="1"/>
  <c r="O45" i="122"/>
  <c r="P45" i="122" s="1"/>
  <c r="O31" i="122"/>
  <c r="P31" i="122" s="1"/>
  <c r="O51" i="124"/>
  <c r="P51" i="124" s="1"/>
  <c r="O35" i="120"/>
  <c r="P35" i="120" s="1"/>
  <c r="O24" i="122"/>
  <c r="P24" i="122" s="1"/>
  <c r="O23" i="122"/>
  <c r="P23" i="122" s="1"/>
  <c r="O22" i="122"/>
  <c r="P22" i="122" s="1"/>
  <c r="O17" i="122"/>
  <c r="P17" i="122" s="1"/>
  <c r="V14" i="116"/>
  <c r="R23" i="674" s="1"/>
  <c r="O11" i="116"/>
  <c r="P11" i="116" s="1"/>
  <c r="O49" i="116"/>
  <c r="P49" i="116" s="1"/>
  <c r="O51" i="117"/>
  <c r="P51" i="117" s="1"/>
  <c r="O32" i="124"/>
  <c r="P32" i="124" s="1"/>
  <c r="O73" i="120"/>
  <c r="P73" i="120" s="1"/>
  <c r="V13" i="121"/>
  <c r="Q28" i="674" s="1"/>
  <c r="O39" i="120"/>
  <c r="P39" i="120" s="1"/>
  <c r="O66" i="121"/>
  <c r="P66" i="121" s="1"/>
  <c r="O55" i="121"/>
  <c r="P55" i="121" s="1"/>
  <c r="O52" i="121"/>
  <c r="P52" i="121" s="1"/>
  <c r="O46" i="121"/>
  <c r="P46" i="121" s="1"/>
  <c r="O42" i="121"/>
  <c r="P42" i="121" s="1"/>
  <c r="V14" i="121"/>
  <c r="R28" i="674" s="1"/>
  <c r="O33" i="118"/>
  <c r="P33" i="118" s="1"/>
  <c r="O20" i="121"/>
  <c r="P20" i="121" s="1"/>
  <c r="O35" i="121"/>
  <c r="P35" i="121" s="1"/>
  <c r="O48" i="121"/>
  <c r="P48" i="121" s="1"/>
  <c r="O21" i="121"/>
  <c r="P21" i="121" s="1"/>
  <c r="O50" i="121"/>
  <c r="P50" i="121" s="1"/>
  <c r="O30" i="121"/>
  <c r="P30" i="121" s="1"/>
  <c r="O33" i="121"/>
  <c r="P33" i="121" s="1"/>
  <c r="O78" i="121"/>
  <c r="P78" i="121" s="1"/>
  <c r="O21" i="112"/>
  <c r="P21" i="112" s="1"/>
  <c r="O43" i="121"/>
  <c r="P43" i="121" s="1"/>
  <c r="O44" i="121"/>
  <c r="P44" i="121" s="1"/>
  <c r="O41" i="121"/>
  <c r="P41" i="121" s="1"/>
  <c r="O23" i="121"/>
  <c r="P23" i="121" s="1"/>
  <c r="O12" i="121"/>
  <c r="P12" i="121" s="1"/>
  <c r="O38" i="121"/>
  <c r="P38" i="121" s="1"/>
  <c r="O34" i="121"/>
  <c r="P34" i="121" s="1"/>
  <c r="O13" i="121"/>
  <c r="P13" i="121" s="1"/>
  <c r="O29" i="121"/>
  <c r="P29" i="121" s="1"/>
  <c r="O40" i="121"/>
  <c r="P40" i="121" s="1"/>
  <c r="O17" i="118"/>
  <c r="P17" i="118" s="1"/>
  <c r="O49" i="121"/>
  <c r="P49" i="121" s="1"/>
  <c r="O27" i="121"/>
  <c r="P27" i="121" s="1"/>
  <c r="O22" i="121"/>
  <c r="P22" i="121" s="1"/>
  <c r="O65" i="119"/>
  <c r="P65" i="119" s="1"/>
  <c r="O10" i="118"/>
  <c r="P10" i="118" s="1"/>
  <c r="O43" i="120"/>
  <c r="P43" i="120" s="1"/>
  <c r="O44" i="120"/>
  <c r="P44" i="120" s="1"/>
  <c r="O54" i="120"/>
  <c r="P54" i="120" s="1"/>
  <c r="O41" i="120"/>
  <c r="P41" i="120" s="1"/>
  <c r="O51" i="119"/>
  <c r="P51" i="119" s="1"/>
  <c r="O41" i="119"/>
  <c r="P41" i="119" s="1"/>
  <c r="O42" i="120"/>
  <c r="P42" i="120" s="1"/>
  <c r="O45" i="120"/>
  <c r="P45" i="120" s="1"/>
  <c r="O40" i="120"/>
  <c r="P40" i="120" s="1"/>
  <c r="O51" i="118"/>
  <c r="P51" i="118" s="1"/>
  <c r="O49" i="120"/>
  <c r="P49" i="120" s="1"/>
  <c r="O46" i="120"/>
  <c r="P46" i="120" s="1"/>
  <c r="O50" i="120"/>
  <c r="P50" i="120" s="1"/>
  <c r="O52" i="120"/>
  <c r="P52" i="120" s="1"/>
  <c r="O66" i="118"/>
  <c r="P66" i="118" s="1"/>
  <c r="O21" i="117"/>
  <c r="P21" i="117" s="1"/>
  <c r="O39" i="118"/>
  <c r="P39" i="118" s="1"/>
  <c r="O28" i="120"/>
  <c r="P28" i="120" s="1"/>
  <c r="O22" i="120"/>
  <c r="P22" i="120" s="1"/>
  <c r="O13" i="120"/>
  <c r="P13" i="120" s="1"/>
  <c r="O31" i="120"/>
  <c r="P31" i="120" s="1"/>
  <c r="O23" i="120"/>
  <c r="P23" i="120" s="1"/>
  <c r="O12" i="120"/>
  <c r="P12" i="120" s="1"/>
  <c r="O17" i="120"/>
  <c r="P17" i="120" s="1"/>
  <c r="O32" i="119"/>
  <c r="P32" i="119" s="1"/>
  <c r="O65" i="110"/>
  <c r="P65" i="110" s="1"/>
  <c r="O35" i="117"/>
  <c r="P35" i="117" s="1"/>
  <c r="O48" i="118"/>
  <c r="P48" i="118" s="1"/>
  <c r="O19" i="117"/>
  <c r="P19" i="117" s="1"/>
  <c r="O46" i="117"/>
  <c r="P46" i="117" s="1"/>
  <c r="V13" i="119"/>
  <c r="Q26" i="674" s="1"/>
  <c r="O11" i="118"/>
  <c r="P11" i="118" s="1"/>
  <c r="O22" i="116"/>
  <c r="P22" i="116" s="1"/>
  <c r="O55" i="124"/>
  <c r="P55" i="124" s="1"/>
  <c r="O32" i="118"/>
  <c r="P32" i="118" s="1"/>
  <c r="O55" i="114"/>
  <c r="P55" i="114" s="1"/>
  <c r="O58" i="108"/>
  <c r="P58" i="108" s="1"/>
  <c r="O33" i="112"/>
  <c r="P33" i="112" s="1"/>
  <c r="O16" i="116"/>
  <c r="P16" i="116" s="1"/>
  <c r="O64" i="119"/>
  <c r="P64" i="119" s="1"/>
  <c r="O16" i="114"/>
  <c r="P16" i="114" s="1"/>
  <c r="V11" i="119"/>
  <c r="O26" i="674" s="1"/>
  <c r="O35" i="119"/>
  <c r="P35" i="119" s="1"/>
  <c r="O43" i="472"/>
  <c r="P43" i="472" s="1"/>
  <c r="O26" i="116"/>
  <c r="P26" i="116" s="1"/>
  <c r="O27" i="114"/>
  <c r="P27" i="114" s="1"/>
  <c r="O43" i="119"/>
  <c r="P43" i="119" s="1"/>
  <c r="O38" i="119"/>
  <c r="P38" i="119" s="1"/>
  <c r="O45" i="119"/>
  <c r="P45" i="119" s="1"/>
  <c r="O49" i="119"/>
  <c r="P49" i="119" s="1"/>
  <c r="O34" i="119"/>
  <c r="P34" i="119" s="1"/>
  <c r="O44" i="119"/>
  <c r="P44" i="119" s="1"/>
  <c r="O52" i="124"/>
  <c r="P52" i="124" s="1"/>
  <c r="O28" i="119"/>
  <c r="P28" i="119" s="1"/>
  <c r="O52" i="119"/>
  <c r="P52" i="119" s="1"/>
  <c r="O42" i="119"/>
  <c r="P42" i="119" s="1"/>
  <c r="O46" i="119"/>
  <c r="P46" i="119" s="1"/>
  <c r="Q39" i="119"/>
  <c r="O39" i="119"/>
  <c r="P39" i="119" s="1"/>
  <c r="O31" i="116"/>
  <c r="P31" i="116" s="1"/>
  <c r="O54" i="119"/>
  <c r="P54" i="119" s="1"/>
  <c r="O78" i="119"/>
  <c r="P78" i="119" s="1"/>
  <c r="O40" i="119"/>
  <c r="P40" i="119" s="1"/>
  <c r="O20" i="119"/>
  <c r="P20" i="119" s="1"/>
  <c r="O24" i="119"/>
  <c r="P24" i="119" s="1"/>
  <c r="O33" i="119"/>
  <c r="P33" i="119" s="1"/>
  <c r="O29" i="119"/>
  <c r="P29" i="119" s="1"/>
  <c r="O23" i="119"/>
  <c r="P23" i="119" s="1"/>
  <c r="O13" i="119"/>
  <c r="P13" i="119" s="1"/>
  <c r="O19" i="119"/>
  <c r="P19" i="119" s="1"/>
  <c r="O27" i="119"/>
  <c r="P27" i="119" s="1"/>
  <c r="O10" i="119"/>
  <c r="P10" i="119" s="1"/>
  <c r="O17" i="119"/>
  <c r="P17" i="119" s="1"/>
  <c r="O12" i="119"/>
  <c r="P12" i="119" s="1"/>
  <c r="O30" i="119"/>
  <c r="P30" i="119" s="1"/>
  <c r="O55" i="118"/>
  <c r="P55" i="118" s="1"/>
  <c r="O35" i="114"/>
  <c r="P35" i="114" s="1"/>
  <c r="O22" i="117"/>
  <c r="P22" i="117" s="1"/>
  <c r="O43" i="118"/>
  <c r="P43" i="118" s="1"/>
  <c r="O41" i="116"/>
  <c r="P41" i="116" s="1"/>
  <c r="O73" i="116"/>
  <c r="P73" i="116" s="1"/>
  <c r="O65" i="124"/>
  <c r="P65" i="124" s="1"/>
  <c r="O65" i="118"/>
  <c r="P65" i="118" s="1"/>
  <c r="O26" i="118"/>
  <c r="P26" i="118" s="1"/>
  <c r="O12" i="118"/>
  <c r="P12" i="118" s="1"/>
  <c r="O13" i="118"/>
  <c r="P13" i="118" s="1"/>
  <c r="O31" i="118"/>
  <c r="P31" i="118" s="1"/>
  <c r="O24" i="118"/>
  <c r="P24" i="118" s="1"/>
  <c r="O30" i="118"/>
  <c r="P30" i="118" s="1"/>
  <c r="O49" i="118"/>
  <c r="P49" i="118" s="1"/>
  <c r="O20" i="118"/>
  <c r="P20" i="118" s="1"/>
  <c r="O52" i="118"/>
  <c r="P52" i="118" s="1"/>
  <c r="O41" i="118"/>
  <c r="P41" i="118" s="1"/>
  <c r="O38" i="118"/>
  <c r="P38" i="118" s="1"/>
  <c r="O22" i="118"/>
  <c r="P22" i="118" s="1"/>
  <c r="O42" i="118"/>
  <c r="P42" i="118" s="1"/>
  <c r="O23" i="118"/>
  <c r="P23" i="118" s="1"/>
  <c r="O19" i="118"/>
  <c r="P19" i="118" s="1"/>
  <c r="O35" i="118"/>
  <c r="P35" i="118" s="1"/>
  <c r="O50" i="118"/>
  <c r="P50" i="118" s="1"/>
  <c r="O45" i="118"/>
  <c r="P45" i="118" s="1"/>
  <c r="O78" i="118"/>
  <c r="P78" i="118" s="1"/>
  <c r="O27" i="118"/>
  <c r="P27" i="118" s="1"/>
  <c r="O13" i="114"/>
  <c r="P13" i="114" s="1"/>
  <c r="O16" i="111"/>
  <c r="P16" i="111" s="1"/>
  <c r="O18" i="111"/>
  <c r="P18" i="111" s="1"/>
  <c r="O59" i="108"/>
  <c r="P59" i="108" s="1"/>
  <c r="O27" i="472"/>
  <c r="P27" i="472" s="1"/>
  <c r="O35" i="115"/>
  <c r="P35" i="115" s="1"/>
  <c r="O23" i="472"/>
  <c r="P23" i="472" s="1"/>
  <c r="O12" i="472"/>
  <c r="P12" i="472" s="1"/>
  <c r="O48" i="112"/>
  <c r="P48" i="112" s="1"/>
  <c r="O59" i="114"/>
  <c r="P59" i="114" s="1"/>
  <c r="O32" i="108"/>
  <c r="P32" i="108" s="1"/>
  <c r="O44" i="114"/>
  <c r="P44" i="114" s="1"/>
  <c r="O18" i="472"/>
  <c r="P18" i="472" s="1"/>
  <c r="O12" i="114"/>
  <c r="P12" i="114" s="1"/>
  <c r="O73" i="115"/>
  <c r="P73" i="115" s="1"/>
  <c r="O66" i="117"/>
  <c r="P66" i="117" s="1"/>
  <c r="O49" i="117"/>
  <c r="P49" i="117" s="1"/>
  <c r="O37" i="114"/>
  <c r="P37" i="114" s="1"/>
  <c r="O65" i="114"/>
  <c r="P65" i="114" s="1"/>
  <c r="O52" i="117"/>
  <c r="P52" i="117" s="1"/>
  <c r="O65" i="117"/>
  <c r="P65" i="117" s="1"/>
  <c r="O50" i="117"/>
  <c r="P50" i="117" s="1"/>
  <c r="O24" i="116"/>
  <c r="P24" i="116" s="1"/>
  <c r="O19" i="110"/>
  <c r="P19" i="110" s="1"/>
  <c r="O13" i="117"/>
  <c r="P13" i="117" s="1"/>
  <c r="O37" i="117"/>
  <c r="P37" i="117" s="1"/>
  <c r="O45" i="117"/>
  <c r="P45" i="117" s="1"/>
  <c r="O21" i="115"/>
  <c r="O56" i="114"/>
  <c r="P56" i="114" s="1"/>
  <c r="O40" i="117"/>
  <c r="P40" i="117" s="1"/>
  <c r="O12" i="117"/>
  <c r="P12" i="117" s="1"/>
  <c r="O39" i="117"/>
  <c r="P39" i="117" s="1"/>
  <c r="O43" i="117"/>
  <c r="P43" i="117" s="1"/>
  <c r="O28" i="117"/>
  <c r="P28" i="117" s="1"/>
  <c r="O44" i="117"/>
  <c r="P44" i="117" s="1"/>
  <c r="O51" i="108"/>
  <c r="P51" i="108" s="1"/>
  <c r="O21" i="124"/>
  <c r="P21" i="124" s="1"/>
  <c r="O33" i="117"/>
  <c r="P33" i="117" s="1"/>
  <c r="O42" i="117"/>
  <c r="P42" i="117" s="1"/>
  <c r="O23" i="117"/>
  <c r="P23" i="117" s="1"/>
  <c r="O78" i="117"/>
  <c r="P78" i="117" s="1"/>
  <c r="O29" i="117"/>
  <c r="P29" i="117" s="1"/>
  <c r="O48" i="124"/>
  <c r="P48" i="124" s="1"/>
  <c r="O17" i="117"/>
  <c r="P17" i="117" s="1"/>
  <c r="O30" i="117"/>
  <c r="P30" i="117" s="1"/>
  <c r="O20" i="117"/>
  <c r="P20" i="117" s="1"/>
  <c r="O34" i="117"/>
  <c r="P34" i="117" s="1"/>
  <c r="O39" i="111"/>
  <c r="P39" i="111" s="1"/>
  <c r="O24" i="112"/>
  <c r="P24" i="112" s="1"/>
  <c r="O34" i="114"/>
  <c r="P34" i="114" s="1"/>
  <c r="O49" i="114"/>
  <c r="P49" i="114" s="1"/>
  <c r="O51" i="112"/>
  <c r="P51" i="112" s="1"/>
  <c r="O51" i="114"/>
  <c r="P51" i="114" s="1"/>
  <c r="O65" i="116"/>
  <c r="P65" i="116" s="1"/>
  <c r="O31" i="115"/>
  <c r="O66" i="116"/>
  <c r="P66" i="116" s="1"/>
  <c r="O38" i="116"/>
  <c r="P38" i="116" s="1"/>
  <c r="O46" i="116"/>
  <c r="P46" i="116" s="1"/>
  <c r="V14" i="472"/>
  <c r="R19" i="674" s="1"/>
  <c r="O78" i="116"/>
  <c r="P78" i="116" s="1"/>
  <c r="O45" i="116"/>
  <c r="P45" i="116" s="1"/>
  <c r="O42" i="116"/>
  <c r="P42" i="116" s="1"/>
  <c r="O50" i="116"/>
  <c r="P50" i="116" s="1"/>
  <c r="O40" i="116"/>
  <c r="P40" i="116" s="1"/>
  <c r="O43" i="116"/>
  <c r="P43" i="116" s="1"/>
  <c r="O52" i="116"/>
  <c r="P52" i="116" s="1"/>
  <c r="O39" i="116"/>
  <c r="P39" i="116" s="1"/>
  <c r="O34" i="116"/>
  <c r="P34" i="116" s="1"/>
  <c r="O29" i="124"/>
  <c r="P29" i="124" s="1"/>
  <c r="O19" i="116"/>
  <c r="P19" i="116" s="1"/>
  <c r="O30" i="116"/>
  <c r="P30" i="116" s="1"/>
  <c r="O20" i="116"/>
  <c r="P20" i="116" s="1"/>
  <c r="O30" i="114"/>
  <c r="P30" i="114" s="1"/>
  <c r="O23" i="116"/>
  <c r="P23" i="116" s="1"/>
  <c r="O27" i="116"/>
  <c r="P27" i="116" s="1"/>
  <c r="O12" i="116"/>
  <c r="P12" i="116" s="1"/>
  <c r="O29" i="110"/>
  <c r="P29" i="110" s="1"/>
  <c r="O17" i="116"/>
  <c r="P17" i="116" s="1"/>
  <c r="O28" i="116"/>
  <c r="P28" i="116" s="1"/>
  <c r="O78" i="114"/>
  <c r="P78" i="114" s="1"/>
  <c r="O40" i="124"/>
  <c r="P40" i="124" s="1"/>
  <c r="O10" i="116"/>
  <c r="P10" i="116" s="1"/>
  <c r="O29" i="116"/>
  <c r="P29" i="116" s="1"/>
  <c r="O48" i="115"/>
  <c r="O48" i="111"/>
  <c r="P48" i="111" s="1"/>
  <c r="O46" i="114"/>
  <c r="P46" i="114" s="1"/>
  <c r="O62" i="114"/>
  <c r="P62" i="114" s="1"/>
  <c r="O22" i="124"/>
  <c r="P22" i="124" s="1"/>
  <c r="O31" i="107"/>
  <c r="P31" i="107" s="1"/>
  <c r="O66" i="124"/>
  <c r="P66" i="124" s="1"/>
  <c r="O38" i="112"/>
  <c r="P38" i="112" s="1"/>
  <c r="V10" i="114"/>
  <c r="N20" i="674" s="1"/>
  <c r="O39" i="124"/>
  <c r="P39" i="124" s="1"/>
  <c r="O46" i="124"/>
  <c r="P46" i="124" s="1"/>
  <c r="O51" i="115"/>
  <c r="P51" i="115" s="1"/>
  <c r="O11" i="114"/>
  <c r="P11" i="114" s="1"/>
  <c r="O41" i="124"/>
  <c r="P41" i="124" s="1"/>
  <c r="V10" i="124"/>
  <c r="N22" i="674" s="1"/>
  <c r="O38" i="124"/>
  <c r="P38" i="124" s="1"/>
  <c r="O31" i="124"/>
  <c r="P31" i="124" s="1"/>
  <c r="O45" i="124"/>
  <c r="P45" i="124" s="1"/>
  <c r="O49" i="124"/>
  <c r="P49" i="124" s="1"/>
  <c r="V14" i="124"/>
  <c r="R22" i="674" s="1"/>
  <c r="O37" i="124"/>
  <c r="P37" i="124" s="1"/>
  <c r="O50" i="124"/>
  <c r="P50" i="124" s="1"/>
  <c r="O44" i="124"/>
  <c r="P44" i="124" s="1"/>
  <c r="O30" i="124"/>
  <c r="P30" i="124" s="1"/>
  <c r="O78" i="124"/>
  <c r="P78" i="124" s="1"/>
  <c r="O34" i="124"/>
  <c r="P34" i="124" s="1"/>
  <c r="O43" i="124"/>
  <c r="P43" i="124" s="1"/>
  <c r="O33" i="124"/>
  <c r="P33" i="124" s="1"/>
  <c r="O23" i="124"/>
  <c r="P23" i="124" s="1"/>
  <c r="O24" i="124"/>
  <c r="P24" i="124" s="1"/>
  <c r="O23" i="114"/>
  <c r="P23" i="114" s="1"/>
  <c r="O26" i="124"/>
  <c r="P26" i="124" s="1"/>
  <c r="O48" i="110"/>
  <c r="P48" i="110" s="1"/>
  <c r="O26" i="112"/>
  <c r="P26" i="112" s="1"/>
  <c r="O13" i="124"/>
  <c r="P13" i="124" s="1"/>
  <c r="O27" i="124"/>
  <c r="P27" i="124" s="1"/>
  <c r="O66" i="115"/>
  <c r="P66" i="115" s="1"/>
  <c r="O20" i="114"/>
  <c r="P20" i="114" s="1"/>
  <c r="O33" i="114"/>
  <c r="P33" i="114" s="1"/>
  <c r="O16" i="124"/>
  <c r="P16" i="124" s="1"/>
  <c r="O19" i="124"/>
  <c r="P19" i="124" s="1"/>
  <c r="O19" i="114"/>
  <c r="P19" i="114" s="1"/>
  <c r="O29" i="114"/>
  <c r="P29" i="114" s="1"/>
  <c r="O58" i="114"/>
  <c r="P58" i="114" s="1"/>
  <c r="O33" i="107"/>
  <c r="P33" i="107" s="1"/>
  <c r="O60" i="108"/>
  <c r="P60" i="108" s="1"/>
  <c r="O21" i="110"/>
  <c r="P21" i="110" s="1"/>
  <c r="O37" i="472"/>
  <c r="P37" i="472" s="1"/>
  <c r="O24" i="114"/>
  <c r="P24" i="114" s="1"/>
  <c r="O52" i="115"/>
  <c r="P52" i="115" s="1"/>
  <c r="O65" i="115"/>
  <c r="P65" i="115" s="1"/>
  <c r="V11" i="107"/>
  <c r="O14" i="674" s="1"/>
  <c r="O44" i="472"/>
  <c r="P44" i="472" s="1"/>
  <c r="O49" i="115"/>
  <c r="O50" i="115"/>
  <c r="P50" i="115" s="1"/>
  <c r="O48" i="114"/>
  <c r="P48" i="114" s="1"/>
  <c r="O51" i="472"/>
  <c r="P51" i="472" s="1"/>
  <c r="O46" i="115"/>
  <c r="O19" i="115"/>
  <c r="O44" i="115"/>
  <c r="O27" i="115"/>
  <c r="O39" i="115"/>
  <c r="P39" i="115" s="1"/>
  <c r="O28" i="115"/>
  <c r="O40" i="108"/>
  <c r="P40" i="108" s="1"/>
  <c r="O38" i="115"/>
  <c r="P38" i="115" s="1"/>
  <c r="O45" i="115"/>
  <c r="P45" i="115" s="1"/>
  <c r="O78" i="115"/>
  <c r="O24" i="115"/>
  <c r="O43" i="115"/>
  <c r="O12" i="115"/>
  <c r="P12" i="115" s="1"/>
  <c r="O17" i="114"/>
  <c r="P17" i="114" s="1"/>
  <c r="O34" i="115"/>
  <c r="P34" i="115" s="1"/>
  <c r="O20" i="115"/>
  <c r="O23" i="115"/>
  <c r="O42" i="115"/>
  <c r="P42" i="115" s="1"/>
  <c r="O30" i="115"/>
  <c r="O13" i="115"/>
  <c r="P13" i="115" s="1"/>
  <c r="O28" i="472"/>
  <c r="P28" i="472" s="1"/>
  <c r="O46" i="110"/>
  <c r="P46" i="110" s="1"/>
  <c r="O30" i="108"/>
  <c r="P30" i="108" s="1"/>
  <c r="O46" i="112"/>
  <c r="P46" i="112" s="1"/>
  <c r="O57" i="108"/>
  <c r="P57" i="108" s="1"/>
  <c r="O38" i="110"/>
  <c r="P38" i="110" s="1"/>
  <c r="O13" i="103"/>
  <c r="P13" i="103" s="1"/>
  <c r="O52" i="108"/>
  <c r="P52" i="108" s="1"/>
  <c r="O32" i="102"/>
  <c r="P32" i="102" s="1"/>
  <c r="O51" i="106"/>
  <c r="P51" i="106" s="1"/>
  <c r="O48" i="107"/>
  <c r="P48" i="107" s="1"/>
  <c r="O19" i="111"/>
  <c r="P19" i="111" s="1"/>
  <c r="O18" i="105"/>
  <c r="P18" i="105" s="1"/>
  <c r="O13" i="108"/>
  <c r="P13" i="108" s="1"/>
  <c r="O66" i="472"/>
  <c r="P66" i="472" s="1"/>
  <c r="O55" i="107"/>
  <c r="P55" i="107" s="1"/>
  <c r="O55" i="111"/>
  <c r="P55" i="111" s="1"/>
  <c r="O65" i="472"/>
  <c r="P65" i="472" s="1"/>
  <c r="O50" i="472"/>
  <c r="P50" i="472" s="1"/>
  <c r="O52" i="472"/>
  <c r="P52" i="472" s="1"/>
  <c r="O29" i="472"/>
  <c r="P29" i="472" s="1"/>
  <c r="O46" i="472"/>
  <c r="P46" i="472" s="1"/>
  <c r="O48" i="108"/>
  <c r="P48" i="108" s="1"/>
  <c r="O41" i="472"/>
  <c r="P41" i="472" s="1"/>
  <c r="O78" i="472"/>
  <c r="P78" i="472" s="1"/>
  <c r="O38" i="472"/>
  <c r="P38" i="472" s="1"/>
  <c r="O49" i="107"/>
  <c r="P49" i="107" s="1"/>
  <c r="O30" i="472"/>
  <c r="P30" i="472" s="1"/>
  <c r="O49" i="472"/>
  <c r="P49" i="472" s="1"/>
  <c r="O35" i="472"/>
  <c r="P35" i="472" s="1"/>
  <c r="O39" i="472"/>
  <c r="P39" i="472" s="1"/>
  <c r="O42" i="472"/>
  <c r="P42" i="472" s="1"/>
  <c r="O33" i="472"/>
  <c r="P33" i="472" s="1"/>
  <c r="O45" i="472"/>
  <c r="P45" i="472" s="1"/>
  <c r="V10" i="472"/>
  <c r="N19" i="674" s="1"/>
  <c r="O34" i="472"/>
  <c r="P34" i="472" s="1"/>
  <c r="O26" i="472"/>
  <c r="P26" i="472" s="1"/>
  <c r="O48" i="472"/>
  <c r="P48" i="472" s="1"/>
  <c r="O32" i="472"/>
  <c r="P32" i="472" s="1"/>
  <c r="O24" i="472"/>
  <c r="P24" i="472" s="1"/>
  <c r="O21" i="472"/>
  <c r="P21" i="472" s="1"/>
  <c r="O13" i="472"/>
  <c r="P13" i="472" s="1"/>
  <c r="O10" i="472"/>
  <c r="P10" i="472" s="1"/>
  <c r="O45" i="112"/>
  <c r="P45" i="112" s="1"/>
  <c r="O20" i="472"/>
  <c r="P20" i="472" s="1"/>
  <c r="O19" i="472"/>
  <c r="P19" i="472" s="1"/>
  <c r="O51" i="111"/>
  <c r="P51" i="111" s="1"/>
  <c r="O22" i="472"/>
  <c r="P22" i="472" s="1"/>
  <c r="O17" i="472"/>
  <c r="P17" i="472" s="1"/>
  <c r="O44" i="111"/>
  <c r="P44" i="111" s="1"/>
  <c r="O39" i="108"/>
  <c r="P39" i="108" s="1"/>
  <c r="O23" i="110"/>
  <c r="P23" i="110" s="1"/>
  <c r="O12" i="110"/>
  <c r="P12" i="110" s="1"/>
  <c r="O48" i="106"/>
  <c r="P48" i="106" s="1"/>
  <c r="O52" i="110"/>
  <c r="P52" i="110" s="1"/>
  <c r="O32" i="110"/>
  <c r="P32" i="110" s="1"/>
  <c r="O34" i="108"/>
  <c r="P34" i="108" s="1"/>
  <c r="O18" i="110"/>
  <c r="P18" i="110" s="1"/>
  <c r="O52" i="112"/>
  <c r="P52" i="112" s="1"/>
  <c r="O54" i="112"/>
  <c r="P54" i="112" s="1"/>
  <c r="O66" i="112"/>
  <c r="P66" i="112" s="1"/>
  <c r="O65" i="112"/>
  <c r="P65" i="112" s="1"/>
  <c r="O49" i="112"/>
  <c r="P49" i="112" s="1"/>
  <c r="O44" i="112"/>
  <c r="P44" i="112" s="1"/>
  <c r="O23" i="112"/>
  <c r="P23" i="112" s="1"/>
  <c r="O31" i="112"/>
  <c r="P31" i="112" s="1"/>
  <c r="O13" i="112"/>
  <c r="P13" i="112" s="1"/>
  <c r="O29" i="112"/>
  <c r="P29" i="112" s="1"/>
  <c r="O40" i="112"/>
  <c r="P40" i="112" s="1"/>
  <c r="O78" i="112"/>
  <c r="P78" i="112" s="1"/>
  <c r="O39" i="112"/>
  <c r="P39" i="112" s="1"/>
  <c r="O34" i="112"/>
  <c r="P34" i="112" s="1"/>
  <c r="O20" i="112"/>
  <c r="P20" i="112" s="1"/>
  <c r="O30" i="112"/>
  <c r="P30" i="112" s="1"/>
  <c r="O12" i="112"/>
  <c r="P12" i="112" s="1"/>
  <c r="O50" i="112"/>
  <c r="P50" i="112" s="1"/>
  <c r="O18" i="112"/>
  <c r="P18" i="112" s="1"/>
  <c r="O22" i="112"/>
  <c r="P22" i="112" s="1"/>
  <c r="O42" i="112"/>
  <c r="P42" i="112" s="1"/>
  <c r="O21" i="108"/>
  <c r="P21" i="108" s="1"/>
  <c r="O31" i="110"/>
  <c r="P31" i="110" s="1"/>
  <c r="O65" i="111"/>
  <c r="P65" i="111" s="1"/>
  <c r="O66" i="111"/>
  <c r="P66" i="111" s="1"/>
  <c r="O52" i="111"/>
  <c r="P52" i="111" s="1"/>
  <c r="O49" i="111"/>
  <c r="P49" i="111" s="1"/>
  <c r="O34" i="111"/>
  <c r="P34" i="111" s="1"/>
  <c r="O41" i="111"/>
  <c r="P41" i="111" s="1"/>
  <c r="O78" i="111"/>
  <c r="P78" i="111" s="1"/>
  <c r="O31" i="111"/>
  <c r="P31" i="111" s="1"/>
  <c r="O40" i="111"/>
  <c r="P40" i="111" s="1"/>
  <c r="O35" i="111"/>
  <c r="P35" i="111" s="1"/>
  <c r="O45" i="111"/>
  <c r="P45" i="111" s="1"/>
  <c r="O46" i="111"/>
  <c r="P46" i="111" s="1"/>
  <c r="O33" i="111"/>
  <c r="P33" i="111" s="1"/>
  <c r="O50" i="111"/>
  <c r="P50" i="111" s="1"/>
  <c r="O42" i="111"/>
  <c r="P42" i="111" s="1"/>
  <c r="O29" i="111"/>
  <c r="P29" i="111" s="1"/>
  <c r="O22" i="111"/>
  <c r="P22" i="111" s="1"/>
  <c r="O28" i="111"/>
  <c r="P28" i="111" s="1"/>
  <c r="O24" i="111"/>
  <c r="P24" i="111" s="1"/>
  <c r="O30" i="105"/>
  <c r="P30" i="105" s="1"/>
  <c r="O20" i="111"/>
  <c r="P20" i="111" s="1"/>
  <c r="O13" i="111"/>
  <c r="P13" i="111" s="1"/>
  <c r="O30" i="111"/>
  <c r="P30" i="111" s="1"/>
  <c r="O23" i="111"/>
  <c r="P23" i="111" s="1"/>
  <c r="O12" i="111"/>
  <c r="P12" i="111" s="1"/>
  <c r="O40" i="105"/>
  <c r="P40" i="105" s="1"/>
  <c r="O18" i="106"/>
  <c r="P18" i="106" s="1"/>
  <c r="O41" i="107"/>
  <c r="P41" i="107" s="1"/>
  <c r="O19" i="103"/>
  <c r="P19" i="103" s="1"/>
  <c r="O13" i="106"/>
  <c r="P13" i="106" s="1"/>
  <c r="O11" i="102"/>
  <c r="P11" i="102" s="1"/>
  <c r="O21" i="105"/>
  <c r="P21" i="105" s="1"/>
  <c r="O66" i="106"/>
  <c r="P66" i="106" s="1"/>
  <c r="O65" i="107"/>
  <c r="P65" i="107" s="1"/>
  <c r="O35" i="105"/>
  <c r="P35" i="105" s="1"/>
  <c r="O66" i="110"/>
  <c r="P66" i="110" s="1"/>
  <c r="O50" i="110"/>
  <c r="P50" i="110" s="1"/>
  <c r="O50" i="105"/>
  <c r="P50" i="105" s="1"/>
  <c r="O50" i="103"/>
  <c r="P50" i="103" s="1"/>
  <c r="O65" i="108"/>
  <c r="P65" i="108" s="1"/>
  <c r="O50" i="107"/>
  <c r="P50" i="107" s="1"/>
  <c r="O44" i="110"/>
  <c r="P44" i="110" s="1"/>
  <c r="O52" i="105"/>
  <c r="P52" i="105" s="1"/>
  <c r="O35" i="110"/>
  <c r="P35" i="110" s="1"/>
  <c r="O78" i="105"/>
  <c r="P78" i="105" s="1"/>
  <c r="O42" i="110"/>
  <c r="P42" i="110" s="1"/>
  <c r="O78" i="110"/>
  <c r="P78" i="110" s="1"/>
  <c r="O43" i="110"/>
  <c r="P43" i="110" s="1"/>
  <c r="O45" i="110"/>
  <c r="P45" i="110" s="1"/>
  <c r="O40" i="110"/>
  <c r="P40" i="110" s="1"/>
  <c r="O49" i="110"/>
  <c r="P49" i="110" s="1"/>
  <c r="O34" i="110"/>
  <c r="P34" i="110" s="1"/>
  <c r="O37" i="110"/>
  <c r="P37" i="110" s="1"/>
  <c r="O20" i="110"/>
  <c r="P20" i="110" s="1"/>
  <c r="O33" i="110"/>
  <c r="P33" i="110" s="1"/>
  <c r="O10" i="110"/>
  <c r="P10" i="110" s="1"/>
  <c r="O22" i="110"/>
  <c r="P22" i="110" s="1"/>
  <c r="O17" i="110"/>
  <c r="P17" i="110" s="1"/>
  <c r="O13" i="110"/>
  <c r="P13" i="110" s="1"/>
  <c r="O28" i="110"/>
  <c r="P28" i="110" s="1"/>
  <c r="O24" i="110"/>
  <c r="P24" i="110" s="1"/>
  <c r="O30" i="110"/>
  <c r="P30" i="110" s="1"/>
  <c r="O27" i="110"/>
  <c r="P27" i="110" s="1"/>
  <c r="O35" i="107"/>
  <c r="P35" i="107" s="1"/>
  <c r="O11" i="107"/>
  <c r="P11" i="107" s="1"/>
  <c r="O34" i="106"/>
  <c r="P34" i="106" s="1"/>
  <c r="O65" i="105"/>
  <c r="P65" i="105" s="1"/>
  <c r="O41" i="106"/>
  <c r="P41" i="106" s="1"/>
  <c r="O18" i="104"/>
  <c r="P18" i="104" s="1"/>
  <c r="O65" i="106"/>
  <c r="P65" i="106" s="1"/>
  <c r="O21" i="107"/>
  <c r="P21" i="107" s="1"/>
  <c r="O32" i="106"/>
  <c r="P32" i="106" s="1"/>
  <c r="O65" i="103"/>
  <c r="P65" i="103" s="1"/>
  <c r="O33" i="108"/>
  <c r="P33" i="108" s="1"/>
  <c r="O51" i="103"/>
  <c r="P51" i="103" s="1"/>
  <c r="O23" i="106"/>
  <c r="P23" i="106" s="1"/>
  <c r="O21" i="103"/>
  <c r="P21" i="103" s="1"/>
  <c r="O45" i="105"/>
  <c r="P45" i="105" s="1"/>
  <c r="O38" i="108"/>
  <c r="P38" i="108" s="1"/>
  <c r="O16" i="108"/>
  <c r="P16" i="108" s="1"/>
  <c r="O29" i="108"/>
  <c r="P29" i="108" s="1"/>
  <c r="O22" i="108"/>
  <c r="P22" i="108" s="1"/>
  <c r="O27" i="108"/>
  <c r="P27" i="108" s="1"/>
  <c r="O41" i="108"/>
  <c r="P41" i="108" s="1"/>
  <c r="O18" i="108"/>
  <c r="P18" i="108" s="1"/>
  <c r="O62" i="108"/>
  <c r="P62" i="108" s="1"/>
  <c r="O23" i="108"/>
  <c r="P23" i="108" s="1"/>
  <c r="O66" i="108"/>
  <c r="P66" i="108" s="1"/>
  <c r="O17" i="108"/>
  <c r="P17" i="108" s="1"/>
  <c r="O78" i="108"/>
  <c r="P78" i="108" s="1"/>
  <c r="O44" i="108"/>
  <c r="P44" i="108" s="1"/>
  <c r="O12" i="108"/>
  <c r="P12" i="108" s="1"/>
  <c r="O46" i="108"/>
  <c r="P46" i="108" s="1"/>
  <c r="O20" i="108"/>
  <c r="P20" i="108" s="1"/>
  <c r="O31" i="108"/>
  <c r="P31" i="108" s="1"/>
  <c r="O43" i="108"/>
  <c r="P43" i="108" s="1"/>
  <c r="O24" i="108"/>
  <c r="P24" i="108" s="1"/>
  <c r="O35" i="108"/>
  <c r="P35" i="108" s="1"/>
  <c r="O28" i="108"/>
  <c r="P28" i="108" s="1"/>
  <c r="O30" i="103"/>
  <c r="P30" i="103" s="1"/>
  <c r="O48" i="103"/>
  <c r="P48" i="103" s="1"/>
  <c r="O21" i="102"/>
  <c r="P21" i="102" s="1"/>
  <c r="O12" i="106"/>
  <c r="P12" i="106" s="1"/>
  <c r="O30" i="104"/>
  <c r="P30" i="104" s="1"/>
  <c r="O73" i="107"/>
  <c r="P73" i="107" s="1"/>
  <c r="O52" i="107"/>
  <c r="P52" i="107" s="1"/>
  <c r="O44" i="107"/>
  <c r="P44" i="107" s="1"/>
  <c r="O45" i="107"/>
  <c r="P45" i="107" s="1"/>
  <c r="O46" i="107"/>
  <c r="P46" i="107" s="1"/>
  <c r="O66" i="107"/>
  <c r="P66" i="107" s="1"/>
  <c r="O22" i="107"/>
  <c r="P22" i="107" s="1"/>
  <c r="O78" i="107"/>
  <c r="P78" i="107" s="1"/>
  <c r="O42" i="103"/>
  <c r="P42" i="103" s="1"/>
  <c r="O24" i="107"/>
  <c r="P24" i="107" s="1"/>
  <c r="O20" i="107"/>
  <c r="P20" i="107" s="1"/>
  <c r="O29" i="105"/>
  <c r="P29" i="105" s="1"/>
  <c r="O28" i="107"/>
  <c r="P28" i="107" s="1"/>
  <c r="O23" i="107"/>
  <c r="P23" i="107" s="1"/>
  <c r="O26" i="107"/>
  <c r="P26" i="107" s="1"/>
  <c r="O30" i="107"/>
  <c r="P30" i="107" s="1"/>
  <c r="O18" i="107"/>
  <c r="P18" i="107" s="1"/>
  <c r="O39" i="107"/>
  <c r="P39" i="107" s="1"/>
  <c r="O32" i="105"/>
  <c r="P32" i="105" s="1"/>
  <c r="O51" i="102"/>
  <c r="P51" i="102" s="1"/>
  <c r="O34" i="107"/>
  <c r="P34" i="107" s="1"/>
  <c r="O13" i="107"/>
  <c r="P13" i="107" s="1"/>
  <c r="O27" i="107"/>
  <c r="P27" i="107" s="1"/>
  <c r="O45" i="103"/>
  <c r="P45" i="103" s="1"/>
  <c r="O12" i="107"/>
  <c r="P12" i="107" s="1"/>
  <c r="O38" i="107"/>
  <c r="P38" i="107" s="1"/>
  <c r="O17" i="107"/>
  <c r="P17" i="107" s="1"/>
  <c r="O10" i="103"/>
  <c r="P10" i="103" s="1"/>
  <c r="O51" i="105"/>
  <c r="P51" i="105" s="1"/>
  <c r="O33" i="102"/>
  <c r="P33" i="102" s="1"/>
  <c r="O64" i="106"/>
  <c r="P64" i="106" s="1"/>
  <c r="O24" i="106"/>
  <c r="P24" i="106" s="1"/>
  <c r="O42" i="106"/>
  <c r="P42" i="106" s="1"/>
  <c r="O45" i="106"/>
  <c r="P45" i="106" s="1"/>
  <c r="O78" i="106"/>
  <c r="P78" i="106" s="1"/>
  <c r="O40" i="106"/>
  <c r="P40" i="106" s="1"/>
  <c r="O28" i="106"/>
  <c r="P28" i="106" s="1"/>
  <c r="O16" i="106"/>
  <c r="P16" i="106" s="1"/>
  <c r="O35" i="106"/>
  <c r="P35" i="106" s="1"/>
  <c r="O44" i="106"/>
  <c r="P44" i="106" s="1"/>
  <c r="O46" i="106"/>
  <c r="P46" i="106" s="1"/>
  <c r="O22" i="106"/>
  <c r="P22" i="106" s="1"/>
  <c r="O31" i="106"/>
  <c r="P31" i="106" s="1"/>
  <c r="O33" i="106"/>
  <c r="P33" i="106" s="1"/>
  <c r="O26" i="106"/>
  <c r="P26" i="106" s="1"/>
  <c r="O39" i="106"/>
  <c r="P39" i="106" s="1"/>
  <c r="O29" i="106"/>
  <c r="P29" i="106" s="1"/>
  <c r="O52" i="106"/>
  <c r="P52" i="106" s="1"/>
  <c r="O19" i="106"/>
  <c r="P19" i="106" s="1"/>
  <c r="O25" i="106"/>
  <c r="P25" i="106" s="1"/>
  <c r="O27" i="106"/>
  <c r="P27" i="106" s="1"/>
  <c r="O20" i="106"/>
  <c r="P20" i="106" s="1"/>
  <c r="O21" i="104"/>
  <c r="P21" i="104" s="1"/>
  <c r="O27" i="101"/>
  <c r="P27" i="101" s="1"/>
  <c r="O11" i="101"/>
  <c r="P11" i="101" s="1"/>
  <c r="O66" i="105"/>
  <c r="P66" i="105" s="1"/>
  <c r="O78" i="103"/>
  <c r="P78" i="103" s="1"/>
  <c r="O71" i="102"/>
  <c r="P71" i="102" s="1"/>
  <c r="O49" i="102"/>
  <c r="P49" i="102" s="1"/>
  <c r="O70" i="102"/>
  <c r="O49" i="105"/>
  <c r="P49" i="105" s="1"/>
  <c r="O27" i="105"/>
  <c r="P27" i="105" s="1"/>
  <c r="O24" i="101"/>
  <c r="P24" i="101" s="1"/>
  <c r="O19" i="105"/>
  <c r="P19" i="105" s="1"/>
  <c r="O34" i="105"/>
  <c r="P34" i="105" s="1"/>
  <c r="O13" i="105"/>
  <c r="P13" i="105" s="1"/>
  <c r="O44" i="105"/>
  <c r="P44" i="105" s="1"/>
  <c r="O46" i="105"/>
  <c r="P46" i="105" s="1"/>
  <c r="O28" i="105"/>
  <c r="P28" i="105" s="1"/>
  <c r="O12" i="105"/>
  <c r="P12" i="105" s="1"/>
  <c r="O31" i="105"/>
  <c r="P31" i="105" s="1"/>
  <c r="O11" i="105"/>
  <c r="P11" i="105" s="1"/>
  <c r="O48" i="102"/>
  <c r="P48" i="102" s="1"/>
  <c r="O37" i="105"/>
  <c r="P37" i="105" s="1"/>
  <c r="O42" i="105"/>
  <c r="P42" i="105" s="1"/>
  <c r="O17" i="105"/>
  <c r="P17" i="105" s="1"/>
  <c r="O38" i="105"/>
  <c r="P38" i="105" s="1"/>
  <c r="O43" i="105"/>
  <c r="P43" i="105" s="1"/>
  <c r="O41" i="101"/>
  <c r="P41" i="101" s="1"/>
  <c r="O24" i="105"/>
  <c r="P24" i="105" s="1"/>
  <c r="O21" i="101"/>
  <c r="P21" i="101" s="1"/>
  <c r="O41" i="102"/>
  <c r="P41" i="102" s="1"/>
  <c r="O33" i="105"/>
  <c r="P33" i="105" s="1"/>
  <c r="O39" i="105"/>
  <c r="P39" i="105" s="1"/>
  <c r="O22" i="105"/>
  <c r="P22" i="105" s="1"/>
  <c r="O23" i="105"/>
  <c r="P23" i="105" s="1"/>
  <c r="O41" i="105"/>
  <c r="P41" i="105" s="1"/>
  <c r="O20" i="102"/>
  <c r="P20" i="102" s="1"/>
  <c r="O45" i="102"/>
  <c r="P45" i="102" s="1"/>
  <c r="O32" i="103"/>
  <c r="P32" i="103" s="1"/>
  <c r="O45" i="104"/>
  <c r="P45" i="104" s="1"/>
  <c r="O46" i="104"/>
  <c r="P46" i="104" s="1"/>
  <c r="O13" i="104"/>
  <c r="P13" i="104" s="1"/>
  <c r="O78" i="101"/>
  <c r="P78" i="101" s="1"/>
  <c r="O44" i="101"/>
  <c r="P44" i="101" s="1"/>
  <c r="O66" i="103"/>
  <c r="P66" i="103" s="1"/>
  <c r="O46" i="103"/>
  <c r="P46" i="103" s="1"/>
  <c r="O52" i="103"/>
  <c r="P52" i="103" s="1"/>
  <c r="O28" i="101"/>
  <c r="P28" i="101" s="1"/>
  <c r="O34" i="103"/>
  <c r="P34" i="103" s="1"/>
  <c r="O40" i="103"/>
  <c r="P40" i="103" s="1"/>
  <c r="O33" i="103"/>
  <c r="P33" i="103" s="1"/>
  <c r="O44" i="103"/>
  <c r="P44" i="103" s="1"/>
  <c r="O48" i="100"/>
  <c r="P48" i="100" s="1"/>
  <c r="O39" i="103"/>
  <c r="P39" i="103" s="1"/>
  <c r="O38" i="103"/>
  <c r="P38" i="103" s="1"/>
  <c r="O20" i="103"/>
  <c r="P20" i="103" s="1"/>
  <c r="O18" i="103"/>
  <c r="P18" i="103" s="1"/>
  <c r="O28" i="103"/>
  <c r="P28" i="103" s="1"/>
  <c r="O27" i="103"/>
  <c r="P27" i="103" s="1"/>
  <c r="O12" i="103"/>
  <c r="P12" i="103" s="1"/>
  <c r="O23" i="103"/>
  <c r="P23" i="103" s="1"/>
  <c r="O17" i="103"/>
  <c r="P17" i="103" s="1"/>
  <c r="O31" i="103"/>
  <c r="P31" i="103" s="1"/>
  <c r="O22" i="103"/>
  <c r="P22" i="103" s="1"/>
  <c r="O28" i="100"/>
  <c r="P28" i="100" s="1"/>
  <c r="O38" i="101"/>
  <c r="P38" i="101" s="1"/>
  <c r="O17" i="100"/>
  <c r="P17" i="100" s="1"/>
  <c r="O43" i="101"/>
  <c r="P43" i="101" s="1"/>
  <c r="O21" i="100"/>
  <c r="P21" i="100" s="1"/>
  <c r="O64" i="101"/>
  <c r="P64" i="101" s="1"/>
  <c r="O27" i="100"/>
  <c r="P27" i="100" s="1"/>
  <c r="O65" i="102"/>
  <c r="P65" i="102" s="1"/>
  <c r="O66" i="102"/>
  <c r="P66" i="102" s="1"/>
  <c r="O78" i="102"/>
  <c r="P78" i="102" s="1"/>
  <c r="O35" i="102"/>
  <c r="P35" i="102" s="1"/>
  <c r="O31" i="102"/>
  <c r="P31" i="102" s="1"/>
  <c r="O38" i="102"/>
  <c r="P38" i="102" s="1"/>
  <c r="V11" i="100"/>
  <c r="O7" i="674" s="1"/>
  <c r="O18" i="101"/>
  <c r="P18" i="101" s="1"/>
  <c r="O42" i="102"/>
  <c r="P42" i="102" s="1"/>
  <c r="O46" i="102"/>
  <c r="P46" i="102" s="1"/>
  <c r="O43" i="102"/>
  <c r="P43" i="102" s="1"/>
  <c r="O52" i="102"/>
  <c r="P52" i="102" s="1"/>
  <c r="O34" i="102"/>
  <c r="P34" i="102" s="1"/>
  <c r="O29" i="102"/>
  <c r="P29" i="102" s="1"/>
  <c r="O13" i="102"/>
  <c r="P13" i="102" s="1"/>
  <c r="O19" i="102"/>
  <c r="P19" i="102" s="1"/>
  <c r="O23" i="102"/>
  <c r="P23" i="102" s="1"/>
  <c r="O27" i="102"/>
  <c r="P27" i="102" s="1"/>
  <c r="O12" i="102"/>
  <c r="P12" i="102" s="1"/>
  <c r="O17" i="102"/>
  <c r="P17" i="102" s="1"/>
  <c r="O22" i="102"/>
  <c r="P22" i="102" s="1"/>
  <c r="O24" i="102"/>
  <c r="P24" i="102" s="1"/>
  <c r="O18" i="102"/>
  <c r="P18" i="102" s="1"/>
  <c r="O66" i="100"/>
  <c r="P66" i="100" s="1"/>
  <c r="O23" i="101"/>
  <c r="P23" i="101" s="1"/>
  <c r="O55" i="100"/>
  <c r="P55" i="100" s="1"/>
  <c r="O49" i="101"/>
  <c r="P49" i="101" s="1"/>
  <c r="O10" i="101"/>
  <c r="P10" i="101" s="1"/>
  <c r="O11" i="108"/>
  <c r="P11" i="108" s="1"/>
  <c r="O34" i="101"/>
  <c r="P34" i="101" s="1"/>
  <c r="O10" i="122"/>
  <c r="P10" i="122" s="1"/>
  <c r="O49" i="100"/>
  <c r="P49" i="100" s="1"/>
  <c r="O50" i="100"/>
  <c r="P50" i="100" s="1"/>
  <c r="O30" i="100"/>
  <c r="P30" i="100" s="1"/>
  <c r="O39" i="100"/>
  <c r="P39" i="100" s="1"/>
  <c r="O29" i="100"/>
  <c r="P29" i="100" s="1"/>
  <c r="O40" i="100"/>
  <c r="P40" i="100" s="1"/>
  <c r="O31" i="100"/>
  <c r="P31" i="100" s="1"/>
  <c r="O23" i="100"/>
  <c r="P23" i="100" s="1"/>
  <c r="O42" i="100"/>
  <c r="P42" i="100" s="1"/>
  <c r="O46" i="100"/>
  <c r="P46" i="100" s="1"/>
  <c r="O44" i="100"/>
  <c r="P44" i="100" s="1"/>
  <c r="O33" i="100"/>
  <c r="P33" i="100" s="1"/>
  <c r="O24" i="100"/>
  <c r="P24" i="100" s="1"/>
  <c r="O13" i="100"/>
  <c r="P13" i="100" s="1"/>
  <c r="O20" i="100"/>
  <c r="P20" i="100" s="1"/>
  <c r="O26" i="100"/>
  <c r="P26" i="100" s="1"/>
  <c r="O16" i="100"/>
  <c r="P16" i="100" s="1"/>
  <c r="O10" i="100"/>
  <c r="P10" i="100" s="1"/>
  <c r="O38" i="100"/>
  <c r="P38" i="100" s="1"/>
  <c r="O41" i="100"/>
  <c r="P41" i="100" s="1"/>
  <c r="O55" i="101"/>
  <c r="P55" i="101" s="1"/>
  <c r="O71" i="124"/>
  <c r="P71" i="124" s="1"/>
  <c r="O71" i="116"/>
  <c r="P71" i="116" s="1"/>
  <c r="O16" i="122"/>
  <c r="P16" i="122" s="1"/>
  <c r="V11" i="124"/>
  <c r="O22" i="674" s="1"/>
  <c r="O11" i="106"/>
  <c r="P11" i="106" s="1"/>
  <c r="O16" i="121"/>
  <c r="P16" i="121" s="1"/>
  <c r="O32" i="100"/>
  <c r="P32" i="100" s="1"/>
  <c r="O71" i="119"/>
  <c r="P71" i="119" s="1"/>
  <c r="V10" i="103"/>
  <c r="N10" i="674" s="1"/>
  <c r="O11" i="103"/>
  <c r="P11" i="103" s="1"/>
  <c r="V13" i="106"/>
  <c r="Q13" i="674" s="1"/>
  <c r="O50" i="119"/>
  <c r="P50" i="119" s="1"/>
  <c r="O42" i="108"/>
  <c r="P42" i="108" s="1"/>
  <c r="O20" i="122"/>
  <c r="P20" i="122" s="1"/>
  <c r="V13" i="101"/>
  <c r="Q8" i="674" s="1"/>
  <c r="O13" i="101"/>
  <c r="P13" i="101" s="1"/>
  <c r="O41" i="110"/>
  <c r="P41" i="110" s="1"/>
  <c r="O35" i="103"/>
  <c r="P35" i="103" s="1"/>
  <c r="O31" i="475"/>
  <c r="P31" i="475" s="1"/>
  <c r="O20" i="124"/>
  <c r="P20" i="124" s="1"/>
  <c r="O22" i="115"/>
  <c r="O65" i="122"/>
  <c r="P65" i="122" s="1"/>
  <c r="O27" i="111"/>
  <c r="P27" i="111" s="1"/>
  <c r="O29" i="122"/>
  <c r="P29" i="122" s="1"/>
  <c r="O12" i="123"/>
  <c r="P12" i="123" s="1"/>
  <c r="O43" i="114"/>
  <c r="P43" i="114" s="1"/>
  <c r="O28" i="121"/>
  <c r="P28" i="121" s="1"/>
  <c r="O46" i="122"/>
  <c r="P46" i="122" s="1"/>
  <c r="O38" i="122"/>
  <c r="P38" i="122" s="1"/>
  <c r="O49" i="125"/>
  <c r="P49" i="125" s="1"/>
  <c r="O13" i="125"/>
  <c r="P13" i="125" s="1"/>
  <c r="O29" i="101"/>
  <c r="P29" i="101" s="1"/>
  <c r="O45" i="123"/>
  <c r="P45" i="123" s="1"/>
  <c r="O30" i="102"/>
  <c r="P30" i="102" s="1"/>
  <c r="O19" i="475"/>
  <c r="P19" i="475" s="1"/>
  <c r="O49" i="103"/>
  <c r="P49" i="103" s="1"/>
  <c r="O78" i="120"/>
  <c r="P78" i="120" s="1"/>
  <c r="O41" i="103"/>
  <c r="P41" i="103" s="1"/>
  <c r="V10" i="111"/>
  <c r="N17" i="674" s="1"/>
  <c r="O44" i="102"/>
  <c r="P44" i="102" s="1"/>
  <c r="O19" i="100"/>
  <c r="P19" i="100" s="1"/>
  <c r="O54" i="100"/>
  <c r="P54" i="100" s="1"/>
  <c r="O12" i="100"/>
  <c r="P12" i="100" s="1"/>
  <c r="O71" i="100"/>
  <c r="P71" i="100" s="1"/>
  <c r="O54" i="125"/>
  <c r="P54" i="125" s="1"/>
  <c r="O73" i="125"/>
  <c r="P73" i="125" s="1"/>
  <c r="O22" i="100"/>
  <c r="P22" i="100" s="1"/>
  <c r="O71" i="112"/>
  <c r="P71" i="112" s="1"/>
  <c r="O50" i="108"/>
  <c r="P50" i="108" s="1"/>
  <c r="O45" i="100"/>
  <c r="P45" i="100" s="1"/>
  <c r="O26" i="102"/>
  <c r="P26" i="102" s="1"/>
  <c r="O78" i="100"/>
  <c r="P78" i="100" s="1"/>
  <c r="O29" i="123"/>
  <c r="P29" i="123" s="1"/>
  <c r="O65" i="125"/>
  <c r="P65" i="125" s="1"/>
  <c r="V14" i="106"/>
  <c r="R13" i="674" s="1"/>
  <c r="O26" i="114"/>
  <c r="P26" i="114" s="1"/>
  <c r="O71" i="122"/>
  <c r="P71" i="122" s="1"/>
  <c r="O40" i="102"/>
  <c r="P40" i="102" s="1"/>
  <c r="O71" i="101"/>
  <c r="P71" i="101" s="1"/>
  <c r="O27" i="120"/>
  <c r="P27" i="120" s="1"/>
  <c r="O71" i="121"/>
  <c r="P71" i="121" s="1"/>
  <c r="O71" i="125"/>
  <c r="P71" i="125" s="1"/>
  <c r="O34" i="100"/>
  <c r="P34" i="100" s="1"/>
  <c r="O73" i="124"/>
  <c r="P73" i="124" s="1"/>
  <c r="O42" i="125"/>
  <c r="P42" i="125" s="1"/>
  <c r="O12" i="101"/>
  <c r="P12" i="101" s="1"/>
  <c r="O64" i="103"/>
  <c r="P64" i="103" s="1"/>
  <c r="O55" i="108"/>
  <c r="P55" i="108" s="1"/>
  <c r="Q15" i="674"/>
  <c r="V10" i="107"/>
  <c r="N14" i="674" s="1"/>
  <c r="O65" i="101"/>
  <c r="P65" i="101" s="1"/>
  <c r="O29" i="115"/>
  <c r="O27" i="122"/>
  <c r="P27" i="122" s="1"/>
  <c r="O10" i="475"/>
  <c r="P10" i="475" s="1"/>
  <c r="O71" i="108"/>
  <c r="P71" i="108" s="1"/>
  <c r="O17" i="124"/>
  <c r="P17" i="124" s="1"/>
  <c r="O24" i="103"/>
  <c r="P24" i="103" s="1"/>
  <c r="O41" i="112"/>
  <c r="P41" i="112" s="1"/>
  <c r="O11" i="111"/>
  <c r="P11" i="111" s="1"/>
  <c r="O64" i="107"/>
  <c r="P64" i="107" s="1"/>
  <c r="V11" i="101"/>
  <c r="O8" i="674" s="1"/>
  <c r="O16" i="101"/>
  <c r="P16" i="101" s="1"/>
  <c r="O38" i="111"/>
  <c r="P38" i="111" s="1"/>
  <c r="O64" i="108"/>
  <c r="P64" i="108" s="1"/>
  <c r="O27" i="117"/>
  <c r="P27" i="117" s="1"/>
  <c r="O16" i="119"/>
  <c r="P16" i="119" s="1"/>
  <c r="O55" i="472"/>
  <c r="P55" i="472" s="1"/>
  <c r="O26" i="119"/>
  <c r="P26" i="119" s="1"/>
  <c r="O40" i="107"/>
  <c r="P40" i="107" s="1"/>
  <c r="O26" i="105"/>
  <c r="P26" i="105" s="1"/>
  <c r="O16" i="118"/>
  <c r="P16" i="118" s="1"/>
  <c r="O16" i="472"/>
  <c r="P16" i="472" s="1"/>
  <c r="O26" i="101"/>
  <c r="P26" i="101" s="1"/>
  <c r="O11" i="110"/>
  <c r="P11" i="110" s="1"/>
  <c r="O37" i="103"/>
  <c r="P37" i="103" s="1"/>
  <c r="V13" i="103"/>
  <c r="Q10" i="674" s="1"/>
  <c r="O16" i="123"/>
  <c r="P16" i="123" s="1"/>
  <c r="V9" i="121"/>
  <c r="M28" i="674" s="1"/>
  <c r="O38" i="117"/>
  <c r="P38" i="117" s="1"/>
  <c r="O71" i="475"/>
  <c r="P71" i="475" s="1"/>
  <c r="O11" i="117"/>
  <c r="P11" i="117" s="1"/>
  <c r="O40" i="118"/>
  <c r="P40" i="118" s="1"/>
  <c r="O64" i="121"/>
  <c r="P64" i="121" s="1"/>
  <c r="O54" i="122"/>
  <c r="P54" i="122" s="1"/>
  <c r="O44" i="122"/>
  <c r="P44" i="122" s="1"/>
  <c r="O19" i="112"/>
  <c r="P19" i="112" s="1"/>
  <c r="O17" i="111"/>
  <c r="P17" i="111" s="1"/>
  <c r="O54" i="116"/>
  <c r="P54" i="116" s="1"/>
  <c r="O21" i="116"/>
  <c r="P21" i="116" s="1"/>
  <c r="O16" i="115"/>
  <c r="P16" i="115" s="1"/>
  <c r="O54" i="111"/>
  <c r="P54" i="111" s="1"/>
  <c r="O64" i="472"/>
  <c r="P64" i="472" s="1"/>
  <c r="O33" i="116"/>
  <c r="P33" i="116" s="1"/>
  <c r="V10" i="121"/>
  <c r="N28" i="674" s="1"/>
  <c r="O39" i="121"/>
  <c r="P39" i="121" s="1"/>
  <c r="C64" i="682" l="1"/>
  <c r="C92" i="682" s="1"/>
  <c r="E62" i="682"/>
  <c r="I27" i="753"/>
  <c r="C66" i="755"/>
  <c r="P22" i="115"/>
  <c r="P44" i="115"/>
  <c r="P19" i="115"/>
  <c r="P43" i="115"/>
  <c r="P46" i="115"/>
  <c r="P24" i="115"/>
  <c r="P31" i="115"/>
  <c r="P78" i="115"/>
  <c r="P49" i="115"/>
  <c r="P21" i="115"/>
  <c r="P29" i="115"/>
  <c r="P30" i="115"/>
  <c r="P28" i="115"/>
  <c r="P23" i="115"/>
  <c r="P20" i="115"/>
  <c r="P27" i="115"/>
  <c r="P48" i="115"/>
  <c r="C61" i="683"/>
  <c r="AV68" i="105"/>
  <c r="G8" i="120"/>
  <c r="E6" i="420" s="1"/>
  <c r="E74" i="420"/>
  <c r="I76" i="420"/>
  <c r="E60" i="683"/>
  <c r="M8" i="112"/>
  <c r="E18" i="674" s="1"/>
  <c r="G18" i="674" s="1"/>
  <c r="S18" i="674" s="1"/>
  <c r="T18" i="674" s="1"/>
  <c r="M8" i="100"/>
  <c r="M8" i="107"/>
  <c r="E14" i="674" s="1"/>
  <c r="M8" i="121"/>
  <c r="E28" i="674" s="1"/>
  <c r="G28" i="674" s="1"/>
  <c r="S28" i="674" s="1"/>
  <c r="T28" i="674" s="1"/>
  <c r="M8" i="124"/>
  <c r="E22" i="674" s="1"/>
  <c r="G22" i="674" s="1"/>
  <c r="S22" i="674" s="1"/>
  <c r="T22" i="674" s="1"/>
  <c r="M8" i="125"/>
  <c r="E31" i="674" s="1"/>
  <c r="G31" i="674" s="1"/>
  <c r="S31" i="674" s="1"/>
  <c r="T31" i="674" s="1"/>
  <c r="M8" i="111"/>
  <c r="E17" i="674" s="1"/>
  <c r="M8" i="106"/>
  <c r="E13" i="674" s="1"/>
  <c r="M8" i="472"/>
  <c r="E19" i="674" s="1"/>
  <c r="M8" i="115"/>
  <c r="E21" i="674" s="1"/>
  <c r="G21" i="674" s="1"/>
  <c r="S21" i="674" s="1"/>
  <c r="T21" i="674" s="1"/>
  <c r="M8" i="116"/>
  <c r="E23" i="674" s="1"/>
  <c r="G23" i="674" s="1"/>
  <c r="S23" i="674" s="1"/>
  <c r="T23" i="674" s="1"/>
  <c r="M8" i="122"/>
  <c r="E29" i="674" s="1"/>
  <c r="M8" i="105"/>
  <c r="E12" i="674" s="1"/>
  <c r="G12" i="674" s="1"/>
  <c r="S12" i="674" s="1"/>
  <c r="T12" i="674" s="1"/>
  <c r="M8" i="117"/>
  <c r="E24" i="674" s="1"/>
  <c r="G24" i="674" s="1"/>
  <c r="S24" i="674" s="1"/>
  <c r="T24" i="674" s="1"/>
  <c r="M8" i="101"/>
  <c r="E8" i="674" s="1"/>
  <c r="M8" i="118"/>
  <c r="E25" i="674" s="1"/>
  <c r="M8" i="103"/>
  <c r="E10" i="674" s="1"/>
  <c r="M8" i="119"/>
  <c r="E26" i="674" s="1"/>
  <c r="M8" i="104"/>
  <c r="E11" i="674" s="1"/>
  <c r="AV68" i="124"/>
  <c r="AJ60" i="102"/>
  <c r="AJ60" i="101"/>
  <c r="AJ65" i="110"/>
  <c r="AV68" i="107"/>
  <c r="C30" i="418"/>
  <c r="AV68" i="108"/>
  <c r="AJ2" i="101"/>
  <c r="M77" i="114"/>
  <c r="M77" i="110"/>
  <c r="M77" i="102"/>
  <c r="M77" i="123"/>
  <c r="M77" i="475"/>
  <c r="AV65" i="472"/>
  <c r="AV65" i="475"/>
  <c r="AJ65" i="115"/>
  <c r="AV65" i="107"/>
  <c r="AV68" i="111"/>
  <c r="AV68" i="110"/>
  <c r="AV60" i="123"/>
  <c r="AV60" i="103"/>
  <c r="AV60" i="111"/>
  <c r="AJ60" i="115"/>
  <c r="AJ50" i="119"/>
  <c r="AJ50" i="122"/>
  <c r="AJ60" i="123"/>
  <c r="AV60" i="106"/>
  <c r="AJ65" i="103"/>
  <c r="AV65" i="111"/>
  <c r="E75" i="736"/>
  <c r="AJ65" i="120"/>
  <c r="AJ50" i="120"/>
  <c r="AJ2" i="120"/>
  <c r="AV68" i="122"/>
  <c r="AV65" i="122"/>
  <c r="AV60" i="117"/>
  <c r="AV2" i="117"/>
  <c r="AV50" i="124"/>
  <c r="E27" i="674"/>
  <c r="V10" i="120"/>
  <c r="N27" i="674" s="1"/>
  <c r="I76" i="736"/>
  <c r="AV50" i="112"/>
  <c r="AV12" i="110"/>
  <c r="AV12" i="117"/>
  <c r="AV22" i="117"/>
  <c r="AV68" i="116"/>
  <c r="AV60" i="125"/>
  <c r="AV60" i="472"/>
  <c r="AJ65" i="108"/>
  <c r="AJ50" i="108"/>
  <c r="AV60" i="108"/>
  <c r="AV65" i="125"/>
  <c r="AV60" i="475"/>
  <c r="AV33" i="125"/>
  <c r="AV22" i="123"/>
  <c r="AV60" i="122"/>
  <c r="AV65" i="121"/>
  <c r="AV60" i="121"/>
  <c r="AV68" i="117"/>
  <c r="AV60" i="116"/>
  <c r="AV65" i="117"/>
  <c r="AV60" i="119"/>
  <c r="AV6" i="119"/>
  <c r="AV65" i="120"/>
  <c r="AV50" i="121"/>
  <c r="D30" i="418"/>
  <c r="AV65" i="118"/>
  <c r="AV68" i="118"/>
  <c r="AV60" i="118"/>
  <c r="E30" i="418"/>
  <c r="AV2" i="118"/>
  <c r="AJ22" i="118"/>
  <c r="AJ50" i="118"/>
  <c r="AJ12" i="120"/>
  <c r="AJ65" i="118"/>
  <c r="AV12" i="102"/>
  <c r="AJ2" i="118"/>
  <c r="AJ12" i="108"/>
  <c r="AJ60" i="114"/>
  <c r="AV50" i="110"/>
  <c r="AV22" i="103"/>
  <c r="AJ60" i="472"/>
  <c r="AJ2" i="103"/>
  <c r="AV68" i="100"/>
  <c r="AJ2" i="106"/>
  <c r="AJ12" i="122"/>
  <c r="AJ22" i="105"/>
  <c r="AJ50" i="475"/>
  <c r="AJ12" i="105"/>
  <c r="AV65" i="108"/>
  <c r="AV6" i="121"/>
  <c r="AV12" i="125"/>
  <c r="AJ50" i="124"/>
  <c r="AV50" i="122"/>
  <c r="AJ50" i="107"/>
  <c r="AV22" i="121"/>
  <c r="AJ22" i="106"/>
  <c r="AV50" i="101"/>
  <c r="AV22" i="116"/>
  <c r="AJ22" i="112"/>
  <c r="AA22" i="125"/>
  <c r="AV50" i="102"/>
  <c r="AJ33" i="475"/>
  <c r="AJ60" i="108"/>
  <c r="AV22" i="119"/>
  <c r="AV33" i="105"/>
  <c r="AJ60" i="117"/>
  <c r="AV12" i="475"/>
  <c r="AV50" i="103"/>
  <c r="AJ65" i="123"/>
  <c r="AV22" i="115"/>
  <c r="AV50" i="475"/>
  <c r="AV50" i="123"/>
  <c r="AV22" i="108"/>
  <c r="AV65" i="123"/>
  <c r="AJ22" i="108"/>
  <c r="AV22" i="105"/>
  <c r="AJ22" i="124"/>
  <c r="AV22" i="124"/>
  <c r="AV22" i="118"/>
  <c r="AJ22" i="115"/>
  <c r="AJ12" i="102"/>
  <c r="AJ33" i="106"/>
  <c r="AJ22" i="107"/>
  <c r="AV2" i="107"/>
  <c r="AJ60" i="107"/>
  <c r="AV50" i="105"/>
  <c r="AJ60" i="100"/>
  <c r="AV22" i="475"/>
  <c r="AV60" i="124"/>
  <c r="AV22" i="122"/>
  <c r="AV22" i="107"/>
  <c r="AJ22" i="117"/>
  <c r="AJ60" i="475"/>
  <c r="AV50" i="100"/>
  <c r="AJ50" i="103"/>
  <c r="AJ60" i="118"/>
  <c r="AJ22" i="472"/>
  <c r="AJ50" i="105"/>
  <c r="AJ50" i="116"/>
  <c r="AJ2" i="124"/>
  <c r="AJ50" i="102"/>
  <c r="AJ22" i="110"/>
  <c r="AJ50" i="114"/>
  <c r="AV12" i="106"/>
  <c r="AJ12" i="116"/>
  <c r="AV2" i="123"/>
  <c r="AV12" i="124"/>
  <c r="AV60" i="101"/>
  <c r="AV22" i="102"/>
  <c r="H27" i="418"/>
  <c r="J27" i="418"/>
  <c r="H26" i="418"/>
  <c r="J26" i="418"/>
  <c r="J25" i="418"/>
  <c r="H25" i="418"/>
  <c r="H28" i="418"/>
  <c r="J28" i="418"/>
  <c r="J29" i="418"/>
  <c r="H29" i="418"/>
  <c r="O16" i="105"/>
  <c r="P16" i="105" s="1"/>
  <c r="F80" i="107"/>
  <c r="F80" i="118"/>
  <c r="F11" i="418"/>
  <c r="I11" i="418" s="1"/>
  <c r="D15" i="680" s="1"/>
  <c r="O16" i="117"/>
  <c r="P16" i="117" s="1"/>
  <c r="F4" i="418"/>
  <c r="I4" i="418" s="1"/>
  <c r="D8" i="680" s="1"/>
  <c r="T17" i="100"/>
  <c r="F80" i="100"/>
  <c r="F7" i="418"/>
  <c r="I7" i="418" s="1"/>
  <c r="D11" i="680" s="1"/>
  <c r="F22" i="418"/>
  <c r="I22" i="418" s="1"/>
  <c r="D27" i="680" s="1"/>
  <c r="D47" i="680" s="1"/>
  <c r="T17" i="118"/>
  <c r="O10" i="114"/>
  <c r="P10" i="114" s="1"/>
  <c r="O55" i="117"/>
  <c r="P55" i="117" s="1"/>
  <c r="O73" i="119"/>
  <c r="P73" i="119" s="1"/>
  <c r="O16" i="110"/>
  <c r="P16" i="110" s="1"/>
  <c r="O26" i="115"/>
  <c r="O43" i="112"/>
  <c r="P43" i="112" s="1"/>
  <c r="O53" i="475"/>
  <c r="P53" i="475" s="1"/>
  <c r="AV68" i="121"/>
  <c r="F18" i="418"/>
  <c r="I18" i="418" s="1"/>
  <c r="D22" i="680" s="1"/>
  <c r="AV65" i="101"/>
  <c r="AJ60" i="124"/>
  <c r="F80" i="115"/>
  <c r="T17" i="115"/>
  <c r="AV12" i="101"/>
  <c r="AB6" i="125"/>
  <c r="AJ60" i="103"/>
  <c r="AV60" i="102"/>
  <c r="F5" i="418"/>
  <c r="I5" i="418" s="1"/>
  <c r="D9" i="680" s="1"/>
  <c r="AV50" i="472"/>
  <c r="T17" i="101"/>
  <c r="F80" i="101"/>
  <c r="AV50" i="116"/>
  <c r="AJ50" i="106"/>
  <c r="AJ50" i="121"/>
  <c r="AV50" i="118"/>
  <c r="AJ50" i="472"/>
  <c r="T17" i="117"/>
  <c r="T17" i="108"/>
  <c r="F16" i="418"/>
  <c r="I16" i="418" s="1"/>
  <c r="D20" i="680" s="1"/>
  <c r="F80" i="108"/>
  <c r="F80" i="106"/>
  <c r="T17" i="472"/>
  <c r="F12" i="418"/>
  <c r="I12" i="418" s="1"/>
  <c r="T17" i="106"/>
  <c r="F10" i="418"/>
  <c r="I10" i="418" s="1"/>
  <c r="D14" i="680" s="1"/>
  <c r="AS5" i="472"/>
  <c r="AJ12" i="112"/>
  <c r="F80" i="114"/>
  <c r="AJ60" i="112"/>
  <c r="AO5" i="121"/>
  <c r="AH6" i="125"/>
  <c r="AV50" i="114"/>
  <c r="AF6" i="125"/>
  <c r="F80" i="122"/>
  <c r="T17" i="122"/>
  <c r="AJ2" i="105"/>
  <c r="AU5" i="114"/>
  <c r="AC5" i="121"/>
  <c r="AO5" i="475"/>
  <c r="AU5" i="101"/>
  <c r="AU5" i="123"/>
  <c r="AI5" i="114"/>
  <c r="AU5" i="108"/>
  <c r="AD5" i="117"/>
  <c r="AQ5" i="107"/>
  <c r="AB5" i="100"/>
  <c r="AP5" i="475"/>
  <c r="AQ5" i="124"/>
  <c r="AB5" i="101"/>
  <c r="AB5" i="123"/>
  <c r="AF5" i="122"/>
  <c r="AR5" i="107"/>
  <c r="AD5" i="100"/>
  <c r="AV6" i="115"/>
  <c r="AR5" i="124"/>
  <c r="AO5" i="123"/>
  <c r="AS5" i="116"/>
  <c r="AD5" i="118"/>
  <c r="AA5" i="105"/>
  <c r="AQ5" i="121"/>
  <c r="AO5" i="104"/>
  <c r="AS5" i="124"/>
  <c r="AN5" i="110"/>
  <c r="AT5" i="116"/>
  <c r="AE5" i="118"/>
  <c r="AV6" i="107"/>
  <c r="AB5" i="112"/>
  <c r="AP5" i="104"/>
  <c r="AC5" i="119"/>
  <c r="AO5" i="110"/>
  <c r="AU5" i="116"/>
  <c r="AQ5" i="115"/>
  <c r="AF5" i="119"/>
  <c r="AE5" i="124"/>
  <c r="AG5" i="123"/>
  <c r="AJ6" i="102"/>
  <c r="AR5" i="103"/>
  <c r="AS5" i="114"/>
  <c r="AF5" i="100"/>
  <c r="AF5" i="110"/>
  <c r="AO5" i="106"/>
  <c r="AE5" i="108"/>
  <c r="AI5" i="102"/>
  <c r="AV6" i="125"/>
  <c r="AO5" i="112"/>
  <c r="AB5" i="103"/>
  <c r="AJ6" i="472"/>
  <c r="AP5" i="117"/>
  <c r="AT5" i="472"/>
  <c r="AT5" i="123"/>
  <c r="AI5" i="120"/>
  <c r="AN5" i="103"/>
  <c r="AR5" i="112"/>
  <c r="AI5" i="105"/>
  <c r="AN5" i="120"/>
  <c r="AP5" i="112"/>
  <c r="O10" i="121"/>
  <c r="P10" i="121" s="1"/>
  <c r="AP5" i="107"/>
  <c r="AI5" i="100"/>
  <c r="AQ5" i="117"/>
  <c r="AU5" i="472"/>
  <c r="AP5" i="118"/>
  <c r="AJ6" i="111"/>
  <c r="AU5" i="100"/>
  <c r="AQ5" i="112"/>
  <c r="AF5" i="103"/>
  <c r="AB5" i="472"/>
  <c r="AR5" i="117"/>
  <c r="AV6" i="101"/>
  <c r="AT5" i="110"/>
  <c r="AD5" i="120"/>
  <c r="AC5" i="118"/>
  <c r="AG5" i="103"/>
  <c r="AC5" i="100"/>
  <c r="AQ5" i="475"/>
  <c r="AT5" i="101"/>
  <c r="AN5" i="118"/>
  <c r="AC5" i="114"/>
  <c r="AJ6" i="105"/>
  <c r="AD6" i="125"/>
  <c r="AF5" i="121"/>
  <c r="AO5" i="115"/>
  <c r="AO5" i="101"/>
  <c r="AV6" i="110"/>
  <c r="AD5" i="114"/>
  <c r="AN5" i="107"/>
  <c r="AP5" i="115"/>
  <c r="AT5" i="124"/>
  <c r="AQ5" i="123"/>
  <c r="AE5" i="114"/>
  <c r="AQ5" i="108"/>
  <c r="AJ6" i="121"/>
  <c r="AT5" i="475"/>
  <c r="AV6" i="124"/>
  <c r="AF5" i="116"/>
  <c r="AE5" i="120"/>
  <c r="AB5" i="122"/>
  <c r="AC5" i="105"/>
  <c r="AU5" i="107"/>
  <c r="AG5" i="472"/>
  <c r="AG5" i="104"/>
  <c r="AG5" i="124"/>
  <c r="AU5" i="111"/>
  <c r="AC5" i="122"/>
  <c r="AN5" i="125"/>
  <c r="AR5" i="120"/>
  <c r="AO5" i="119"/>
  <c r="AH5" i="472"/>
  <c r="AG5" i="110"/>
  <c r="AP5" i="106"/>
  <c r="AU5" i="118"/>
  <c r="AP5" i="116"/>
  <c r="AT5" i="108"/>
  <c r="AH5" i="105"/>
  <c r="AU5" i="120"/>
  <c r="AI5" i="475"/>
  <c r="AP5" i="122"/>
  <c r="AT5" i="121"/>
  <c r="AS5" i="120"/>
  <c r="AE5" i="103"/>
  <c r="AI5" i="472"/>
  <c r="AI5" i="110"/>
  <c r="AQ5" i="106"/>
  <c r="AH5" i="108"/>
  <c r="AA5" i="111"/>
  <c r="AO5" i="125"/>
  <c r="AT5" i="120"/>
  <c r="AR5" i="119"/>
  <c r="AG5" i="107"/>
  <c r="AA5" i="110"/>
  <c r="AN5" i="101"/>
  <c r="AN5" i="123"/>
  <c r="AR5" i="116"/>
  <c r="AS5" i="119"/>
  <c r="AC5" i="472"/>
  <c r="AS5" i="117"/>
  <c r="AO5" i="472"/>
  <c r="AV6" i="118"/>
  <c r="AB5" i="114"/>
  <c r="AA5" i="475"/>
  <c r="AP5" i="114"/>
  <c r="AA5" i="100"/>
  <c r="AR5" i="475"/>
  <c r="AP5" i="472"/>
  <c r="AP5" i="123"/>
  <c r="AD5" i="111"/>
  <c r="AJ6" i="103"/>
  <c r="AS5" i="475"/>
  <c r="AP5" i="101"/>
  <c r="AR5" i="118"/>
  <c r="AE5" i="111"/>
  <c r="AR5" i="114"/>
  <c r="AA5" i="121"/>
  <c r="AN5" i="117"/>
  <c r="AN5" i="124"/>
  <c r="AG5" i="101"/>
  <c r="AN5" i="116"/>
  <c r="AI5" i="122"/>
  <c r="AC5" i="475"/>
  <c r="AC5" i="103"/>
  <c r="AB5" i="107"/>
  <c r="AF5" i="115"/>
  <c r="AH5" i="116"/>
  <c r="AH5" i="123"/>
  <c r="AG5" i="118"/>
  <c r="AS5" i="103"/>
  <c r="AS5" i="121"/>
  <c r="AP5" i="102"/>
  <c r="AD5" i="107"/>
  <c r="AH5" i="104"/>
  <c r="AH5" i="124"/>
  <c r="AG5" i="108"/>
  <c r="AH5" i="114"/>
  <c r="AT5" i="100"/>
  <c r="AH5" i="475"/>
  <c r="AG5" i="117"/>
  <c r="AE6" i="125"/>
  <c r="AU5" i="121"/>
  <c r="AQ5" i="119"/>
  <c r="AF5" i="107"/>
  <c r="AA5" i="104"/>
  <c r="AA5" i="124"/>
  <c r="AF5" i="108"/>
  <c r="AT5" i="105"/>
  <c r="AU5" i="103"/>
  <c r="AN5" i="121"/>
  <c r="AR5" i="102"/>
  <c r="AA5" i="106"/>
  <c r="AJ6" i="110"/>
  <c r="AN5" i="472"/>
  <c r="AV6" i="123"/>
  <c r="AJ6" i="114"/>
  <c r="AN5" i="108"/>
  <c r="AS5" i="102"/>
  <c r="AH5" i="107"/>
  <c r="AB5" i="110"/>
  <c r="AS5" i="106"/>
  <c r="AI5" i="108"/>
  <c r="AB5" i="111"/>
  <c r="AO5" i="108"/>
  <c r="AJ6" i="475"/>
  <c r="AT5" i="107"/>
  <c r="AJ6" i="100"/>
  <c r="AT5" i="117"/>
  <c r="AT5" i="106"/>
  <c r="AO5" i="118"/>
  <c r="AC5" i="111"/>
  <c r="AP5" i="108"/>
  <c r="AA5" i="103"/>
  <c r="AH5" i="121"/>
  <c r="AU5" i="117"/>
  <c r="AQ5" i="472"/>
  <c r="AC5" i="108"/>
  <c r="AP5" i="105"/>
  <c r="AS5" i="107"/>
  <c r="AG5" i="100"/>
  <c r="AV6" i="117"/>
  <c r="AQ5" i="101"/>
  <c r="AP5" i="110"/>
  <c r="AV6" i="116"/>
  <c r="AI5" i="118"/>
  <c r="AQ5" i="122"/>
  <c r="AT5" i="119"/>
  <c r="AE5" i="106"/>
  <c r="AH5" i="119"/>
  <c r="AG5" i="116"/>
  <c r="AH5" i="120"/>
  <c r="AJ6" i="118"/>
  <c r="AD5" i="105"/>
  <c r="AA6" i="125"/>
  <c r="AE5" i="112"/>
  <c r="AF5" i="106"/>
  <c r="AG5" i="115"/>
  <c r="AA5" i="116"/>
  <c r="AN5" i="111"/>
  <c r="AH5" i="111"/>
  <c r="AU5" i="125"/>
  <c r="AG5" i="475"/>
  <c r="AR5" i="100"/>
  <c r="AT5" i="112"/>
  <c r="AR5" i="122"/>
  <c r="AQ5" i="102"/>
  <c r="AE5" i="107"/>
  <c r="AJ6" i="104"/>
  <c r="AJ6" i="124"/>
  <c r="AO5" i="111"/>
  <c r="AC5" i="102"/>
  <c r="AG5" i="105"/>
  <c r="AH5" i="112"/>
  <c r="AJ6" i="106"/>
  <c r="AI5" i="104"/>
  <c r="AV6" i="472"/>
  <c r="AQ5" i="118"/>
  <c r="AA5" i="114"/>
  <c r="AV6" i="108"/>
  <c r="AA5" i="112"/>
  <c r="AI5" i="106"/>
  <c r="AH5" i="110"/>
  <c r="AB5" i="124"/>
  <c r="AQ5" i="111"/>
  <c r="AN5" i="105"/>
  <c r="AN5" i="100"/>
  <c r="AO5" i="122"/>
  <c r="AH5" i="103"/>
  <c r="AD5" i="472"/>
  <c r="AC5" i="110"/>
  <c r="AC5" i="124"/>
  <c r="AB5" i="108"/>
  <c r="AO5" i="105"/>
  <c r="AO5" i="100"/>
  <c r="AN5" i="119"/>
  <c r="AE5" i="100"/>
  <c r="AD5" i="110"/>
  <c r="AU5" i="106"/>
  <c r="AS5" i="111"/>
  <c r="AH5" i="102"/>
  <c r="AI5" i="103"/>
  <c r="AF5" i="472"/>
  <c r="AE5" i="110"/>
  <c r="AR5" i="472"/>
  <c r="AR5" i="123"/>
  <c r="AF5" i="114"/>
  <c r="AI5" i="117"/>
  <c r="AO5" i="102"/>
  <c r="AR5" i="104"/>
  <c r="AG5" i="119"/>
  <c r="AH5" i="101"/>
  <c r="AO5" i="116"/>
  <c r="AA5" i="118"/>
  <c r="AD5" i="475"/>
  <c r="AS5" i="104"/>
  <c r="AA5" i="119"/>
  <c r="AJ6" i="116"/>
  <c r="AV6" i="111"/>
  <c r="AS5" i="105"/>
  <c r="AT5" i="103"/>
  <c r="AI6" i="125"/>
  <c r="AS5" i="125"/>
  <c r="AP5" i="120"/>
  <c r="AA5" i="117"/>
  <c r="AG6" i="125"/>
  <c r="AG5" i="112"/>
  <c r="AG5" i="106"/>
  <c r="AH5" i="115"/>
  <c r="AI5" i="116"/>
  <c r="AI5" i="123"/>
  <c r="AE5" i="122"/>
  <c r="AF5" i="105"/>
  <c r="AH5" i="106"/>
  <c r="AA5" i="115"/>
  <c r="AR5" i="106"/>
  <c r="AA5" i="108"/>
  <c r="AI5" i="111"/>
  <c r="AP5" i="100"/>
  <c r="AJ6" i="112"/>
  <c r="AN5" i="104"/>
  <c r="AB5" i="104"/>
  <c r="AC5" i="116"/>
  <c r="AD5" i="123"/>
  <c r="AV6" i="105"/>
  <c r="AV6" i="100"/>
  <c r="AF5" i="117"/>
  <c r="AU5" i="119"/>
  <c r="AJ6" i="107"/>
  <c r="AC5" i="104"/>
  <c r="AD5" i="116"/>
  <c r="AR5" i="111"/>
  <c r="AG5" i="102"/>
  <c r="AR5" i="125"/>
  <c r="AE5" i="472"/>
  <c r="AE5" i="104"/>
  <c r="AD5" i="124"/>
  <c r="AF5" i="123"/>
  <c r="AE5" i="102"/>
  <c r="AP5" i="119"/>
  <c r="AC5" i="107"/>
  <c r="AF5" i="104"/>
  <c r="AN5" i="106"/>
  <c r="AS5" i="118"/>
  <c r="AF5" i="111"/>
  <c r="AR5" i="108"/>
  <c r="AN5" i="112"/>
  <c r="AD5" i="112"/>
  <c r="AR5" i="115"/>
  <c r="AU5" i="124"/>
  <c r="AQ5" i="110"/>
  <c r="AG5" i="114"/>
  <c r="AS5" i="122"/>
  <c r="AT5" i="114"/>
  <c r="AB5" i="121"/>
  <c r="AS5" i="115"/>
  <c r="AJ6" i="119"/>
  <c r="AJ6" i="101"/>
  <c r="AJ6" i="123"/>
  <c r="AB5" i="102"/>
  <c r="AE5" i="105"/>
  <c r="AN5" i="122"/>
  <c r="AQ5" i="103"/>
  <c r="AR5" i="121"/>
  <c r="AJ6" i="117"/>
  <c r="AP5" i="121"/>
  <c r="AF5" i="112"/>
  <c r="AT5" i="104"/>
  <c r="AI5" i="119"/>
  <c r="AI5" i="101"/>
  <c r="AC5" i="120"/>
  <c r="AB5" i="118"/>
  <c r="AF5" i="475"/>
  <c r="AN5" i="114"/>
  <c r="AD5" i="121"/>
  <c r="AU5" i="104"/>
  <c r="AJ6" i="115"/>
  <c r="AI5" i="124"/>
  <c r="AJ6" i="108"/>
  <c r="AU5" i="105"/>
  <c r="AP5" i="125"/>
  <c r="AV6" i="104"/>
  <c r="AI5" i="115"/>
  <c r="AD5" i="101"/>
  <c r="AC5" i="123"/>
  <c r="AF5" i="102"/>
  <c r="AQ5" i="125"/>
  <c r="AS5" i="112"/>
  <c r="AT5" i="102"/>
  <c r="AA5" i="107"/>
  <c r="AB5" i="115"/>
  <c r="AF5" i="101"/>
  <c r="AE5" i="123"/>
  <c r="AA5" i="122"/>
  <c r="AP5" i="103"/>
  <c r="AV6" i="102"/>
  <c r="AI5" i="107"/>
  <c r="AD5" i="104"/>
  <c r="AE5" i="116"/>
  <c r="AA5" i="120"/>
  <c r="AH5" i="122"/>
  <c r="AU5" i="102"/>
  <c r="AD5" i="106"/>
  <c r="AE5" i="115"/>
  <c r="AV6" i="106"/>
  <c r="AD5" i="108"/>
  <c r="AQ5" i="105"/>
  <c r="AQ5" i="100"/>
  <c r="AV6" i="112"/>
  <c r="AU5" i="475"/>
  <c r="AR5" i="101"/>
  <c r="AS5" i="123"/>
  <c r="AG5" i="111"/>
  <c r="AS5" i="108"/>
  <c r="AB5" i="117"/>
  <c r="AO5" i="107"/>
  <c r="AH5" i="100"/>
  <c r="AN5" i="475"/>
  <c r="AO5" i="124"/>
  <c r="AA5" i="101"/>
  <c r="AA5" i="123"/>
  <c r="AD5" i="122"/>
  <c r="AE5" i="475"/>
  <c r="AV6" i="122"/>
  <c r="AB5" i="105"/>
  <c r="AU5" i="112"/>
  <c r="AT5" i="122"/>
  <c r="O10" i="112"/>
  <c r="P10" i="112" s="1"/>
  <c r="AT5" i="115"/>
  <c r="AP5" i="124"/>
  <c r="AS5" i="110"/>
  <c r="AQ5" i="116"/>
  <c r="AU5" i="122"/>
  <c r="AV6" i="114"/>
  <c r="AG5" i="121"/>
  <c r="AU5" i="115"/>
  <c r="AB5" i="119"/>
  <c r="AB5" i="116"/>
  <c r="AP5" i="111"/>
  <c r="AD5" i="102"/>
  <c r="AO5" i="114"/>
  <c r="AE5" i="121"/>
  <c r="AN5" i="115"/>
  <c r="AD5" i="119"/>
  <c r="AU5" i="110"/>
  <c r="AF5" i="120"/>
  <c r="AG5" i="122"/>
  <c r="AO5" i="103"/>
  <c r="AO5" i="120"/>
  <c r="AI5" i="112"/>
  <c r="AB5" i="106"/>
  <c r="AE5" i="119"/>
  <c r="AE5" i="101"/>
  <c r="AG5" i="120"/>
  <c r="AJ6" i="122"/>
  <c r="AQ5" i="114"/>
  <c r="AN5" i="102"/>
  <c r="AC5" i="106"/>
  <c r="AC5" i="115"/>
  <c r="AC5" i="101"/>
  <c r="AJ6" i="120"/>
  <c r="AF5" i="118"/>
  <c r="AC5" i="112"/>
  <c r="AQ5" i="104"/>
  <c r="AD5" i="115"/>
  <c r="AF5" i="124"/>
  <c r="AT5" i="111"/>
  <c r="AA5" i="102"/>
  <c r="AT5" i="125"/>
  <c r="AQ5" i="120"/>
  <c r="AI5" i="121"/>
  <c r="AO5" i="117"/>
  <c r="AT5" i="118"/>
  <c r="AR5" i="105"/>
  <c r="AS5" i="100"/>
  <c r="AH5" i="117"/>
  <c r="AD5" i="103"/>
  <c r="AA5" i="472"/>
  <c r="AV6" i="475"/>
  <c r="AS5" i="101"/>
  <c r="AR5" i="110"/>
  <c r="AB5" i="120"/>
  <c r="AH5" i="118"/>
  <c r="AV6" i="103"/>
  <c r="AE5" i="117"/>
  <c r="AB5" i="475"/>
  <c r="AV6" i="120"/>
  <c r="AC5" i="117"/>
  <c r="O71" i="120"/>
  <c r="P71" i="120" s="1"/>
  <c r="O16" i="112"/>
  <c r="P16" i="112" s="1"/>
  <c r="O71" i="106"/>
  <c r="P71" i="106" s="1"/>
  <c r="AV60" i="112"/>
  <c r="AV12" i="107"/>
  <c r="T17" i="119"/>
  <c r="F23" i="418"/>
  <c r="I23" i="418" s="1"/>
  <c r="D28" i="680" s="1"/>
  <c r="F14" i="418"/>
  <c r="I14" i="418" s="1"/>
  <c r="D18" i="680" s="1"/>
  <c r="D45" i="680" s="1"/>
  <c r="F80" i="59"/>
  <c r="T17" i="111"/>
  <c r="F80" i="111"/>
  <c r="T17" i="124"/>
  <c r="F13" i="418"/>
  <c r="I13" i="418" s="1"/>
  <c r="D17" i="680" s="1"/>
  <c r="F80" i="124"/>
  <c r="T17" i="110"/>
  <c r="F80" i="123"/>
  <c r="F19" i="418"/>
  <c r="I19" i="418" s="1"/>
  <c r="D24" i="680" s="1"/>
  <c r="F80" i="110"/>
  <c r="T17" i="123"/>
  <c r="AV12" i="116"/>
  <c r="T17" i="102"/>
  <c r="AJ12" i="115"/>
  <c r="O16" i="120"/>
  <c r="P16" i="120" s="1"/>
  <c r="AV12" i="121"/>
  <c r="F24" i="418"/>
  <c r="I24" i="418" s="1"/>
  <c r="AJ12" i="472"/>
  <c r="F80" i="120"/>
  <c r="T17" i="120"/>
  <c r="F80" i="102"/>
  <c r="F6" i="418"/>
  <c r="I6" i="418" s="1"/>
  <c r="D10" i="680" s="1"/>
  <c r="AV50" i="108"/>
  <c r="AJ60" i="116"/>
  <c r="F15" i="418"/>
  <c r="I15" i="418" s="1"/>
  <c r="D19" i="680" s="1"/>
  <c r="T17" i="112"/>
  <c r="F80" i="112"/>
  <c r="F80" i="117"/>
  <c r="AJ33" i="116"/>
  <c r="AV33" i="107"/>
  <c r="F21" i="418"/>
  <c r="I21" i="418" s="1"/>
  <c r="D26" i="680" s="1"/>
  <c r="V9" i="106"/>
  <c r="M13" i="674" s="1"/>
  <c r="O55" i="106"/>
  <c r="P55" i="106" s="1"/>
  <c r="AH60" i="125"/>
  <c r="O73" i="475"/>
  <c r="P73" i="475" s="1"/>
  <c r="AV33" i="124"/>
  <c r="AJ33" i="105"/>
  <c r="AV33" i="116"/>
  <c r="AJ33" i="118"/>
  <c r="AV33" i="117"/>
  <c r="AJ33" i="112"/>
  <c r="AJ33" i="472"/>
  <c r="AJ33" i="107"/>
  <c r="T17" i="475"/>
  <c r="AV33" i="114"/>
  <c r="F80" i="475"/>
  <c r="AJ33" i="110"/>
  <c r="AV33" i="123"/>
  <c r="AV33" i="472"/>
  <c r="V14" i="107"/>
  <c r="R14" i="674" s="1"/>
  <c r="AJ12" i="110"/>
  <c r="AJ2" i="107"/>
  <c r="AV22" i="106"/>
  <c r="AV12" i="112"/>
  <c r="AJ22" i="102"/>
  <c r="R15" i="674"/>
  <c r="G15" i="674" s="1"/>
  <c r="AJ71" i="125"/>
  <c r="AJ70" i="125" s="1"/>
  <c r="AV50" i="117"/>
  <c r="AV33" i="115"/>
  <c r="AV50" i="120"/>
  <c r="AV68" i="103"/>
  <c r="AI50" i="125"/>
  <c r="AJ50" i="112"/>
  <c r="AV12" i="103"/>
  <c r="AV12" i="114"/>
  <c r="AJ12" i="119"/>
  <c r="AJ12" i="101"/>
  <c r="AV2" i="112"/>
  <c r="AV33" i="112"/>
  <c r="AJ33" i="111"/>
  <c r="AJ22" i="475"/>
  <c r="AJ33" i="115"/>
  <c r="AV12" i="119"/>
  <c r="AJ33" i="119"/>
  <c r="AJ50" i="110"/>
  <c r="AJ33" i="102"/>
  <c r="AV12" i="120"/>
  <c r="AJ22" i="119"/>
  <c r="AV68" i="123"/>
  <c r="AJ33" i="122"/>
  <c r="AV33" i="106"/>
  <c r="AV22" i="120"/>
  <c r="AA60" i="125"/>
  <c r="AV12" i="122"/>
  <c r="AJ12" i="118"/>
  <c r="AV50" i="107"/>
  <c r="AV22" i="101"/>
  <c r="AJ12" i="114"/>
  <c r="AA50" i="125"/>
  <c r="AV33" i="475"/>
  <c r="AV33" i="119"/>
  <c r="AJ22" i="121"/>
  <c r="AV12" i="472"/>
  <c r="T17" i="104"/>
  <c r="F9" i="418"/>
  <c r="I9" i="418" s="1"/>
  <c r="D13" i="680" s="1"/>
  <c r="T17" i="105"/>
  <c r="F80" i="105"/>
  <c r="O64" i="122"/>
  <c r="P64" i="122" s="1"/>
  <c r="F8" i="418"/>
  <c r="I8" i="418" s="1"/>
  <c r="D12" i="680" s="1"/>
  <c r="F80" i="104"/>
  <c r="AJ12" i="123"/>
  <c r="AJ33" i="117"/>
  <c r="AJ12" i="111"/>
  <c r="AV12" i="115"/>
  <c r="AJ60" i="120"/>
  <c r="AE33" i="125"/>
  <c r="AJ22" i="120"/>
  <c r="AJ12" i="117"/>
  <c r="AV50" i="115"/>
  <c r="AV60" i="105"/>
  <c r="AV33" i="120"/>
  <c r="AV60" i="120"/>
  <c r="AV22" i="472"/>
  <c r="AV65" i="104"/>
  <c r="AV50" i="125"/>
  <c r="AJ33" i="100"/>
  <c r="AJ8" i="125"/>
  <c r="AJ33" i="108"/>
  <c r="AV22" i="110"/>
  <c r="AV50" i="106"/>
  <c r="AV12" i="111"/>
  <c r="AV22" i="125"/>
  <c r="AV33" i="103"/>
  <c r="AJ12" i="121"/>
  <c r="AV50" i="119"/>
  <c r="AV33" i="121"/>
  <c r="AE60" i="125"/>
  <c r="AV33" i="118"/>
  <c r="AJ50" i="111"/>
  <c r="AV60" i="114"/>
  <c r="AV12" i="108"/>
  <c r="AJ33" i="123"/>
  <c r="AJ33" i="114"/>
  <c r="AV33" i="102"/>
  <c r="AJ33" i="121"/>
  <c r="AV33" i="111"/>
  <c r="AJ60" i="106"/>
  <c r="AJ33" i="124"/>
  <c r="AV33" i="108"/>
  <c r="AV33" i="122"/>
  <c r="AV33" i="110"/>
  <c r="AV12" i="105"/>
  <c r="AJ65" i="104"/>
  <c r="AV68" i="102"/>
  <c r="AV68" i="119"/>
  <c r="AJ33" i="101"/>
  <c r="AV50" i="111"/>
  <c r="AJ22" i="122"/>
  <c r="AJ50" i="117"/>
  <c r="O64" i="123"/>
  <c r="P64" i="123" s="1"/>
  <c r="O53" i="472"/>
  <c r="P53" i="472" s="1"/>
  <c r="AF22" i="125"/>
  <c r="AG50" i="125"/>
  <c r="AV22" i="111"/>
  <c r="AV65" i="100"/>
  <c r="AJ50" i="123"/>
  <c r="AE50" i="125"/>
  <c r="AH22" i="125"/>
  <c r="AV12" i="118"/>
  <c r="AD50" i="125"/>
  <c r="AC22" i="125"/>
  <c r="AJ22" i="123"/>
  <c r="AC50" i="125"/>
  <c r="AJ33" i="120"/>
  <c r="AJ12" i="104"/>
  <c r="AG60" i="125"/>
  <c r="AJ49" i="125"/>
  <c r="AV12" i="123"/>
  <c r="AJ2" i="116"/>
  <c r="O64" i="117"/>
  <c r="P64" i="117" s="1"/>
  <c r="O37" i="122"/>
  <c r="P37" i="122" s="1"/>
  <c r="O16" i="103"/>
  <c r="P16" i="103" s="1"/>
  <c r="O65" i="120"/>
  <c r="P65" i="120" s="1"/>
  <c r="O64" i="111"/>
  <c r="P64" i="111" s="1"/>
  <c r="O54" i="110"/>
  <c r="P54" i="110" s="1"/>
  <c r="V14" i="119"/>
  <c r="R26" i="674" s="1"/>
  <c r="O40" i="472"/>
  <c r="P40" i="472" s="1"/>
  <c r="O64" i="110"/>
  <c r="P64" i="110" s="1"/>
  <c r="O16" i="102"/>
  <c r="P16" i="102" s="1"/>
  <c r="O46" i="123"/>
  <c r="P46" i="123" s="1"/>
  <c r="O40" i="114"/>
  <c r="P40" i="114" s="1"/>
  <c r="O10" i="102"/>
  <c r="P10" i="102" s="1"/>
  <c r="O49" i="108"/>
  <c r="P49" i="108" s="1"/>
  <c r="O10" i="115"/>
  <c r="P10" i="115" s="1"/>
  <c r="V9" i="472"/>
  <c r="V13" i="107"/>
  <c r="Q14" i="674" s="1"/>
  <c r="O55" i="120"/>
  <c r="P55" i="120" s="1"/>
  <c r="BE58" i="119"/>
  <c r="O37" i="119"/>
  <c r="P37" i="119" s="1"/>
  <c r="O33" i="115"/>
  <c r="P33" i="115" s="1"/>
  <c r="O54" i="102"/>
  <c r="P54" i="102" s="1"/>
  <c r="O38" i="123"/>
  <c r="P38" i="123" s="1"/>
  <c r="O26" i="122"/>
  <c r="P26" i="122" s="1"/>
  <c r="O10" i="106"/>
  <c r="P10" i="106" s="1"/>
  <c r="O42" i="101"/>
  <c r="P42" i="101" s="1"/>
  <c r="O73" i="105"/>
  <c r="P73" i="105" s="1"/>
  <c r="V13" i="100"/>
  <c r="Q7" i="674" s="1"/>
  <c r="O73" i="100"/>
  <c r="P73" i="100" s="1"/>
  <c r="O10" i="107"/>
  <c r="P10" i="107" s="1"/>
  <c r="O73" i="101"/>
  <c r="P73" i="101" s="1"/>
  <c r="O37" i="102"/>
  <c r="P37" i="102" s="1"/>
  <c r="J80" i="110"/>
  <c r="J80" i="106"/>
  <c r="T42" i="475"/>
  <c r="T42" i="123"/>
  <c r="T42" i="122"/>
  <c r="G4" i="418"/>
  <c r="G16" i="418"/>
  <c r="J16" i="418" s="1"/>
  <c r="T42" i="101"/>
  <c r="O54" i="108"/>
  <c r="P54" i="108" s="1"/>
  <c r="O44" i="118"/>
  <c r="P44" i="118" s="1"/>
  <c r="V14" i="101"/>
  <c r="R8" i="674" s="1"/>
  <c r="O70" i="115"/>
  <c r="O71" i="115"/>
  <c r="P71" i="115" s="1"/>
  <c r="O64" i="116"/>
  <c r="P64" i="116" s="1"/>
  <c r="O11" i="115"/>
  <c r="P11" i="115" s="1"/>
  <c r="O10" i="105"/>
  <c r="P10" i="105" s="1"/>
  <c r="G13" i="418"/>
  <c r="J13" i="418" s="1"/>
  <c r="O25" i="100"/>
  <c r="P25" i="100" s="1"/>
  <c r="O32" i="107"/>
  <c r="P32" i="107" s="1"/>
  <c r="V3" i="110"/>
  <c r="O54" i="121"/>
  <c r="P54" i="121" s="1"/>
  <c r="G11" i="418"/>
  <c r="J11" i="418" s="1"/>
  <c r="J80" i="472"/>
  <c r="G24" i="418"/>
  <c r="T42" i="124"/>
  <c r="O42" i="107"/>
  <c r="P42" i="107" s="1"/>
  <c r="V3" i="117"/>
  <c r="O73" i="117"/>
  <c r="P73" i="117" s="1"/>
  <c r="V10" i="122"/>
  <c r="N29" i="674" s="1"/>
  <c r="O11" i="124"/>
  <c r="P11" i="124" s="1"/>
  <c r="O71" i="103"/>
  <c r="P71" i="103" s="1"/>
  <c r="O44" i="116"/>
  <c r="P44" i="116" s="1"/>
  <c r="O73" i="106"/>
  <c r="P73" i="106" s="1"/>
  <c r="J80" i="475"/>
  <c r="T42" i="106"/>
  <c r="T42" i="110"/>
  <c r="G22" i="418"/>
  <c r="T42" i="472"/>
  <c r="J80" i="120"/>
  <c r="J80" i="107"/>
  <c r="T42" i="120"/>
  <c r="T42" i="107"/>
  <c r="J80" i="118"/>
  <c r="T42" i="121"/>
  <c r="T42" i="118"/>
  <c r="G17" i="418"/>
  <c r="J17" i="418" s="1"/>
  <c r="O35" i="100"/>
  <c r="P35" i="100" s="1"/>
  <c r="J80" i="114"/>
  <c r="O73" i="102"/>
  <c r="P73" i="102" s="1"/>
  <c r="O38" i="114"/>
  <c r="P38" i="114" s="1"/>
  <c r="O33" i="101"/>
  <c r="P33" i="101" s="1"/>
  <c r="O55" i="102"/>
  <c r="P55" i="102" s="1"/>
  <c r="V9" i="100"/>
  <c r="M7" i="674" s="1"/>
  <c r="O55" i="112"/>
  <c r="P55" i="112" s="1"/>
  <c r="O70" i="123"/>
  <c r="O73" i="122"/>
  <c r="P73" i="122" s="1"/>
  <c r="O71" i="114"/>
  <c r="P71" i="114" s="1"/>
  <c r="O70" i="114"/>
  <c r="T42" i="105"/>
  <c r="G9" i="418"/>
  <c r="O38" i="106"/>
  <c r="P38" i="106" s="1"/>
  <c r="J80" i="105"/>
  <c r="O20" i="105"/>
  <c r="P20" i="105" s="1"/>
  <c r="O26" i="111"/>
  <c r="P26" i="111" s="1"/>
  <c r="O64" i="102"/>
  <c r="P64" i="102" s="1"/>
  <c r="O63" i="102"/>
  <c r="J80" i="101"/>
  <c r="G5" i="418"/>
  <c r="J5" i="418" s="1"/>
  <c r="O34" i="120"/>
  <c r="P34" i="120" s="1"/>
  <c r="O25" i="475"/>
  <c r="P25" i="475" s="1"/>
  <c r="O49" i="106"/>
  <c r="P49" i="106" s="1"/>
  <c r="J80" i="103"/>
  <c r="G7" i="418"/>
  <c r="O45" i="108"/>
  <c r="P45" i="108" s="1"/>
  <c r="T42" i="103"/>
  <c r="G15" i="418"/>
  <c r="G14" i="418"/>
  <c r="J14" i="418" s="1"/>
  <c r="O54" i="115"/>
  <c r="T42" i="112"/>
  <c r="T42" i="111"/>
  <c r="V11" i="103"/>
  <c r="O10" i="674" s="1"/>
  <c r="O33" i="674" s="1"/>
  <c r="J80" i="112"/>
  <c r="O19" i="107"/>
  <c r="P19" i="107" s="1"/>
  <c r="J80" i="111"/>
  <c r="O43" i="111"/>
  <c r="P43" i="111" s="1"/>
  <c r="O42" i="114"/>
  <c r="P42" i="114" s="1"/>
  <c r="O17" i="115"/>
  <c r="P17" i="115" s="1"/>
  <c r="J80" i="100"/>
  <c r="O12" i="124"/>
  <c r="P12" i="124" s="1"/>
  <c r="V13" i="102"/>
  <c r="J80" i="124"/>
  <c r="J80" i="122"/>
  <c r="O43" i="106"/>
  <c r="P43" i="106" s="1"/>
  <c r="J80" i="123"/>
  <c r="V10" i="100"/>
  <c r="N7" i="674" s="1"/>
  <c r="O55" i="115"/>
  <c r="P55" i="115" s="1"/>
  <c r="O35" i="112"/>
  <c r="P35" i="112" s="1"/>
  <c r="O65" i="100"/>
  <c r="P65" i="100" s="1"/>
  <c r="O41" i="125"/>
  <c r="P41" i="125" s="1"/>
  <c r="G10" i="418"/>
  <c r="J10" i="418" s="1"/>
  <c r="J80" i="119"/>
  <c r="G19" i="418"/>
  <c r="J80" i="125"/>
  <c r="G20" i="418"/>
  <c r="T42" i="104"/>
  <c r="T42" i="100"/>
  <c r="J80" i="115"/>
  <c r="O46" i="118"/>
  <c r="P46" i="118" s="1"/>
  <c r="V14" i="118"/>
  <c r="R25" i="674" s="1"/>
  <c r="T42" i="125"/>
  <c r="O64" i="124"/>
  <c r="P64" i="124" s="1"/>
  <c r="BF13" i="124"/>
  <c r="G6" i="418"/>
  <c r="J6" i="418" s="1"/>
  <c r="T42" i="116"/>
  <c r="J80" i="108"/>
  <c r="T42" i="108"/>
  <c r="J80" i="116"/>
  <c r="G12" i="418"/>
  <c r="J12" i="418" s="1"/>
  <c r="O37" i="118"/>
  <c r="P37" i="118" s="1"/>
  <c r="V13" i="118"/>
  <c r="Q25" i="674" s="1"/>
  <c r="O23" i="123"/>
  <c r="P23" i="123" s="1"/>
  <c r="G21" i="418"/>
  <c r="J21" i="418" s="1"/>
  <c r="G23" i="418"/>
  <c r="J23" i="418" s="1"/>
  <c r="O73" i="123"/>
  <c r="P73" i="123" s="1"/>
  <c r="O17" i="121"/>
  <c r="P17" i="121" s="1"/>
  <c r="O64" i="115"/>
  <c r="P64" i="115" s="1"/>
  <c r="T42" i="115"/>
  <c r="G18" i="418"/>
  <c r="O30" i="123"/>
  <c r="P30" i="123" s="1"/>
  <c r="V15" i="114"/>
  <c r="O55" i="123"/>
  <c r="P55" i="123" s="1"/>
  <c r="AJ12" i="106"/>
  <c r="AV68" i="101"/>
  <c r="AJ33" i="103"/>
  <c r="AH12" i="125"/>
  <c r="AJ53" i="125"/>
  <c r="AG12" i="125"/>
  <c r="AJ30" i="125"/>
  <c r="AE12" i="125"/>
  <c r="AH33" i="125"/>
  <c r="AB33" i="125"/>
  <c r="AJ73" i="125"/>
  <c r="AJ4" i="125"/>
  <c r="AJ2" i="125" s="1"/>
  <c r="AD12" i="125"/>
  <c r="AF60" i="125"/>
  <c r="AH50" i="125"/>
  <c r="AB22" i="125"/>
  <c r="AI22" i="125"/>
  <c r="AV22" i="114"/>
  <c r="AJ22" i="116"/>
  <c r="AJ17" i="125"/>
  <c r="AJ63" i="125"/>
  <c r="AJ45" i="125"/>
  <c r="AJ56" i="125"/>
  <c r="AV12" i="100"/>
  <c r="AD60" i="125"/>
  <c r="AC60" i="125"/>
  <c r="AB50" i="125"/>
  <c r="AB60" i="125"/>
  <c r="AJ22" i="100"/>
  <c r="AJ72" i="125"/>
  <c r="AC12" i="125"/>
  <c r="AJ41" i="125"/>
  <c r="AJ15" i="125"/>
  <c r="AJ78" i="125"/>
  <c r="AJ42" i="125"/>
  <c r="AJ31" i="125"/>
  <c r="AJ22" i="101"/>
  <c r="AE22" i="125"/>
  <c r="AV33" i="100"/>
  <c r="AV22" i="100"/>
  <c r="AJ40" i="125"/>
  <c r="AC33" i="125"/>
  <c r="AG33" i="125"/>
  <c r="AI12" i="125"/>
  <c r="AF12" i="125"/>
  <c r="AJ26" i="125"/>
  <c r="AJ18" i="125"/>
  <c r="AI33" i="125"/>
  <c r="AJ35" i="125"/>
  <c r="AJ50" i="101"/>
  <c r="AJ12" i="100"/>
  <c r="AV33" i="101"/>
  <c r="AG22" i="125"/>
  <c r="AJ64" i="125"/>
  <c r="AJ11" i="125"/>
  <c r="AJ58" i="125"/>
  <c r="AJ14" i="125"/>
  <c r="AJ37" i="125"/>
  <c r="AJ43" i="125"/>
  <c r="AJ59" i="125"/>
  <c r="AJ44" i="125"/>
  <c r="AJ50" i="100"/>
  <c r="AD22" i="125"/>
  <c r="AI60" i="125"/>
  <c r="AJ16" i="125"/>
  <c r="AF33" i="125"/>
  <c r="AJ48" i="125"/>
  <c r="AJ38" i="125"/>
  <c r="AB12" i="125"/>
  <c r="AJ36" i="125"/>
  <c r="AJ12" i="103"/>
  <c r="AV68" i="114"/>
  <c r="AJ22" i="103"/>
  <c r="AJ52" i="125"/>
  <c r="AJ10" i="125"/>
  <c r="AD33" i="125"/>
  <c r="AJ54" i="125"/>
  <c r="AJ39" i="125"/>
  <c r="AJ20" i="125"/>
  <c r="AJ25" i="125"/>
  <c r="AJ46" i="125"/>
  <c r="AF50" i="125"/>
  <c r="AA33" i="125"/>
  <c r="AJ34" i="125"/>
  <c r="S12" i="125"/>
  <c r="AA12" i="125"/>
  <c r="AJ13" i="125"/>
  <c r="AA65" i="125"/>
  <c r="AJ66" i="125"/>
  <c r="AJ65" i="125" s="1"/>
  <c r="O19" i="104"/>
  <c r="P19" i="104" s="1"/>
  <c r="O26" i="104"/>
  <c r="P26" i="104" s="1"/>
  <c r="O27" i="104"/>
  <c r="P27" i="104" s="1"/>
  <c r="O55" i="104"/>
  <c r="P55" i="104" s="1"/>
  <c r="O17" i="104"/>
  <c r="P17" i="104" s="1"/>
  <c r="O10" i="104"/>
  <c r="P10" i="104" s="1"/>
  <c r="O29" i="104"/>
  <c r="P29" i="104" s="1"/>
  <c r="O16" i="104"/>
  <c r="P16" i="104" s="1"/>
  <c r="O12" i="104"/>
  <c r="P12" i="104" s="1"/>
  <c r="O34" i="104"/>
  <c r="P34" i="104" s="1"/>
  <c r="O23" i="104"/>
  <c r="P23" i="104" s="1"/>
  <c r="O40" i="104"/>
  <c r="P40" i="104" s="1"/>
  <c r="O31" i="104"/>
  <c r="P31" i="104" s="1"/>
  <c r="O78" i="104"/>
  <c r="P78" i="104" s="1"/>
  <c r="O28" i="104"/>
  <c r="P28" i="104" s="1"/>
  <c r="O44" i="104"/>
  <c r="P44" i="104" s="1"/>
  <c r="O20" i="104"/>
  <c r="P20" i="104" s="1"/>
  <c r="O71" i="104"/>
  <c r="P71" i="104" s="1"/>
  <c r="V14" i="104"/>
  <c r="R11" i="674" s="1"/>
  <c r="AV60" i="104"/>
  <c r="AJ60" i="104"/>
  <c r="AJ22" i="104"/>
  <c r="O41" i="104"/>
  <c r="P41" i="104" s="1"/>
  <c r="O39" i="104"/>
  <c r="P39" i="104" s="1"/>
  <c r="V13" i="104"/>
  <c r="Q11" i="674" s="1"/>
  <c r="O73" i="104"/>
  <c r="P73" i="104" s="1"/>
  <c r="O42" i="104"/>
  <c r="P42" i="104" s="1"/>
  <c r="O33" i="104"/>
  <c r="P33" i="104" s="1"/>
  <c r="O54" i="104"/>
  <c r="P54" i="104" s="1"/>
  <c r="O43" i="104"/>
  <c r="P43" i="104" s="1"/>
  <c r="O50" i="104"/>
  <c r="P50" i="104" s="1"/>
  <c r="O49" i="104"/>
  <c r="P49" i="104" s="1"/>
  <c r="O22" i="104"/>
  <c r="P22" i="104" s="1"/>
  <c r="O35" i="104"/>
  <c r="P35" i="104" s="1"/>
  <c r="J80" i="104"/>
  <c r="G8" i="418"/>
  <c r="J8" i="418" s="1"/>
  <c r="O38" i="104"/>
  <c r="P38" i="104" s="1"/>
  <c r="O37" i="104"/>
  <c r="P37" i="104" s="1"/>
  <c r="AV33" i="104"/>
  <c r="AV50" i="104"/>
  <c r="O11" i="104"/>
  <c r="P11" i="104" s="1"/>
  <c r="AJ33" i="104"/>
  <c r="AJ50" i="104"/>
  <c r="AV12" i="104"/>
  <c r="AV22" i="104"/>
  <c r="A8" i="418"/>
  <c r="A9" i="54"/>
  <c r="V15" i="475"/>
  <c r="O63" i="120"/>
  <c r="O63" i="475"/>
  <c r="O63" i="125"/>
  <c r="O53" i="125"/>
  <c r="P53" i="125" s="1"/>
  <c r="V15" i="125"/>
  <c r="O63" i="119"/>
  <c r="O70" i="122"/>
  <c r="V15" i="116"/>
  <c r="O25" i="117"/>
  <c r="P25" i="117" s="1"/>
  <c r="O25" i="114"/>
  <c r="P25" i="114" s="1"/>
  <c r="O25" i="108"/>
  <c r="P25" i="108" s="1"/>
  <c r="O63" i="472"/>
  <c r="O63" i="112"/>
  <c r="O25" i="110"/>
  <c r="P25" i="110" s="1"/>
  <c r="O63" i="106"/>
  <c r="O25" i="103"/>
  <c r="P25" i="103" s="1"/>
  <c r="O63" i="100"/>
  <c r="V15" i="124"/>
  <c r="O70" i="101"/>
  <c r="O63" i="122"/>
  <c r="V15" i="111"/>
  <c r="O25" i="102"/>
  <c r="P25" i="102" s="1"/>
  <c r="O63" i="103"/>
  <c r="O70" i="100"/>
  <c r="O63" i="117"/>
  <c r="O63" i="121"/>
  <c r="O25" i="105"/>
  <c r="P25" i="105" s="1"/>
  <c r="O25" i="119"/>
  <c r="P25" i="119" s="1"/>
  <c r="O63" i="108"/>
  <c r="O63" i="107"/>
  <c r="P25" i="125"/>
  <c r="V15" i="121"/>
  <c r="O63" i="101"/>
  <c r="E30" i="680" l="1"/>
  <c r="E31" i="680"/>
  <c r="E20" i="680"/>
  <c r="E32" i="680"/>
  <c r="E10" i="680"/>
  <c r="E18" i="680"/>
  <c r="E45" i="680" s="1"/>
  <c r="E17" i="680"/>
  <c r="E14" i="680"/>
  <c r="E16" i="680"/>
  <c r="E44" i="680" s="1"/>
  <c r="E9" i="680"/>
  <c r="E12" i="680"/>
  <c r="E21" i="680"/>
  <c r="E15" i="680"/>
  <c r="E28" i="680"/>
  <c r="E26" i="680"/>
  <c r="E35" i="680"/>
  <c r="P26" i="115"/>
  <c r="P54" i="115"/>
  <c r="E61" i="683"/>
  <c r="C62" i="683"/>
  <c r="E6" i="736"/>
  <c r="I74" i="420"/>
  <c r="E7" i="674"/>
  <c r="G7" i="674" s="1"/>
  <c r="E34" i="680"/>
  <c r="M8" i="114"/>
  <c r="E20" i="674" s="1"/>
  <c r="G20" i="674" s="1"/>
  <c r="S20" i="674" s="1"/>
  <c r="T20" i="674" s="1"/>
  <c r="M8" i="475"/>
  <c r="E32" i="674" s="1"/>
  <c r="G32" i="674" s="1"/>
  <c r="S32" i="674" s="1"/>
  <c r="T32" i="674" s="1"/>
  <c r="M8" i="123"/>
  <c r="E30" i="674" s="1"/>
  <c r="G30" i="674" s="1"/>
  <c r="S30" i="674" s="1"/>
  <c r="T30" i="674" s="1"/>
  <c r="M8" i="102"/>
  <c r="E9" i="674" s="1"/>
  <c r="G29" i="674"/>
  <c r="S29" i="674" s="1"/>
  <c r="T29" i="674" s="1"/>
  <c r="G8" i="674"/>
  <c r="S8" i="674" s="1"/>
  <c r="T8" i="674" s="1"/>
  <c r="G26" i="674"/>
  <c r="S26" i="674" s="1"/>
  <c r="T26" i="674" s="1"/>
  <c r="G13" i="674"/>
  <c r="S13" i="674" s="1"/>
  <c r="T13" i="674" s="1"/>
  <c r="M8" i="110"/>
  <c r="E16" i="674" s="1"/>
  <c r="G16" i="674" s="1"/>
  <c r="S16" i="674" s="1"/>
  <c r="T16" i="674" s="1"/>
  <c r="D16" i="680"/>
  <c r="D44" i="680" s="1"/>
  <c r="I75" i="736"/>
  <c r="G27" i="674"/>
  <c r="S27" i="674" s="1"/>
  <c r="T27" i="674" s="1"/>
  <c r="C6" i="679"/>
  <c r="D29" i="680"/>
  <c r="G14" i="674"/>
  <c r="S14" i="674" s="1"/>
  <c r="T14" i="674" s="1"/>
  <c r="G17" i="674"/>
  <c r="S17" i="674" s="1"/>
  <c r="T17" i="674" s="1"/>
  <c r="G25" i="674"/>
  <c r="S25" i="674" s="1"/>
  <c r="T25" i="674" s="1"/>
  <c r="V15" i="472"/>
  <c r="M19" i="674"/>
  <c r="G19" i="674" s="1"/>
  <c r="S19" i="674" s="1"/>
  <c r="T19" i="674" s="1"/>
  <c r="G11" i="674"/>
  <c r="S11" i="674" s="1"/>
  <c r="T11" i="674" s="1"/>
  <c r="G10" i="674"/>
  <c r="S10" i="674" s="1"/>
  <c r="T10" i="674" s="1"/>
  <c r="N33" i="674"/>
  <c r="S15" i="674"/>
  <c r="T15" i="674" s="1"/>
  <c r="K29" i="418"/>
  <c r="F35" i="680" s="1"/>
  <c r="K17" i="418"/>
  <c r="F21" i="680" s="1"/>
  <c r="K25" i="418"/>
  <c r="F30" i="680" s="1"/>
  <c r="K26" i="418"/>
  <c r="F31" i="680" s="1"/>
  <c r="K27" i="418"/>
  <c r="F32" i="680" s="1"/>
  <c r="B9" i="677"/>
  <c r="K28" i="418"/>
  <c r="F34" i="680" s="1"/>
  <c r="R33" i="674"/>
  <c r="V15" i="102"/>
  <c r="Q9" i="674"/>
  <c r="I3" i="418"/>
  <c r="C7" i="679" s="1"/>
  <c r="C66" i="682" s="1"/>
  <c r="F30" i="418"/>
  <c r="O25" i="115"/>
  <c r="H4" i="418"/>
  <c r="H18" i="418"/>
  <c r="K11" i="418"/>
  <c r="F15" i="680" s="1"/>
  <c r="BF7" i="105"/>
  <c r="K12" i="418"/>
  <c r="F16" i="680" s="1"/>
  <c r="F44" i="680" s="1"/>
  <c r="BE7" i="108"/>
  <c r="BI7" i="107"/>
  <c r="K16" i="418"/>
  <c r="F20" i="680" s="1"/>
  <c r="K10" i="418"/>
  <c r="F14" i="680" s="1"/>
  <c r="BH15" i="472"/>
  <c r="BB7" i="101"/>
  <c r="K14" i="418"/>
  <c r="F18" i="680" s="1"/>
  <c r="F45" i="680" s="1"/>
  <c r="BC28" i="120"/>
  <c r="BH7" i="117"/>
  <c r="AH5" i="125"/>
  <c r="BF7" i="110"/>
  <c r="K21" i="418"/>
  <c r="F26" i="680" s="1"/>
  <c r="AZ7" i="106"/>
  <c r="BF7" i="112"/>
  <c r="BA7" i="121"/>
  <c r="BA58" i="472"/>
  <c r="AB5" i="125"/>
  <c r="AF5" i="125"/>
  <c r="BE7" i="118"/>
  <c r="BE7" i="114"/>
  <c r="AC5" i="125"/>
  <c r="BI7" i="123"/>
  <c r="BC7" i="123"/>
  <c r="BD7" i="123"/>
  <c r="BB7" i="123"/>
  <c r="BE7" i="123"/>
  <c r="BJ7" i="123"/>
  <c r="AZ7" i="123"/>
  <c r="BF7" i="123"/>
  <c r="BH7" i="123"/>
  <c r="BK7" i="123"/>
  <c r="BA7" i="123"/>
  <c r="BG7" i="123"/>
  <c r="BF7" i="103"/>
  <c r="BH7" i="103"/>
  <c r="BI7" i="103"/>
  <c r="BE7" i="103"/>
  <c r="BK7" i="103"/>
  <c r="AZ7" i="103"/>
  <c r="BD7" i="103"/>
  <c r="BG7" i="103"/>
  <c r="BC7" i="103"/>
  <c r="BB7" i="103"/>
  <c r="BA7" i="103"/>
  <c r="BJ7" i="103"/>
  <c r="BG7" i="102"/>
  <c r="BA7" i="112"/>
  <c r="BK7" i="104"/>
  <c r="BA7" i="104"/>
  <c r="BG7" i="100"/>
  <c r="BB7" i="115"/>
  <c r="BF7" i="122"/>
  <c r="BD7" i="107"/>
  <c r="BA7" i="100"/>
  <c r="BB7" i="106"/>
  <c r="BD7" i="122"/>
  <c r="AZ7" i="105"/>
  <c r="BA7" i="105"/>
  <c r="BH7" i="121"/>
  <c r="BE7" i="119"/>
  <c r="AZ7" i="119"/>
  <c r="BC7" i="120"/>
  <c r="BJ7" i="101"/>
  <c r="BF7" i="101"/>
  <c r="BE7" i="101"/>
  <c r="BB7" i="117"/>
  <c r="BB7" i="472"/>
  <c r="BB7" i="108"/>
  <c r="BG7" i="472"/>
  <c r="BA7" i="117"/>
  <c r="BD7" i="118"/>
  <c r="BH7" i="116"/>
  <c r="BC7" i="116"/>
  <c r="BE7" i="116"/>
  <c r="BA7" i="116"/>
  <c r="BF7" i="116"/>
  <c r="BI7" i="116"/>
  <c r="BK7" i="116"/>
  <c r="BG7" i="116"/>
  <c r="AZ7" i="116"/>
  <c r="BB7" i="116"/>
  <c r="BD7" i="116"/>
  <c r="BJ7" i="116"/>
  <c r="AV5" i="121"/>
  <c r="BF7" i="100"/>
  <c r="BI7" i="102"/>
  <c r="BK7" i="112"/>
  <c r="BE7" i="112"/>
  <c r="BG7" i="104"/>
  <c r="BH7" i="104"/>
  <c r="BE7" i="124"/>
  <c r="BI7" i="115"/>
  <c r="BA7" i="107"/>
  <c r="BC7" i="124"/>
  <c r="BE7" i="106"/>
  <c r="BG7" i="106"/>
  <c r="BC7" i="122"/>
  <c r="BK7" i="105"/>
  <c r="BE7" i="105"/>
  <c r="BK7" i="121"/>
  <c r="BE7" i="122"/>
  <c r="BG7" i="117"/>
  <c r="BG7" i="119"/>
  <c r="BK7" i="472"/>
  <c r="BF7" i="108"/>
  <c r="BI7" i="472"/>
  <c r="BI7" i="108"/>
  <c r="BG7" i="108"/>
  <c r="BA7" i="472"/>
  <c r="BC7" i="117"/>
  <c r="BF7" i="472"/>
  <c r="BJ7" i="108"/>
  <c r="BK7" i="119"/>
  <c r="BG7" i="114"/>
  <c r="BC7" i="100"/>
  <c r="BE7" i="102"/>
  <c r="BG7" i="112"/>
  <c r="BH7" i="112"/>
  <c r="BC7" i="104"/>
  <c r="BD7" i="115"/>
  <c r="BA7" i="115"/>
  <c r="BJ7" i="107"/>
  <c r="BB7" i="107"/>
  <c r="BB7" i="100"/>
  <c r="BK7" i="124"/>
  <c r="BD7" i="106"/>
  <c r="BI7" i="106"/>
  <c r="BG7" i="105"/>
  <c r="BH7" i="105"/>
  <c r="AZ7" i="121"/>
  <c r="BA7" i="122"/>
  <c r="BK7" i="108"/>
  <c r="BE7" i="117"/>
  <c r="BH7" i="110"/>
  <c r="BD7" i="108"/>
  <c r="BD7" i="472"/>
  <c r="AZ7" i="101"/>
  <c r="AZ7" i="472"/>
  <c r="BA7" i="114"/>
  <c r="BD7" i="110"/>
  <c r="BK7" i="114"/>
  <c r="BE7" i="110"/>
  <c r="BB7" i="114"/>
  <c r="BF7" i="119"/>
  <c r="BH7" i="472"/>
  <c r="AJ6" i="125"/>
  <c r="BA7" i="102"/>
  <c r="BC7" i="112"/>
  <c r="BD7" i="112"/>
  <c r="BF7" i="104"/>
  <c r="BG7" i="115"/>
  <c r="BH7" i="115"/>
  <c r="BH7" i="107"/>
  <c r="BG7" i="107"/>
  <c r="BH7" i="124"/>
  <c r="BK7" i="106"/>
  <c r="BF7" i="106"/>
  <c r="BC7" i="105"/>
  <c r="BC7" i="121"/>
  <c r="BJ7" i="121"/>
  <c r="BJ7" i="114"/>
  <c r="BA7" i="101"/>
  <c r="AZ7" i="110"/>
  <c r="BH7" i="114"/>
  <c r="BK7" i="110"/>
  <c r="BC7" i="114"/>
  <c r="BE7" i="472"/>
  <c r="BI7" i="101"/>
  <c r="BC7" i="118"/>
  <c r="BB7" i="120"/>
  <c r="BG7" i="118"/>
  <c r="AZ7" i="120"/>
  <c r="BI7" i="117"/>
  <c r="BA7" i="120"/>
  <c r="BH7" i="111"/>
  <c r="BJ7" i="111"/>
  <c r="BA7" i="111"/>
  <c r="BG7" i="111"/>
  <c r="BI7" i="111"/>
  <c r="BK7" i="111"/>
  <c r="BD7" i="111"/>
  <c r="BB7" i="111"/>
  <c r="BE7" i="111"/>
  <c r="BC7" i="111"/>
  <c r="AZ7" i="111"/>
  <c r="BF7" i="111"/>
  <c r="BK7" i="102"/>
  <c r="BF7" i="102"/>
  <c r="BJ7" i="112"/>
  <c r="AZ7" i="112"/>
  <c r="BJ7" i="104"/>
  <c r="AZ7" i="122"/>
  <c r="BH7" i="100"/>
  <c r="BC7" i="115"/>
  <c r="BK7" i="115"/>
  <c r="BD7" i="100"/>
  <c r="BK7" i="107"/>
  <c r="AZ7" i="107"/>
  <c r="BF7" i="124"/>
  <c r="BH7" i="122"/>
  <c r="BC7" i="106"/>
  <c r="BA7" i="106"/>
  <c r="BK7" i="100"/>
  <c r="BJ7" i="105"/>
  <c r="BD7" i="121"/>
  <c r="BF7" i="121"/>
  <c r="BI7" i="100"/>
  <c r="BC7" i="472"/>
  <c r="BA7" i="108"/>
  <c r="BH7" i="118"/>
  <c r="BI7" i="114"/>
  <c r="BK7" i="118"/>
  <c r="BF7" i="114"/>
  <c r="BI7" i="110"/>
  <c r="BI7" i="120"/>
  <c r="BI7" i="118"/>
  <c r="BD7" i="120"/>
  <c r="BA7" i="118"/>
  <c r="BH7" i="108"/>
  <c r="BA7" i="110"/>
  <c r="AV5" i="119"/>
  <c r="BG7" i="122"/>
  <c r="BC7" i="102"/>
  <c r="BH7" i="102"/>
  <c r="BB7" i="112"/>
  <c r="BE7" i="104"/>
  <c r="BI7" i="122"/>
  <c r="AZ7" i="124"/>
  <c r="BF7" i="115"/>
  <c r="AZ7" i="115"/>
  <c r="BB7" i="124"/>
  <c r="BC7" i="107"/>
  <c r="BF7" i="107"/>
  <c r="BH7" i="106"/>
  <c r="BJ7" i="100"/>
  <c r="BB7" i="105"/>
  <c r="BB7" i="121"/>
  <c r="BG7" i="121"/>
  <c r="BE7" i="100"/>
  <c r="BG7" i="110"/>
  <c r="BC7" i="110"/>
  <c r="AZ7" i="108"/>
  <c r="BI7" i="119"/>
  <c r="BJ7" i="117"/>
  <c r="BF7" i="118"/>
  <c r="BH7" i="101"/>
  <c r="BB7" i="118"/>
  <c r="BH7" i="120"/>
  <c r="BD7" i="119"/>
  <c r="BJ7" i="119"/>
  <c r="BJ7" i="472"/>
  <c r="BC7" i="108"/>
  <c r="BC7" i="101"/>
  <c r="BK7" i="122"/>
  <c r="BJ7" i="102"/>
  <c r="BD7" i="102"/>
  <c r="BI7" i="112"/>
  <c r="BD7" i="104"/>
  <c r="BB7" i="104"/>
  <c r="BG7" i="124"/>
  <c r="BJ7" i="115"/>
  <c r="BJ7" i="124"/>
  <c r="BE7" i="107"/>
  <c r="BJ7" i="122"/>
  <c r="BJ7" i="106"/>
  <c r="BA7" i="124"/>
  <c r="BI7" i="105"/>
  <c r="BI7" i="121"/>
  <c r="BE7" i="121"/>
  <c r="BD7" i="124"/>
  <c r="AZ7" i="118"/>
  <c r="BB7" i="110"/>
  <c r="AZ7" i="114"/>
  <c r="BH7" i="119"/>
  <c r="BF7" i="120"/>
  <c r="BC7" i="119"/>
  <c r="BG7" i="120"/>
  <c r="BJ7" i="118"/>
  <c r="BK7" i="101"/>
  <c r="AZ7" i="117"/>
  <c r="BK7" i="117"/>
  <c r="BJ7" i="110"/>
  <c r="BD7" i="114"/>
  <c r="BD7" i="117"/>
  <c r="BB7" i="102"/>
  <c r="AZ7" i="102"/>
  <c r="AZ7" i="104"/>
  <c r="BI7" i="104"/>
  <c r="BB7" i="122"/>
  <c r="BE7" i="115"/>
  <c r="AZ7" i="100"/>
  <c r="BD7" i="105"/>
  <c r="BI7" i="124"/>
  <c r="BA7" i="119"/>
  <c r="BD7" i="101"/>
  <c r="BE7" i="120"/>
  <c r="BF7" i="117"/>
  <c r="BK7" i="120"/>
  <c r="BB7" i="119"/>
  <c r="BG7" i="101"/>
  <c r="BJ7" i="120"/>
  <c r="AV5" i="114"/>
  <c r="AJ5" i="123"/>
  <c r="AJ5" i="107"/>
  <c r="AV5" i="108"/>
  <c r="AV5" i="117"/>
  <c r="AJ5" i="475"/>
  <c r="AV5" i="124"/>
  <c r="AD5" i="125"/>
  <c r="AJ5" i="108"/>
  <c r="AJ5" i="101"/>
  <c r="AJ5" i="112"/>
  <c r="AJ5" i="114"/>
  <c r="AJ5" i="105"/>
  <c r="AV5" i="125"/>
  <c r="AJ5" i="102"/>
  <c r="AV5" i="112"/>
  <c r="AJ5" i="117"/>
  <c r="AJ5" i="119"/>
  <c r="AI5" i="125"/>
  <c r="AV5" i="123"/>
  <c r="AE5" i="125"/>
  <c r="AJ5" i="103"/>
  <c r="AJ5" i="121"/>
  <c r="AJ5" i="111"/>
  <c r="AV5" i="115"/>
  <c r="AV5" i="120"/>
  <c r="AV5" i="475"/>
  <c r="AJ5" i="122"/>
  <c r="AV5" i="122"/>
  <c r="AJ5" i="115"/>
  <c r="AV5" i="100"/>
  <c r="AV5" i="472"/>
  <c r="AJ5" i="124"/>
  <c r="AA5" i="125"/>
  <c r="AV5" i="105"/>
  <c r="AG5" i="125"/>
  <c r="AJ5" i="104"/>
  <c r="AJ5" i="110"/>
  <c r="AV5" i="110"/>
  <c r="AV5" i="101"/>
  <c r="AJ5" i="120"/>
  <c r="AV5" i="104"/>
  <c r="AJ5" i="106"/>
  <c r="AJ5" i="118"/>
  <c r="AV5" i="116"/>
  <c r="AV5" i="118"/>
  <c r="AV5" i="107"/>
  <c r="AV5" i="103"/>
  <c r="AV5" i="106"/>
  <c r="AV5" i="111"/>
  <c r="AJ5" i="100"/>
  <c r="AJ5" i="472"/>
  <c r="AV5" i="102"/>
  <c r="AJ5" i="116"/>
  <c r="K23" i="418"/>
  <c r="F28" i="680" s="1"/>
  <c r="V15" i="106"/>
  <c r="H19" i="418"/>
  <c r="K13" i="418"/>
  <c r="F17" i="680" s="1"/>
  <c r="K6" i="418"/>
  <c r="F10" i="680" s="1"/>
  <c r="BH24" i="472"/>
  <c r="BH59" i="472"/>
  <c r="BI27" i="472"/>
  <c r="BC16" i="472"/>
  <c r="BF19" i="472"/>
  <c r="BH63" i="472"/>
  <c r="BD9" i="472"/>
  <c r="AZ11" i="472"/>
  <c r="BD56" i="472"/>
  <c r="BC4" i="472"/>
  <c r="BA61" i="472"/>
  <c r="BG19" i="472"/>
  <c r="BD54" i="472"/>
  <c r="AZ32" i="472"/>
  <c r="BB27" i="472"/>
  <c r="BA19" i="472"/>
  <c r="AZ16" i="472"/>
  <c r="V15" i="108"/>
  <c r="BA4" i="472"/>
  <c r="BI10" i="472"/>
  <c r="AZ39" i="472"/>
  <c r="BJ36" i="472"/>
  <c r="BE16" i="472"/>
  <c r="BB63" i="472"/>
  <c r="BF9" i="472"/>
  <c r="BC29" i="472"/>
  <c r="BA31" i="472"/>
  <c r="BE3" i="472"/>
  <c r="BG24" i="472"/>
  <c r="BJ26" i="472"/>
  <c r="BG52" i="472"/>
  <c r="BI13" i="472"/>
  <c r="BA41" i="472"/>
  <c r="AZ73" i="472"/>
  <c r="AZ72" i="472" s="1"/>
  <c r="BF25" i="472"/>
  <c r="BK78" i="472"/>
  <c r="BI16" i="472"/>
  <c r="BK16" i="472"/>
  <c r="BJ66" i="472"/>
  <c r="BJ16" i="472"/>
  <c r="BF49" i="472"/>
  <c r="BB4" i="472"/>
  <c r="BC26" i="472"/>
  <c r="BJ4" i="472"/>
  <c r="BH3" i="472"/>
  <c r="BD32" i="472"/>
  <c r="AZ3" i="472"/>
  <c r="BD10" i="472"/>
  <c r="BH34" i="472"/>
  <c r="BC14" i="472"/>
  <c r="AZ67" i="472"/>
  <c r="BD28" i="472"/>
  <c r="BD44" i="472"/>
  <c r="AZ17" i="472"/>
  <c r="BH73" i="472"/>
  <c r="BH72" i="472" s="1"/>
  <c r="BE26" i="472"/>
  <c r="BF51" i="472"/>
  <c r="BB78" i="472"/>
  <c r="BD18" i="472"/>
  <c r="BE35" i="472"/>
  <c r="BE67" i="472"/>
  <c r="BK15" i="472"/>
  <c r="BK44" i="472"/>
  <c r="BF34" i="472"/>
  <c r="BH29" i="472"/>
  <c r="BF54" i="472"/>
  <c r="BH43" i="472"/>
  <c r="BK52" i="472"/>
  <c r="BK37" i="472"/>
  <c r="BE55" i="472"/>
  <c r="BB71" i="472"/>
  <c r="BB70" i="472" s="1"/>
  <c r="BK55" i="472"/>
  <c r="BJ9" i="472"/>
  <c r="BA57" i="472"/>
  <c r="BD17" i="472"/>
  <c r="BG29" i="472"/>
  <c r="BD34" i="472"/>
  <c r="BD64" i="472"/>
  <c r="BC48" i="472"/>
  <c r="BG61" i="472"/>
  <c r="BJ49" i="472"/>
  <c r="BG73" i="472"/>
  <c r="BG72" i="472" s="1"/>
  <c r="BH49" i="472"/>
  <c r="BB28" i="472"/>
  <c r="BK71" i="472"/>
  <c r="BK70" i="472" s="1"/>
  <c r="BB13" i="472"/>
  <c r="BC46" i="472"/>
  <c r="BE41" i="472"/>
  <c r="BC54" i="472"/>
  <c r="BD78" i="472"/>
  <c r="BF56" i="472"/>
  <c r="BF38" i="472"/>
  <c r="BB25" i="472"/>
  <c r="BA52" i="472"/>
  <c r="AZ41" i="472"/>
  <c r="BC18" i="472"/>
  <c r="BB24" i="472"/>
  <c r="BA38" i="472"/>
  <c r="BD27" i="472"/>
  <c r="BD43" i="472"/>
  <c r="BK25" i="472"/>
  <c r="BC10" i="472"/>
  <c r="AZ24" i="472"/>
  <c r="BK56" i="472"/>
  <c r="BH66" i="472"/>
  <c r="BB18" i="472"/>
  <c r="BF66" i="472"/>
  <c r="BA20" i="472"/>
  <c r="BG71" i="472"/>
  <c r="BG70" i="472" s="1"/>
  <c r="BE36" i="472"/>
  <c r="BG28" i="472"/>
  <c r="BI29" i="472"/>
  <c r="BG55" i="472"/>
  <c r="AZ66" i="472"/>
  <c r="BH17" i="472"/>
  <c r="BI64" i="472"/>
  <c r="BH19" i="472"/>
  <c r="BJ69" i="472"/>
  <c r="BJ14" i="472"/>
  <c r="BA29" i="472"/>
  <c r="BB20" i="472"/>
  <c r="BE39" i="472"/>
  <c r="BI56" i="472"/>
  <c r="BA73" i="472"/>
  <c r="BA72" i="472" s="1"/>
  <c r="BC57" i="472"/>
  <c r="BD11" i="472"/>
  <c r="BE58" i="472"/>
  <c r="BD24" i="472"/>
  <c r="AZ37" i="472"/>
  <c r="BD26" i="472"/>
  <c r="BD25" i="472"/>
  <c r="BA3" i="472"/>
  <c r="BK10" i="472"/>
  <c r="BA40" i="472"/>
  <c r="BG3" i="472"/>
  <c r="BH4" i="472"/>
  <c r="BD4" i="472"/>
  <c r="BH9" i="472"/>
  <c r="BG69" i="472"/>
  <c r="BB64" i="472"/>
  <c r="BG53" i="472"/>
  <c r="BD38" i="472"/>
  <c r="BG11" i="472"/>
  <c r="BI69" i="472"/>
  <c r="BD63" i="472"/>
  <c r="BE10" i="472"/>
  <c r="BK66" i="472"/>
  <c r="BK45" i="472"/>
  <c r="BC38" i="472"/>
  <c r="BB46" i="472"/>
  <c r="BI66" i="472"/>
  <c r="BK48" i="472"/>
  <c r="BA63" i="472"/>
  <c r="BG51" i="472"/>
  <c r="BF3" i="472"/>
  <c r="BE51" i="472"/>
  <c r="BJ27" i="472"/>
  <c r="BD67" i="472"/>
  <c r="BE8" i="472"/>
  <c r="BB51" i="472"/>
  <c r="BE42" i="472"/>
  <c r="BK54" i="472"/>
  <c r="BE43" i="472"/>
  <c r="BH64" i="472"/>
  <c r="BJ78" i="472"/>
  <c r="BA16" i="472"/>
  <c r="BG26" i="472"/>
  <c r="BB17" i="472"/>
  <c r="BI36" i="472"/>
  <c r="BH36" i="472"/>
  <c r="BC49" i="472"/>
  <c r="BA39" i="472"/>
  <c r="AZ52" i="472"/>
  <c r="BB15" i="472"/>
  <c r="BG38" i="472"/>
  <c r="BH18" i="472"/>
  <c r="BG57" i="472"/>
  <c r="BC67" i="472"/>
  <c r="BJ18" i="472"/>
  <c r="BA67" i="472"/>
  <c r="BI20" i="472"/>
  <c r="BF73" i="472"/>
  <c r="BF72" i="472" s="1"/>
  <c r="BA35" i="472"/>
  <c r="BF18" i="472"/>
  <c r="BH53" i="472"/>
  <c r="BA43" i="472"/>
  <c r="BI58" i="472"/>
  <c r="BF11" i="472"/>
  <c r="BG58" i="472"/>
  <c r="BE14" i="472"/>
  <c r="BI59" i="472"/>
  <c r="AZ14" i="472"/>
  <c r="BF67" i="472"/>
  <c r="AZ29" i="472"/>
  <c r="AZ78" i="472"/>
  <c r="BE57" i="472"/>
  <c r="BI73" i="472"/>
  <c r="BI72" i="472" s="1"/>
  <c r="BK57" i="472"/>
  <c r="BD13" i="472"/>
  <c r="BA59" i="472"/>
  <c r="BE23" i="472"/>
  <c r="BH23" i="472"/>
  <c r="BA51" i="472"/>
  <c r="BI52" i="472"/>
  <c r="BG36" i="472"/>
  <c r="BI35" i="472"/>
  <c r="BK9" i="472"/>
  <c r="AZ69" i="472"/>
  <c r="BD45" i="472"/>
  <c r="BE48" i="472"/>
  <c r="BI18" i="472"/>
  <c r="BD58" i="472"/>
  <c r="BG42" i="472"/>
  <c r="BB32" i="472"/>
  <c r="BF32" i="472"/>
  <c r="BD52" i="472"/>
  <c r="BF78" i="472"/>
  <c r="BD55" i="472"/>
  <c r="BF44" i="472"/>
  <c r="BE66" i="472"/>
  <c r="BC43" i="472"/>
  <c r="BD15" i="472"/>
  <c r="BG43" i="472"/>
  <c r="BA15" i="472"/>
  <c r="BK38" i="472"/>
  <c r="BA37" i="472"/>
  <c r="BK49" i="472"/>
  <c r="BI39" i="472"/>
  <c r="BB57" i="472"/>
  <c r="BG39" i="472"/>
  <c r="BE24" i="472"/>
  <c r="BH45" i="472"/>
  <c r="AZ59" i="472"/>
  <c r="BH26" i="472"/>
  <c r="BK30" i="472"/>
  <c r="BF43" i="472"/>
  <c r="BG32" i="472"/>
  <c r="BE44" i="472"/>
  <c r="BA24" i="472"/>
  <c r="BG17" i="472"/>
  <c r="AZ48" i="472"/>
  <c r="BI43" i="472"/>
  <c r="BE59" i="472"/>
  <c r="BF13" i="472"/>
  <c r="BC59" i="472"/>
  <c r="BE15" i="472"/>
  <c r="BD61" i="472"/>
  <c r="BG13" i="472"/>
  <c r="BA27" i="472"/>
  <c r="BK43" i="472"/>
  <c r="BC32" i="472"/>
  <c r="BC52" i="472"/>
  <c r="BG66" i="472"/>
  <c r="BI53" i="472"/>
  <c r="BC8" i="472"/>
  <c r="BH54" i="472"/>
  <c r="BC21" i="472"/>
  <c r="BD30" i="472"/>
  <c r="BC27" i="472"/>
  <c r="BE30" i="472"/>
  <c r="BI51" i="472"/>
  <c r="BJ64" i="472"/>
  <c r="BA53" i="472"/>
  <c r="AZ54" i="472"/>
  <c r="BB35" i="472"/>
  <c r="BD53" i="472"/>
  <c r="BE31" i="472"/>
  <c r="BE54" i="472"/>
  <c r="AZ44" i="472"/>
  <c r="BH56" i="472"/>
  <c r="AZ46" i="472"/>
  <c r="BH67" i="472"/>
  <c r="BB56" i="472"/>
  <c r="BE64" i="472"/>
  <c r="BH78" i="472"/>
  <c r="BI28" i="472"/>
  <c r="BF52" i="472"/>
  <c r="BB36" i="472"/>
  <c r="AZ26" i="472"/>
  <c r="BH14" i="472"/>
  <c r="BE40" i="472"/>
  <c r="BI37" i="472"/>
  <c r="AZ51" i="472"/>
  <c r="BB40" i="472"/>
  <c r="BJ57" i="472"/>
  <c r="AZ40" i="472"/>
  <c r="BF23" i="472"/>
  <c r="AZ56" i="472"/>
  <c r="BK61" i="472"/>
  <c r="BF28" i="472"/>
  <c r="BB31" i="472"/>
  <c r="BG44" i="472"/>
  <c r="BC34" i="472"/>
  <c r="BH52" i="472"/>
  <c r="BI14" i="472"/>
  <c r="BC35" i="472"/>
  <c r="BD35" i="472"/>
  <c r="BH42" i="472"/>
  <c r="BK18" i="472"/>
  <c r="BJ24" i="472"/>
  <c r="BI38" i="472"/>
  <c r="BC28" i="472"/>
  <c r="BI40" i="472"/>
  <c r="AZ34" i="472"/>
  <c r="BI26" i="472"/>
  <c r="BH11" i="472"/>
  <c r="BK32" i="472"/>
  <c r="BC53" i="472"/>
  <c r="BB67" i="472"/>
  <c r="BB54" i="472"/>
  <c r="BK8" i="472"/>
  <c r="BA55" i="472"/>
  <c r="BE20" i="472"/>
  <c r="BE46" i="472"/>
  <c r="BK14" i="472"/>
  <c r="BJ58" i="472"/>
  <c r="BA45" i="472"/>
  <c r="AZ58" i="472"/>
  <c r="BA48" i="472"/>
  <c r="BK69" i="472"/>
  <c r="BF46" i="472"/>
  <c r="BA34" i="472"/>
  <c r="BA56" i="472"/>
  <c r="BI4" i="472"/>
  <c r="BF57" i="472"/>
  <c r="BH44" i="472"/>
  <c r="BD57" i="472"/>
  <c r="BH46" i="472"/>
  <c r="BC69" i="472"/>
  <c r="BE45" i="472"/>
  <c r="BH13" i="472"/>
  <c r="BB38" i="472"/>
  <c r="BJ28" i="472"/>
  <c r="BF42" i="472"/>
  <c r="BJ38" i="472"/>
  <c r="BB52" i="472"/>
  <c r="BC41" i="472"/>
  <c r="BB59" i="472"/>
  <c r="BA13" i="472"/>
  <c r="BK26" i="472"/>
  <c r="BD31" i="472"/>
  <c r="BF14" i="472"/>
  <c r="BJ43" i="472"/>
  <c r="BK73" i="472"/>
  <c r="BK72" i="472" s="1"/>
  <c r="BD20" i="472"/>
  <c r="BE63" i="472"/>
  <c r="BE29" i="472"/>
  <c r="BJ31" i="472"/>
  <c r="AZ45" i="472"/>
  <c r="BK34" i="472"/>
  <c r="AZ53" i="472"/>
  <c r="BE13" i="472"/>
  <c r="BB34" i="472"/>
  <c r="BG56" i="472"/>
  <c r="BA78" i="472"/>
  <c r="BC19" i="472"/>
  <c r="AZ25" i="472"/>
  <c r="BB39" i="472"/>
  <c r="BK28" i="472"/>
  <c r="BF45" i="472"/>
  <c r="BD23" i="472"/>
  <c r="BB16" i="472"/>
  <c r="BF58" i="472"/>
  <c r="BC58" i="472"/>
  <c r="BK67" i="472"/>
  <c r="BB19" i="472"/>
  <c r="BI67" i="472"/>
  <c r="BB21" i="472"/>
  <c r="BF63" i="472"/>
  <c r="BI11" i="472"/>
  <c r="BC51" i="472"/>
  <c r="BF21" i="472"/>
  <c r="BF59" i="472"/>
  <c r="BI45" i="472"/>
  <c r="BH58" i="472"/>
  <c r="BI48" i="472"/>
  <c r="AZ71" i="472"/>
  <c r="AZ70" i="472" s="1"/>
  <c r="BG48" i="472"/>
  <c r="BJ30" i="472"/>
  <c r="BF41" i="472"/>
  <c r="BI21" i="472"/>
  <c r="BB45" i="472"/>
  <c r="BK39" i="472"/>
  <c r="BB53" i="472"/>
  <c r="BC42" i="472"/>
  <c r="BE61" i="472"/>
  <c r="BA42" i="472"/>
  <c r="BE18" i="472"/>
  <c r="BH16" i="472"/>
  <c r="AZ28" i="472"/>
  <c r="BA44" i="472"/>
  <c r="BC39" i="472"/>
  <c r="BJ52" i="472"/>
  <c r="BK41" i="472"/>
  <c r="BJ59" i="472"/>
  <c r="BI41" i="472"/>
  <c r="BE19" i="472"/>
  <c r="BJ71" i="472"/>
  <c r="BJ70" i="472" s="1"/>
  <c r="BF71" i="472"/>
  <c r="BF70" i="472" s="1"/>
  <c r="BC31" i="472"/>
  <c r="BI32" i="472"/>
  <c r="BA46" i="472"/>
  <c r="BF36" i="472"/>
  <c r="BA54" i="472"/>
  <c r="BC13" i="472"/>
  <c r="BG16" i="472"/>
  <c r="BB58" i="472"/>
  <c r="BJ34" i="472"/>
  <c r="BG40" i="472"/>
  <c r="BK63" i="472"/>
  <c r="BB73" i="472"/>
  <c r="BB72" i="472" s="1"/>
  <c r="BC44" i="472"/>
  <c r="BE21" i="472"/>
  <c r="BH25" i="472"/>
  <c r="BJ39" i="472"/>
  <c r="BB29" i="472"/>
  <c r="BG46" i="472"/>
  <c r="BA21" i="472"/>
  <c r="BF15" i="472"/>
  <c r="BG10" i="472"/>
  <c r="BJ61" i="472"/>
  <c r="BF69" i="472"/>
  <c r="BJ19" i="472"/>
  <c r="BD69" i="472"/>
  <c r="BJ21" i="472"/>
  <c r="BB41" i="472"/>
  <c r="BI31" i="472"/>
  <c r="BC25" i="472"/>
  <c r="BH40" i="472"/>
  <c r="BB44" i="472"/>
  <c r="AZ61" i="472"/>
  <c r="BG14" i="472"/>
  <c r="BK59" i="472"/>
  <c r="BF16" i="472"/>
  <c r="BI55" i="472"/>
  <c r="BD19" i="472"/>
  <c r="BB23" i="472"/>
  <c r="BK17" i="472"/>
  <c r="BJ45" i="472"/>
  <c r="BD40" i="472"/>
  <c r="BJ53" i="472"/>
  <c r="BK42" i="472"/>
  <c r="BG63" i="472"/>
  <c r="BI42" i="472"/>
  <c r="BE17" i="472"/>
  <c r="BD49" i="472"/>
  <c r="BG25" i="472"/>
  <c r="BG35" i="472"/>
  <c r="BF35" i="472"/>
  <c r="BB48" i="472"/>
  <c r="AZ38" i="472"/>
  <c r="BB55" i="472"/>
  <c r="BD36" i="472"/>
  <c r="AZ27" i="472"/>
  <c r="BI71" i="472"/>
  <c r="BI70" i="472" s="1"/>
  <c r="BE73" i="472"/>
  <c r="BE72" i="472" s="1"/>
  <c r="BJ32" i="472"/>
  <c r="BE34" i="472"/>
  <c r="BI46" i="472"/>
  <c r="BG37" i="472"/>
  <c r="BI54" i="472"/>
  <c r="AZ10" i="472"/>
  <c r="BK27" i="472"/>
  <c r="BG45" i="472"/>
  <c r="BF48" i="472"/>
  <c r="BJ23" i="472"/>
  <c r="BF27" i="472"/>
  <c r="BK40" i="472"/>
  <c r="BA30" i="472"/>
  <c r="BF55" i="472"/>
  <c r="BA69" i="472"/>
  <c r="BJ51" i="472"/>
  <c r="BH10" i="472"/>
  <c r="BH69" i="472"/>
  <c r="BJ56" i="472"/>
  <c r="BK64" i="472"/>
  <c r="BB66" i="472"/>
  <c r="BC71" i="472"/>
  <c r="BC70" i="472" s="1"/>
  <c r="BC20" i="472"/>
  <c r="BA71" i="472"/>
  <c r="BA70" i="472" s="1"/>
  <c r="BG23" i="472"/>
  <c r="BJ41" i="472"/>
  <c r="BH30" i="472"/>
  <c r="BF24" i="472"/>
  <c r="BG67" i="472"/>
  <c r="BD46" i="472"/>
  <c r="BH61" i="472"/>
  <c r="BG15" i="472"/>
  <c r="BF61" i="472"/>
  <c r="BF17" i="472"/>
  <c r="BG64" i="472"/>
  <c r="BJ10" i="472"/>
  <c r="BH39" i="472"/>
  <c r="BB14" i="472"/>
  <c r="BG34" i="472"/>
  <c r="BK53" i="472"/>
  <c r="BJ67" i="472"/>
  <c r="BJ54" i="472"/>
  <c r="BH71" i="472"/>
  <c r="BH70" i="472" s="1"/>
  <c r="AZ49" i="472"/>
  <c r="BK29" i="472"/>
  <c r="BA32" i="472"/>
  <c r="BJ25" i="472"/>
  <c r="BA36" i="472"/>
  <c r="AZ36" i="472"/>
  <c r="BJ48" i="472"/>
  <c r="BH38" i="472"/>
  <c r="BJ55" i="472"/>
  <c r="BE37" i="472"/>
  <c r="BF26" i="472"/>
  <c r="BI63" i="472"/>
  <c r="BH55" i="472"/>
  <c r="BK24" i="472"/>
  <c r="BD29" i="472"/>
  <c r="BD42" i="472"/>
  <c r="AZ31" i="472"/>
  <c r="BI49" i="472"/>
  <c r="BC17" i="472"/>
  <c r="BA11" i="472"/>
  <c r="BJ29" i="472"/>
  <c r="BF53" i="472"/>
  <c r="BC24" i="472"/>
  <c r="BE28" i="472"/>
  <c r="BD41" i="472"/>
  <c r="BI30" i="472"/>
  <c r="BA49" i="472"/>
  <c r="BA18" i="472"/>
  <c r="BK11" i="472"/>
  <c r="BE4" i="472"/>
  <c r="BE71" i="472"/>
  <c r="BE70" i="472" s="1"/>
  <c r="BJ73" i="472"/>
  <c r="BJ72" i="472" s="1"/>
  <c r="BD21" i="472"/>
  <c r="BB8" i="472"/>
  <c r="BA64" i="472"/>
  <c r="BK13" i="472"/>
  <c r="BJ13" i="472"/>
  <c r="BG18" i="472"/>
  <c r="BE9" i="472"/>
  <c r="BJ40" i="472"/>
  <c r="BF20" i="472"/>
  <c r="BB69" i="472"/>
  <c r="BC64" i="472"/>
  <c r="BA23" i="472"/>
  <c r="BH37" i="472"/>
  <c r="BH31" i="472"/>
  <c r="AZ64" i="472"/>
  <c r="BE56" i="472"/>
  <c r="BA10" i="472"/>
  <c r="BE49" i="472"/>
  <c r="BF4" i="472"/>
  <c r="BJ11" i="472"/>
  <c r="BC78" i="472"/>
  <c r="BH51" i="472"/>
  <c r="BK4" i="472"/>
  <c r="BG8" i="472"/>
  <c r="AZ9" i="472"/>
  <c r="AZ13" i="472"/>
  <c r="AZ8" i="472"/>
  <c r="BI8" i="472"/>
  <c r="BH8" i="472"/>
  <c r="BA9" i="472"/>
  <c r="BG4" i="472"/>
  <c r="BH20" i="472"/>
  <c r="BC40" i="472"/>
  <c r="BA14" i="472"/>
  <c r="BJ42" i="472"/>
  <c r="BK51" i="472"/>
  <c r="BA17" i="472"/>
  <c r="BI23" i="472"/>
  <c r="BE78" i="472"/>
  <c r="BB49" i="472"/>
  <c r="BB9" i="472"/>
  <c r="BD66" i="472"/>
  <c r="BB61" i="472"/>
  <c r="BH28" i="472"/>
  <c r="AZ30" i="472"/>
  <c r="BD3" i="472"/>
  <c r="BC9" i="472"/>
  <c r="BB10" i="472"/>
  <c r="BI3" i="472"/>
  <c r="BB3" i="472"/>
  <c r="BJ3" i="472"/>
  <c r="BK20" i="472"/>
  <c r="BC15" i="472"/>
  <c r="BH48" i="472"/>
  <c r="BI57" i="472"/>
  <c r="BK36" i="472"/>
  <c r="BI17" i="472"/>
  <c r="BC30" i="472"/>
  <c r="BD59" i="472"/>
  <c r="BC55" i="472"/>
  <c r="AZ18" i="472"/>
  <c r="AZ20" i="472"/>
  <c r="BK23" i="472"/>
  <c r="BG21" i="472"/>
  <c r="BH21" i="472"/>
  <c r="BJ17" i="472"/>
  <c r="BB11" i="472"/>
  <c r="BD8" i="472"/>
  <c r="BA8" i="472"/>
  <c r="BJ8" i="472"/>
  <c r="BI9" i="472"/>
  <c r="BC3" i="472"/>
  <c r="BK3" i="472"/>
  <c r="BJ63" i="472"/>
  <c r="BA28" i="472"/>
  <c r="AZ19" i="472"/>
  <c r="BG20" i="472"/>
  <c r="BB42" i="472"/>
  <c r="BD37" i="472"/>
  <c r="BA25" i="472"/>
  <c r="BJ46" i="472"/>
  <c r="BE69" i="472"/>
  <c r="AZ63" i="472"/>
  <c r="BD39" i="472"/>
  <c r="O63" i="105"/>
  <c r="O63" i="123"/>
  <c r="AZ23" i="472"/>
  <c r="K8" i="418"/>
  <c r="F12" i="680" s="1"/>
  <c r="AJ60" i="125"/>
  <c r="BI19" i="472"/>
  <c r="BH27" i="119"/>
  <c r="BH44" i="119"/>
  <c r="V15" i="119"/>
  <c r="BJ67" i="119"/>
  <c r="BK61" i="119"/>
  <c r="O63" i="111"/>
  <c r="BE25" i="472"/>
  <c r="BG78" i="472"/>
  <c r="BE52" i="472"/>
  <c r="BG31" i="472"/>
  <c r="BB30" i="472"/>
  <c r="AZ43" i="472"/>
  <c r="BE53" i="472"/>
  <c r="BG30" i="472"/>
  <c r="BC11" i="472"/>
  <c r="AJ50" i="125"/>
  <c r="BI44" i="472"/>
  <c r="BC56" i="472"/>
  <c r="BH27" i="472"/>
  <c r="BD16" i="472"/>
  <c r="BB26" i="472"/>
  <c r="BI15" i="472"/>
  <c r="BK46" i="472"/>
  <c r="BK58" i="472"/>
  <c r="BC23" i="472"/>
  <c r="BJ20" i="472"/>
  <c r="BD48" i="472"/>
  <c r="BG59" i="472"/>
  <c r="AZ21" i="472"/>
  <c r="O25" i="472"/>
  <c r="P25" i="472" s="1"/>
  <c r="AJ22" i="125"/>
  <c r="BD73" i="472"/>
  <c r="BD72" i="472" s="1"/>
  <c r="BF8" i="472"/>
  <c r="BC36" i="472"/>
  <c r="BG9" i="472"/>
  <c r="BI61" i="472"/>
  <c r="BE38" i="472"/>
  <c r="AZ4" i="472"/>
  <c r="BH32" i="472"/>
  <c r="BC63" i="472"/>
  <c r="BF39" i="472"/>
  <c r="BK35" i="472"/>
  <c r="BA66" i="472"/>
  <c r="BH41" i="472"/>
  <c r="BF31" i="472"/>
  <c r="AZ42" i="472"/>
  <c r="BF30" i="472"/>
  <c r="BE32" i="472"/>
  <c r="BD71" i="472"/>
  <c r="BD70" i="472" s="1"/>
  <c r="BI78" i="472"/>
  <c r="BF37" i="472"/>
  <c r="BK19" i="472"/>
  <c r="BC73" i="472"/>
  <c r="BC72" i="472" s="1"/>
  <c r="BB43" i="472"/>
  <c r="BA26" i="472"/>
  <c r="BK21" i="472"/>
  <c r="BI24" i="472"/>
  <c r="AZ35" i="472"/>
  <c r="BG49" i="472"/>
  <c r="BE27" i="472"/>
  <c r="BI25" i="472"/>
  <c r="BH35" i="472"/>
  <c r="BD51" i="472"/>
  <c r="AZ15" i="472"/>
  <c r="BG27" i="472"/>
  <c r="BC37" i="472"/>
  <c r="BG54" i="472"/>
  <c r="BE11" i="472"/>
  <c r="AZ55" i="472"/>
  <c r="BF10" i="472"/>
  <c r="BD14" i="472"/>
  <c r="BF40" i="472"/>
  <c r="AZ57" i="472"/>
  <c r="BJ15" i="472"/>
  <c r="BK31" i="472"/>
  <c r="BG41" i="472"/>
  <c r="BH57" i="472"/>
  <c r="BF29" i="472"/>
  <c r="BJ35" i="472"/>
  <c r="BC61" i="472"/>
  <c r="BI34" i="472"/>
  <c r="BB37" i="472"/>
  <c r="BJ44" i="472"/>
  <c r="BF64" i="472"/>
  <c r="BJ37" i="472"/>
  <c r="BC45" i="472"/>
  <c r="BC66" i="472"/>
  <c r="V15" i="107"/>
  <c r="BG27" i="119"/>
  <c r="BF49" i="119"/>
  <c r="BI78" i="119"/>
  <c r="BC23" i="119"/>
  <c r="BH28" i="119"/>
  <c r="BG34" i="119"/>
  <c r="BI66" i="119"/>
  <c r="AZ39" i="119"/>
  <c r="BH38" i="119"/>
  <c r="BC26" i="119"/>
  <c r="BA25" i="119"/>
  <c r="BG36" i="119"/>
  <c r="BH55" i="119"/>
  <c r="BA37" i="119"/>
  <c r="BD42" i="119"/>
  <c r="BJ51" i="119"/>
  <c r="AZ55" i="119"/>
  <c r="BE73" i="119"/>
  <c r="BE72" i="119" s="1"/>
  <c r="BH42" i="119"/>
  <c r="BB27" i="119"/>
  <c r="BH78" i="119"/>
  <c r="BD9" i="119"/>
  <c r="BB52" i="119"/>
  <c r="BG67" i="119"/>
  <c r="BE61" i="119"/>
  <c r="BH4" i="119"/>
  <c r="BG58" i="119"/>
  <c r="BI40" i="119"/>
  <c r="BD48" i="119"/>
  <c r="BJ78" i="119"/>
  <c r="BK30" i="119"/>
  <c r="BF18" i="119"/>
  <c r="BI10" i="119"/>
  <c r="BA38" i="119"/>
  <c r="BC55" i="119"/>
  <c r="BJ16" i="119"/>
  <c r="BK11" i="119"/>
  <c r="BK38" i="119"/>
  <c r="BA20" i="119"/>
  <c r="BF39" i="119"/>
  <c r="BF24" i="119"/>
  <c r="BA15" i="119"/>
  <c r="BD52" i="119"/>
  <c r="BH48" i="119"/>
  <c r="BA11" i="119"/>
  <c r="BD71" i="119"/>
  <c r="BD70" i="119" s="1"/>
  <c r="BI17" i="119"/>
  <c r="BD3" i="119"/>
  <c r="BE36" i="119"/>
  <c r="BF19" i="119"/>
  <c r="BE64" i="119"/>
  <c r="BG20" i="119"/>
  <c r="BB21" i="119"/>
  <c r="BJ23" i="119"/>
  <c r="BE9" i="119"/>
  <c r="BK59" i="119"/>
  <c r="BH8" i="119"/>
  <c r="BB38" i="119"/>
  <c r="BE39" i="119"/>
  <c r="BA39" i="119"/>
  <c r="BF52" i="119"/>
  <c r="BE29" i="119"/>
  <c r="BD55" i="119"/>
  <c r="AZ32" i="119"/>
  <c r="BE17" i="119"/>
  <c r="BE30" i="119"/>
  <c r="BJ53" i="119"/>
  <c r="BK57" i="119"/>
  <c r="BF58" i="119"/>
  <c r="BD35" i="119"/>
  <c r="BE43" i="119"/>
  <c r="BC69" i="119"/>
  <c r="BA24" i="119"/>
  <c r="AZ73" i="119"/>
  <c r="AZ72" i="119" s="1"/>
  <c r="BH67" i="119"/>
  <c r="BF63" i="119"/>
  <c r="BD66" i="119"/>
  <c r="BB15" i="119"/>
  <c r="BH15" i="119"/>
  <c r="BF29" i="119"/>
  <c r="AZ34" i="119"/>
  <c r="BG46" i="119"/>
  <c r="BK69" i="119"/>
  <c r="AZ40" i="119"/>
  <c r="BD25" i="119"/>
  <c r="BD8" i="119"/>
  <c r="BA57" i="119"/>
  <c r="BA66" i="119"/>
  <c r="BE8" i="119"/>
  <c r="BH59" i="119"/>
  <c r="BJ52" i="119"/>
  <c r="BG39" i="119"/>
  <c r="BJ20" i="119"/>
  <c r="BC15" i="119"/>
  <c r="BD16" i="119"/>
  <c r="BD59" i="119"/>
  <c r="BA69" i="119"/>
  <c r="BK56" i="119"/>
  <c r="BB19" i="119"/>
  <c r="BI36" i="119"/>
  <c r="BI38" i="119"/>
  <c r="BG69" i="119"/>
  <c r="BH35" i="119"/>
  <c r="BC78" i="119"/>
  <c r="BK18" i="119"/>
  <c r="BH46" i="119"/>
  <c r="BH9" i="119"/>
  <c r="BK14" i="119"/>
  <c r="BG73" i="119"/>
  <c r="BG72" i="119" s="1"/>
  <c r="BA53" i="119"/>
  <c r="AZ56" i="119"/>
  <c r="BG19" i="119"/>
  <c r="BF36" i="119"/>
  <c r="BJ10" i="119"/>
  <c r="BD4" i="119"/>
  <c r="BI58" i="119"/>
  <c r="BI42" i="119"/>
  <c r="BB66" i="119"/>
  <c r="AZ28" i="119"/>
  <c r="BC48" i="119"/>
  <c r="BK64" i="119"/>
  <c r="BH23" i="119"/>
  <c r="BC31" i="119"/>
  <c r="BG40" i="119"/>
  <c r="BF14" i="119"/>
  <c r="BG56" i="119"/>
  <c r="BE21" i="119"/>
  <c r="BD56" i="119"/>
  <c r="BA34" i="119"/>
  <c r="BJ56" i="119"/>
  <c r="BD15" i="119"/>
  <c r="BK42" i="119"/>
  <c r="BA67" i="119"/>
  <c r="BH30" i="119"/>
  <c r="BA49" i="119"/>
  <c r="BK15" i="119"/>
  <c r="BC53" i="119"/>
  <c r="BG63" i="119"/>
  <c r="BC27" i="119"/>
  <c r="BD24" i="119"/>
  <c r="BD26" i="119"/>
  <c r="BK19" i="119"/>
  <c r="BD63" i="119"/>
  <c r="BJ58" i="119"/>
  <c r="BB16" i="119"/>
  <c r="BH69" i="119"/>
  <c r="BG30" i="119"/>
  <c r="AZ57" i="119"/>
  <c r="BI51" i="119"/>
  <c r="BH24" i="119"/>
  <c r="BD67" i="119"/>
  <c r="BA8" i="119"/>
  <c r="BD54" i="119"/>
  <c r="BE78" i="119"/>
  <c r="BA51" i="119"/>
  <c r="BC36" i="119"/>
  <c r="BK48" i="119"/>
  <c r="AZ20" i="119"/>
  <c r="BE69" i="119"/>
  <c r="BE42" i="119"/>
  <c r="BG64" i="119"/>
  <c r="BJ66" i="119"/>
  <c r="AZ49" i="119"/>
  <c r="BF32" i="119"/>
  <c r="BF41" i="119"/>
  <c r="BG26" i="119"/>
  <c r="BC9" i="119"/>
  <c r="BF66" i="119"/>
  <c r="BG32" i="119"/>
  <c r="BD40" i="119"/>
  <c r="BG28" i="119"/>
  <c r="BG61" i="119"/>
  <c r="BK58" i="119"/>
  <c r="BA46" i="119"/>
  <c r="BH61" i="119"/>
  <c r="BJ19" i="119"/>
  <c r="BF54" i="119"/>
  <c r="BA28" i="119"/>
  <c r="AZ26" i="119"/>
  <c r="BD27" i="119"/>
  <c r="AZ17" i="119"/>
  <c r="BK54" i="119"/>
  <c r="BG38" i="119"/>
  <c r="AZ16" i="119"/>
  <c r="BA71" i="119"/>
  <c r="BA70" i="119" s="1"/>
  <c r="BG31" i="119"/>
  <c r="AZ4" i="119"/>
  <c r="BJ15" i="119"/>
  <c r="BE15" i="119"/>
  <c r="BG4" i="119"/>
  <c r="BH11" i="119"/>
  <c r="BA16" i="119"/>
  <c r="AZ54" i="119"/>
  <c r="BF55" i="119"/>
  <c r="BE13" i="119"/>
  <c r="BD41" i="119"/>
  <c r="BG14" i="119"/>
  <c r="BH53" i="119"/>
  <c r="BH45" i="119"/>
  <c r="BG9" i="119"/>
  <c r="BC43" i="119"/>
  <c r="BD31" i="119"/>
  <c r="BE63" i="119"/>
  <c r="BJ17" i="119"/>
  <c r="BK41" i="119"/>
  <c r="BJ35" i="119"/>
  <c r="BI16" i="119"/>
  <c r="BK26" i="119"/>
  <c r="BH49" i="119"/>
  <c r="BK10" i="119"/>
  <c r="BI25" i="119"/>
  <c r="BE16" i="119"/>
  <c r="BC16" i="119"/>
  <c r="AZ25" i="119"/>
  <c r="BI9" i="119"/>
  <c r="BB46" i="119"/>
  <c r="BA21" i="119"/>
  <c r="BA14" i="119"/>
  <c r="BB78" i="119"/>
  <c r="BE3" i="119"/>
  <c r="BF16" i="119"/>
  <c r="BB32" i="119"/>
  <c r="BD13" i="119"/>
  <c r="BD58" i="119"/>
  <c r="BH25" i="119"/>
  <c r="BI52" i="119"/>
  <c r="BJ48" i="119"/>
  <c r="BF13" i="119"/>
  <c r="BI64" i="119"/>
  <c r="BD49" i="119"/>
  <c r="BI3" i="119"/>
  <c r="BJ39" i="119"/>
  <c r="BD19" i="119"/>
  <c r="BH71" i="119"/>
  <c r="BH70" i="119" s="1"/>
  <c r="BB53" i="119"/>
  <c r="BH13" i="119"/>
  <c r="BJ14" i="119"/>
  <c r="BK37" i="119"/>
  <c r="BJ26" i="119"/>
  <c r="BI73" i="119"/>
  <c r="BI72" i="119" s="1"/>
  <c r="AZ29" i="119"/>
  <c r="BJ49" i="119"/>
  <c r="AZ18" i="119"/>
  <c r="BB17" i="119"/>
  <c r="BG44" i="119"/>
  <c r="BE27" i="119"/>
  <c r="BC10" i="119"/>
  <c r="BB51" i="119"/>
  <c r="BH19" i="119"/>
  <c r="BG55" i="119"/>
  <c r="BJ42" i="119"/>
  <c r="BB35" i="119"/>
  <c r="BC28" i="119"/>
  <c r="BK8" i="119"/>
  <c r="BF28" i="119"/>
  <c r="BF59" i="119"/>
  <c r="BH66" i="119"/>
  <c r="BK39" i="119"/>
  <c r="BK46" i="119"/>
  <c r="BH10" i="119"/>
  <c r="BH41" i="119"/>
  <c r="BA26" i="119"/>
  <c r="AZ8" i="119"/>
  <c r="BF31" i="119"/>
  <c r="BF45" i="119"/>
  <c r="BF78" i="119"/>
  <c r="BF21" i="119"/>
  <c r="BH3" i="119"/>
  <c r="BK25" i="119"/>
  <c r="BJ9" i="119"/>
  <c r="AZ59" i="119"/>
  <c r="BB44" i="119"/>
  <c r="BK51" i="119"/>
  <c r="BG29" i="119"/>
  <c r="BI13" i="119"/>
  <c r="BI54" i="119"/>
  <c r="BG13" i="119"/>
  <c r="BB48" i="119"/>
  <c r="BF73" i="119"/>
  <c r="BF72" i="119" s="1"/>
  <c r="AZ35" i="119"/>
  <c r="BE53" i="119"/>
  <c r="BI14" i="119"/>
  <c r="BK55" i="119"/>
  <c r="BC34" i="119"/>
  <c r="BD73" i="119"/>
  <c r="BD72" i="119" s="1"/>
  <c r="BB61" i="119"/>
  <c r="BC21" i="119"/>
  <c r="BE71" i="119"/>
  <c r="BE70" i="119" s="1"/>
  <c r="BK66" i="119"/>
  <c r="BA61" i="119"/>
  <c r="BK44" i="119"/>
  <c r="BF26" i="119"/>
  <c r="BG17" i="119"/>
  <c r="BA10" i="119"/>
  <c r="BE23" i="119"/>
  <c r="BH31" i="119"/>
  <c r="BG49" i="119"/>
  <c r="BF69" i="119"/>
  <c r="BK45" i="119"/>
  <c r="BD38" i="119"/>
  <c r="BC25" i="119"/>
  <c r="BB11" i="119"/>
  <c r="BJ3" i="119"/>
  <c r="BG35" i="119"/>
  <c r="BC4" i="119"/>
  <c r="BA48" i="119"/>
  <c r="BG53" i="119"/>
  <c r="AZ67" i="119"/>
  <c r="BI61" i="119"/>
  <c r="BC42" i="119"/>
  <c r="AZ45" i="119"/>
  <c r="BJ57" i="119"/>
  <c r="BA9" i="119"/>
  <c r="AZ30" i="119"/>
  <c r="BB30" i="119"/>
  <c r="BJ25" i="119"/>
  <c r="BC52" i="119"/>
  <c r="BB13" i="119"/>
  <c r="BB56" i="119"/>
  <c r="BB37" i="119"/>
  <c r="BG8" i="119"/>
  <c r="BI53" i="119"/>
  <c r="BF20" i="119"/>
  <c r="BD20" i="119"/>
  <c r="BC44" i="119"/>
  <c r="AZ66" i="119"/>
  <c r="BK67" i="119"/>
  <c r="BI43" i="119"/>
  <c r="BE11" i="119"/>
  <c r="BC45" i="119"/>
  <c r="BG10" i="119"/>
  <c r="BA64" i="119"/>
  <c r="BC46" i="119"/>
  <c r="BG24" i="119"/>
  <c r="BK27" i="119"/>
  <c r="BK53" i="119"/>
  <c r="BK63" i="119"/>
  <c r="BK29" i="119"/>
  <c r="BI69" i="119"/>
  <c r="BC59" i="119"/>
  <c r="BB10" i="119"/>
  <c r="BJ45" i="119"/>
  <c r="BE57" i="119"/>
  <c r="BC54" i="119"/>
  <c r="BD17" i="119"/>
  <c r="BG16" i="119"/>
  <c r="BB63" i="119"/>
  <c r="BI23" i="119"/>
  <c r="BB41" i="119"/>
  <c r="BE18" i="119"/>
  <c r="BG78" i="119"/>
  <c r="BD18" i="119"/>
  <c r="BH37" i="119"/>
  <c r="BB8" i="119"/>
  <c r="BC61" i="119"/>
  <c r="BI59" i="119"/>
  <c r="BB64" i="119"/>
  <c r="BG11" i="119"/>
  <c r="AZ41" i="119"/>
  <c r="BE41" i="119"/>
  <c r="BF48" i="119"/>
  <c r="BA13" i="119"/>
  <c r="BD43" i="119"/>
  <c r="BD28" i="119"/>
  <c r="BC29" i="119"/>
  <c r="AZ19" i="119"/>
  <c r="BI44" i="119"/>
  <c r="BI11" i="119"/>
  <c r="AZ48" i="119"/>
  <c r="BG41" i="119"/>
  <c r="BE48" i="119"/>
  <c r="BE56" i="119"/>
  <c r="BI18" i="119"/>
  <c r="BI39" i="119"/>
  <c r="BD30" i="119"/>
  <c r="BF17" i="119"/>
  <c r="BE40" i="119"/>
  <c r="BH64" i="119"/>
  <c r="BF40" i="119"/>
  <c r="BK23" i="119"/>
  <c r="BK28" i="119"/>
  <c r="AZ51" i="119"/>
  <c r="BC37" i="119"/>
  <c r="BC41" i="119"/>
  <c r="BB43" i="119"/>
  <c r="AZ53" i="119"/>
  <c r="BD44" i="119"/>
  <c r="BF51" i="119"/>
  <c r="BI49" i="119"/>
  <c r="BC71" i="119"/>
  <c r="BC70" i="119" s="1"/>
  <c r="BD36" i="119"/>
  <c r="BD78" i="119"/>
  <c r="BK16" i="119"/>
  <c r="BF30" i="119"/>
  <c r="BF15" i="119"/>
  <c r="BK20" i="119"/>
  <c r="BF23" i="119"/>
  <c r="BG23" i="119"/>
  <c r="AZ9" i="119"/>
  <c r="BJ73" i="119"/>
  <c r="BJ72" i="119" s="1"/>
  <c r="BC20" i="119"/>
  <c r="BJ44" i="119"/>
  <c r="BI21" i="119"/>
  <c r="BJ59" i="119"/>
  <c r="AZ37" i="119"/>
  <c r="BA19" i="119"/>
  <c r="BA36" i="119"/>
  <c r="BH36" i="119"/>
  <c r="BI41" i="119"/>
  <c r="BK49" i="119"/>
  <c r="BK71" i="119"/>
  <c r="BK70" i="119" s="1"/>
  <c r="BC11" i="119"/>
  <c r="O25" i="122"/>
  <c r="P25" i="122" s="1"/>
  <c r="BE67" i="119"/>
  <c r="BB71" i="119"/>
  <c r="BB70" i="119" s="1"/>
  <c r="BC63" i="119"/>
  <c r="BF35" i="119"/>
  <c r="BI8" i="119"/>
  <c r="BH26" i="119"/>
  <c r="BD39" i="119"/>
  <c r="BJ43" i="119"/>
  <c r="BE34" i="119"/>
  <c r="BH73" i="119"/>
  <c r="BH72" i="119" s="1"/>
  <c r="BA3" i="119"/>
  <c r="BH17" i="119"/>
  <c r="BE52" i="119"/>
  <c r="BF4" i="119"/>
  <c r="BD14" i="119"/>
  <c r="BD51" i="119"/>
  <c r="BJ21" i="119"/>
  <c r="BA29" i="119"/>
  <c r="AZ3" i="119"/>
  <c r="BA52" i="119"/>
  <c r="BA54" i="119"/>
  <c r="BC8" i="119"/>
  <c r="AZ31" i="119"/>
  <c r="BD37" i="119"/>
  <c r="BF67" i="119"/>
  <c r="BE28" i="119"/>
  <c r="BF71" i="119"/>
  <c r="BF70" i="119" s="1"/>
  <c r="BA73" i="119"/>
  <c r="BA72" i="119" s="1"/>
  <c r="BA55" i="119"/>
  <c r="BF10" i="119"/>
  <c r="BA56" i="119"/>
  <c r="BK3" i="119"/>
  <c r="BA78" i="119"/>
  <c r="BH52" i="119"/>
  <c r="BK36" i="119"/>
  <c r="BB28" i="119"/>
  <c r="BD46" i="119"/>
  <c r="AZ42" i="119"/>
  <c r="AZ52" i="119"/>
  <c r="AZ15" i="119"/>
  <c r="BH39" i="119"/>
  <c r="BF46" i="119"/>
  <c r="BI15" i="119"/>
  <c r="BH58" i="119"/>
  <c r="BE54" i="119"/>
  <c r="BC32" i="119"/>
  <c r="BJ13" i="119"/>
  <c r="BF11" i="119"/>
  <c r="AZ27" i="119"/>
  <c r="BF57" i="119"/>
  <c r="BH14" i="119"/>
  <c r="BB20" i="119"/>
  <c r="BC51" i="119"/>
  <c r="BD69" i="119"/>
  <c r="BC35" i="119"/>
  <c r="BC13" i="119"/>
  <c r="BD57" i="119"/>
  <c r="BC64" i="119"/>
  <c r="BE24" i="119"/>
  <c r="BJ54" i="119"/>
  <c r="BD21" i="119"/>
  <c r="AZ78" i="119"/>
  <c r="BJ46" i="119"/>
  <c r="BJ40" i="119"/>
  <c r="BE38" i="119"/>
  <c r="BD53" i="119"/>
  <c r="BK43" i="119"/>
  <c r="BA45" i="119"/>
  <c r="BB40" i="119"/>
  <c r="BC18" i="119"/>
  <c r="BI30" i="119"/>
  <c r="BA27" i="119"/>
  <c r="BI45" i="119"/>
  <c r="BG57" i="119"/>
  <c r="BC49" i="119"/>
  <c r="BH56" i="119"/>
  <c r="BB24" i="119"/>
  <c r="BK21" i="119"/>
  <c r="BJ61" i="119"/>
  <c r="BK24" i="119"/>
  <c r="BB67" i="119"/>
  <c r="BG59" i="119"/>
  <c r="BF53" i="119"/>
  <c r="BH18" i="119"/>
  <c r="BB25" i="119"/>
  <c r="BJ32" i="119"/>
  <c r="AZ71" i="119"/>
  <c r="AZ70" i="119" s="1"/>
  <c r="BH16" i="119"/>
  <c r="AZ38" i="119"/>
  <c r="BD61" i="119"/>
  <c r="BE55" i="119"/>
  <c r="BA41" i="119"/>
  <c r="AZ21" i="119"/>
  <c r="BJ64" i="119"/>
  <c r="BJ8" i="119"/>
  <c r="BI27" i="119"/>
  <c r="BB42" i="119"/>
  <c r="BA4" i="119"/>
  <c r="BE4" i="119"/>
  <c r="BJ29" i="119"/>
  <c r="BH43" i="119"/>
  <c r="BC24" i="119"/>
  <c r="BE25" i="119"/>
  <c r="BE49" i="119"/>
  <c r="BH32" i="119"/>
  <c r="BJ28" i="119"/>
  <c r="BH29" i="119"/>
  <c r="BB73" i="119"/>
  <c r="BB72" i="119" s="1"/>
  <c r="BJ69" i="119"/>
  <c r="BA59" i="119"/>
  <c r="AZ46" i="119"/>
  <c r="BE14" i="119"/>
  <c r="BK17" i="119"/>
  <c r="BE46" i="119"/>
  <c r="BE10" i="119"/>
  <c r="BI35" i="119"/>
  <c r="BJ34" i="119"/>
  <c r="BJ31" i="119"/>
  <c r="BB18" i="119"/>
  <c r="BB49" i="119"/>
  <c r="BH20" i="119"/>
  <c r="BK4" i="119"/>
  <c r="BH57" i="119"/>
  <c r="BI20" i="119"/>
  <c r="BB3" i="119"/>
  <c r="AZ63" i="119"/>
  <c r="BF37" i="119"/>
  <c r="AZ44" i="119"/>
  <c r="BK52" i="119"/>
  <c r="BI48" i="119"/>
  <c r="BI26" i="119"/>
  <c r="BH51" i="119"/>
  <c r="BH54" i="119"/>
  <c r="BI67" i="119"/>
  <c r="BC30" i="119"/>
  <c r="BH34" i="119"/>
  <c r="BC40" i="119"/>
  <c r="BA32" i="119"/>
  <c r="BB4" i="119"/>
  <c r="BE32" i="119"/>
  <c r="BI31" i="119"/>
  <c r="BK40" i="119"/>
  <c r="BK32" i="119"/>
  <c r="BC67" i="119"/>
  <c r="BC17" i="119"/>
  <c r="BE59" i="119"/>
  <c r="BC19" i="119"/>
  <c r="BC39" i="119"/>
  <c r="BF3" i="119"/>
  <c r="BB29" i="119"/>
  <c r="BC58" i="119"/>
  <c r="BK73" i="119"/>
  <c r="BK72" i="119" s="1"/>
  <c r="BG21" i="119"/>
  <c r="BK13" i="119"/>
  <c r="BI19" i="119"/>
  <c r="BI37" i="119"/>
  <c r="BG52" i="119"/>
  <c r="BJ55" i="119"/>
  <c r="BF44" i="119"/>
  <c r="BF27" i="119"/>
  <c r="BH21" i="119"/>
  <c r="BB54" i="119"/>
  <c r="BC38" i="119"/>
  <c r="AZ61" i="119"/>
  <c r="BD64" i="119"/>
  <c r="BI57" i="119"/>
  <c r="BH63" i="119"/>
  <c r="AZ36" i="119"/>
  <c r="BA63" i="119"/>
  <c r="BB14" i="119"/>
  <c r="BJ24" i="119"/>
  <c r="BG25" i="119"/>
  <c r="BC3" i="119"/>
  <c r="BJ63" i="119"/>
  <c r="AZ24" i="119"/>
  <c r="BJ36" i="119"/>
  <c r="BE31" i="119"/>
  <c r="BG18" i="119"/>
  <c r="BB31" i="119"/>
  <c r="BA31" i="119"/>
  <c r="BB9" i="119"/>
  <c r="BD11" i="119"/>
  <c r="BA35" i="119"/>
  <c r="BA44" i="119"/>
  <c r="BE66" i="119"/>
  <c r="AZ64" i="119"/>
  <c r="BA42" i="119"/>
  <c r="BD10" i="119"/>
  <c r="BA18" i="119"/>
  <c r="BI4" i="119"/>
  <c r="BE51" i="119"/>
  <c r="BI29" i="119"/>
  <c r="BB23" i="119"/>
  <c r="BG66" i="119"/>
  <c r="BB39" i="119"/>
  <c r="AZ13" i="119"/>
  <c r="BK34" i="119"/>
  <c r="BC73" i="119"/>
  <c r="BC72" i="119" s="1"/>
  <c r="BF9" i="119"/>
  <c r="BD29" i="119"/>
  <c r="BG15" i="119"/>
  <c r="BG37" i="119"/>
  <c r="BD45" i="119"/>
  <c r="BB34" i="119"/>
  <c r="AZ69" i="119"/>
  <c r="BG71" i="119"/>
  <c r="BG70" i="119" s="1"/>
  <c r="BG51" i="119"/>
  <c r="BJ37" i="119"/>
  <c r="BK31" i="119"/>
  <c r="BB59" i="119"/>
  <c r="BI32" i="119"/>
  <c r="BI55" i="119"/>
  <c r="BB36" i="119"/>
  <c r="BF34" i="119"/>
  <c r="BE44" i="119"/>
  <c r="AZ10" i="119"/>
  <c r="BC66" i="119"/>
  <c r="BF25" i="119"/>
  <c r="BE19" i="119"/>
  <c r="BI63" i="119"/>
  <c r="BK9" i="119"/>
  <c r="BJ38" i="119"/>
  <c r="BC14" i="119"/>
  <c r="BE37" i="119"/>
  <c r="BI46" i="119"/>
  <c r="AZ43" i="119"/>
  <c r="BJ18" i="119"/>
  <c r="AZ23" i="119"/>
  <c r="AZ14" i="119"/>
  <c r="BB55" i="119"/>
  <c r="BB26" i="119"/>
  <c r="BD23" i="119"/>
  <c r="BG48" i="119"/>
  <c r="BA23" i="119"/>
  <c r="BA17" i="119"/>
  <c r="BI71" i="119"/>
  <c r="BI70" i="119" s="1"/>
  <c r="AZ11" i="119"/>
  <c r="BG3" i="119"/>
  <c r="BH40" i="119"/>
  <c r="BA30" i="119"/>
  <c r="BE20" i="119"/>
  <c r="BB69" i="119"/>
  <c r="BD32" i="119"/>
  <c r="BG43" i="119"/>
  <c r="BF38" i="119"/>
  <c r="BA40" i="119"/>
  <c r="BK78" i="119"/>
  <c r="BK35" i="119"/>
  <c r="BF42" i="119"/>
  <c r="BG45" i="119"/>
  <c r="BG42" i="119"/>
  <c r="BF56" i="119"/>
  <c r="BC56" i="119"/>
  <c r="BJ4" i="119"/>
  <c r="BE45" i="119"/>
  <c r="BI56" i="119"/>
  <c r="BF8" i="119"/>
  <c r="BA43" i="119"/>
  <c r="BJ30" i="119"/>
  <c r="BF64" i="119"/>
  <c r="BB57" i="119"/>
  <c r="BF43" i="119"/>
  <c r="BA58" i="119"/>
  <c r="BI28" i="119"/>
  <c r="BC57" i="119"/>
  <c r="BI34" i="119"/>
  <c r="BE35" i="119"/>
  <c r="BJ71" i="119"/>
  <c r="BJ70" i="119" s="1"/>
  <c r="BD34" i="119"/>
  <c r="BJ11" i="119"/>
  <c r="BJ41" i="119"/>
  <c r="BF61" i="119"/>
  <c r="BJ27" i="119"/>
  <c r="BI24" i="119"/>
  <c r="BG54" i="119"/>
  <c r="BE26" i="119"/>
  <c r="BB58" i="119"/>
  <c r="AZ58" i="119"/>
  <c r="BB45" i="119"/>
  <c r="BH26" i="108"/>
  <c r="BA67" i="105"/>
  <c r="BF4" i="110"/>
  <c r="BC53" i="105"/>
  <c r="BH53" i="105"/>
  <c r="BF66" i="105"/>
  <c r="BJ45" i="105"/>
  <c r="BG11" i="105"/>
  <c r="BA61" i="105"/>
  <c r="BB61" i="105"/>
  <c r="BH14" i="105"/>
  <c r="BH3" i="105"/>
  <c r="BE42" i="105"/>
  <c r="BF54" i="105"/>
  <c r="BB53" i="105"/>
  <c r="BD73" i="105"/>
  <c r="BD72" i="105" s="1"/>
  <c r="BI18" i="105"/>
  <c r="BG4" i="105"/>
  <c r="BI55" i="105"/>
  <c r="AZ57" i="105"/>
  <c r="BD16" i="105"/>
  <c r="BI57" i="105"/>
  <c r="BF59" i="105"/>
  <c r="BK36" i="105"/>
  <c r="BH59" i="105"/>
  <c r="BB35" i="105"/>
  <c r="BG71" i="105"/>
  <c r="BG70" i="105" s="1"/>
  <c r="BF34" i="105"/>
  <c r="AZ56" i="105"/>
  <c r="BB9" i="105"/>
  <c r="J4" i="418"/>
  <c r="H16" i="418"/>
  <c r="BK36" i="110"/>
  <c r="AZ21" i="112"/>
  <c r="BK71" i="110"/>
  <c r="BK70" i="110" s="1"/>
  <c r="BJ30" i="110"/>
  <c r="BH52" i="110"/>
  <c r="BB42" i="110"/>
  <c r="AZ67" i="110"/>
  <c r="BI25" i="110"/>
  <c r="BI21" i="110"/>
  <c r="BC35" i="110"/>
  <c r="BI18" i="110"/>
  <c r="BH38" i="110"/>
  <c r="AZ16" i="110"/>
  <c r="BA20" i="110"/>
  <c r="BD31" i="110"/>
  <c r="BG69" i="110"/>
  <c r="BJ4" i="110"/>
  <c r="BJ34" i="110"/>
  <c r="BD58" i="110"/>
  <c r="BI61" i="110"/>
  <c r="AZ39" i="110"/>
  <c r="BB39" i="110"/>
  <c r="H14" i="418"/>
  <c r="BC43" i="110"/>
  <c r="BB59" i="110"/>
  <c r="BI34" i="110"/>
  <c r="BD8" i="110"/>
  <c r="BG40" i="110"/>
  <c r="BJ45" i="110"/>
  <c r="BA41" i="110"/>
  <c r="AZ23" i="110"/>
  <c r="BB28" i="110"/>
  <c r="BH54" i="110"/>
  <c r="BH37" i="110"/>
  <c r="AZ35" i="110"/>
  <c r="BH69" i="110"/>
  <c r="AZ44" i="110"/>
  <c r="BE23" i="110"/>
  <c r="BA21" i="110"/>
  <c r="BD53" i="110"/>
  <c r="BF25" i="110"/>
  <c r="BG36" i="110"/>
  <c r="BE28" i="110"/>
  <c r="BE64" i="110"/>
  <c r="BG25" i="110"/>
  <c r="BF54" i="110"/>
  <c r="BB26" i="110"/>
  <c r="BC10" i="110"/>
  <c r="BH21" i="110"/>
  <c r="BI16" i="110"/>
  <c r="BJ9" i="110"/>
  <c r="BD32" i="110"/>
  <c r="BK25" i="110"/>
  <c r="BB49" i="110"/>
  <c r="BD40" i="110"/>
  <c r="BC11" i="110"/>
  <c r="BB43" i="110"/>
  <c r="BK42" i="110"/>
  <c r="BG73" i="110"/>
  <c r="BG72" i="110" s="1"/>
  <c r="BJ52" i="110"/>
  <c r="BJ27" i="110"/>
  <c r="BD28" i="110"/>
  <c r="BC56" i="110"/>
  <c r="BH41" i="110"/>
  <c r="BH48" i="110"/>
  <c r="BB13" i="110"/>
  <c r="BI29" i="110"/>
  <c r="BE39" i="110"/>
  <c r="BC20" i="110"/>
  <c r="BJ24" i="110"/>
  <c r="BA19" i="110"/>
  <c r="BE31" i="110"/>
  <c r="BK35" i="110"/>
  <c r="BG30" i="110"/>
  <c r="BJ63" i="110"/>
  <c r="BB36" i="110"/>
  <c r="BA38" i="110"/>
  <c r="BJ15" i="110"/>
  <c r="BK31" i="110"/>
  <c r="BK30" i="110"/>
  <c r="BB24" i="110"/>
  <c r="BI20" i="110"/>
  <c r="BH71" i="110"/>
  <c r="BH70" i="110" s="1"/>
  <c r="BB58" i="110"/>
  <c r="BB35" i="110"/>
  <c r="BI63" i="110"/>
  <c r="BF27" i="110"/>
  <c r="BI73" i="110"/>
  <c r="BI72" i="110" s="1"/>
  <c r="BD18" i="110"/>
  <c r="BJ31" i="110"/>
  <c r="BF35" i="110"/>
  <c r="BG16" i="110"/>
  <c r="BI41" i="110"/>
  <c r="BC34" i="110"/>
  <c r="BH11" i="110"/>
  <c r="BD24" i="110"/>
  <c r="BC23" i="110"/>
  <c r="BH18" i="110"/>
  <c r="BC18" i="110"/>
  <c r="BF66" i="110"/>
  <c r="BH20" i="110"/>
  <c r="BF20" i="110"/>
  <c r="BD3" i="110"/>
  <c r="AZ21" i="110"/>
  <c r="BB21" i="110"/>
  <c r="BJ28" i="110"/>
  <c r="BC40" i="110"/>
  <c r="BA9" i="110"/>
  <c r="BF23" i="110"/>
  <c r="AZ45" i="110"/>
  <c r="BD4" i="110"/>
  <c r="BG66" i="110"/>
  <c r="BC16" i="110"/>
  <c r="BA49" i="110"/>
  <c r="BK73" i="110"/>
  <c r="BK72" i="110" s="1"/>
  <c r="BJ48" i="110"/>
  <c r="BK55" i="110"/>
  <c r="BK20" i="110"/>
  <c r="BF43" i="110"/>
  <c r="AZ73" i="110"/>
  <c r="AZ72" i="110" s="1"/>
  <c r="BC36" i="110"/>
  <c r="BI39" i="101"/>
  <c r="BJ4" i="101"/>
  <c r="AZ25" i="101"/>
  <c r="BJ32" i="101"/>
  <c r="BG37" i="105"/>
  <c r="BA54" i="105"/>
  <c r="BK13" i="105"/>
  <c r="BI34" i="105"/>
  <c r="BA15" i="105"/>
  <c r="BH21" i="121"/>
  <c r="BG35" i="121"/>
  <c r="BC16" i="121"/>
  <c r="BI71" i="110"/>
  <c r="BI70" i="110" s="1"/>
  <c r="BE41" i="110"/>
  <c r="BB20" i="110"/>
  <c r="BA46" i="110"/>
  <c r="BJ57" i="110"/>
  <c r="BD19" i="110"/>
  <c r="BB29" i="110"/>
  <c r="BE78" i="110"/>
  <c r="BE73" i="110"/>
  <c r="BE72" i="110" s="1"/>
  <c r="BF64" i="101"/>
  <c r="BE10" i="101"/>
  <c r="BG31" i="110"/>
  <c r="BF63" i="110"/>
  <c r="BF45" i="110"/>
  <c r="BJ21" i="110"/>
  <c r="BK69" i="110"/>
  <c r="BG53" i="110"/>
  <c r="BA48" i="110"/>
  <c r="BC48" i="110"/>
  <c r="BC44" i="110"/>
  <c r="BC56" i="101"/>
  <c r="BK25" i="101"/>
  <c r="BK28" i="110"/>
  <c r="BJ56" i="110"/>
  <c r="BF39" i="110"/>
  <c r="BH16" i="110"/>
  <c r="BF21" i="110"/>
  <c r="BG8" i="110"/>
  <c r="BB8" i="110"/>
  <c r="BJ49" i="110"/>
  <c r="BA55" i="110"/>
  <c r="BA14" i="101"/>
  <c r="BE45" i="101"/>
  <c r="BI46" i="110"/>
  <c r="BI35" i="110"/>
  <c r="BG34" i="110"/>
  <c r="BH44" i="110"/>
  <c r="BI27" i="110"/>
  <c r="BH15" i="110"/>
  <c r="AZ63" i="110"/>
  <c r="BJ36" i="110"/>
  <c r="BC71" i="110"/>
  <c r="BC70" i="110" s="1"/>
  <c r="BF51" i="110"/>
  <c r="BC21" i="101"/>
  <c r="BB20" i="101"/>
  <c r="BK17" i="110"/>
  <c r="BA32" i="110"/>
  <c r="BI44" i="110"/>
  <c r="BK8" i="110"/>
  <c r="BB78" i="110"/>
  <c r="BD17" i="110"/>
  <c r="BE56" i="110"/>
  <c r="BI28" i="110"/>
  <c r="BH46" i="110"/>
  <c r="BF57" i="110"/>
  <c r="BI9" i="101"/>
  <c r="BK54" i="101"/>
  <c r="BE46" i="105"/>
  <c r="BF24" i="105"/>
  <c r="BH42" i="105"/>
  <c r="BJ41" i="105"/>
  <c r="BE44" i="105"/>
  <c r="BD53" i="105"/>
  <c r="BJ61" i="105"/>
  <c r="BD63" i="105"/>
  <c r="BJ64" i="105"/>
  <c r="BK67" i="105"/>
  <c r="BC3" i="105"/>
  <c r="BA41" i="105"/>
  <c r="BB59" i="105"/>
  <c r="AZ66" i="105"/>
  <c r="BB3" i="105"/>
  <c r="BE73" i="105"/>
  <c r="BE72" i="105" s="1"/>
  <c r="BK9" i="105"/>
  <c r="BE13" i="105"/>
  <c r="BB15" i="105"/>
  <c r="BJ15" i="105"/>
  <c r="BC19" i="105"/>
  <c r="BJ46" i="105"/>
  <c r="BH40" i="105"/>
  <c r="BF58" i="105"/>
  <c r="BE64" i="105"/>
  <c r="BF73" i="105"/>
  <c r="BF72" i="105" s="1"/>
  <c r="BJ8" i="105"/>
  <c r="BE15" i="105"/>
  <c r="BH19" i="105"/>
  <c r="BK20" i="105"/>
  <c r="BJ20" i="105"/>
  <c r="BK27" i="105"/>
  <c r="BJ49" i="105"/>
  <c r="BG58" i="105"/>
  <c r="BA40" i="105"/>
  <c r="AZ71" i="105"/>
  <c r="AZ70" i="105" s="1"/>
  <c r="BD45" i="105"/>
  <c r="BI52" i="105"/>
  <c r="AZ61" i="105"/>
  <c r="BC63" i="105"/>
  <c r="BE4" i="105"/>
  <c r="BA28" i="105"/>
  <c r="BK44" i="105"/>
  <c r="BI46" i="105"/>
  <c r="BB51" i="105"/>
  <c r="BE59" i="105"/>
  <c r="BF71" i="105"/>
  <c r="BF70" i="105" s="1"/>
  <c r="BC73" i="105"/>
  <c r="BC72" i="105" s="1"/>
  <c r="BG3" i="105"/>
  <c r="BA13" i="105"/>
  <c r="BA52" i="105"/>
  <c r="BF30" i="105"/>
  <c r="AZ44" i="105"/>
  <c r="BI28" i="105"/>
  <c r="BC48" i="105"/>
  <c r="BH52" i="105"/>
  <c r="BI61" i="105"/>
  <c r="BB66" i="105"/>
  <c r="BH27" i="105"/>
  <c r="BI53" i="105"/>
  <c r="BK4" i="105"/>
  <c r="BK25" i="105"/>
  <c r="BA19" i="105"/>
  <c r="BJ21" i="105"/>
  <c r="BI32" i="105"/>
  <c r="BJ38" i="105"/>
  <c r="BB37" i="105"/>
  <c r="BK37" i="105"/>
  <c r="BF42" i="105"/>
  <c r="BE14" i="105"/>
  <c r="BI73" i="105"/>
  <c r="BI72" i="105" s="1"/>
  <c r="BE23" i="105"/>
  <c r="AZ42" i="105"/>
  <c r="BC40" i="105"/>
  <c r="BF43" i="105"/>
  <c r="AZ45" i="105"/>
  <c r="BE52" i="105"/>
  <c r="BD52" i="105"/>
  <c r="BK53" i="105"/>
  <c r="BB56" i="105"/>
  <c r="BC45" i="105"/>
  <c r="BA73" i="105"/>
  <c r="BA72" i="105" s="1"/>
  <c r="BH21" i="105"/>
  <c r="BH41" i="105"/>
  <c r="BI39" i="105"/>
  <c r="BH78" i="105"/>
  <c r="BK51" i="105"/>
  <c r="BD59" i="105"/>
  <c r="BA59" i="105"/>
  <c r="BH61" i="105"/>
  <c r="BG64" i="105"/>
  <c r="BE3" i="105"/>
  <c r="BJ58" i="105"/>
  <c r="AZ26" i="105"/>
  <c r="BI44" i="105"/>
  <c r="BC69" i="105"/>
  <c r="BA11" i="105"/>
  <c r="BF15" i="105"/>
  <c r="BJ24" i="105"/>
  <c r="BC30" i="105"/>
  <c r="BA29" i="105"/>
  <c r="BA30" i="105"/>
  <c r="BB36" i="105"/>
  <c r="BD35" i="105"/>
  <c r="BI64" i="105"/>
  <c r="BK15" i="105"/>
  <c r="BC36" i="105"/>
  <c r="BK32" i="105"/>
  <c r="BI36" i="105"/>
  <c r="BE39" i="105"/>
  <c r="BA44" i="105"/>
  <c r="BA43" i="105"/>
  <c r="AZ43" i="105"/>
  <c r="BE48" i="105"/>
  <c r="BA66" i="105"/>
  <c r="BB4" i="108"/>
  <c r="BA64" i="105"/>
  <c r="BC15" i="105"/>
  <c r="BI35" i="105"/>
  <c r="BA32" i="105"/>
  <c r="AZ35" i="105"/>
  <c r="BB44" i="105"/>
  <c r="BJ51" i="105"/>
  <c r="BI51" i="105"/>
  <c r="BC52" i="105"/>
  <c r="BA55" i="105"/>
  <c r="BG44" i="105"/>
  <c r="AZ67" i="108"/>
  <c r="V15" i="101"/>
  <c r="BD29" i="105"/>
  <c r="BA49" i="105"/>
  <c r="BK17" i="105"/>
  <c r="BJ59" i="105"/>
  <c r="BJ66" i="105"/>
  <c r="BK3" i="105"/>
  <c r="BC9" i="105"/>
  <c r="BI16" i="105"/>
  <c r="BF21" i="105"/>
  <c r="BA23" i="105"/>
  <c r="AZ23" i="105"/>
  <c r="BI29" i="105"/>
  <c r="BA26" i="105"/>
  <c r="BK57" i="105"/>
  <c r="BE10" i="105"/>
  <c r="BG29" i="105"/>
  <c r="BF25" i="105"/>
  <c r="BB28" i="105"/>
  <c r="BG31" i="105"/>
  <c r="AZ38" i="105"/>
  <c r="BF36" i="105"/>
  <c r="BA37" i="105"/>
  <c r="BB41" i="105"/>
  <c r="BC10" i="105"/>
  <c r="BC54" i="108"/>
  <c r="BC57" i="105"/>
  <c r="BH9" i="105"/>
  <c r="BH28" i="105"/>
  <c r="BB24" i="105"/>
  <c r="BF27" i="105"/>
  <c r="BK38" i="105"/>
  <c r="BD43" i="105"/>
  <c r="BE78" i="105"/>
  <c r="BD78" i="105"/>
  <c r="BK46" i="105"/>
  <c r="BK56" i="105"/>
  <c r="BB11" i="105"/>
  <c r="BI45" i="105"/>
  <c r="BE45" i="105"/>
  <c r="BI41" i="105"/>
  <c r="BJ35" i="105"/>
  <c r="BI54" i="105"/>
  <c r="BJ56" i="105"/>
  <c r="BI63" i="105"/>
  <c r="BA3" i="105"/>
  <c r="AZ10" i="105"/>
  <c r="AZ14" i="105"/>
  <c r="BG16" i="105"/>
  <c r="BF16" i="105"/>
  <c r="BI20" i="105"/>
  <c r="BK52" i="105"/>
  <c r="BA53" i="105"/>
  <c r="BC4" i="105"/>
  <c r="BC25" i="105"/>
  <c r="BG18" i="105"/>
  <c r="BD20" i="105"/>
  <c r="AZ24" i="105"/>
  <c r="BB29" i="105"/>
  <c r="BG28" i="105"/>
  <c r="BJ29" i="105"/>
  <c r="BE35" i="105"/>
  <c r="AZ31" i="105"/>
  <c r="BG52" i="105"/>
  <c r="BD3" i="105"/>
  <c r="BE24" i="105"/>
  <c r="BH17" i="105"/>
  <c r="BJ19" i="105"/>
  <c r="BD30" i="105"/>
  <c r="BC37" i="105"/>
  <c r="BG35" i="105"/>
  <c r="BE36" i="105"/>
  <c r="BE40" i="105"/>
  <c r="BK63" i="105"/>
  <c r="AZ29" i="105"/>
  <c r="BI49" i="105"/>
  <c r="BE53" i="105"/>
  <c r="BK61" i="105"/>
  <c r="AZ3" i="105"/>
  <c r="BH4" i="105"/>
  <c r="BE8" i="105"/>
  <c r="BF14" i="105"/>
  <c r="BJ67" i="105"/>
  <c r="AZ73" i="108"/>
  <c r="AZ72" i="108" s="1"/>
  <c r="BD44" i="105"/>
  <c r="BH67" i="105"/>
  <c r="BC17" i="105"/>
  <c r="BK10" i="105"/>
  <c r="BB14" i="105"/>
  <c r="AZ16" i="105"/>
  <c r="BB20" i="105"/>
  <c r="BE21" i="105"/>
  <c r="BD21" i="105"/>
  <c r="BE28" i="105"/>
  <c r="BK43" i="105"/>
  <c r="AZ67" i="105"/>
  <c r="BK16" i="105"/>
  <c r="BB10" i="105"/>
  <c r="BG13" i="105"/>
  <c r="BC23" i="105"/>
  <c r="BJ28" i="105"/>
  <c r="BC27" i="105"/>
  <c r="BF28" i="105"/>
  <c r="BJ34" i="105"/>
  <c r="BB21" i="105"/>
  <c r="BK39" i="108"/>
  <c r="BJ17" i="121"/>
  <c r="BI78" i="121"/>
  <c r="BJ54" i="121"/>
  <c r="BH67" i="121"/>
  <c r="BJ78" i="121"/>
  <c r="BJ10" i="121"/>
  <c r="BA44" i="121"/>
  <c r="BG48" i="121"/>
  <c r="BF51" i="121"/>
  <c r="BJ8" i="102"/>
  <c r="BA27" i="108"/>
  <c r="BI8" i="108"/>
  <c r="BI44" i="108"/>
  <c r="BJ27" i="108"/>
  <c r="BG25" i="108"/>
  <c r="BD17" i="108"/>
  <c r="BB38" i="108"/>
  <c r="AZ39" i="108"/>
  <c r="BA49" i="121"/>
  <c r="BA23" i="121"/>
  <c r="BB56" i="121"/>
  <c r="BF48" i="121"/>
  <c r="BH43" i="121"/>
  <c r="BA54" i="121"/>
  <c r="BK16" i="121"/>
  <c r="BE18" i="121"/>
  <c r="BC27" i="121"/>
  <c r="AZ40" i="121"/>
  <c r="BF4" i="121"/>
  <c r="BE44" i="121"/>
  <c r="BK8" i="121"/>
  <c r="BD69" i="121"/>
  <c r="BF19" i="121"/>
  <c r="BA20" i="121"/>
  <c r="BA46" i="121"/>
  <c r="AZ9" i="121"/>
  <c r="BD63" i="121"/>
  <c r="BB16" i="121"/>
  <c r="BK57" i="121"/>
  <c r="BH37" i="121"/>
  <c r="BC30" i="121"/>
  <c r="BD51" i="121"/>
  <c r="BI21" i="121"/>
  <c r="BK15" i="121"/>
  <c r="BC51" i="121"/>
  <c r="BD3" i="121"/>
  <c r="BK66" i="121"/>
  <c r="BF59" i="121"/>
  <c r="BA48" i="121"/>
  <c r="BB18" i="121"/>
  <c r="BJ53" i="121"/>
  <c r="BJ39" i="121"/>
  <c r="BH24" i="121"/>
  <c r="BE64" i="121"/>
  <c r="BK38" i="121"/>
  <c r="BI43" i="121"/>
  <c r="AZ66" i="102"/>
  <c r="BJ13" i="121"/>
  <c r="BJ56" i="121"/>
  <c r="BA26" i="121"/>
  <c r="BJ41" i="121"/>
  <c r="BC67" i="121"/>
  <c r="BE48" i="121"/>
  <c r="BH54" i="121"/>
  <c r="BH63" i="121"/>
  <c r="BG55" i="121"/>
  <c r="BH15" i="121"/>
  <c r="BI57" i="121"/>
  <c r="BE46" i="121"/>
  <c r="BC66" i="121"/>
  <c r="AZ15" i="121"/>
  <c r="BI52" i="121"/>
  <c r="BA56" i="121"/>
  <c r="AZ43" i="121"/>
  <c r="BD78" i="121"/>
  <c r="BA11" i="121"/>
  <c r="BG42" i="121"/>
  <c r="BK34" i="121"/>
  <c r="BF45" i="121"/>
  <c r="BH66" i="121"/>
  <c r="AZ45" i="121"/>
  <c r="AZ59" i="121"/>
  <c r="BB71" i="121"/>
  <c r="BB70" i="121" s="1"/>
  <c r="BF54" i="121"/>
  <c r="BI14" i="121"/>
  <c r="BA39" i="121"/>
  <c r="BD43" i="121"/>
  <c r="BE34" i="121"/>
  <c r="BA36" i="121"/>
  <c r="BI48" i="121"/>
  <c r="BD39" i="121"/>
  <c r="BC29" i="121"/>
  <c r="AZ49" i="121"/>
  <c r="BH19" i="121"/>
  <c r="AZ10" i="121"/>
  <c r="BG57" i="121"/>
  <c r="BC55" i="121"/>
  <c r="BI8" i="121"/>
  <c r="BF15" i="121"/>
  <c r="BF28" i="121"/>
  <c r="BK73" i="121"/>
  <c r="BK72" i="121" s="1"/>
  <c r="BF37" i="121"/>
  <c r="BH61" i="121"/>
  <c r="AZ32" i="121"/>
  <c r="BA55" i="121"/>
  <c r="BC57" i="121"/>
  <c r="BD48" i="121"/>
  <c r="BE58" i="121"/>
  <c r="BD29" i="121"/>
  <c r="BD38" i="121"/>
  <c r="BE38" i="121"/>
  <c r="BH58" i="101"/>
  <c r="BI34" i="101"/>
  <c r="BF23" i="101"/>
  <c r="BG44" i="116"/>
  <c r="BB28" i="116"/>
  <c r="BF29" i="116"/>
  <c r="BE57" i="116"/>
  <c r="BG54" i="116"/>
  <c r="BC15" i="108"/>
  <c r="BB11" i="114"/>
  <c r="BC8" i="114"/>
  <c r="BD23" i="105"/>
  <c r="BB16" i="105"/>
  <c r="AZ19" i="105"/>
  <c r="BC29" i="105"/>
  <c r="BG36" i="105"/>
  <c r="BB34" i="105"/>
  <c r="BF35" i="105"/>
  <c r="BE51" i="105"/>
  <c r="BD61" i="105"/>
  <c r="BB36" i="107"/>
  <c r="BJ41" i="107"/>
  <c r="BI13" i="107"/>
  <c r="BC19" i="107"/>
  <c r="BF14" i="107"/>
  <c r="H17" i="418"/>
  <c r="BF44" i="107"/>
  <c r="AZ69" i="105"/>
  <c r="BE17" i="105"/>
  <c r="BF38" i="105"/>
  <c r="BG53" i="105"/>
  <c r="BJ18" i="105"/>
  <c r="BH73" i="105"/>
  <c r="BH72" i="105" s="1"/>
  <c r="BK39" i="105"/>
  <c r="BK36" i="116"/>
  <c r="BJ23" i="114"/>
  <c r="BJ23" i="112"/>
  <c r="AZ25" i="111"/>
  <c r="BK16" i="102"/>
  <c r="BI3" i="114"/>
  <c r="BE59" i="116"/>
  <c r="H23" i="418"/>
  <c r="BH58" i="114"/>
  <c r="AZ25" i="102"/>
  <c r="BJ13" i="114"/>
  <c r="BA42" i="114"/>
  <c r="BH44" i="116"/>
  <c r="BE51" i="116"/>
  <c r="BK32" i="116"/>
  <c r="BK69" i="116"/>
  <c r="BA45" i="116"/>
  <c r="BG40" i="102"/>
  <c r="BA73" i="114"/>
  <c r="BA72" i="114" s="1"/>
  <c r="BE38" i="114"/>
  <c r="BJ27" i="116"/>
  <c r="BD35" i="116"/>
  <c r="BI69" i="116"/>
  <c r="BD39" i="116"/>
  <c r="BI78" i="116"/>
  <c r="BC37" i="112"/>
  <c r="BG34" i="111"/>
  <c r="BJ46" i="102"/>
  <c r="BH66" i="114"/>
  <c r="BC24" i="114"/>
  <c r="BJ69" i="116"/>
  <c r="BF34" i="116"/>
  <c r="BB39" i="116"/>
  <c r="BJ26" i="116"/>
  <c r="BH46" i="116"/>
  <c r="BJ58" i="116"/>
  <c r="BK53" i="112"/>
  <c r="BH3" i="114"/>
  <c r="BI66" i="114"/>
  <c r="BC43" i="116"/>
  <c r="BJ56" i="116"/>
  <c r="BK23" i="102"/>
  <c r="BJ41" i="102"/>
  <c r="BD59" i="114"/>
  <c r="BD73" i="116"/>
  <c r="BD72" i="116" s="1"/>
  <c r="BB21" i="116"/>
  <c r="BF26" i="116"/>
  <c r="BK73" i="116"/>
  <c r="BK72" i="116" s="1"/>
  <c r="BD21" i="102"/>
  <c r="BE52" i="114"/>
  <c r="BE42" i="114"/>
  <c r="BK9" i="116"/>
  <c r="BK49" i="116"/>
  <c r="BI61" i="116"/>
  <c r="BD18" i="116"/>
  <c r="BF3" i="116"/>
  <c r="BD26" i="116"/>
  <c r="BG29" i="114"/>
  <c r="BK31" i="114"/>
  <c r="BK14" i="116"/>
  <c r="BG56" i="116"/>
  <c r="BC71" i="116"/>
  <c r="BC70" i="116" s="1"/>
  <c r="BH11" i="116"/>
  <c r="BC61" i="116"/>
  <c r="BD40" i="116"/>
  <c r="AZ4" i="114"/>
  <c r="BD46" i="114"/>
  <c r="AZ15" i="116"/>
  <c r="BB3" i="116"/>
  <c r="BC11" i="116"/>
  <c r="BJ14" i="116"/>
  <c r="BE25" i="116"/>
  <c r="H21" i="418"/>
  <c r="BK25" i="114"/>
  <c r="BK32" i="114"/>
  <c r="BK14" i="114"/>
  <c r="BJ69" i="114"/>
  <c r="BB8" i="114"/>
  <c r="BI63" i="114"/>
  <c r="BK56" i="114"/>
  <c r="BC49" i="116"/>
  <c r="BB63" i="116"/>
  <c r="BF19" i="116"/>
  <c r="BI43" i="116"/>
  <c r="BE66" i="116"/>
  <c r="BK28" i="116"/>
  <c r="BF78" i="116"/>
  <c r="BE15" i="116"/>
  <c r="BI25" i="116"/>
  <c r="BJ57" i="116"/>
  <c r="BI54" i="116"/>
  <c r="BC27" i="116"/>
  <c r="BB53" i="116"/>
  <c r="BH42" i="116"/>
  <c r="BA3" i="116"/>
  <c r="BH29" i="114"/>
  <c r="BI31" i="114"/>
  <c r="BH19" i="114"/>
  <c r="BG10" i="114"/>
  <c r="BK66" i="114"/>
  <c r="BK55" i="116"/>
  <c r="BI71" i="116"/>
  <c r="BI70" i="116" s="1"/>
  <c r="BA27" i="116"/>
  <c r="BI14" i="116"/>
  <c r="BF9" i="116"/>
  <c r="BC48" i="116"/>
  <c r="BC23" i="116"/>
  <c r="BD17" i="116"/>
  <c r="BI44" i="116"/>
  <c r="BF41" i="116"/>
  <c r="BF28" i="116"/>
  <c r="BD31" i="116"/>
  <c r="BK63" i="116"/>
  <c r="BG46" i="116"/>
  <c r="BK4" i="116"/>
  <c r="BH61" i="114"/>
  <c r="BC45" i="116"/>
  <c r="BK15" i="114"/>
  <c r="BA25" i="114"/>
  <c r="BH55" i="114"/>
  <c r="BC71" i="114"/>
  <c r="BC70" i="114" s="1"/>
  <c r="BC64" i="114"/>
  <c r="BH9" i="116"/>
  <c r="BK15" i="116"/>
  <c r="BC56" i="116"/>
  <c r="BB23" i="116"/>
  <c r="BG16" i="116"/>
  <c r="BD29" i="116"/>
  <c r="BF53" i="116"/>
  <c r="BC26" i="116"/>
  <c r="BC53" i="116"/>
  <c r="BI48" i="116"/>
  <c r="BI51" i="116"/>
  <c r="BB45" i="116"/>
  <c r="BD44" i="116"/>
  <c r="BC3" i="116"/>
  <c r="BH53" i="116"/>
  <c r="BI15" i="114"/>
  <c r="BH28" i="114"/>
  <c r="BF15" i="114"/>
  <c r="BE29" i="114"/>
  <c r="BE26" i="116"/>
  <c r="BE56" i="116"/>
  <c r="BI32" i="116"/>
  <c r="BI15" i="116"/>
  <c r="BC14" i="116"/>
  <c r="BH18" i="116"/>
  <c r="BI31" i="116"/>
  <c r="BB18" i="116"/>
  <c r="BI59" i="116"/>
  <c r="BJ55" i="116"/>
  <c r="BK57" i="116"/>
  <c r="BD61" i="116"/>
  <c r="BB30" i="116"/>
  <c r="BB73" i="116"/>
  <c r="BB72" i="116" s="1"/>
  <c r="BJ52" i="116"/>
  <c r="BB71" i="114"/>
  <c r="BB70" i="114" s="1"/>
  <c r="BD10" i="114"/>
  <c r="BJ25" i="114"/>
  <c r="BJ24" i="114"/>
  <c r="BI41" i="116"/>
  <c r="BJ51" i="116"/>
  <c r="BA64" i="116"/>
  <c r="BF24" i="116"/>
  <c r="BH36" i="116"/>
  <c r="BH58" i="116"/>
  <c r="BG53" i="116"/>
  <c r="BF18" i="116"/>
  <c r="BJ31" i="116"/>
  <c r="BD52" i="116"/>
  <c r="BF64" i="116"/>
  <c r="AZ24" i="116"/>
  <c r="BH38" i="116"/>
  <c r="BF23" i="116"/>
  <c r="BG19" i="116"/>
  <c r="AZ57" i="114"/>
  <c r="BK53" i="114"/>
  <c r="BD69" i="114"/>
  <c r="AZ32" i="114"/>
  <c r="BI52" i="114"/>
  <c r="AZ11" i="114"/>
  <c r="BI34" i="116"/>
  <c r="BD21" i="116"/>
  <c r="BG18" i="116"/>
  <c r="BB20" i="116"/>
  <c r="BH54" i="116"/>
  <c r="BD55" i="116"/>
  <c r="BI49" i="116"/>
  <c r="BI11" i="116"/>
  <c r="BC19" i="116"/>
  <c r="BD59" i="116"/>
  <c r="BE52" i="116"/>
  <c r="BK53" i="116"/>
  <c r="BH45" i="116"/>
  <c r="BI45" i="116"/>
  <c r="BE9" i="116"/>
  <c r="BE4" i="116"/>
  <c r="AZ32" i="116"/>
  <c r="BB67" i="116"/>
  <c r="BC20" i="116"/>
  <c r="BB18" i="110"/>
  <c r="BE11" i="110"/>
  <c r="BA71" i="110"/>
  <c r="BA70" i="110" s="1"/>
  <c r="BA28" i="110"/>
  <c r="BC25" i="110"/>
  <c r="BB51" i="110"/>
  <c r="BF29" i="110"/>
  <c r="AZ58" i="110"/>
  <c r="BD10" i="110"/>
  <c r="BG24" i="110"/>
  <c r="BI24" i="110"/>
  <c r="BG14" i="110"/>
  <c r="BE10" i="110"/>
  <c r="BC8" i="110"/>
  <c r="BC61" i="110"/>
  <c r="BJ35" i="110"/>
  <c r="BJ51" i="110"/>
  <c r="BG19" i="110"/>
  <c r="BG46" i="110"/>
  <c r="BC49" i="110"/>
  <c r="BB25" i="110"/>
  <c r="BF24" i="110"/>
  <c r="BH17" i="110"/>
  <c r="BE53" i="110"/>
  <c r="BE61" i="110"/>
  <c r="AZ11" i="110"/>
  <c r="AZ9" i="110"/>
  <c r="BB31" i="110"/>
  <c r="BH67" i="110"/>
  <c r="AZ26" i="110"/>
  <c r="AZ52" i="110"/>
  <c r="BB9" i="110"/>
  <c r="BG64" i="110"/>
  <c r="BH66" i="110"/>
  <c r="BH55" i="110"/>
  <c r="BB53" i="110"/>
  <c r="BE57" i="110"/>
  <c r="BK21" i="110"/>
  <c r="BA59" i="110"/>
  <c r="BA37" i="110"/>
  <c r="BI9" i="110"/>
  <c r="BD42" i="101"/>
  <c r="AZ63" i="101"/>
  <c r="BF42" i="101"/>
  <c r="BD39" i="101"/>
  <c r="BB18" i="101"/>
  <c r="BD51" i="101"/>
  <c r="BH15" i="101"/>
  <c r="BC53" i="101"/>
  <c r="AZ38" i="110"/>
  <c r="BJ43" i="110"/>
  <c r="BI23" i="110"/>
  <c r="BE15" i="110"/>
  <c r="BK61" i="110"/>
  <c r="BB52" i="110"/>
  <c r="BA27" i="110"/>
  <c r="BA52" i="110"/>
  <c r="BC21" i="110"/>
  <c r="BI64" i="110"/>
  <c r="BA14" i="110"/>
  <c r="BD25" i="110"/>
  <c r="BF28" i="110"/>
  <c r="AZ25" i="110"/>
  <c r="BB14" i="110"/>
  <c r="BJ8" i="110"/>
  <c r="AZ10" i="110"/>
  <c r="BD45" i="110"/>
  <c r="BA58" i="110"/>
  <c r="BF19" i="110"/>
  <c r="BC53" i="110"/>
  <c r="BH73" i="110"/>
  <c r="BH72" i="110" s="1"/>
  <c r="BC30" i="110"/>
  <c r="BJ26" i="110"/>
  <c r="BF11" i="110"/>
  <c r="BC59" i="110"/>
  <c r="BI55" i="110"/>
  <c r="BI17" i="110"/>
  <c r="BA13" i="110"/>
  <c r="BE35" i="110"/>
  <c r="AZ59" i="110"/>
  <c r="BH61" i="110"/>
  <c r="BC58" i="110"/>
  <c r="BF10" i="110"/>
  <c r="BE13" i="110"/>
  <c r="BH39" i="110"/>
  <c r="AZ57" i="110"/>
  <c r="BK54" i="110"/>
  <c r="BF64" i="110"/>
  <c r="BH24" i="110"/>
  <c r="BG57" i="110"/>
  <c r="BI48" i="110"/>
  <c r="BK23" i="101"/>
  <c r="BD71" i="101"/>
  <c r="BD70" i="101" s="1"/>
  <c r="BG49" i="101"/>
  <c r="BB56" i="101"/>
  <c r="BA15" i="101"/>
  <c r="BD69" i="101"/>
  <c r="BF59" i="101"/>
  <c r="BE54" i="101"/>
  <c r="BJ21" i="101"/>
  <c r="AZ19" i="110"/>
  <c r="BG51" i="110"/>
  <c r="BD15" i="110"/>
  <c r="BH10" i="110"/>
  <c r="BF30" i="110"/>
  <c r="BD34" i="110"/>
  <c r="BJ54" i="110"/>
  <c r="AZ24" i="110"/>
  <c r="BE58" i="110"/>
  <c r="BK19" i="110"/>
  <c r="BB27" i="110"/>
  <c r="BA31" i="110"/>
  <c r="BB71" i="110"/>
  <c r="BB70" i="110" s="1"/>
  <c r="BJ16" i="110"/>
  <c r="BH9" i="110"/>
  <c r="BD13" i="110"/>
  <c r="AZ78" i="110"/>
  <c r="BA3" i="110"/>
  <c r="BD23" i="110"/>
  <c r="BI58" i="110"/>
  <c r="BD66" i="110"/>
  <c r="BE54" i="110"/>
  <c r="BC29" i="110"/>
  <c r="J18" i="418"/>
  <c r="BK67" i="110"/>
  <c r="BD67" i="110"/>
  <c r="BG52" i="110"/>
  <c r="BI67" i="110"/>
  <c r="BI15" i="110"/>
  <c r="BD35" i="110"/>
  <c r="BC9" i="110"/>
  <c r="AZ53" i="110"/>
  <c r="BI69" i="110"/>
  <c r="BJ11" i="110"/>
  <c r="BF16" i="110"/>
  <c r="BE37" i="110"/>
  <c r="BG71" i="110"/>
  <c r="BG70" i="110" s="1"/>
  <c r="BK66" i="110"/>
  <c r="BD73" i="110"/>
  <c r="BD72" i="110" s="1"/>
  <c r="BD27" i="110"/>
  <c r="BC66" i="110"/>
  <c r="BI57" i="110"/>
  <c r="V15" i="122"/>
  <c r="BG44" i="101"/>
  <c r="AZ56" i="101"/>
  <c r="BE37" i="101"/>
  <c r="BB16" i="101"/>
  <c r="BF8" i="101"/>
  <c r="BA73" i="101"/>
  <c r="BA72" i="101" s="1"/>
  <c r="BD52" i="101"/>
  <c r="BC32" i="101"/>
  <c r="BJ14" i="101"/>
  <c r="BD57" i="110"/>
  <c r="BI32" i="110"/>
  <c r="BG15" i="110"/>
  <c r="BK15" i="110"/>
  <c r="BE14" i="110"/>
  <c r="AZ71" i="110"/>
  <c r="AZ70" i="110" s="1"/>
  <c r="BC55" i="110"/>
  <c r="BC63" i="110"/>
  <c r="BD26" i="110"/>
  <c r="BD56" i="110"/>
  <c r="BF55" i="110"/>
  <c r="BD30" i="110"/>
  <c r="AZ31" i="110"/>
  <c r="AZ64" i="110"/>
  <c r="BC24" i="110"/>
  <c r="BI13" i="110"/>
  <c r="BK13" i="110"/>
  <c r="BG35" i="110"/>
  <c r="AZ51" i="110"/>
  <c r="BA26" i="110"/>
  <c r="BH58" i="110"/>
  <c r="BF14" i="110"/>
  <c r="AZ34" i="110"/>
  <c r="BF37" i="110"/>
  <c r="BB40" i="110"/>
  <c r="BC67" i="110"/>
  <c r="BK58" i="110"/>
  <c r="BD61" i="110"/>
  <c r="BB23" i="110"/>
  <c r="BF38" i="110"/>
  <c r="BG10" i="110"/>
  <c r="BC45" i="110"/>
  <c r="BE9" i="110"/>
  <c r="BB15" i="110"/>
  <c r="BE16" i="110"/>
  <c r="BA10" i="110"/>
  <c r="AZ14" i="110"/>
  <c r="BJ3" i="110"/>
  <c r="BC27" i="110"/>
  <c r="BE4" i="110"/>
  <c r="BE3" i="110"/>
  <c r="BK27" i="101"/>
  <c r="BG61" i="101"/>
  <c r="BK63" i="101"/>
  <c r="BD37" i="101"/>
  <c r="BC8" i="101"/>
  <c r="BK19" i="101"/>
  <c r="BJ18" i="101"/>
  <c r="BC61" i="101"/>
  <c r="AZ9" i="101"/>
  <c r="BB56" i="110"/>
  <c r="BG4" i="110"/>
  <c r="BB30" i="110"/>
  <c r="BE18" i="110"/>
  <c r="BD14" i="110"/>
  <c r="BA18" i="110"/>
  <c r="BA54" i="110"/>
  <c r="BB73" i="110"/>
  <c r="BB72" i="110" s="1"/>
  <c r="BK26" i="110"/>
  <c r="BK64" i="110"/>
  <c r="BH34" i="110"/>
  <c r="BB38" i="110"/>
  <c r="BF34" i="110"/>
  <c r="BJ18" i="110"/>
  <c r="BJ67" i="110"/>
  <c r="BD69" i="110"/>
  <c r="BB16" i="110"/>
  <c r="BK14" i="110"/>
  <c r="BD39" i="110"/>
  <c r="BH28" i="110"/>
  <c r="AZ32" i="110"/>
  <c r="BD64" i="110"/>
  <c r="BF17" i="110"/>
  <c r="AZ27" i="110"/>
  <c r="BH3" i="110"/>
  <c r="BC4" i="110"/>
  <c r="BA66" i="110"/>
  <c r="BG61" i="110"/>
  <c r="BB66" i="110"/>
  <c r="BJ41" i="110"/>
  <c r="BK11" i="110"/>
  <c r="BA40" i="110"/>
  <c r="BA73" i="110"/>
  <c r="BA72" i="110" s="1"/>
  <c r="BJ17" i="110"/>
  <c r="BD16" i="110"/>
  <c r="BC51" i="110"/>
  <c r="BB55" i="110"/>
  <c r="BG13" i="110"/>
  <c r="BK10" i="110"/>
  <c r="BD29" i="110"/>
  <c r="BC19" i="110"/>
  <c r="BI27" i="101"/>
  <c r="BA51" i="101"/>
  <c r="BH43" i="101"/>
  <c r="BD23" i="101"/>
  <c r="BC69" i="101"/>
  <c r="BA61" i="101"/>
  <c r="BG36" i="101"/>
  <c r="AZ73" i="101"/>
  <c r="AZ72" i="101" s="1"/>
  <c r="BG21" i="110"/>
  <c r="BB48" i="110"/>
  <c r="BK23" i="110"/>
  <c r="BC15" i="110"/>
  <c r="BH19" i="110"/>
  <c r="BD46" i="110"/>
  <c r="BJ10" i="110"/>
  <c r="BC28" i="110"/>
  <c r="BF3" i="110"/>
  <c r="BH27" i="110"/>
  <c r="BA61" i="110"/>
  <c r="BC38" i="110"/>
  <c r="AZ17" i="110"/>
  <c r="BG3" i="110"/>
  <c r="BG63" i="110"/>
  <c r="BJ23" i="110"/>
  <c r="BC17" i="110"/>
  <c r="BF42" i="110"/>
  <c r="BB69" i="110"/>
  <c r="BG56" i="110"/>
  <c r="BK3" i="110"/>
  <c r="BE17" i="110"/>
  <c r="BI19" i="110"/>
  <c r="AZ3" i="110"/>
  <c r="AZ8" i="110"/>
  <c r="AZ66" i="110"/>
  <c r="BE69" i="110"/>
  <c r="AZ42" i="110"/>
  <c r="BE49" i="110"/>
  <c r="BJ13" i="110"/>
  <c r="BK43" i="110"/>
  <c r="BE66" i="110"/>
  <c r="BA25" i="110"/>
  <c r="BE19" i="110"/>
  <c r="BG27" i="110"/>
  <c r="AZ43" i="110"/>
  <c r="BF49" i="110"/>
  <c r="BJ59" i="110"/>
  <c r="BA17" i="110"/>
  <c r="BE34" i="110"/>
  <c r="BA8" i="110"/>
  <c r="BF15" i="101"/>
  <c r="BJ69" i="101"/>
  <c r="BB49" i="101"/>
  <c r="BH48" i="101"/>
  <c r="BI26" i="101"/>
  <c r="BA49" i="101"/>
  <c r="BK71" i="101"/>
  <c r="BK70" i="101" s="1"/>
  <c r="BG56" i="105"/>
  <c r="AZ9" i="105"/>
  <c r="AZ28" i="105"/>
  <c r="BG23" i="105"/>
  <c r="BI26" i="105"/>
  <c r="BA38" i="105"/>
  <c r="BF78" i="105"/>
  <c r="BJ42" i="105"/>
  <c r="BG42" i="105"/>
  <c r="BA46" i="105"/>
  <c r="BH43" i="105"/>
  <c r="BA14" i="105"/>
  <c r="BK18" i="105"/>
  <c r="BG63" i="105"/>
  <c r="BJ30" i="105"/>
  <c r="BC43" i="105"/>
  <c r="BE66" i="105"/>
  <c r="BG73" i="105"/>
  <c r="BG72" i="105" s="1"/>
  <c r="BD9" i="105"/>
  <c r="BI11" i="105"/>
  <c r="BI21" i="105"/>
  <c r="BD27" i="105"/>
  <c r="BF26" i="105"/>
  <c r="AZ27" i="105"/>
  <c r="BC32" i="105"/>
  <c r="BH20" i="105"/>
  <c r="BG19" i="105"/>
  <c r="BF56" i="105"/>
  <c r="BD24" i="105"/>
  <c r="BE55" i="108"/>
  <c r="AZ40" i="105"/>
  <c r="BJ57" i="105"/>
  <c r="BJ63" i="105"/>
  <c r="BH71" i="105"/>
  <c r="BH70" i="105" s="1"/>
  <c r="AZ8" i="105"/>
  <c r="BJ14" i="105"/>
  <c r="BB18" i="105"/>
  <c r="BA20" i="105"/>
  <c r="AZ20" i="105"/>
  <c r="BD26" i="105"/>
  <c r="BD48" i="105"/>
  <c r="BD58" i="108"/>
  <c r="BG39" i="105"/>
  <c r="BD19" i="105"/>
  <c r="BG59" i="105"/>
  <c r="BI30" i="105"/>
  <c r="BA10" i="105"/>
  <c r="BB46" i="108"/>
  <c r="BA34" i="105"/>
  <c r="AZ53" i="105"/>
  <c r="BC54" i="105"/>
  <c r="BH58" i="105"/>
  <c r="BH69" i="105"/>
  <c r="BH8" i="105"/>
  <c r="BH10" i="105"/>
  <c r="BD13" i="105"/>
  <c r="BG14" i="105"/>
  <c r="BJ17" i="105"/>
  <c r="BG25" i="105"/>
  <c r="BB57" i="105"/>
  <c r="BH25" i="105"/>
  <c r="BF67" i="105"/>
  <c r="BC18" i="105"/>
  <c r="BJ14" i="108"/>
  <c r="BJ27" i="105"/>
  <c r="BC44" i="105"/>
  <c r="BB45" i="105"/>
  <c r="BF49" i="105"/>
  <c r="BE58" i="105"/>
  <c r="BG69" i="105"/>
  <c r="BE71" i="105"/>
  <c r="BE70" i="105" s="1"/>
  <c r="BB73" i="105"/>
  <c r="BB72" i="105" s="1"/>
  <c r="BF4" i="105"/>
  <c r="BD11" i="105"/>
  <c r="BF51" i="105"/>
  <c r="BK18" i="108"/>
  <c r="BC61" i="105"/>
  <c r="AZ78" i="105"/>
  <c r="BJ4" i="105"/>
  <c r="BI24" i="105"/>
  <c r="BJ71" i="105"/>
  <c r="BJ70" i="105" s="1"/>
  <c r="AZ21" i="105"/>
  <c r="AZ41" i="105"/>
  <c r="BC38" i="105"/>
  <c r="BC42" i="105"/>
  <c r="BA51" i="105"/>
  <c r="BD58" i="105"/>
  <c r="BC58" i="105"/>
  <c r="AZ59" i="105"/>
  <c r="BB63" i="105"/>
  <c r="BJ73" i="105"/>
  <c r="BJ72" i="105" s="1"/>
  <c r="BK41" i="105"/>
  <c r="BI69" i="105"/>
  <c r="BF13" i="105"/>
  <c r="BH24" i="105"/>
  <c r="BK29" i="105"/>
  <c r="BH63" i="105"/>
  <c r="BK14" i="105"/>
  <c r="BA35" i="105"/>
  <c r="BI31" i="105"/>
  <c r="BE34" i="105"/>
  <c r="BE43" i="105"/>
  <c r="AZ51" i="105"/>
  <c r="BC49" i="105"/>
  <c r="BH51" i="105"/>
  <c r="BE54" i="105"/>
  <c r="BJ39" i="105"/>
  <c r="BH16" i="105"/>
  <c r="BI42" i="105"/>
  <c r="BG24" i="105"/>
  <c r="BK40" i="111"/>
  <c r="BE9" i="114"/>
  <c r="BI73" i="114"/>
  <c r="BI72" i="114" s="1"/>
  <c r="BA17" i="114"/>
  <c r="AZ39" i="114"/>
  <c r="BA71" i="114"/>
  <c r="BA70" i="114" s="1"/>
  <c r="BE73" i="114"/>
  <c r="BE72" i="114" s="1"/>
  <c r="BJ31" i="114"/>
  <c r="BK3" i="114"/>
  <c r="BI14" i="114"/>
  <c r="BJ49" i="114"/>
  <c r="BC40" i="114"/>
  <c r="BI57" i="114"/>
  <c r="AZ49" i="114"/>
  <c r="AZ21" i="114"/>
  <c r="BD64" i="114"/>
  <c r="BH57" i="114"/>
  <c r="BD73" i="114"/>
  <c r="BD72" i="114" s="1"/>
  <c r="AZ63" i="114"/>
  <c r="BF16" i="114"/>
  <c r="BC44" i="114"/>
  <c r="BK71" i="114"/>
  <c r="BK70" i="114" s="1"/>
  <c r="BI16" i="114"/>
  <c r="BJ26" i="114"/>
  <c r="BE69" i="114"/>
  <c r="BF63" i="114"/>
  <c r="BH41" i="114"/>
  <c r="AZ14" i="114"/>
  <c r="BG51" i="114"/>
  <c r="BA27" i="114"/>
  <c r="BF48" i="114"/>
  <c r="BA49" i="114"/>
  <c r="BF20" i="114"/>
  <c r="BJ63" i="114"/>
  <c r="BJ35" i="114"/>
  <c r="BJ11" i="114"/>
  <c r="BI23" i="116"/>
  <c r="BK11" i="116"/>
  <c r="BI73" i="116"/>
  <c r="BI72" i="116" s="1"/>
  <c r="BI19" i="116"/>
  <c r="BK3" i="116"/>
  <c r="BF37" i="116"/>
  <c r="BD37" i="116"/>
  <c r="BI21" i="116"/>
  <c r="BK67" i="116"/>
  <c r="BK44" i="116"/>
  <c r="BC38" i="116"/>
  <c r="BE36" i="116"/>
  <c r="BC31" i="116"/>
  <c r="BC16" i="116"/>
  <c r="BC54" i="116"/>
  <c r="BB32" i="116"/>
  <c r="BC17" i="116"/>
  <c r="BK18" i="116"/>
  <c r="BC51" i="116"/>
  <c r="BH52" i="116"/>
  <c r="BH67" i="116"/>
  <c r="BB51" i="116"/>
  <c r="BH17" i="116"/>
  <c r="BJ19" i="116"/>
  <c r="BK61" i="116"/>
  <c r="BJ48" i="116"/>
  <c r="BH27" i="116"/>
  <c r="AZ78" i="116"/>
  <c r="AZ17" i="116"/>
  <c r="BD11" i="116"/>
  <c r="BK66" i="116"/>
  <c r="AZ38" i="116"/>
  <c r="BE14" i="116"/>
  <c r="BA69" i="116"/>
  <c r="BB64" i="116"/>
  <c r="BF44" i="116"/>
  <c r="BJ40" i="116"/>
  <c r="BE45" i="116"/>
  <c r="AZ57" i="116"/>
  <c r="BH66" i="116"/>
  <c r="BI67" i="116"/>
  <c r="BI40" i="116"/>
  <c r="AZ31" i="116"/>
  <c r="BH10" i="116"/>
  <c r="BK51" i="116"/>
  <c r="AZ66" i="116"/>
  <c r="BB59" i="116"/>
  <c r="BH71" i="116"/>
  <c r="BH70" i="116" s="1"/>
  <c r="BI17" i="116"/>
  <c r="BE61" i="116"/>
  <c r="BB44" i="116"/>
  <c r="BA52" i="116"/>
  <c r="BD30" i="116"/>
  <c r="BJ15" i="116"/>
  <c r="BH29" i="116"/>
  <c r="BH19" i="116"/>
  <c r="BK52" i="116"/>
  <c r="BF31" i="116"/>
  <c r="BE58" i="116"/>
  <c r="BE49" i="116"/>
  <c r="BJ10" i="116"/>
  <c r="BJ53" i="116"/>
  <c r="BA35" i="116"/>
  <c r="BD23" i="116"/>
  <c r="BG29" i="116"/>
  <c r="BC24" i="116"/>
  <c r="BI46" i="116"/>
  <c r="BH48" i="116"/>
  <c r="AZ26" i="116"/>
  <c r="BA13" i="116"/>
  <c r="BC57" i="116"/>
  <c r="BK71" i="116"/>
  <c r="BK70" i="116" s="1"/>
  <c r="BA46" i="116"/>
  <c r="BB42" i="116"/>
  <c r="BF27" i="116"/>
  <c r="BD67" i="116"/>
  <c r="BC78" i="116"/>
  <c r="BG52" i="116"/>
  <c r="BE35" i="116"/>
  <c r="BG10" i="116"/>
  <c r="BC66" i="116"/>
  <c r="BG11" i="116"/>
  <c r="BF48" i="116"/>
  <c r="BG35" i="116"/>
  <c r="AZ14" i="116"/>
  <c r="BA41" i="116"/>
  <c r="BD58" i="116"/>
  <c r="BA58" i="116"/>
  <c r="BG37" i="116"/>
  <c r="BD49" i="116"/>
  <c r="BJ3" i="116"/>
  <c r="BA10" i="116"/>
  <c r="BH57" i="116"/>
  <c r="BA30" i="116"/>
  <c r="BG30" i="116"/>
  <c r="BC8" i="116"/>
  <c r="BG59" i="116"/>
  <c r="BG45" i="116"/>
  <c r="BC37" i="116"/>
  <c r="BJ29" i="116"/>
  <c r="BD25" i="116"/>
  <c r="BA28" i="116"/>
  <c r="BB46" i="116"/>
  <c r="BK26" i="116"/>
  <c r="BE63" i="116"/>
  <c r="BB16" i="116"/>
  <c r="BF58" i="116"/>
  <c r="BE48" i="116"/>
  <c r="BI58" i="116"/>
  <c r="BE30" i="116"/>
  <c r="BH24" i="116"/>
  <c r="AZ61" i="116"/>
  <c r="BK24" i="116"/>
  <c r="BG21" i="116"/>
  <c r="BK39" i="116"/>
  <c r="BA17" i="116"/>
  <c r="BB55" i="116"/>
  <c r="BA43" i="116"/>
  <c r="BA51" i="116"/>
  <c r="AZ58" i="116"/>
  <c r="BA25" i="116"/>
  <c r="BA11" i="116"/>
  <c r="BG13" i="116"/>
  <c r="BC55" i="116"/>
  <c r="BB9" i="116"/>
  <c r="BA29" i="116"/>
  <c r="BI24" i="116"/>
  <c r="BD10" i="116"/>
  <c r="BI3" i="116"/>
  <c r="BA78" i="116"/>
  <c r="BK29" i="116"/>
  <c r="BH4" i="116"/>
  <c r="AZ28" i="116"/>
  <c r="BE41" i="116"/>
  <c r="BI53" i="116"/>
  <c r="AZ16" i="116"/>
  <c r="BK37" i="116"/>
  <c r="BB19" i="116"/>
  <c r="BF14" i="116"/>
  <c r="BD69" i="116"/>
  <c r="BD57" i="116"/>
  <c r="AZ29" i="116"/>
  <c r="BC29" i="116"/>
  <c r="BA48" i="116"/>
  <c r="BJ25" i="116"/>
  <c r="BD9" i="116"/>
  <c r="BB29" i="116"/>
  <c r="BF36" i="116"/>
  <c r="BE13" i="116"/>
  <c r="BI18" i="116"/>
  <c r="BH37" i="116"/>
  <c r="BF15" i="116"/>
  <c r="BA20" i="116"/>
  <c r="BH51" i="116"/>
  <c r="BD45" i="116"/>
  <c r="BH32" i="116"/>
  <c r="BD36" i="116"/>
  <c r="BI57" i="116"/>
  <c r="BD42" i="116"/>
  <c r="BF38" i="116"/>
  <c r="BJ34" i="116"/>
  <c r="BC39" i="116"/>
  <c r="BJ64" i="116"/>
  <c r="BH73" i="116"/>
  <c r="BH72" i="116" s="1"/>
  <c r="AZ37" i="116"/>
  <c r="BK58" i="116"/>
  <c r="BG4" i="116"/>
  <c r="BC25" i="116"/>
  <c r="BE28" i="116"/>
  <c r="BF55" i="116"/>
  <c r="BG17" i="116"/>
  <c r="BI64" i="116"/>
  <c r="BH35" i="116"/>
  <c r="BE32" i="116"/>
  <c r="BA57" i="116"/>
  <c r="BG78" i="116"/>
  <c r="BI55" i="116"/>
  <c r="BA39" i="116"/>
  <c r="BI20" i="116"/>
  <c r="BG20" i="116"/>
  <c r="BG23" i="116"/>
  <c r="BE3" i="116"/>
  <c r="BF54" i="116"/>
  <c r="BH34" i="116"/>
  <c r="BA16" i="116"/>
  <c r="BE10" i="116"/>
  <c r="BE69" i="116"/>
  <c r="BH40" i="116"/>
  <c r="BG32" i="116"/>
  <c r="BB4" i="116"/>
  <c r="BE34" i="116"/>
  <c r="BF16" i="116"/>
  <c r="BG71" i="116"/>
  <c r="BG70" i="116" s="1"/>
  <c r="BJ59" i="116"/>
  <c r="AZ27" i="116"/>
  <c r="BF43" i="116"/>
  <c r="BJ71" i="116"/>
  <c r="BJ70" i="116" s="1"/>
  <c r="BB13" i="116"/>
  <c r="BF40" i="116"/>
  <c r="BH39" i="116"/>
  <c r="BG67" i="116"/>
  <c r="BK48" i="116"/>
  <c r="BK40" i="116"/>
  <c r="AZ39" i="116"/>
  <c r="BG57" i="116"/>
  <c r="BE54" i="116"/>
  <c r="BJ41" i="116"/>
  <c r="BA67" i="116"/>
  <c r="BC59" i="116"/>
  <c r="BA49" i="116"/>
  <c r="BC40" i="116"/>
  <c r="BH20" i="116"/>
  <c r="BA55" i="116"/>
  <c r="BH30" i="116"/>
  <c r="BD8" i="116"/>
  <c r="BA19" i="116"/>
  <c r="BG9" i="116"/>
  <c r="BI16" i="116"/>
  <c r="BG58" i="116"/>
  <c r="BC34" i="116"/>
  <c r="BJ17" i="116"/>
  <c r="BK59" i="116"/>
  <c r="BG51" i="116"/>
  <c r="BK34" i="116"/>
  <c r="BG28" i="116"/>
  <c r="BG42" i="116"/>
  <c r="BK19" i="116"/>
  <c r="BE73" i="116"/>
  <c r="BE72" i="116" s="1"/>
  <c r="BF25" i="116"/>
  <c r="BE21" i="116"/>
  <c r="BE29" i="116"/>
  <c r="AZ20" i="116"/>
  <c r="AZ46" i="116"/>
  <c r="BD63" i="116"/>
  <c r="BB17" i="116"/>
  <c r="BJ54" i="116"/>
  <c r="BG64" i="116"/>
  <c r="BD54" i="116"/>
  <c r="BK43" i="116"/>
  <c r="BE44" i="116"/>
  <c r="BI37" i="116"/>
  <c r="BA63" i="116"/>
  <c r="BJ73" i="116"/>
  <c r="BJ72" i="116" s="1"/>
  <c r="BJ11" i="116"/>
  <c r="BH14" i="116"/>
  <c r="AZ40" i="116"/>
  <c r="BF45" i="116"/>
  <c r="BJ13" i="116"/>
  <c r="BE19" i="116"/>
  <c r="BA18" i="116"/>
  <c r="BF71" i="116"/>
  <c r="BF70" i="116" s="1"/>
  <c r="BD32" i="116"/>
  <c r="BD51" i="116"/>
  <c r="BI36" i="116"/>
  <c r="BG15" i="116"/>
  <c r="BH55" i="116"/>
  <c r="BE39" i="116"/>
  <c r="BB49" i="116"/>
  <c r="AZ43" i="116"/>
  <c r="BB14" i="116"/>
  <c r="BD13" i="116"/>
  <c r="BD3" i="116"/>
  <c r="BE55" i="116"/>
  <c r="BH63" i="116"/>
  <c r="BD38" i="116"/>
  <c r="BF73" i="116"/>
  <c r="BF72" i="116" s="1"/>
  <c r="BJ37" i="116"/>
  <c r="BD27" i="116"/>
  <c r="BF51" i="116"/>
  <c r="BI35" i="116"/>
  <c r="AZ18" i="116"/>
  <c r="BE20" i="116"/>
  <c r="BJ43" i="116"/>
  <c r="BA31" i="116"/>
  <c r="BE23" i="116"/>
  <c r="BD19" i="116"/>
  <c r="BI63" i="116"/>
  <c r="BA37" i="116"/>
  <c r="BD24" i="116"/>
  <c r="AZ48" i="116"/>
  <c r="BC42" i="116"/>
  <c r="BE42" i="116"/>
  <c r="BH21" i="116"/>
  <c r="BH15" i="116"/>
  <c r="BD66" i="116"/>
  <c r="BH13" i="116"/>
  <c r="BK54" i="116"/>
  <c r="AZ67" i="116"/>
  <c r="BD56" i="116"/>
  <c r="BA66" i="116"/>
  <c r="BK41" i="116"/>
  <c r="BD15" i="116"/>
  <c r="BE67" i="116"/>
  <c r="BK42" i="116"/>
  <c r="BA24" i="116"/>
  <c r="BB15" i="116"/>
  <c r="BE11" i="116"/>
  <c r="BF49" i="116"/>
  <c r="BG66" i="116"/>
  <c r="BJ20" i="116"/>
  <c r="BJ4" i="116"/>
  <c r="BJ67" i="116"/>
  <c r="BJ9" i="116"/>
  <c r="BA23" i="116"/>
  <c r="BI29" i="116"/>
  <c r="BD14" i="116"/>
  <c r="BJ66" i="116"/>
  <c r="BG38" i="116"/>
  <c r="BF17" i="116"/>
  <c r="BA38" i="116"/>
  <c r="BF30" i="116"/>
  <c r="BJ32" i="116"/>
  <c r="BK17" i="116"/>
  <c r="BE43" i="116"/>
  <c r="BC30" i="116"/>
  <c r="AZ25" i="116"/>
  <c r="BH61" i="116"/>
  <c r="BJ23" i="116"/>
  <c r="BI52" i="116"/>
  <c r="BC64" i="116"/>
  <c r="BE71" i="116"/>
  <c r="BE70" i="116" s="1"/>
  <c r="BH64" i="116"/>
  <c r="BK46" i="116"/>
  <c r="AZ9" i="116"/>
  <c r="BC32" i="116"/>
  <c r="AZ54" i="116"/>
  <c r="BJ63" i="116"/>
  <c r="BJ16" i="116"/>
  <c r="BI8" i="116"/>
  <c r="BF32" i="116"/>
  <c r="BG27" i="116"/>
  <c r="BJ61" i="116"/>
  <c r="BF67" i="116"/>
  <c r="AZ41" i="116"/>
  <c r="BI38" i="116"/>
  <c r="BD43" i="116"/>
  <c r="AZ59" i="116"/>
  <c r="BE78" i="116"/>
  <c r="BK21" i="116"/>
  <c r="BA34" i="116"/>
  <c r="BE27" i="116"/>
  <c r="BK30" i="116"/>
  <c r="BF69" i="116"/>
  <c r="BI26" i="116"/>
  <c r="BH59" i="116"/>
  <c r="BB54" i="116"/>
  <c r="BG26" i="116"/>
  <c r="AZ36" i="116"/>
  <c r="BB35" i="116"/>
  <c r="BB52" i="116"/>
  <c r="BA21" i="116"/>
  <c r="BJ21" i="116"/>
  <c r="BC36" i="116"/>
  <c r="BJ24" i="116"/>
  <c r="BA9" i="116"/>
  <c r="BE40" i="116"/>
  <c r="BE18" i="116"/>
  <c r="BH28" i="116"/>
  <c r="AZ42" i="116"/>
  <c r="BD28" i="116"/>
  <c r="BI4" i="116"/>
  <c r="BI42" i="116"/>
  <c r="BK10" i="116"/>
  <c r="BG8" i="116"/>
  <c r="BA53" i="116"/>
  <c r="BJ44" i="116"/>
  <c r="BC41" i="116"/>
  <c r="AZ21" i="116"/>
  <c r="AZ30" i="116"/>
  <c r="BG48" i="116"/>
  <c r="BC44" i="116"/>
  <c r="BG31" i="116"/>
  <c r="BB41" i="116"/>
  <c r="BB8" i="116"/>
  <c r="BF57" i="116"/>
  <c r="BA42" i="116"/>
  <c r="AZ35" i="116"/>
  <c r="BC67" i="116"/>
  <c r="BE16" i="116"/>
  <c r="AZ69" i="116"/>
  <c r="BC21" i="116"/>
  <c r="AZ63" i="116"/>
  <c r="BC73" i="116"/>
  <c r="BC72" i="116" s="1"/>
  <c r="BC10" i="116"/>
  <c r="BI10" i="116"/>
  <c r="BF39" i="116"/>
  <c r="BG24" i="116"/>
  <c r="BJ49" i="116"/>
  <c r="AZ10" i="116"/>
  <c r="BB43" i="116"/>
  <c r="BJ30" i="116"/>
  <c r="BI27" i="116"/>
  <c r="BB57" i="116"/>
  <c r="BK45" i="116"/>
  <c r="BF61" i="116"/>
  <c r="BH8" i="116"/>
  <c r="BC28" i="116"/>
  <c r="BK31" i="116"/>
  <c r="BF10" i="116"/>
  <c r="BA61" i="116"/>
  <c r="BA40" i="116"/>
  <c r="BD64" i="116"/>
  <c r="BG61" i="116"/>
  <c r="BE17" i="116"/>
  <c r="BH69" i="116"/>
  <c r="BF8" i="116"/>
  <c r="BA59" i="116"/>
  <c r="BG41" i="116"/>
  <c r="BH49" i="116"/>
  <c r="BD16" i="116"/>
  <c r="BC63" i="116"/>
  <c r="BF46" i="116"/>
  <c r="BA73" i="116"/>
  <c r="BA72" i="116" s="1"/>
  <c r="BH31" i="116"/>
  <c r="AZ56" i="116"/>
  <c r="BC58" i="116"/>
  <c r="AZ11" i="116"/>
  <c r="BB25" i="116"/>
  <c r="BE64" i="116"/>
  <c r="BF35" i="116"/>
  <c r="AZ71" i="116"/>
  <c r="AZ70" i="116" s="1"/>
  <c r="BI56" i="116"/>
  <c r="BC35" i="116"/>
  <c r="BJ18" i="116"/>
  <c r="BF4" i="116"/>
  <c r="BE37" i="116"/>
  <c r="BJ28" i="116"/>
  <c r="BG69" i="116"/>
  <c r="BH16" i="116"/>
  <c r="BB24" i="116"/>
  <c r="AZ45" i="116"/>
  <c r="BC52" i="116"/>
  <c r="BB26" i="116"/>
  <c r="BC15" i="116"/>
  <c r="BE53" i="116"/>
  <c r="BK35" i="116"/>
  <c r="AZ53" i="116"/>
  <c r="BE24" i="116"/>
  <c r="BA8" i="116"/>
  <c r="AZ13" i="116"/>
  <c r="BE31" i="116"/>
  <c r="AZ44" i="116"/>
  <c r="BA14" i="116"/>
  <c r="BI28" i="116"/>
  <c r="BA54" i="116"/>
  <c r="BK38" i="116"/>
  <c r="BK25" i="116"/>
  <c r="BG34" i="116"/>
  <c r="BB48" i="116"/>
  <c r="BG63" i="116"/>
  <c r="BJ45" i="116"/>
  <c r="BK78" i="116"/>
  <c r="BD4" i="116"/>
  <c r="BG55" i="116"/>
  <c r="AZ4" i="116"/>
  <c r="BK20" i="116"/>
  <c r="BJ36" i="116"/>
  <c r="BB34" i="116"/>
  <c r="BD53" i="116"/>
  <c r="BA26" i="116"/>
  <c r="AZ19" i="116"/>
  <c r="BE8" i="116"/>
  <c r="BG36" i="116"/>
  <c r="BB11" i="116"/>
  <c r="BD78" i="116"/>
  <c r="AZ23" i="116"/>
  <c r="AZ8" i="116"/>
  <c r="BK16" i="116"/>
  <c r="BF56" i="116"/>
  <c r="BF42" i="116"/>
  <c r="BF21" i="116"/>
  <c r="BK13" i="116"/>
  <c r="BF63" i="116"/>
  <c r="AZ64" i="116"/>
  <c r="BC46" i="116"/>
  <c r="BB56" i="116"/>
  <c r="BA44" i="116"/>
  <c r="BH25" i="116"/>
  <c r="AZ34" i="116"/>
  <c r="BH56" i="116"/>
  <c r="BG43" i="116"/>
  <c r="BJ42" i="116"/>
  <c r="BH26" i="116"/>
  <c r="BI13" i="116"/>
  <c r="BI39" i="116"/>
  <c r="BH41" i="116"/>
  <c r="AZ52" i="116"/>
  <c r="BK56" i="116"/>
  <c r="BH43" i="116"/>
  <c r="BB40" i="116"/>
  <c r="BC4" i="116"/>
  <c r="BE38" i="116"/>
  <c r="BC13" i="116"/>
  <c r="BF66" i="116"/>
  <c r="BI66" i="116"/>
  <c r="BD20" i="116"/>
  <c r="BB31" i="116"/>
  <c r="BJ46" i="116"/>
  <c r="BK64" i="116"/>
  <c r="BG3" i="116"/>
  <c r="BE46" i="116"/>
  <c r="BD34" i="116"/>
  <c r="BH3" i="116"/>
  <c r="BG49" i="116"/>
  <c r="BA36" i="116"/>
  <c r="BK23" i="116"/>
  <c r="BJ38" i="116"/>
  <c r="BA4" i="116"/>
  <c r="BJ8" i="116"/>
  <c r="BB58" i="116"/>
  <c r="BF11" i="116"/>
  <c r="BI9" i="116"/>
  <c r="BF59" i="116"/>
  <c r="BB10" i="116"/>
  <c r="BJ35" i="116"/>
  <c r="BG73" i="116"/>
  <c r="BG72" i="116" s="1"/>
  <c r="AZ3" i="116"/>
  <c r="BD48" i="116"/>
  <c r="BI30" i="116"/>
  <c r="BB78" i="116"/>
  <c r="BH78" i="116"/>
  <c r="BB36" i="116"/>
  <c r="BB27" i="116"/>
  <c r="BF52" i="116"/>
  <c r="BB37" i="116"/>
  <c r="BA71" i="116"/>
  <c r="BA70" i="116" s="1"/>
  <c r="BB71" i="116"/>
  <c r="BB70" i="116" s="1"/>
  <c r="AZ51" i="116"/>
  <c r="BA15" i="116"/>
  <c r="AZ49" i="116"/>
  <c r="BC9" i="116"/>
  <c r="BH23" i="116"/>
  <c r="BA56" i="116"/>
  <c r="BD41" i="116"/>
  <c r="BJ39" i="116"/>
  <c r="BK27" i="116"/>
  <c r="AZ73" i="116"/>
  <c r="AZ72" i="116" s="1"/>
  <c r="AZ55" i="116"/>
  <c r="BF13" i="116"/>
  <c r="BG39" i="116"/>
  <c r="BD46" i="116"/>
  <c r="BD71" i="116"/>
  <c r="BD70" i="116" s="1"/>
  <c r="BB66" i="116"/>
  <c r="BJ78" i="116"/>
  <c r="BC18" i="116"/>
  <c r="BB38" i="116"/>
  <c r="BC69" i="116"/>
  <c r="BA32" i="116"/>
  <c r="BG14" i="116"/>
  <c r="BG40" i="116"/>
  <c r="BG25" i="116"/>
  <c r="BB69" i="116"/>
  <c r="BK8" i="116"/>
  <c r="BB61" i="116"/>
  <c r="BF20" i="116"/>
  <c r="BF16" i="106"/>
  <c r="BC9" i="106"/>
  <c r="BH49" i="106"/>
  <c r="BG14" i="106"/>
  <c r="BH19" i="106"/>
  <c r="BD51" i="106"/>
  <c r="BF58" i="106"/>
  <c r="BH23" i="106"/>
  <c r="BH78" i="106"/>
  <c r="BC42" i="106"/>
  <c r="BH56" i="106"/>
  <c r="BD45" i="106"/>
  <c r="AZ69" i="106"/>
  <c r="BJ17" i="106"/>
  <c r="BF53" i="106"/>
  <c r="BI19" i="106"/>
  <c r="BJ39" i="106"/>
  <c r="BF19" i="106"/>
  <c r="BA31" i="106"/>
  <c r="BJ41" i="106"/>
  <c r="BA9" i="106"/>
  <c r="BJ38" i="106"/>
  <c r="AZ71" i="106"/>
  <c r="AZ70" i="106" s="1"/>
  <c r="BG64" i="106"/>
  <c r="BI35" i="106"/>
  <c r="AZ54" i="106"/>
  <c r="BI4" i="106"/>
  <c r="BB27" i="106"/>
  <c r="BI46" i="106"/>
  <c r="BB20" i="106"/>
  <c r="BK63" i="106"/>
  <c r="BB19" i="106"/>
  <c r="BE18" i="106"/>
  <c r="BK67" i="106"/>
  <c r="BG66" i="106"/>
  <c r="BI49" i="106"/>
  <c r="BC66" i="106"/>
  <c r="BC16" i="106"/>
  <c r="BH35" i="106"/>
  <c r="BC27" i="106"/>
  <c r="BB49" i="106"/>
  <c r="BD67" i="106"/>
  <c r="BE37" i="106"/>
  <c r="BE15" i="106"/>
  <c r="BC67" i="106"/>
  <c r="BJ64" i="106"/>
  <c r="BA49" i="106"/>
  <c r="BF64" i="106"/>
  <c r="BJ15" i="106"/>
  <c r="AZ35" i="106"/>
  <c r="BF26" i="106"/>
  <c r="BK46" i="106"/>
  <c r="BA10" i="106"/>
  <c r="BF46" i="106"/>
  <c r="BD21" i="106"/>
  <c r="BK64" i="106"/>
  <c r="BK31" i="106"/>
  <c r="BJ46" i="106"/>
  <c r="BD59" i="106"/>
  <c r="BG31" i="106"/>
  <c r="BB43" i="106"/>
  <c r="BE64" i="106"/>
  <c r="BI15" i="106"/>
  <c r="BG44" i="106"/>
  <c r="BK15" i="106"/>
  <c r="BE25" i="106"/>
  <c r="BF8" i="106"/>
  <c r="BG78" i="106"/>
  <c r="BD37" i="106"/>
  <c r="AZ37" i="106"/>
  <c r="BK30" i="106"/>
  <c r="BG58" i="106"/>
  <c r="BB54" i="106"/>
  <c r="BJ26" i="106"/>
  <c r="BI43" i="106"/>
  <c r="BE78" i="106"/>
  <c r="BH16" i="106"/>
  <c r="BC26" i="106"/>
  <c r="BK9" i="106"/>
  <c r="BG39" i="106"/>
  <c r="BJ23" i="106"/>
  <c r="AZ31" i="106"/>
  <c r="BE66" i="106"/>
  <c r="BE16" i="106"/>
  <c r="BC41" i="106"/>
  <c r="BE4" i="106"/>
  <c r="AZ52" i="106"/>
  <c r="AZ42" i="106"/>
  <c r="BH59" i="106"/>
  <c r="BH13" i="106"/>
  <c r="BA41" i="106"/>
  <c r="BB10" i="106"/>
  <c r="AZ29" i="106"/>
  <c r="BC11" i="106"/>
  <c r="BD27" i="106"/>
  <c r="BB55" i="106"/>
  <c r="BC46" i="106"/>
  <c r="BI32" i="106"/>
  <c r="BG63" i="106"/>
  <c r="BG56" i="106"/>
  <c r="BH28" i="106"/>
  <c r="BK45" i="106"/>
  <c r="BB48" i="106"/>
  <c r="BJ19" i="106"/>
  <c r="BI31" i="106"/>
  <c r="BE13" i="106"/>
  <c r="BJ78" i="106"/>
  <c r="BE40" i="106"/>
  <c r="BA43" i="106"/>
  <c r="BH61" i="106"/>
  <c r="BA58" i="106"/>
  <c r="BK78" i="106"/>
  <c r="BI57" i="106"/>
  <c r="BA11" i="106"/>
  <c r="BG28" i="106"/>
  <c r="BA19" i="106"/>
  <c r="BJ37" i="106"/>
  <c r="BH46" i="106"/>
  <c r="BJ24" i="106"/>
  <c r="AZ61" i="106"/>
  <c r="BE57" i="106"/>
  <c r="BC78" i="106"/>
  <c r="BA57" i="106"/>
  <c r="BD10" i="106"/>
  <c r="BH27" i="106"/>
  <c r="BG18" i="106"/>
  <c r="BF36" i="106"/>
  <c r="BI66" i="106"/>
  <c r="BI34" i="106"/>
  <c r="BH14" i="106"/>
  <c r="BB71" i="106"/>
  <c r="BB70" i="106" s="1"/>
  <c r="BG57" i="106"/>
  <c r="BE42" i="106"/>
  <c r="BK53" i="106"/>
  <c r="BG71" i="106"/>
  <c r="BG70" i="106" s="1"/>
  <c r="BF39" i="106"/>
  <c r="AZ57" i="106"/>
  <c r="BK10" i="106"/>
  <c r="BD35" i="106"/>
  <c r="BA8" i="106"/>
  <c r="BA18" i="106"/>
  <c r="BK49" i="106"/>
  <c r="BI55" i="106"/>
  <c r="BJ73" i="106"/>
  <c r="BJ72" i="106" s="1"/>
  <c r="BJ71" i="106"/>
  <c r="BJ70" i="106" s="1"/>
  <c r="BJ53" i="106"/>
  <c r="BF71" i="106"/>
  <c r="BF70" i="106" s="1"/>
  <c r="BE19" i="106"/>
  <c r="BD38" i="106"/>
  <c r="BC34" i="106"/>
  <c r="BD17" i="106"/>
  <c r="BD64" i="106"/>
  <c r="BK29" i="106"/>
  <c r="BE3" i="106"/>
  <c r="AZ15" i="106"/>
  <c r="BB69" i="106"/>
  <c r="AZ4" i="106"/>
  <c r="BE14" i="106"/>
  <c r="BJ63" i="106"/>
  <c r="BE44" i="106"/>
  <c r="BC36" i="106"/>
  <c r="BH54" i="106"/>
  <c r="BI28" i="106"/>
  <c r="AZ51" i="106"/>
  <c r="BH21" i="106"/>
  <c r="BD71" i="106"/>
  <c r="BD70" i="106" s="1"/>
  <c r="BH24" i="106"/>
  <c r="BB26" i="106"/>
  <c r="BD41" i="106"/>
  <c r="BF27" i="106"/>
  <c r="AZ56" i="106"/>
  <c r="BE51" i="106"/>
  <c r="BE24" i="106"/>
  <c r="BG42" i="106"/>
  <c r="BB39" i="106"/>
  <c r="BG11" i="106"/>
  <c r="BI21" i="106"/>
  <c r="BC4" i="106"/>
  <c r="BF34" i="106"/>
  <c r="BJ29" i="106"/>
  <c r="BE54" i="106"/>
  <c r="BG55" i="106"/>
  <c r="BA71" i="106"/>
  <c r="BA70" i="106" s="1"/>
  <c r="BH39" i="106"/>
  <c r="AZ53" i="106"/>
  <c r="BB4" i="106"/>
  <c r="BK23" i="106"/>
  <c r="BF10" i="106"/>
  <c r="BG25" i="106"/>
  <c r="BG37" i="106"/>
  <c r="AZ18" i="106"/>
  <c r="BC21" i="106"/>
  <c r="BF54" i="106"/>
  <c r="BD69" i="106"/>
  <c r="AZ39" i="106"/>
  <c r="BF52" i="106"/>
  <c r="BK3" i="106"/>
  <c r="BC23" i="106"/>
  <c r="BE9" i="106"/>
  <c r="BC24" i="106"/>
  <c r="BG45" i="106"/>
  <c r="AZ24" i="106"/>
  <c r="BK4" i="106"/>
  <c r="BB53" i="106"/>
  <c r="BC58" i="106"/>
  <c r="BA37" i="106"/>
  <c r="BH67" i="106"/>
  <c r="BJ59" i="106"/>
  <c r="AZ34" i="106"/>
  <c r="BK51" i="106"/>
  <c r="BB3" i="106"/>
  <c r="BF24" i="106"/>
  <c r="AZ43" i="106"/>
  <c r="AZ10" i="106"/>
  <c r="BH40" i="106"/>
  <c r="BH26" i="106"/>
  <c r="BD19" i="106"/>
  <c r="AZ66" i="106"/>
  <c r="BI63" i="106"/>
  <c r="AZ48" i="106"/>
  <c r="BK61" i="106"/>
  <c r="BJ14" i="106"/>
  <c r="BK32" i="106"/>
  <c r="BG24" i="106"/>
  <c r="BF44" i="106"/>
  <c r="BB9" i="106"/>
  <c r="BI42" i="106"/>
  <c r="AZ20" i="106"/>
  <c r="BB58" i="106"/>
  <c r="BH37" i="106"/>
  <c r="BA78" i="106"/>
  <c r="AZ45" i="106"/>
  <c r="BB24" i="106"/>
  <c r="BA51" i="106"/>
  <c r="BC35" i="106"/>
  <c r="BG29" i="106"/>
  <c r="BD46" i="106"/>
  <c r="BE49" i="106"/>
  <c r="BG20" i="106"/>
  <c r="BH32" i="106"/>
  <c r="AZ14" i="106"/>
  <c r="BK43" i="106"/>
  <c r="BC63" i="106"/>
  <c r="BF49" i="106"/>
  <c r="BF69" i="106"/>
  <c r="BB67" i="106"/>
  <c r="BF51" i="106"/>
  <c r="BK66" i="106"/>
  <c r="BK16" i="106"/>
  <c r="BB36" i="106"/>
  <c r="BK28" i="106"/>
  <c r="BB51" i="106"/>
  <c r="BF13" i="106"/>
  <c r="BD52" i="106"/>
  <c r="BI24" i="106"/>
  <c r="BD15" i="106"/>
  <c r="BA30" i="106"/>
  <c r="BK48" i="106"/>
  <c r="AZ63" i="106"/>
  <c r="BB34" i="106"/>
  <c r="BC44" i="106"/>
  <c r="BJ66" i="106"/>
  <c r="BJ16" i="106"/>
  <c r="BC49" i="106"/>
  <c r="BE17" i="106"/>
  <c r="BJ27" i="106"/>
  <c r="BJ9" i="106"/>
  <c r="BK73" i="106"/>
  <c r="BK72" i="106" s="1"/>
  <c r="BC48" i="106"/>
  <c r="BF61" i="106"/>
  <c r="BF32" i="106"/>
  <c r="BJ43" i="106"/>
  <c r="BB66" i="106"/>
  <c r="BB16" i="106"/>
  <c r="BA48" i="106"/>
  <c r="BG16" i="106"/>
  <c r="BA36" i="106"/>
  <c r="AZ17" i="106"/>
  <c r="BI20" i="106"/>
  <c r="BI53" i="106"/>
  <c r="BC38" i="106"/>
  <c r="BB31" i="106"/>
  <c r="BC59" i="106"/>
  <c r="BJ54" i="106"/>
  <c r="BA27" i="106"/>
  <c r="BB44" i="106"/>
  <c r="BF43" i="106"/>
  <c r="BF17" i="106"/>
  <c r="BK27" i="106"/>
  <c r="BA66" i="106"/>
  <c r="BG30" i="106"/>
  <c r="BH9" i="106"/>
  <c r="BG4" i="106"/>
  <c r="BJ58" i="106"/>
  <c r="BB56" i="106"/>
  <c r="BB42" i="106"/>
  <c r="BJ55" i="106"/>
  <c r="BH8" i="106"/>
  <c r="BI26" i="106"/>
  <c r="BI16" i="106"/>
  <c r="BJ32" i="106"/>
  <c r="BK58" i="106"/>
  <c r="BF31" i="106"/>
  <c r="BB11" i="106"/>
  <c r="BF55" i="106"/>
  <c r="BA24" i="106"/>
  <c r="BE71" i="106"/>
  <c r="BE70" i="106" s="1"/>
  <c r="BD29" i="106"/>
  <c r="BI8" i="106"/>
  <c r="BJ67" i="106"/>
  <c r="BB57" i="106"/>
  <c r="BC25" i="106"/>
  <c r="AZ78" i="106"/>
  <c r="BC40" i="106"/>
  <c r="BJ13" i="106"/>
  <c r="BF23" i="106"/>
  <c r="BJ35" i="106"/>
  <c r="BD34" i="106"/>
  <c r="BF9" i="106"/>
  <c r="BB63" i="106"/>
  <c r="BI58" i="106"/>
  <c r="BD43" i="106"/>
  <c r="BE58" i="106"/>
  <c r="BI11" i="106"/>
  <c r="BF29" i="106"/>
  <c r="BK19" i="106"/>
  <c r="BK38" i="106"/>
  <c r="BI3" i="106"/>
  <c r="BF38" i="106"/>
  <c r="BA16" i="106"/>
  <c r="BI45" i="106"/>
  <c r="BG13" i="106"/>
  <c r="BG43" i="106"/>
  <c r="BE55" i="106"/>
  <c r="BB28" i="106"/>
  <c r="AZ41" i="106"/>
  <c r="BD58" i="106"/>
  <c r="BH11" i="106"/>
  <c r="BA39" i="106"/>
  <c r="BH45" i="106"/>
  <c r="BG19" i="106"/>
  <c r="BI61" i="106"/>
  <c r="BH18" i="106"/>
  <c r="BF78" i="106"/>
  <c r="BD54" i="106"/>
  <c r="BF73" i="106"/>
  <c r="BF72" i="106" s="1"/>
  <c r="BG40" i="106"/>
  <c r="BH57" i="106"/>
  <c r="AZ11" i="106"/>
  <c r="BG36" i="106"/>
  <c r="BK8" i="106"/>
  <c r="AZ26" i="106"/>
  <c r="AZ9" i="106"/>
  <c r="BA52" i="106"/>
  <c r="BE31" i="106"/>
  <c r="BG54" i="106"/>
  <c r="BA73" i="106"/>
  <c r="BA72" i="106" s="1"/>
  <c r="BC54" i="106"/>
  <c r="BE73" i="106"/>
  <c r="BE72" i="106" s="1"/>
  <c r="BF20" i="106"/>
  <c r="BE39" i="106"/>
  <c r="BE35" i="106"/>
  <c r="BB8" i="106"/>
  <c r="BB18" i="106"/>
  <c r="BE45" i="106"/>
  <c r="BJ20" i="106"/>
  <c r="BC52" i="106"/>
  <c r="AZ21" i="106"/>
  <c r="BK52" i="106"/>
  <c r="BA67" i="106"/>
  <c r="BF37" i="106"/>
  <c r="BG49" i="106"/>
  <c r="BD73" i="106"/>
  <c r="BD72" i="106" s="1"/>
  <c r="BE20" i="106"/>
  <c r="BJ21" i="106"/>
  <c r="BK42" i="106"/>
  <c r="BE21" i="106"/>
  <c r="BH4" i="106"/>
  <c r="BG46" i="106"/>
  <c r="BK14" i="106"/>
  <c r="BA26" i="106"/>
  <c r="BC57" i="106"/>
  <c r="BB37" i="106"/>
  <c r="BE59" i="106"/>
  <c r="BG52" i="106"/>
  <c r="BC17" i="106"/>
  <c r="BJ36" i="106"/>
  <c r="BH29" i="106"/>
  <c r="BD53" i="106"/>
  <c r="BC14" i="106"/>
  <c r="AZ55" i="106"/>
  <c r="BA25" i="106"/>
  <c r="AZ16" i="106"/>
  <c r="BC15" i="106"/>
  <c r="BC56" i="106"/>
  <c r="BI71" i="106"/>
  <c r="BI70" i="106" s="1"/>
  <c r="BA40" i="106"/>
  <c r="BH53" i="106"/>
  <c r="BJ4" i="106"/>
  <c r="BD24" i="106"/>
  <c r="BJ11" i="106"/>
  <c r="BD26" i="106"/>
  <c r="BJ48" i="106"/>
  <c r="BD25" i="106"/>
  <c r="AZ58" i="106"/>
  <c r="BH31" i="106"/>
  <c r="BB38" i="106"/>
  <c r="BK69" i="106"/>
  <c r="BF63" i="106"/>
  <c r="BA35" i="106"/>
  <c r="BG53" i="106"/>
  <c r="BA4" i="106"/>
  <c r="BE26" i="106"/>
  <c r="BB29" i="106"/>
  <c r="BD11" i="106"/>
  <c r="BF42" i="106"/>
  <c r="BD39" i="106"/>
  <c r="BI37" i="106"/>
  <c r="BC69" i="106"/>
  <c r="BD61" i="106"/>
  <c r="BH34" i="106"/>
  <c r="BE52" i="106"/>
  <c r="BJ3" i="106"/>
  <c r="BH25" i="106"/>
  <c r="BD44" i="106"/>
  <c r="BK18" i="106"/>
  <c r="BB52" i="106"/>
  <c r="BB13" i="106"/>
  <c r="BJ61" i="106"/>
  <c r="BH66" i="106"/>
  <c r="BB64" i="106"/>
  <c r="BH48" i="106"/>
  <c r="BE63" i="106"/>
  <c r="BB15" i="106"/>
  <c r="BG34" i="106"/>
  <c r="BI25" i="106"/>
  <c r="BJ45" i="106"/>
  <c r="BG59" i="106"/>
  <c r="BE32" i="106"/>
  <c r="BC13" i="106"/>
  <c r="BC30" i="106"/>
  <c r="BJ8" i="106"/>
  <c r="BB46" i="106"/>
  <c r="BH58" i="106"/>
  <c r="BH30" i="106"/>
  <c r="BI78" i="106"/>
  <c r="BD63" i="106"/>
  <c r="BA15" i="106"/>
  <c r="BE43" i="106"/>
  <c r="BD14" i="106"/>
  <c r="BG32" i="106"/>
  <c r="BF15" i="106"/>
  <c r="BJ51" i="106"/>
  <c r="BF48" i="106"/>
  <c r="BD48" i="106"/>
  <c r="BI23" i="106"/>
  <c r="BA53" i="106"/>
  <c r="BG35" i="106"/>
  <c r="BA64" i="106"/>
  <c r="BF67" i="106"/>
  <c r="BA13" i="106"/>
  <c r="BE30" i="106"/>
  <c r="BH20" i="106"/>
  <c r="AZ40" i="106"/>
  <c r="BD4" i="106"/>
  <c r="BI39" i="106"/>
  <c r="BI17" i="106"/>
  <c r="AZ36" i="106"/>
  <c r="BC43" i="106"/>
  <c r="BD49" i="106"/>
  <c r="BH63" i="106"/>
  <c r="BJ34" i="106"/>
  <c r="BK44" i="106"/>
  <c r="BE67" i="106"/>
  <c r="BB17" i="106"/>
  <c r="BG51" i="106"/>
  <c r="BC18" i="106"/>
  <c r="BH38" i="106"/>
  <c r="BJ18" i="106"/>
  <c r="AZ25" i="106"/>
  <c r="AZ30" i="106"/>
  <c r="BK20" i="106"/>
  <c r="BA32" i="106"/>
  <c r="BE61" i="106"/>
  <c r="BK55" i="106"/>
  <c r="AZ28" i="106"/>
  <c r="BC45" i="106"/>
  <c r="AZ46" i="106"/>
  <c r="AZ19" i="106"/>
  <c r="BC20" i="106"/>
  <c r="BH3" i="106"/>
  <c r="BB32" i="106"/>
  <c r="AZ23" i="106"/>
  <c r="BJ31" i="106"/>
  <c r="BK59" i="106"/>
  <c r="BC55" i="106"/>
  <c r="BI27" i="106"/>
  <c r="BJ44" i="106"/>
  <c r="BI44" i="106"/>
  <c r="BF18" i="106"/>
  <c r="BD28" i="106"/>
  <c r="BJ10" i="106"/>
  <c r="BF41" i="106"/>
  <c r="BA38" i="106"/>
  <c r="BI14" i="106"/>
  <c r="BF59" i="106"/>
  <c r="BJ56" i="106"/>
  <c r="BJ42" i="106"/>
  <c r="BF56" i="106"/>
  <c r="BG9" i="106"/>
  <c r="AZ27" i="106"/>
  <c r="BG17" i="106"/>
  <c r="BB35" i="106"/>
  <c r="BA44" i="106"/>
  <c r="BB23" i="106"/>
  <c r="BF3" i="106"/>
  <c r="BK57" i="106"/>
  <c r="BI41" i="106"/>
  <c r="BE41" i="106"/>
  <c r="BC53" i="106"/>
  <c r="BJ69" i="106"/>
  <c r="BE38" i="106"/>
  <c r="BE56" i="106"/>
  <c r="BC10" i="106"/>
  <c r="BA34" i="106"/>
  <c r="BK24" i="106"/>
  <c r="BD42" i="106"/>
  <c r="AZ8" i="106"/>
  <c r="BB73" i="106"/>
  <c r="BB72" i="106" s="1"/>
  <c r="BF4" i="106"/>
  <c r="BB31" i="114"/>
  <c r="J22" i="418"/>
  <c r="H22" i="418"/>
  <c r="BD29" i="118"/>
  <c r="BE35" i="118"/>
  <c r="BJ59" i="118"/>
  <c r="BI29" i="118"/>
  <c r="AZ15" i="118"/>
  <c r="BK30" i="118"/>
  <c r="BE28" i="118"/>
  <c r="BF49" i="118"/>
  <c r="BE21" i="118"/>
  <c r="BK57" i="118"/>
  <c r="BJ56" i="118"/>
  <c r="BI31" i="118"/>
  <c r="BB9" i="118"/>
  <c r="AZ39" i="118"/>
  <c r="BC17" i="118"/>
  <c r="BH71" i="118"/>
  <c r="BH70" i="118" s="1"/>
  <c r="BD58" i="118"/>
  <c r="BA64" i="118"/>
  <c r="AZ9" i="118"/>
  <c r="AZ4" i="118"/>
  <c r="BF25" i="106"/>
  <c r="BC73" i="106"/>
  <c r="BC72" i="106" s="1"/>
  <c r="BD8" i="106"/>
  <c r="BG38" i="106"/>
  <c r="BD9" i="106"/>
  <c r="BA23" i="106"/>
  <c r="BD55" i="106"/>
  <c r="BB40" i="106"/>
  <c r="BI52" i="106"/>
  <c r="BA59" i="106"/>
  <c r="BA63" i="106"/>
  <c r="BC51" i="106"/>
  <c r="BD16" i="106"/>
  <c r="BI67" i="106"/>
  <c r="BI36" i="106"/>
  <c r="BI48" i="106"/>
  <c r="BG26" i="106"/>
  <c r="AZ13" i="106"/>
  <c r="BE8" i="106"/>
  <c r="AZ64" i="106"/>
  <c r="BC32" i="106"/>
  <c r="BD32" i="106"/>
  <c r="BK34" i="106"/>
  <c r="BE53" i="106"/>
  <c r="BF40" i="106"/>
  <c r="BE11" i="106"/>
  <c r="BH10" i="106"/>
  <c r="AZ59" i="106"/>
  <c r="BG27" i="106"/>
  <c r="BD40" i="106"/>
  <c r="BH46" i="118"/>
  <c r="BA61" i="106"/>
  <c r="BB59" i="106"/>
  <c r="BG23" i="106"/>
  <c r="BD78" i="106"/>
  <c r="BG21" i="106"/>
  <c r="BE10" i="106"/>
  <c r="BC61" i="106"/>
  <c r="BH41" i="106"/>
  <c r="BJ52" i="106"/>
  <c r="BK25" i="106"/>
  <c r="BC54" i="118"/>
  <c r="BG48" i="106"/>
  <c r="AZ67" i="106"/>
  <c r="BC8" i="106"/>
  <c r="BK11" i="106"/>
  <c r="AZ49" i="106"/>
  <c r="AZ38" i="106"/>
  <c r="BG10" i="106"/>
  <c r="BJ28" i="106"/>
  <c r="BF28" i="106"/>
  <c r="BK32" i="118"/>
  <c r="BA17" i="106"/>
  <c r="BH36" i="106"/>
  <c r="BF21" i="106"/>
  <c r="BC31" i="106"/>
  <c r="BK54" i="106"/>
  <c r="BG41" i="106"/>
  <c r="BI10" i="106"/>
  <c r="BA56" i="106"/>
  <c r="BK13" i="106"/>
  <c r="BI38" i="106"/>
  <c r="BE27" i="106"/>
  <c r="BC3" i="106"/>
  <c r="BG69" i="106"/>
  <c r="BI73" i="106"/>
  <c r="BI72" i="106" s="1"/>
  <c r="BD23" i="106"/>
  <c r="BC28" i="106"/>
  <c r="AZ44" i="106"/>
  <c r="BB25" i="106"/>
  <c r="BC71" i="106"/>
  <c r="BC70" i="106" s="1"/>
  <c r="BK37" i="106"/>
  <c r="BH17" i="106"/>
  <c r="BB45" i="106"/>
  <c r="BG15" i="106"/>
  <c r="BD36" i="106"/>
  <c r="BA21" i="106"/>
  <c r="BH51" i="106"/>
  <c r="BE48" i="106"/>
  <c r="BF30" i="106"/>
  <c r="BJ57" i="106"/>
  <c r="BH64" i="106"/>
  <c r="BF35" i="106"/>
  <c r="BE28" i="106"/>
  <c r="BJ49" i="106"/>
  <c r="BB14" i="106"/>
  <c r="BD30" i="106"/>
  <c r="BG3" i="106"/>
  <c r="BE23" i="106"/>
  <c r="AZ3" i="106"/>
  <c r="BE29" i="106"/>
  <c r="BG8" i="106"/>
  <c r="BA55" i="106"/>
  <c r="BK36" i="106"/>
  <c r="BG67" i="106"/>
  <c r="BG73" i="106"/>
  <c r="BG72" i="106" s="1"/>
  <c r="BK39" i="106"/>
  <c r="BE34" i="106"/>
  <c r="BC19" i="106"/>
  <c r="BI69" i="106"/>
  <c r="BH43" i="106"/>
  <c r="BD13" i="106"/>
  <c r="BJ30" i="106"/>
  <c r="BF11" i="106"/>
  <c r="BA42" i="106"/>
  <c r="BA14" i="106"/>
  <c r="BB61" i="106"/>
  <c r="BH42" i="106"/>
  <c r="BI29" i="106"/>
  <c r="BD57" i="106"/>
  <c r="BA45" i="106"/>
  <c r="BD66" i="106"/>
  <c r="BH71" i="106"/>
  <c r="BH70" i="106" s="1"/>
  <c r="BC39" i="106"/>
  <c r="BI30" i="106"/>
  <c r="BE36" i="106"/>
  <c r="BA46" i="106"/>
  <c r="BA20" i="106"/>
  <c r="BK40" i="106"/>
  <c r="BD20" i="106"/>
  <c r="BD3" i="106"/>
  <c r="BD18" i="106"/>
  <c r="BH69" i="106"/>
  <c r="BE46" i="106"/>
  <c r="BK35" i="106"/>
  <c r="BI64" i="106"/>
  <c r="BI51" i="106"/>
  <c r="BA29" i="106"/>
  <c r="BI56" i="106"/>
  <c r="BH44" i="106"/>
  <c r="BK41" i="106"/>
  <c r="BF66" i="106"/>
  <c r="BI9" i="106"/>
  <c r="BA28" i="106"/>
  <c r="BH55" i="106"/>
  <c r="BC29" i="106"/>
  <c r="BF14" i="106"/>
  <c r="BJ25" i="106"/>
  <c r="BI54" i="106"/>
  <c r="BB41" i="106"/>
  <c r="BH73" i="106"/>
  <c r="BH72" i="106" s="1"/>
  <c r="BF57" i="106"/>
  <c r="BI18" i="106"/>
  <c r="BJ40" i="106"/>
  <c r="BB78" i="106"/>
  <c r="BB21" i="106"/>
  <c r="BD31" i="106"/>
  <c r="BI13" i="106"/>
  <c r="BI59" i="106"/>
  <c r="BF45" i="106"/>
  <c r="BG61" i="106"/>
  <c r="BC64" i="106"/>
  <c r="BA54" i="106"/>
  <c r="BI40" i="106"/>
  <c r="AZ73" i="106"/>
  <c r="AZ72" i="106" s="1"/>
  <c r="BK56" i="106"/>
  <c r="BK21" i="106"/>
  <c r="AZ32" i="106"/>
  <c r="BK26" i="106"/>
  <c r="BD56" i="106"/>
  <c r="BH15" i="106"/>
  <c r="BA3" i="106"/>
  <c r="BB30" i="106"/>
  <c r="BC37" i="106"/>
  <c r="BK17" i="106"/>
  <c r="BA69" i="106"/>
  <c r="BH52" i="106"/>
  <c r="BE69" i="106"/>
  <c r="BK71" i="106"/>
  <c r="BK70" i="106" s="1"/>
  <c r="BA42" i="118"/>
  <c r="BG28" i="118"/>
  <c r="AZ18" i="118"/>
  <c r="BC24" i="118"/>
  <c r="BI16" i="118"/>
  <c r="AZ53" i="118"/>
  <c r="BB51" i="118"/>
  <c r="BJ21" i="118"/>
  <c r="BA35" i="118"/>
  <c r="BB73" i="118"/>
  <c r="BB72" i="118" s="1"/>
  <c r="BA53" i="118"/>
  <c r="BD66" i="118"/>
  <c r="BF73" i="118"/>
  <c r="BF72" i="118" s="1"/>
  <c r="BI9" i="118"/>
  <c r="BK4" i="118"/>
  <c r="BA13" i="118"/>
  <c r="BE43" i="118"/>
  <c r="BF51" i="118"/>
  <c r="BC57" i="118"/>
  <c r="AZ64" i="118"/>
  <c r="BD21" i="118"/>
  <c r="BJ20" i="118"/>
  <c r="BG26" i="118"/>
  <c r="BI21" i="118"/>
  <c r="BB40" i="118"/>
  <c r="BB49" i="118"/>
  <c r="BJ71" i="118"/>
  <c r="BJ70" i="118" s="1"/>
  <c r="BE8" i="118"/>
  <c r="BA43" i="118"/>
  <c r="BB37" i="118"/>
  <c r="BF78" i="118"/>
  <c r="AZ51" i="118"/>
  <c r="BK34" i="118"/>
  <c r="BK42" i="118"/>
  <c r="BF32" i="118"/>
  <c r="BB27" i="118"/>
  <c r="BD61" i="118"/>
  <c r="BA69" i="118"/>
  <c r="BG59" i="118"/>
  <c r="BD73" i="118"/>
  <c r="BD72" i="118" s="1"/>
  <c r="BD10" i="118"/>
  <c r="BI58" i="118"/>
  <c r="BH48" i="118"/>
  <c r="BC55" i="118"/>
  <c r="BE46" i="118"/>
  <c r="BJ19" i="118"/>
  <c r="BA24" i="118"/>
  <c r="AZ19" i="118"/>
  <c r="BE27" i="118"/>
  <c r="BC18" i="118"/>
  <c r="AZ48" i="118"/>
  <c r="BF9" i="118"/>
  <c r="AZ61" i="118"/>
  <c r="BA27" i="118"/>
  <c r="BG19" i="118"/>
  <c r="BH23" i="118"/>
  <c r="BE37" i="118"/>
  <c r="BH31" i="118"/>
  <c r="BK11" i="118"/>
  <c r="BC26" i="118"/>
  <c r="BJ29" i="118"/>
  <c r="BD36" i="118"/>
  <c r="BC66" i="118"/>
  <c r="BB13" i="118"/>
  <c r="BE55" i="118"/>
  <c r="BA3" i="118"/>
  <c r="BC44" i="118"/>
  <c r="BK38" i="118"/>
  <c r="BD17" i="118"/>
  <c r="BF69" i="118"/>
  <c r="BB64" i="118"/>
  <c r="BA41" i="118"/>
  <c r="BA57" i="118"/>
  <c r="BE63" i="118"/>
  <c r="BD63" i="118"/>
  <c r="BA66" i="118"/>
  <c r="BJ3" i="118"/>
  <c r="BD43" i="118"/>
  <c r="BG52" i="118"/>
  <c r="BD51" i="118"/>
  <c r="BF16" i="118"/>
  <c r="BD15" i="118"/>
  <c r="BK15" i="118"/>
  <c r="BK16" i="118"/>
  <c r="BD20" i="118"/>
  <c r="BA63" i="118"/>
  <c r="BH63" i="118"/>
  <c r="BA71" i="118"/>
  <c r="BA70" i="118" s="1"/>
  <c r="BC32" i="118"/>
  <c r="BC31" i="118"/>
  <c r="BI37" i="118"/>
  <c r="BJ39" i="118"/>
  <c r="BD8" i="118"/>
  <c r="BE11" i="118"/>
  <c r="BE19" i="118"/>
  <c r="BE20" i="118"/>
  <c r="BA55" i="118"/>
  <c r="BG54" i="118"/>
  <c r="BE53" i="118"/>
  <c r="BC63" i="118"/>
  <c r="BG51" i="118"/>
  <c r="BG29" i="118"/>
  <c r="BJ42" i="118"/>
  <c r="BB78" i="118"/>
  <c r="BH42" i="118"/>
  <c r="BD13" i="118"/>
  <c r="BC13" i="118"/>
  <c r="BC14" i="118"/>
  <c r="AZ20" i="118"/>
  <c r="BK10" i="118"/>
  <c r="BI67" i="118"/>
  <c r="BB42" i="118"/>
  <c r="BF37" i="118"/>
  <c r="BB23" i="118"/>
  <c r="BF44" i="118"/>
  <c r="BD40" i="118"/>
  <c r="BB59" i="118"/>
  <c r="BB3" i="118"/>
  <c r="BC30" i="118"/>
  <c r="BH29" i="118"/>
  <c r="BJ51" i="118"/>
  <c r="BD53" i="118"/>
  <c r="BF19" i="118"/>
  <c r="BI53" i="118"/>
  <c r="AZ41" i="118"/>
  <c r="BK21" i="118"/>
  <c r="BJ52" i="118"/>
  <c r="BF25" i="118"/>
  <c r="BH56" i="118"/>
  <c r="BI28" i="118"/>
  <c r="BK51" i="118"/>
  <c r="BD56" i="118"/>
  <c r="BD49" i="118"/>
  <c r="BB58" i="118"/>
  <c r="BH61" i="118"/>
  <c r="BH11" i="118"/>
  <c r="BA40" i="118"/>
  <c r="BK43" i="118"/>
  <c r="BF39" i="118"/>
  <c r="BG71" i="118"/>
  <c r="BG70" i="118" s="1"/>
  <c r="BA9" i="118"/>
  <c r="BC4" i="118"/>
  <c r="BI11" i="118"/>
  <c r="BA39" i="118"/>
  <c r="BI49" i="118"/>
  <c r="BG56" i="118"/>
  <c r="BG63" i="118"/>
  <c r="BK20" i="118"/>
  <c r="BA25" i="118"/>
  <c r="BJ31" i="118"/>
  <c r="BC29" i="118"/>
  <c r="BK25" i="118"/>
  <c r="AZ11" i="118"/>
  <c r="BG14" i="118"/>
  <c r="BE48" i="118"/>
  <c r="BF42" i="118"/>
  <c r="BJ46" i="118"/>
  <c r="BB56" i="118"/>
  <c r="AZ66" i="118"/>
  <c r="BF4" i="118"/>
  <c r="BG38" i="118"/>
  <c r="BF31" i="118"/>
  <c r="AZ71" i="118"/>
  <c r="AZ70" i="118" s="1"/>
  <c r="BE67" i="118"/>
  <c r="BI8" i="118"/>
  <c r="BB15" i="118"/>
  <c r="BH10" i="118"/>
  <c r="BD18" i="118"/>
  <c r="BK59" i="118"/>
  <c r="BJ54" i="118"/>
  <c r="BH30" i="118"/>
  <c r="BC73" i="118"/>
  <c r="BC72" i="118" s="1"/>
  <c r="BA61" i="118"/>
  <c r="BG42" i="118"/>
  <c r="BH58" i="118"/>
  <c r="BJ48" i="118"/>
  <c r="BF29" i="118"/>
  <c r="BD25" i="118"/>
  <c r="BF34" i="118"/>
  <c r="BH37" i="118"/>
  <c r="BC42" i="118"/>
  <c r="BE45" i="118"/>
  <c r="BJ44" i="118"/>
  <c r="BF10" i="118"/>
  <c r="BD41" i="118"/>
  <c r="BD71" i="118"/>
  <c r="BD70" i="118" s="1"/>
  <c r="BC35" i="118"/>
  <c r="BH16" i="118"/>
  <c r="BB44" i="118"/>
  <c r="BH43" i="118"/>
  <c r="AZ44" i="118"/>
  <c r="BB52" i="118"/>
  <c r="BE13" i="118"/>
  <c r="BD54" i="118"/>
  <c r="BJ34" i="118"/>
  <c r="BI34" i="118"/>
  <c r="BG64" i="118"/>
  <c r="BK61" i="118"/>
  <c r="BJ61" i="118"/>
  <c r="BD64" i="118"/>
  <c r="BJ4" i="118"/>
  <c r="BK73" i="118"/>
  <c r="BK72" i="118" s="1"/>
  <c r="BK78" i="118"/>
  <c r="BE51" i="118"/>
  <c r="BG49" i="118"/>
  <c r="BE15" i="118"/>
  <c r="BB20" i="118"/>
  <c r="BA20" i="118"/>
  <c r="BA21" i="118"/>
  <c r="BI39" i="118"/>
  <c r="BE69" i="118"/>
  <c r="BB71" i="118"/>
  <c r="BB70" i="118" s="1"/>
  <c r="BC37" i="118"/>
  <c r="BI36" i="118"/>
  <c r="BE42" i="118"/>
  <c r="BG44" i="118"/>
  <c r="BA30" i="118"/>
  <c r="BE38" i="118"/>
  <c r="BC27" i="118"/>
  <c r="BK26" i="118"/>
  <c r="BI59" i="118"/>
  <c r="AZ59" i="118"/>
  <c r="BK58" i="118"/>
  <c r="BE71" i="118"/>
  <c r="BE70" i="118" s="1"/>
  <c r="BC3" i="118"/>
  <c r="BE57" i="118"/>
  <c r="AZ42" i="118"/>
  <c r="BJ69" i="118"/>
  <c r="BA59" i="118"/>
  <c r="BG48" i="118"/>
  <c r="BD26" i="118"/>
  <c r="BJ14" i="118"/>
  <c r="BK66" i="118"/>
  <c r="BG13" i="118"/>
  <c r="BK67" i="118"/>
  <c r="BD52" i="118"/>
  <c r="AZ58" i="118"/>
  <c r="BH41" i="118"/>
  <c r="BC11" i="118"/>
  <c r="AZ8" i="118"/>
  <c r="BJ64" i="118"/>
  <c r="BI41" i="118"/>
  <c r="BH27" i="118"/>
  <c r="BE3" i="118"/>
  <c r="AZ37" i="118"/>
  <c r="BC25" i="118"/>
  <c r="BD23" i="118"/>
  <c r="AZ73" i="118"/>
  <c r="AZ72" i="118" s="1"/>
  <c r="BE39" i="118"/>
  <c r="BB32" i="118"/>
  <c r="BJ38" i="118"/>
  <c r="BA46" i="118"/>
  <c r="BF15" i="118"/>
  <c r="BC19" i="118"/>
  <c r="BJ28" i="118"/>
  <c r="BC23" i="118"/>
  <c r="BE56" i="118"/>
  <c r="BH55" i="118"/>
  <c r="BK48" i="118"/>
  <c r="BF57" i="118"/>
  <c r="BC53" i="118"/>
  <c r="BC10" i="118"/>
  <c r="BH39" i="118"/>
  <c r="BC43" i="118"/>
  <c r="BG73" i="118"/>
  <c r="BG72" i="118" s="1"/>
  <c r="BK8" i="118"/>
  <c r="BD14" i="118"/>
  <c r="BH9" i="118"/>
  <c r="BC16" i="118"/>
  <c r="BG17" i="118"/>
  <c r="BK54" i="118"/>
  <c r="AZ63" i="118"/>
  <c r="BK69" i="118"/>
  <c r="BJ25" i="118"/>
  <c r="BD30" i="118"/>
  <c r="BA37" i="118"/>
  <c r="BH32" i="118"/>
  <c r="BJ63" i="118"/>
  <c r="AZ10" i="118"/>
  <c r="AZ14" i="118"/>
  <c r="BD19" i="118"/>
  <c r="BH54" i="118"/>
  <c r="BJ45" i="118"/>
  <c r="BK52" i="118"/>
  <c r="BI61" i="118"/>
  <c r="AZ21" i="118"/>
  <c r="BJ26" i="118"/>
  <c r="BJ24" i="118"/>
  <c r="BE40" i="118"/>
  <c r="BD11" i="118"/>
  <c r="BH3" i="118"/>
  <c r="BI42" i="118"/>
  <c r="BJ17" i="118"/>
  <c r="BI18" i="118"/>
  <c r="BG30" i="118"/>
  <c r="BK9" i="118"/>
  <c r="AZ30" i="118"/>
  <c r="BB69" i="118"/>
  <c r="BD4" i="118"/>
  <c r="BH66" i="118"/>
  <c r="BD57" i="118"/>
  <c r="BD24" i="118"/>
  <c r="BI23" i="118"/>
  <c r="BK56" i="118"/>
  <c r="BJ30" i="118"/>
  <c r="BD78" i="118"/>
  <c r="BA16" i="118"/>
  <c r="BH64" i="118"/>
  <c r="AZ27" i="118"/>
  <c r="AZ26" i="118"/>
  <c r="BI32" i="118"/>
  <c r="BG36" i="118"/>
  <c r="BH34" i="118"/>
  <c r="BG16" i="118"/>
  <c r="BH15" i="118"/>
  <c r="AZ16" i="118"/>
  <c r="BC51" i="118"/>
  <c r="AZ43" i="118"/>
  <c r="BG43" i="118"/>
  <c r="BH51" i="118"/>
  <c r="BG8" i="118"/>
  <c r="BJ49" i="118"/>
  <c r="BB34" i="118"/>
  <c r="BA34" i="118"/>
  <c r="BF63" i="118"/>
  <c r="BI69" i="118"/>
  <c r="BH69" i="118"/>
  <c r="BD3" i="118"/>
  <c r="BA11" i="118"/>
  <c r="BB17" i="118"/>
  <c r="BA49" i="118"/>
  <c r="BK55" i="118"/>
  <c r="BB55" i="118"/>
  <c r="BC20" i="118"/>
  <c r="BI24" i="118"/>
  <c r="AZ25" i="118"/>
  <c r="BD28" i="118"/>
  <c r="BG20" i="118"/>
  <c r="BI30" i="118"/>
  <c r="BH4" i="118"/>
  <c r="BF13" i="118"/>
  <c r="AZ78" i="118"/>
  <c r="BF41" i="118"/>
  <c r="BB46" i="118"/>
  <c r="BC49" i="118"/>
  <c r="BC64" i="118"/>
  <c r="BG3" i="118"/>
  <c r="BJ66" i="118"/>
  <c r="BC58" i="118"/>
  <c r="BG35" i="118"/>
  <c r="AZ54" i="118"/>
  <c r="BH67" i="118"/>
  <c r="BB29" i="118"/>
  <c r="AZ36" i="118"/>
  <c r="BA54" i="118"/>
  <c r="BA17" i="118"/>
  <c r="BC45" i="118"/>
  <c r="BG57" i="118"/>
  <c r="BK41" i="118"/>
  <c r="BK35" i="118"/>
  <c r="BE66" i="118"/>
  <c r="BF3" i="118"/>
  <c r="BE34" i="118"/>
  <c r="BI13" i="118"/>
  <c r="BD35" i="118"/>
  <c r="BB10" i="118"/>
  <c r="BB57" i="118"/>
  <c r="BF17" i="118"/>
  <c r="BC21" i="118"/>
  <c r="BF27" i="118"/>
  <c r="BF23" i="118"/>
  <c r="BB63" i="118"/>
  <c r="BI27" i="118"/>
  <c r="BA73" i="118"/>
  <c r="BA72" i="118" s="1"/>
  <c r="BD9" i="118"/>
  <c r="BI43" i="118"/>
  <c r="BK31" i="118"/>
  <c r="BB38" i="118"/>
  <c r="BH45" i="118"/>
  <c r="AZ13" i="118"/>
  <c r="BJ16" i="118"/>
  <c r="BB28" i="118"/>
  <c r="BF21" i="118"/>
  <c r="BI55" i="118"/>
  <c r="BC61" i="118"/>
  <c r="BF54" i="118"/>
  <c r="BK63" i="118"/>
  <c r="BB4" i="118"/>
  <c r="AZ31" i="118"/>
  <c r="BC78" i="118"/>
  <c r="BH49" i="118"/>
  <c r="BA78" i="118"/>
  <c r="BE14" i="118"/>
  <c r="BI19" i="118"/>
  <c r="BK14" i="118"/>
  <c r="BH20" i="118"/>
  <c r="BK36" i="118"/>
  <c r="BD59" i="118"/>
  <c r="BD69" i="118"/>
  <c r="BG4" i="118"/>
  <c r="BE30" i="118"/>
  <c r="BA36" i="118"/>
  <c r="BE41" i="118"/>
  <c r="BI38" i="118"/>
  <c r="BK28" i="118"/>
  <c r="BI35" i="118"/>
  <c r="BA38" i="118"/>
  <c r="BJ13" i="118"/>
  <c r="BC52" i="118"/>
  <c r="BF28" i="118"/>
  <c r="BK45" i="118"/>
  <c r="BB67" i="118"/>
  <c r="BE54" i="118"/>
  <c r="BB36" i="118"/>
  <c r="BJ53" i="118"/>
  <c r="BE78" i="118"/>
  <c r="BF34" i="115"/>
  <c r="BI67" i="115"/>
  <c r="BI67" i="121"/>
  <c r="BJ42" i="121"/>
  <c r="BI58" i="121"/>
  <c r="BF61" i="121"/>
  <c r="BD58" i="121"/>
  <c r="AZ78" i="121"/>
  <c r="AZ66" i="121"/>
  <c r="BI40" i="121"/>
  <c r="BK32" i="121"/>
  <c r="BF40" i="121"/>
  <c r="BD10" i="121"/>
  <c r="BA34" i="121"/>
  <c r="BG20" i="121"/>
  <c r="BB54" i="121"/>
  <c r="BC78" i="121"/>
  <c r="BE37" i="121"/>
  <c r="BC42" i="121"/>
  <c r="BK43" i="121"/>
  <c r="BK59" i="121"/>
  <c r="BD55" i="121"/>
  <c r="BC35" i="121"/>
  <c r="BE69" i="121"/>
  <c r="BI63" i="121"/>
  <c r="BI4" i="121"/>
  <c r="BC73" i="121"/>
  <c r="BC72" i="121" s="1"/>
  <c r="BI49" i="121"/>
  <c r="BF43" i="121"/>
  <c r="BE52" i="121"/>
  <c r="BJ14" i="121"/>
  <c r="BB78" i="121"/>
  <c r="BF18" i="121"/>
  <c r="BF34" i="121"/>
  <c r="BK42" i="121"/>
  <c r="BD42" i="121"/>
  <c r="BB17" i="121"/>
  <c r="BK48" i="121"/>
  <c r="BH27" i="121"/>
  <c r="BK3" i="121"/>
  <c r="BC46" i="121"/>
  <c r="AZ63" i="121"/>
  <c r="AZ54" i="121"/>
  <c r="BB24" i="121"/>
  <c r="BE59" i="121"/>
  <c r="BB41" i="121"/>
  <c r="BF23" i="121"/>
  <c r="BE26" i="121"/>
  <c r="BC71" i="121"/>
  <c r="BC70" i="121" s="1"/>
  <c r="AZ67" i="121"/>
  <c r="BG53" i="121"/>
  <c r="BK20" i="121"/>
  <c r="BD32" i="121"/>
  <c r="BH55" i="121"/>
  <c r="BA9" i="121"/>
  <c r="AZ24" i="121"/>
  <c r="BF46" i="121"/>
  <c r="AZ27" i="121"/>
  <c r="BC38" i="121"/>
  <c r="BB53" i="121"/>
  <c r="BA78" i="121"/>
  <c r="BJ8" i="121"/>
  <c r="BD49" i="121"/>
  <c r="BK51" i="121"/>
  <c r="BH42" i="121"/>
  <c r="BJ27" i="121"/>
  <c r="BD21" i="121"/>
  <c r="BJ32" i="121"/>
  <c r="BD26" i="121"/>
  <c r="AZ53" i="121"/>
  <c r="BB4" i="121"/>
  <c r="BK46" i="121"/>
  <c r="BH56" i="121"/>
  <c r="BD45" i="121"/>
  <c r="BG25" i="121"/>
  <c r="AZ61" i="121"/>
  <c r="BE36" i="121"/>
  <c r="AZ14" i="121"/>
  <c r="BK71" i="121"/>
  <c r="BK70" i="121" s="1"/>
  <c r="BF10" i="121"/>
  <c r="BD28" i="121"/>
  <c r="BH35" i="121"/>
  <c r="BH57" i="121"/>
  <c r="BH8" i="118"/>
  <c r="BG45" i="118"/>
  <c r="AZ34" i="118"/>
  <c r="BC9" i="118"/>
  <c r="BH13" i="118"/>
  <c r="BI63" i="118"/>
  <c r="BK24" i="118"/>
  <c r="BG41" i="118"/>
  <c r="BF55" i="121"/>
  <c r="BF3" i="121"/>
  <c r="BK9" i="121"/>
  <c r="BA15" i="121"/>
  <c r="BI17" i="118"/>
  <c r="AZ32" i="118"/>
  <c r="BJ15" i="118"/>
  <c r="BD27" i="118"/>
  <c r="BH28" i="118"/>
  <c r="BJ23" i="118"/>
  <c r="BA67" i="118"/>
  <c r="BA51" i="121"/>
  <c r="BG39" i="121"/>
  <c r="BI42" i="121"/>
  <c r="BH53" i="121"/>
  <c r="AZ24" i="118"/>
  <c r="BG69" i="118"/>
  <c r="BE29" i="118"/>
  <c r="BB8" i="118"/>
  <c r="BC48" i="118"/>
  <c r="BA32" i="118"/>
  <c r="BD16" i="118"/>
  <c r="BF64" i="118"/>
  <c r="BI23" i="121"/>
  <c r="BE15" i="121"/>
  <c r="BH31" i="121"/>
  <c r="BD56" i="121"/>
  <c r="BD45" i="118"/>
  <c r="BA8" i="118"/>
  <c r="BB25" i="118"/>
  <c r="BC8" i="118"/>
  <c r="BK46" i="118"/>
  <c r="BI25" i="118"/>
  <c r="BE16" i="118"/>
  <c r="BJ57" i="118"/>
  <c r="BB14" i="121"/>
  <c r="BH30" i="121"/>
  <c r="BC15" i="121"/>
  <c r="AZ19" i="121"/>
  <c r="BG23" i="121"/>
  <c r="BK53" i="118"/>
  <c r="BK18" i="118"/>
  <c r="BF61" i="118"/>
  <c r="BG39" i="118"/>
  <c r="BG15" i="118"/>
  <c r="BI71" i="118"/>
  <c r="BI70" i="118" s="1"/>
  <c r="BJ43" i="118"/>
  <c r="BB16" i="118"/>
  <c r="BF69" i="108"/>
  <c r="BA29" i="108"/>
  <c r="BG26" i="108"/>
  <c r="BG36" i="108"/>
  <c r="BF23" i="108"/>
  <c r="BJ43" i="108"/>
  <c r="BE45" i="108"/>
  <c r="BG43" i="108"/>
  <c r="AZ44" i="108"/>
  <c r="BG59" i="108"/>
  <c r="BA10" i="108"/>
  <c r="BA23" i="108"/>
  <c r="BC31" i="108"/>
  <c r="BB48" i="108"/>
  <c r="BJ29" i="108"/>
  <c r="BC59" i="108"/>
  <c r="BJ51" i="108"/>
  <c r="BC73" i="108"/>
  <c r="BC72" i="108" s="1"/>
  <c r="BI71" i="108"/>
  <c r="BI70" i="108" s="1"/>
  <c r="BK48" i="108"/>
  <c r="BI67" i="112"/>
  <c r="BE54" i="107"/>
  <c r="BH17" i="108"/>
  <c r="BK51" i="108"/>
  <c r="BI17" i="108"/>
  <c r="BA32" i="108"/>
  <c r="AZ48" i="108"/>
  <c r="BG54" i="108"/>
  <c r="BH34" i="108"/>
  <c r="BF35" i="108"/>
  <c r="BB57" i="108"/>
  <c r="BG69" i="108"/>
  <c r="BC66" i="108"/>
  <c r="BH14" i="108"/>
  <c r="BC23" i="108"/>
  <c r="BF44" i="108"/>
  <c r="BI24" i="108"/>
  <c r="BH78" i="108"/>
  <c r="BJ69" i="108"/>
  <c r="BC16" i="108"/>
  <c r="BJ13" i="108"/>
  <c r="AZ37" i="108"/>
  <c r="BJ28" i="108"/>
  <c r="BD41" i="108"/>
  <c r="BE32" i="108"/>
  <c r="BD4" i="108"/>
  <c r="BF28" i="108"/>
  <c r="BH18" i="108"/>
  <c r="BF9" i="108"/>
  <c r="BJ23" i="108"/>
  <c r="BE13" i="108"/>
  <c r="BK35" i="108"/>
  <c r="BE57" i="108"/>
  <c r="BA25" i="108"/>
  <c r="BA48" i="108"/>
  <c r="BF51" i="108"/>
  <c r="BB3" i="108"/>
  <c r="BK4" i="108"/>
  <c r="BA11" i="108"/>
  <c r="BG35" i="108"/>
  <c r="AZ17" i="108"/>
  <c r="BH37" i="108"/>
  <c r="BK3" i="108"/>
  <c r="BB73" i="108"/>
  <c r="BB72" i="108" s="1"/>
  <c r="BC56" i="108"/>
  <c r="AZ53" i="108"/>
  <c r="BE42" i="108"/>
  <c r="BD55" i="108"/>
  <c r="BC64" i="108"/>
  <c r="BF59" i="108"/>
  <c r="BI14" i="108"/>
  <c r="BI73" i="108"/>
  <c r="BI72" i="108" s="1"/>
  <c r="BA30" i="108"/>
  <c r="BK59" i="108"/>
  <c r="BB16" i="108"/>
  <c r="BF41" i="108"/>
  <c r="BD38" i="108"/>
  <c r="BJ53" i="108"/>
  <c r="BC11" i="108"/>
  <c r="BJ64" i="108"/>
  <c r="BA26" i="108"/>
  <c r="BH4" i="108"/>
  <c r="BE28" i="108"/>
  <c r="BD10" i="108"/>
  <c r="BI36" i="108"/>
  <c r="BA9" i="108"/>
  <c r="BF39" i="108"/>
  <c r="BH44" i="108"/>
  <c r="BK10" i="108"/>
  <c r="BA35" i="108"/>
  <c r="BJ55" i="108"/>
  <c r="BG78" i="108"/>
  <c r="BG67" i="108"/>
  <c r="BD49" i="108"/>
  <c r="BC61" i="108"/>
  <c r="BK32" i="108"/>
  <c r="AZ64" i="108"/>
  <c r="BK63" i="108"/>
  <c r="BD19" i="108"/>
  <c r="AZ24" i="108"/>
  <c r="BB54" i="108"/>
  <c r="BF36" i="108"/>
  <c r="BH69" i="108"/>
  <c r="AZ52" i="108"/>
  <c r="BF3" i="108"/>
  <c r="BJ41" i="108"/>
  <c r="AZ34" i="108"/>
  <c r="BD25" i="108"/>
  <c r="BG63" i="108"/>
  <c r="BI51" i="108"/>
  <c r="BK42" i="108"/>
  <c r="BA64" i="108"/>
  <c r="BK34" i="108"/>
  <c r="BB30" i="108"/>
  <c r="BE41" i="108"/>
  <c r="BE23" i="108"/>
  <c r="BF20" i="108"/>
  <c r="BE59" i="108"/>
  <c r="BA51" i="108"/>
  <c r="BH8" i="108"/>
  <c r="BI19" i="108"/>
  <c r="BA31" i="108"/>
  <c r="BB40" i="108"/>
  <c r="BG56" i="108"/>
  <c r="BC35" i="108"/>
  <c r="BK56" i="108"/>
  <c r="BC43" i="108"/>
  <c r="BA46" i="108"/>
  <c r="BE19" i="108"/>
  <c r="BJ63" i="108"/>
  <c r="BJ49" i="108"/>
  <c r="AZ18" i="102"/>
  <c r="BB14" i="111"/>
  <c r="BB73" i="112"/>
  <c r="BB72" i="112" s="1"/>
  <c r="BH55" i="102"/>
  <c r="BF26" i="102"/>
  <c r="BB49" i="102"/>
  <c r="BI64" i="112"/>
  <c r="BE21" i="112"/>
  <c r="BG49" i="112"/>
  <c r="BA44" i="112"/>
  <c r="BE63" i="112"/>
  <c r="BI48" i="112"/>
  <c r="BG61" i="111"/>
  <c r="BD16" i="107"/>
  <c r="BE46" i="107"/>
  <c r="BF42" i="107"/>
  <c r="BH8" i="102"/>
  <c r="BF35" i="111"/>
  <c r="BK9" i="102"/>
  <c r="BJ67" i="102"/>
  <c r="BB38" i="102"/>
  <c r="BC71" i="102"/>
  <c r="BC70" i="102" s="1"/>
  <c r="BG51" i="102"/>
  <c r="BA56" i="102"/>
  <c r="AZ27" i="102"/>
  <c r="BK16" i="111"/>
  <c r="BE4" i="107"/>
  <c r="BB57" i="107"/>
  <c r="BG66" i="107"/>
  <c r="BB4" i="107"/>
  <c r="BB49" i="107"/>
  <c r="BB31" i="107"/>
  <c r="BE11" i="107"/>
  <c r="BB58" i="107"/>
  <c r="BE40" i="107"/>
  <c r="BC24" i="107"/>
  <c r="BA4" i="107"/>
  <c r="BH53" i="107"/>
  <c r="BK35" i="107"/>
  <c r="BC15" i="107"/>
  <c r="BH63" i="107"/>
  <c r="BH51" i="107"/>
  <c r="BH39" i="107"/>
  <c r="BD57" i="107"/>
  <c r="BA53" i="107"/>
  <c r="BH38" i="107"/>
  <c r="BK42" i="107"/>
  <c r="BA37" i="107"/>
  <c r="BA19" i="107"/>
  <c r="BA66" i="107"/>
  <c r="BB45" i="107"/>
  <c r="AZ28" i="107"/>
  <c r="BH11" i="107"/>
  <c r="BE58" i="107"/>
  <c r="BI41" i="107"/>
  <c r="BH21" i="107"/>
  <c r="BJ71" i="107"/>
  <c r="BJ70" i="107" s="1"/>
  <c r="BF34" i="107"/>
  <c r="BA46" i="107"/>
  <c r="BC34" i="107"/>
  <c r="BE27" i="107"/>
  <c r="BD41" i="107"/>
  <c r="BA24" i="107"/>
  <c r="BG4" i="107"/>
  <c r="BD52" i="107"/>
  <c r="BA35" i="107"/>
  <c r="BJ16" i="107"/>
  <c r="BB69" i="107"/>
  <c r="BE45" i="107"/>
  <c r="BB29" i="107"/>
  <c r="BH17" i="107"/>
  <c r="BF28" i="107"/>
  <c r="BJ67" i="107"/>
  <c r="AZ58" i="107"/>
  <c r="BI46" i="107"/>
  <c r="BE29" i="107"/>
  <c r="BF13" i="107"/>
  <c r="BK58" i="107"/>
  <c r="BG41" i="107"/>
  <c r="BK23" i="107"/>
  <c r="BJ4" i="107"/>
  <c r="BI53" i="107"/>
  <c r="BK34" i="107"/>
  <c r="BB66" i="107"/>
  <c r="BF11" i="107"/>
  <c r="BD34" i="107"/>
  <c r="BJ52" i="107"/>
  <c r="BA36" i="107"/>
  <c r="BJ18" i="107"/>
  <c r="BE67" i="107"/>
  <c r="BC45" i="107"/>
  <c r="BI28" i="107"/>
  <c r="BI11" i="107"/>
  <c r="BF58" i="107"/>
  <c r="BI40" i="107"/>
  <c r="AZ37" i="107"/>
  <c r="BA20" i="107"/>
  <c r="BH66" i="107"/>
  <c r="BB46" i="107"/>
  <c r="BF29" i="107"/>
  <c r="BH14" i="107"/>
  <c r="AZ59" i="107"/>
  <c r="AZ42" i="107"/>
  <c r="BE25" i="107"/>
  <c r="BC4" i="107"/>
  <c r="BH52" i="107"/>
  <c r="BB44" i="107"/>
  <c r="BC58" i="107"/>
  <c r="BE16" i="107"/>
  <c r="BD13" i="107"/>
  <c r="BI58" i="107"/>
  <c r="BD40" i="107"/>
  <c r="BB24" i="107"/>
  <c r="BH4" i="107"/>
  <c r="BG53" i="107"/>
  <c r="BB35" i="107"/>
  <c r="BK16" i="107"/>
  <c r="AZ67" i="107"/>
  <c r="BE44" i="107"/>
  <c r="BJ27" i="107"/>
  <c r="BF40" i="107"/>
  <c r="BJ64" i="107"/>
  <c r="BH19" i="107"/>
  <c r="AZ66" i="107"/>
  <c r="BI45" i="107"/>
  <c r="BG28" i="107"/>
  <c r="AZ14" i="107"/>
  <c r="BD58" i="107"/>
  <c r="BH41" i="107"/>
  <c r="BE24" i="107"/>
  <c r="BD3" i="107"/>
  <c r="AZ52" i="107"/>
  <c r="AZ25" i="107"/>
  <c r="BH9" i="107"/>
  <c r="BJ40" i="107"/>
  <c r="BE14" i="107"/>
  <c r="BF4" i="107"/>
  <c r="BJ58" i="107"/>
  <c r="BJ45" i="107"/>
  <c r="BI35" i="107"/>
  <c r="BD24" i="107"/>
  <c r="BA13" i="107"/>
  <c r="BH67" i="107"/>
  <c r="BC57" i="107"/>
  <c r="BG3" i="107"/>
  <c r="BH56" i="107"/>
  <c r="BD28" i="107"/>
  <c r="BH25" i="107"/>
  <c r="BE13" i="107"/>
  <c r="BI66" i="107"/>
  <c r="BF53" i="107"/>
  <c r="BG42" i="107"/>
  <c r="AZ29" i="107"/>
  <c r="BC17" i="107"/>
  <c r="BE10" i="107"/>
  <c r="BA64" i="107"/>
  <c r="BC23" i="107"/>
  <c r="BH35" i="107"/>
  <c r="BK53" i="107"/>
  <c r="BI37" i="107"/>
  <c r="BI24" i="107"/>
  <c r="BG14" i="107"/>
  <c r="AZ69" i="107"/>
  <c r="AZ54" i="107"/>
  <c r="BD45" i="107"/>
  <c r="BE36" i="107"/>
  <c r="BE23" i="107"/>
  <c r="BB30" i="107"/>
  <c r="BC18" i="107"/>
  <c r="BJ49" i="107"/>
  <c r="BD42" i="107"/>
  <c r="BD30" i="107"/>
  <c r="BB19" i="107"/>
  <c r="BF67" i="107"/>
  <c r="BA54" i="107"/>
  <c r="BA42" i="107"/>
  <c r="BJ29" i="107"/>
  <c r="BD10" i="107"/>
  <c r="BK66" i="107"/>
  <c r="BA39" i="107"/>
  <c r="BK29" i="107"/>
  <c r="BB48" i="107"/>
  <c r="BI36" i="107"/>
  <c r="BJ24" i="107"/>
  <c r="BK18" i="107"/>
  <c r="BI4" i="107"/>
  <c r="BA59" i="107"/>
  <c r="BF46" i="107"/>
  <c r="BD35" i="107"/>
  <c r="BK44" i="107"/>
  <c r="BJ31" i="107"/>
  <c r="BF41" i="107"/>
  <c r="BJ69" i="107"/>
  <c r="BA73" i="107"/>
  <c r="BA72" i="107" s="1"/>
  <c r="BG61" i="107"/>
  <c r="BD53" i="107"/>
  <c r="BG59" i="107"/>
  <c r="BH58" i="107"/>
  <c r="BD54" i="107"/>
  <c r="BA38" i="107"/>
  <c r="BB20" i="107"/>
  <c r="BD67" i="107"/>
  <c r="BC46" i="107"/>
  <c r="BG29" i="107"/>
  <c r="BH13" i="107"/>
  <c r="BI59" i="107"/>
  <c r="BI42" i="107"/>
  <c r="BF24" i="107"/>
  <c r="BI73" i="107"/>
  <c r="BI72" i="107" s="1"/>
  <c r="BA9" i="107"/>
  <c r="BC31" i="107"/>
  <c r="BB61" i="107"/>
  <c r="BC52" i="107"/>
  <c r="BE59" i="107"/>
  <c r="BK24" i="107"/>
  <c r="AZ30" i="107"/>
  <c r="BI21" i="107"/>
  <c r="BI31" i="107"/>
  <c r="BE78" i="107"/>
  <c r="BA25" i="107"/>
  <c r="BE8" i="107"/>
  <c r="BG54" i="107"/>
  <c r="BC36" i="107"/>
  <c r="BJ17" i="107"/>
  <c r="AZ71" i="107"/>
  <c r="AZ70" i="107" s="1"/>
  <c r="BG48" i="107"/>
  <c r="BA30" i="107"/>
  <c r="BJ48" i="107"/>
  <c r="AZ78" i="107"/>
  <c r="BI29" i="107"/>
  <c r="BD14" i="107"/>
  <c r="BI19" i="107"/>
  <c r="BH28" i="107"/>
  <c r="BB54" i="107"/>
  <c r="BE69" i="107"/>
  <c r="BG15" i="107"/>
  <c r="BD25" i="107"/>
  <c r="BE41" i="107"/>
  <c r="BK45" i="107"/>
  <c r="BB59" i="107"/>
  <c r="BD4" i="107"/>
  <c r="BK52" i="107"/>
  <c r="AZ13" i="107"/>
  <c r="BK15" i="107"/>
  <c r="BJ30" i="107"/>
  <c r="BE15" i="107"/>
  <c r="AZ61" i="107"/>
  <c r="BE42" i="107"/>
  <c r="BB25" i="107"/>
  <c r="BF8" i="107"/>
  <c r="BH54" i="107"/>
  <c r="BD36" i="107"/>
  <c r="BK17" i="107"/>
  <c r="BC69" i="107"/>
  <c r="BG46" i="107"/>
  <c r="BI20" i="107"/>
  <c r="BJ46" i="107"/>
  <c r="AZ15" i="107"/>
  <c r="BH42" i="107"/>
  <c r="BK4" i="107"/>
  <c r="BD59" i="107"/>
  <c r="BB17" i="107"/>
  <c r="BB41" i="107"/>
  <c r="BK41" i="107"/>
  <c r="BC67" i="107"/>
  <c r="BE30" i="107"/>
  <c r="BH59" i="107"/>
  <c r="BD26" i="107"/>
  <c r="BB53" i="107"/>
  <c r="BD67" i="111"/>
  <c r="BD21" i="112"/>
  <c r="BK37" i="102"/>
  <c r="BK19" i="102"/>
  <c r="BC21" i="112"/>
  <c r="BD63" i="112"/>
  <c r="BE36" i="112"/>
  <c r="BD30" i="112"/>
  <c r="BA21" i="112"/>
  <c r="BJ37" i="112"/>
  <c r="BB11" i="107"/>
  <c r="BH29" i="107"/>
  <c r="BJ36" i="107"/>
  <c r="BA32" i="107"/>
  <c r="BI37" i="111"/>
  <c r="BB45" i="111"/>
  <c r="BD19" i="102"/>
  <c r="BJ27" i="102"/>
  <c r="BH23" i="102"/>
  <c r="BI39" i="102"/>
  <c r="BB13" i="102"/>
  <c r="BK49" i="102"/>
  <c r="BH28" i="112"/>
  <c r="BE45" i="124"/>
  <c r="BH27" i="124"/>
  <c r="AZ48" i="124"/>
  <c r="BI54" i="124"/>
  <c r="BI16" i="124"/>
  <c r="BD36" i="124"/>
  <c r="BG27" i="124"/>
  <c r="BJ19" i="124"/>
  <c r="BA48" i="124"/>
  <c r="BD18" i="124"/>
  <c r="BD63" i="124"/>
  <c r="BE37" i="124"/>
  <c r="BA53" i="124"/>
  <c r="BA3" i="124"/>
  <c r="BK28" i="124"/>
  <c r="AZ19" i="124"/>
  <c r="BB42" i="124"/>
  <c r="BB36" i="124"/>
  <c r="BG9" i="124"/>
  <c r="BC43" i="124"/>
  <c r="BH49" i="124"/>
  <c r="BA44" i="124"/>
  <c r="AZ37" i="102"/>
  <c r="BG49" i="102"/>
  <c r="BJ31" i="102"/>
  <c r="BG8" i="102"/>
  <c r="BA26" i="102"/>
  <c r="AZ54" i="102"/>
  <c r="BB55" i="102"/>
  <c r="BA28" i="102"/>
  <c r="BH53" i="102"/>
  <c r="BI16" i="102"/>
  <c r="BC14" i="102"/>
  <c r="BJ19" i="102"/>
  <c r="BC61" i="102"/>
  <c r="BA21" i="102"/>
  <c r="BH48" i="102"/>
  <c r="BF45" i="102"/>
  <c r="BI73" i="102"/>
  <c r="BI72" i="102" s="1"/>
  <c r="AZ23" i="102"/>
  <c r="BG20" i="102"/>
  <c r="BD59" i="102"/>
  <c r="BK11" i="102"/>
  <c r="AZ8" i="102"/>
  <c r="BA41" i="102"/>
  <c r="BA40" i="102"/>
  <c r="BJ14" i="102"/>
  <c r="BG23" i="102"/>
  <c r="BB14" i="102"/>
  <c r="BC41" i="102"/>
  <c r="BK73" i="102"/>
  <c r="BK72" i="102" s="1"/>
  <c r="BG25" i="102"/>
  <c r="BK40" i="102"/>
  <c r="BF27" i="102"/>
  <c r="BF63" i="102"/>
  <c r="BJ69" i="102"/>
  <c r="BH24" i="102"/>
  <c r="BH3" i="102"/>
  <c r="BE15" i="102"/>
  <c r="BI30" i="102"/>
  <c r="BI9" i="102"/>
  <c r="BI59" i="102"/>
  <c r="BA16" i="102"/>
  <c r="BF13" i="102"/>
  <c r="BE43" i="102"/>
  <c r="BF40" i="102"/>
  <c r="BF19" i="102"/>
  <c r="AZ55" i="102"/>
  <c r="BJ53" i="102"/>
  <c r="BE17" i="102"/>
  <c r="BB21" i="102"/>
  <c r="AZ38" i="102"/>
  <c r="BK13" i="102"/>
  <c r="BG43" i="102"/>
  <c r="BE16" i="102"/>
  <c r="BJ4" i="102"/>
  <c r="BD43" i="102"/>
  <c r="BB52" i="102"/>
  <c r="BF44" i="102"/>
  <c r="BE18" i="102"/>
  <c r="BA18" i="102"/>
  <c r="BD73" i="102"/>
  <c r="BD72" i="102" s="1"/>
  <c r="BH78" i="102"/>
  <c r="BD51" i="102"/>
  <c r="BC51" i="102"/>
  <c r="BD23" i="102"/>
  <c r="BH32" i="102"/>
  <c r="BK17" i="102"/>
  <c r="BC10" i="102"/>
  <c r="BI56" i="102"/>
  <c r="BB37" i="102"/>
  <c r="BI28" i="102"/>
  <c r="AZ53" i="102"/>
  <c r="BK41" i="102"/>
  <c r="BD28" i="102"/>
  <c r="BG37" i="102"/>
  <c r="BA38" i="102"/>
  <c r="BA67" i="102"/>
  <c r="BC30" i="102"/>
  <c r="BG31" i="102"/>
  <c r="BH61" i="102"/>
  <c r="BH36" i="102"/>
  <c r="BI42" i="102"/>
  <c r="BC69" i="102"/>
  <c r="BC40" i="102"/>
  <c r="BC66" i="102"/>
  <c r="BK55" i="102"/>
  <c r="BE29" i="102"/>
  <c r="BD38" i="102"/>
  <c r="BC67" i="102"/>
  <c r="BG39" i="102"/>
  <c r="BF29" i="102"/>
  <c r="BJ23" i="102"/>
  <c r="BD56" i="102"/>
  <c r="BB48" i="102"/>
  <c r="BE67" i="102"/>
  <c r="BB58" i="102"/>
  <c r="BD27" i="102"/>
  <c r="BC42" i="102"/>
  <c r="BG63" i="102"/>
  <c r="BH26" i="102"/>
  <c r="BD58" i="102"/>
  <c r="BD29" i="102"/>
  <c r="BJ35" i="102"/>
  <c r="AZ49" i="102"/>
  <c r="BA73" i="102"/>
  <c r="BA72" i="102" s="1"/>
  <c r="BJ30" i="102"/>
  <c r="BA53" i="102"/>
  <c r="BI32" i="102"/>
  <c r="BB59" i="102"/>
  <c r="BC78" i="102"/>
  <c r="BH4" i="102"/>
  <c r="BA23" i="102"/>
  <c r="AZ78" i="102"/>
  <c r="BE38" i="102"/>
  <c r="BG44" i="102"/>
  <c r="BH39" i="102"/>
  <c r="BA11" i="102"/>
  <c r="BK78" i="102"/>
  <c r="BA61" i="102"/>
  <c r="BA36" i="102"/>
  <c r="BK42" i="102"/>
  <c r="BC4" i="102"/>
  <c r="BE40" i="102"/>
  <c r="BB17" i="102"/>
  <c r="BK57" i="102"/>
  <c r="BH73" i="102"/>
  <c r="BH72" i="102" s="1"/>
  <c r="AZ42" i="102"/>
  <c r="BK48" i="102"/>
  <c r="BD9" i="102"/>
  <c r="BK45" i="102"/>
  <c r="BG46" i="102"/>
  <c r="BH63" i="102"/>
  <c r="BI46" i="102"/>
  <c r="BK3" i="102"/>
  <c r="BD39" i="102"/>
  <c r="BA4" i="102"/>
  <c r="BF73" i="102"/>
  <c r="BF72" i="102" s="1"/>
  <c r="BG56" i="102"/>
  <c r="BJ49" i="102"/>
  <c r="BD66" i="102"/>
  <c r="BI38" i="102"/>
  <c r="BB78" i="102"/>
  <c r="BJ78" i="102"/>
  <c r="BD64" i="102"/>
  <c r="AZ58" i="102"/>
  <c r="BH15" i="102"/>
  <c r="BC44" i="102"/>
  <c r="BG35" i="102"/>
  <c r="BK26" i="102"/>
  <c r="BG55" i="102"/>
  <c r="BF11" i="102"/>
  <c r="BD37" i="102"/>
  <c r="BF15" i="102"/>
  <c r="BF32" i="102"/>
  <c r="BC25" i="102"/>
  <c r="BB41" i="102"/>
  <c r="AZ44" i="102"/>
  <c r="BH46" i="102"/>
  <c r="BE53" i="102"/>
  <c r="BF9" i="102"/>
  <c r="BB18" i="102"/>
  <c r="BG64" i="102"/>
  <c r="BH30" i="102"/>
  <c r="BA37" i="102"/>
  <c r="BC58" i="102"/>
  <c r="BB69" i="102"/>
  <c r="BB40" i="102"/>
  <c r="BF48" i="102"/>
  <c r="BG24" i="102"/>
  <c r="BK29" i="102"/>
  <c r="BC56" i="102"/>
  <c r="BB31" i="102"/>
  <c r="BI19" i="102"/>
  <c r="BD46" i="102"/>
  <c r="BD44" i="102"/>
  <c r="BE35" i="102"/>
  <c r="BC18" i="102"/>
  <c r="BJ54" i="102"/>
  <c r="BI15" i="102"/>
  <c r="BC23" i="102"/>
  <c r="BF49" i="102"/>
  <c r="BD25" i="102"/>
  <c r="BB36" i="102"/>
  <c r="BG48" i="102"/>
  <c r="BH20" i="102"/>
  <c r="BC28" i="102"/>
  <c r="BI43" i="102"/>
  <c r="BC19" i="102"/>
  <c r="BF36" i="102"/>
  <c r="BF69" i="102"/>
  <c r="BB42" i="102"/>
  <c r="BE48" i="102"/>
  <c r="BD14" i="102"/>
  <c r="BB45" i="102"/>
  <c r="BD24" i="102"/>
  <c r="AZ57" i="102"/>
  <c r="BB9" i="102"/>
  <c r="BD36" i="102"/>
  <c r="BE78" i="102"/>
  <c r="BJ73" i="102"/>
  <c r="BJ72" i="102" s="1"/>
  <c r="BA42" i="102"/>
  <c r="BA15" i="102"/>
  <c r="BH66" i="102"/>
  <c r="BE51" i="102"/>
  <c r="BI10" i="102"/>
  <c r="BI52" i="102"/>
  <c r="BI4" i="102"/>
  <c r="BE20" i="102"/>
  <c r="BE57" i="102"/>
  <c r="BH17" i="102"/>
  <c r="BJ58" i="102"/>
  <c r="BA30" i="102"/>
  <c r="BE28" i="102"/>
  <c r="BF3" i="102"/>
  <c r="BB67" i="102"/>
  <c r="BK21" i="102"/>
  <c r="BK51" i="102"/>
  <c r="BI57" i="102"/>
  <c r="BE14" i="102"/>
  <c r="BI41" i="102"/>
  <c r="BJ25" i="102"/>
  <c r="BF71" i="102"/>
  <c r="BF70" i="102" s="1"/>
  <c r="BD10" i="102"/>
  <c r="BH19" i="102"/>
  <c r="BG53" i="102"/>
  <c r="BF23" i="102"/>
  <c r="BC16" i="102"/>
  <c r="BD54" i="102"/>
  <c r="AZ61" i="102"/>
  <c r="BJ59" i="102"/>
  <c r="BJ55" i="102"/>
  <c r="BH49" i="102"/>
  <c r="BI35" i="102"/>
  <c r="BF21" i="102"/>
  <c r="BF31" i="102"/>
  <c r="BF56" i="102"/>
  <c r="BF37" i="102"/>
  <c r="BJ26" i="102"/>
  <c r="BB30" i="102"/>
  <c r="BH37" i="102"/>
  <c r="BB57" i="102"/>
  <c r="BB15" i="102"/>
  <c r="BK38" i="102"/>
  <c r="BK67" i="102"/>
  <c r="BB64" i="102"/>
  <c r="BE73" i="102"/>
  <c r="BE72" i="102" s="1"/>
  <c r="BE56" i="102"/>
  <c r="BI31" i="102"/>
  <c r="BF41" i="102"/>
  <c r="BE42" i="102"/>
  <c r="BD15" i="102"/>
  <c r="AZ11" i="102"/>
  <c r="BJ64" i="102"/>
  <c r="AZ56" i="102"/>
  <c r="AZ71" i="102"/>
  <c r="AZ70" i="102" s="1"/>
  <c r="BH25" i="102"/>
  <c r="BK18" i="102"/>
  <c r="BB16" i="102"/>
  <c r="BF43" i="102"/>
  <c r="BI8" i="102"/>
  <c r="BF34" i="102"/>
  <c r="BJ9" i="102"/>
  <c r="BF17" i="102"/>
  <c r="BK35" i="102"/>
  <c r="BB56" i="102"/>
  <c r="BC38" i="102"/>
  <c r="AZ52" i="102"/>
  <c r="BG21" i="102"/>
  <c r="BB43" i="102"/>
  <c r="BA32" i="102"/>
  <c r="BK14" i="102"/>
  <c r="BF57" i="102"/>
  <c r="BA25" i="102"/>
  <c r="BH9" i="102"/>
  <c r="BG34" i="102"/>
  <c r="BI58" i="102"/>
  <c r="BH29" i="102"/>
  <c r="BJ13" i="102"/>
  <c r="BD67" i="102"/>
  <c r="BI34" i="102"/>
  <c r="BA13" i="102"/>
  <c r="BG4" i="102"/>
  <c r="BJ16" i="102"/>
  <c r="BA78" i="102"/>
  <c r="BD49" i="102"/>
  <c r="BB3" i="102"/>
  <c r="BH57" i="102"/>
  <c r="BH52" i="102"/>
  <c r="BE66" i="102"/>
  <c r="BJ11" i="102"/>
  <c r="BJ40" i="102"/>
  <c r="BA35" i="102"/>
  <c r="BC29" i="102"/>
  <c r="BB34" i="102"/>
  <c r="BA8" i="102"/>
  <c r="BC11" i="102"/>
  <c r="BC3" i="102"/>
  <c r="BK66" i="102"/>
  <c r="BH41" i="102"/>
  <c r="AZ26" i="102"/>
  <c r="AZ31" i="102"/>
  <c r="BD26" i="102"/>
  <c r="BI3" i="102"/>
  <c r="BE71" i="102"/>
  <c r="BE70" i="102" s="1"/>
  <c r="BJ29" i="102"/>
  <c r="BH35" i="102"/>
  <c r="BK58" i="102"/>
  <c r="BF30" i="102"/>
  <c r="BF67" i="102"/>
  <c r="BE49" i="102"/>
  <c r="AZ35" i="102"/>
  <c r="BF38" i="102"/>
  <c r="BC64" i="102"/>
  <c r="BF55" i="102"/>
  <c r="BE63" i="102"/>
  <c r="BI49" i="102"/>
  <c r="BC24" i="102"/>
  <c r="BJ61" i="102"/>
  <c r="BG16" i="102"/>
  <c r="BE64" i="102"/>
  <c r="BB51" i="102"/>
  <c r="AZ69" i="102"/>
  <c r="BK69" i="102"/>
  <c r="BJ20" i="102"/>
  <c r="BK20" i="102"/>
  <c r="BC8" i="102"/>
  <c r="BG18" i="102"/>
  <c r="BK15" i="102"/>
  <c r="BA27" i="102"/>
  <c r="BJ63" i="102"/>
  <c r="BH27" i="102"/>
  <c r="BF10" i="102"/>
  <c r="BB29" i="102"/>
  <c r="BA64" i="102"/>
  <c r="BK30" i="102"/>
  <c r="BK63" i="102"/>
  <c r="BF78" i="102"/>
  <c r="BA17" i="102"/>
  <c r="BA3" i="102"/>
  <c r="BF66" i="102"/>
  <c r="BH11" i="102"/>
  <c r="BF35" i="102"/>
  <c r="BA49" i="102"/>
  <c r="BJ3" i="102"/>
  <c r="BA57" i="102"/>
  <c r="BK52" i="102"/>
  <c r="BI26" i="102"/>
  <c r="BF25" i="102"/>
  <c r="BG10" i="102"/>
  <c r="BF64" i="102"/>
  <c r="BH69" i="102"/>
  <c r="BI48" i="102"/>
  <c r="BA43" i="102"/>
  <c r="BK10" i="102"/>
  <c r="BC27" i="102"/>
  <c r="BA51" i="102"/>
  <c r="BE44" i="102"/>
  <c r="BC20" i="102"/>
  <c r="BD57" i="102"/>
  <c r="BD52" i="102"/>
  <c r="BC54" i="102"/>
  <c r="BD8" i="102"/>
  <c r="AZ51" i="102"/>
  <c r="BB23" i="102"/>
  <c r="BC49" i="102"/>
  <c r="BJ51" i="102"/>
  <c r="BJ43" i="102"/>
  <c r="BF20" i="102"/>
  <c r="BI18" i="102"/>
  <c r="BK64" i="102"/>
  <c r="BJ24" i="102"/>
  <c r="BB10" i="102"/>
  <c r="BG28" i="102"/>
  <c r="BH13" i="102"/>
  <c r="BJ39" i="102"/>
  <c r="AZ46" i="102"/>
  <c r="BG78" i="102"/>
  <c r="BI23" i="102"/>
  <c r="BI11" i="102"/>
  <c r="BD71" i="102"/>
  <c r="BD70" i="102" s="1"/>
  <c r="BC73" i="102"/>
  <c r="BC72" i="102" s="1"/>
  <c r="BA66" i="102"/>
  <c r="BG69" i="102"/>
  <c r="AZ67" i="102"/>
  <c r="BC15" i="102"/>
  <c r="BK36" i="102"/>
  <c r="AZ13" i="102"/>
  <c r="BH43" i="102"/>
  <c r="BA58" i="102"/>
  <c r="BK43" i="102"/>
  <c r="BF51" i="102"/>
  <c r="BA52" i="102"/>
  <c r="BA59" i="102"/>
  <c r="BK56" i="102"/>
  <c r="BC43" i="102"/>
  <c r="BA29" i="102"/>
  <c r="BD42" i="102"/>
  <c r="BH64" i="102"/>
  <c r="BJ38" i="102"/>
  <c r="BE19" i="102"/>
  <c r="BD63" i="102"/>
  <c r="BJ18" i="102"/>
  <c r="AZ45" i="102"/>
  <c r="BF53" i="102"/>
  <c r="BG71" i="102"/>
  <c r="BG70" i="102" s="1"/>
  <c r="AZ10" i="102"/>
  <c r="BA45" i="102"/>
  <c r="BI66" i="102"/>
  <c r="BF59" i="102"/>
  <c r="BH59" i="102"/>
  <c r="BF58" i="102"/>
  <c r="BK32" i="102"/>
  <c r="BI25" i="102"/>
  <c r="BH10" i="103"/>
  <c r="BC34" i="103"/>
  <c r="BB46" i="103"/>
  <c r="BC18" i="103"/>
  <c r="BA4" i="112"/>
  <c r="BF36" i="107"/>
  <c r="BI17" i="102"/>
  <c r="BE37" i="102"/>
  <c r="BE14" i="112"/>
  <c r="BJ30" i="112"/>
  <c r="BJ21" i="102"/>
  <c r="BD78" i="102"/>
  <c r="BG66" i="102"/>
  <c r="BD30" i="102"/>
  <c r="BI44" i="102"/>
  <c r="BC36" i="102"/>
  <c r="BJ56" i="102"/>
  <c r="BK42" i="112"/>
  <c r="BF37" i="112"/>
  <c r="BC48" i="112"/>
  <c r="BJ59" i="107"/>
  <c r="BJ19" i="107"/>
  <c r="BA11" i="111"/>
  <c r="BF58" i="111"/>
  <c r="BK54" i="112"/>
  <c r="BK32" i="112"/>
  <c r="BB29" i="112"/>
  <c r="BB17" i="112"/>
  <c r="BC71" i="112"/>
  <c r="BC70" i="112" s="1"/>
  <c r="BJ54" i="107"/>
  <c r="BA69" i="107"/>
  <c r="BF59" i="107"/>
  <c r="BK8" i="107"/>
  <c r="BJ57" i="111"/>
  <c r="BE52" i="102"/>
  <c r="BA61" i="111"/>
  <c r="BC34" i="102"/>
  <c r="BJ34" i="102"/>
  <c r="BH56" i="102"/>
  <c r="BB19" i="102"/>
  <c r="BD55" i="102"/>
  <c r="AZ39" i="102"/>
  <c r="BE36" i="102"/>
  <c r="BC38" i="111"/>
  <c r="BG15" i="102"/>
  <c r="BD40" i="112"/>
  <c r="BB55" i="112"/>
  <c r="BK36" i="112"/>
  <c r="BJ8" i="112"/>
  <c r="AZ8" i="112"/>
  <c r="BK18" i="112"/>
  <c r="BB58" i="112"/>
  <c r="BE25" i="112"/>
  <c r="BE41" i="112"/>
  <c r="BI49" i="112"/>
  <c r="BH58" i="112"/>
  <c r="BJ36" i="112"/>
  <c r="BB54" i="112"/>
  <c r="BB66" i="112"/>
  <c r="BI58" i="112"/>
  <c r="BJ57" i="112"/>
  <c r="BI71" i="112"/>
  <c r="BI70" i="112" s="1"/>
  <c r="BH3" i="112"/>
  <c r="BD11" i="112"/>
  <c r="AZ26" i="112"/>
  <c r="BG69" i="112"/>
  <c r="BJ43" i="112"/>
  <c r="BK28" i="112"/>
  <c r="BE51" i="112"/>
  <c r="BI37" i="112"/>
  <c r="BK51" i="112"/>
  <c r="BI41" i="112"/>
  <c r="BF51" i="112"/>
  <c r="BH54" i="112"/>
  <c r="BI59" i="112"/>
  <c r="AZ11" i="112"/>
  <c r="AZ25" i="112"/>
  <c r="BH31" i="112"/>
  <c r="BE9" i="112"/>
  <c r="BH69" i="112"/>
  <c r="BB23" i="112"/>
  <c r="BD73" i="112"/>
  <c r="BD72" i="112" s="1"/>
  <c r="BA29" i="112"/>
  <c r="BD32" i="112"/>
  <c r="BB37" i="112"/>
  <c r="BA59" i="112"/>
  <c r="BF58" i="112"/>
  <c r="BJ10" i="112"/>
  <c r="BC49" i="112"/>
  <c r="BE11" i="112"/>
  <c r="BA8" i="112"/>
  <c r="BI21" i="112"/>
  <c r="BI4" i="112"/>
  <c r="BA10" i="112"/>
  <c r="AZ18" i="112"/>
  <c r="BD17" i="112"/>
  <c r="BE20" i="112"/>
  <c r="BD26" i="112"/>
  <c r="BH41" i="112"/>
  <c r="BE58" i="112"/>
  <c r="BI31" i="112"/>
  <c r="BJ21" i="112"/>
  <c r="BH15" i="112"/>
  <c r="BF66" i="112"/>
  <c r="BD14" i="112"/>
  <c r="BB14" i="112"/>
  <c r="BK24" i="112"/>
  <c r="BA66" i="112"/>
  <c r="AZ30" i="112"/>
  <c r="BD46" i="112"/>
  <c r="BI55" i="112"/>
  <c r="BB69" i="112"/>
  <c r="BJ15" i="112"/>
  <c r="BK78" i="112"/>
  <c r="BJ54" i="112"/>
  <c r="BB59" i="112"/>
  <c r="BG67" i="112"/>
  <c r="BE3" i="112"/>
  <c r="BC3" i="112"/>
  <c r="BD13" i="112"/>
  <c r="BB27" i="112"/>
  <c r="BG41" i="112"/>
  <c r="BJ20" i="112"/>
  <c r="BI42" i="112"/>
  <c r="BF78" i="112"/>
  <c r="BC36" i="112"/>
  <c r="BF41" i="112"/>
  <c r="BJ38" i="112"/>
  <c r="BD54" i="112"/>
  <c r="BH53" i="112"/>
  <c r="BF61" i="112"/>
  <c r="BC13" i="112"/>
  <c r="BE24" i="112"/>
  <c r="BA55" i="112"/>
  <c r="BE34" i="112"/>
  <c r="BK31" i="112"/>
  <c r="BF52" i="112"/>
  <c r="BB61" i="112"/>
  <c r="BE46" i="112"/>
  <c r="BE39" i="112"/>
  <c r="BF11" i="112"/>
  <c r="BF71" i="112"/>
  <c r="BF70" i="112" s="1"/>
  <c r="BK67" i="112"/>
  <c r="BA67" i="112"/>
  <c r="BA24" i="112"/>
  <c r="BK41" i="112"/>
  <c r="BF31" i="112"/>
  <c r="BB3" i="112"/>
  <c r="BJ42" i="112"/>
  <c r="BD31" i="112"/>
  <c r="BF9" i="112"/>
  <c r="BH61" i="112"/>
  <c r="BJ59" i="112"/>
  <c r="BG46" i="112"/>
  <c r="BF46" i="112"/>
  <c r="BE35" i="112"/>
  <c r="BG3" i="112"/>
  <c r="BA71" i="112"/>
  <c r="BA70" i="112" s="1"/>
  <c r="AZ67" i="112"/>
  <c r="BD71" i="112"/>
  <c r="BD70" i="112" s="1"/>
  <c r="BE45" i="112"/>
  <c r="BE38" i="112"/>
  <c r="BI26" i="112"/>
  <c r="BH19" i="112"/>
  <c r="AZ20" i="112"/>
  <c r="BK14" i="112"/>
  <c r="BG40" i="112"/>
  <c r="BF67" i="112"/>
  <c r="BJ56" i="112"/>
  <c r="BC51" i="112"/>
  <c r="BD57" i="112"/>
  <c r="BC35" i="112"/>
  <c r="BD25" i="112"/>
  <c r="BG9" i="112"/>
  <c r="AZ73" i="112"/>
  <c r="AZ72" i="112" s="1"/>
  <c r="BC8" i="112"/>
  <c r="BJ51" i="112"/>
  <c r="BB38" i="112"/>
  <c r="AZ9" i="112"/>
  <c r="BJ13" i="112"/>
  <c r="BA78" i="112"/>
  <c r="AZ32" i="112"/>
  <c r="BG23" i="112"/>
  <c r="BF10" i="112"/>
  <c r="BE59" i="112"/>
  <c r="BG54" i="112"/>
  <c r="BC41" i="112"/>
  <c r="BH38" i="112"/>
  <c r="BH21" i="112"/>
  <c r="BJ39" i="112"/>
  <c r="BC67" i="112"/>
  <c r="AZ19" i="112"/>
  <c r="BF55" i="112"/>
  <c r="BB25" i="112"/>
  <c r="BC40" i="112"/>
  <c r="BH30" i="112"/>
  <c r="BC9" i="112"/>
  <c r="BK17" i="112"/>
  <c r="BF38" i="112"/>
  <c r="BG25" i="112"/>
  <c r="BF16" i="112"/>
  <c r="BK4" i="112"/>
  <c r="BI14" i="112"/>
  <c r="BB18" i="112"/>
  <c r="BH24" i="112"/>
  <c r="BC38" i="112"/>
  <c r="BH67" i="112"/>
  <c r="AZ58" i="112"/>
  <c r="BJ28" i="112"/>
  <c r="AZ78" i="112"/>
  <c r="BB32" i="112"/>
  <c r="BF26" i="112"/>
  <c r="BB30" i="112"/>
  <c r="BH37" i="112"/>
  <c r="BB49" i="112"/>
  <c r="AZ66" i="112"/>
  <c r="BC54" i="112"/>
  <c r="BC64" i="112"/>
  <c r="BH71" i="112"/>
  <c r="BH70" i="112" s="1"/>
  <c r="BD41" i="112"/>
  <c r="BC23" i="112"/>
  <c r="BA37" i="112"/>
  <c r="BK43" i="112"/>
  <c r="BG27" i="112"/>
  <c r="BK56" i="112"/>
  <c r="BB16" i="112"/>
  <c r="AZ13" i="112"/>
  <c r="BB63" i="112"/>
  <c r="BE32" i="112"/>
  <c r="BJ25" i="112"/>
  <c r="BK61" i="112"/>
  <c r="BA28" i="112"/>
  <c r="BK46" i="112"/>
  <c r="BB31" i="112"/>
  <c r="BG26" i="112"/>
  <c r="AZ27" i="112"/>
  <c r="BI69" i="112"/>
  <c r="BH4" i="112"/>
  <c r="BH45" i="112"/>
  <c r="BE17" i="112"/>
  <c r="BB15" i="112"/>
  <c r="BF25" i="112"/>
  <c r="AZ39" i="112"/>
  <c r="BA54" i="112"/>
  <c r="BD39" i="112"/>
  <c r="BK25" i="112"/>
  <c r="BK48" i="112"/>
  <c r="BI54" i="112"/>
  <c r="BE4" i="112"/>
  <c r="BC27" i="112"/>
  <c r="BE37" i="112"/>
  <c r="AZ45" i="112"/>
  <c r="AZ17" i="112"/>
  <c r="BB78" i="112"/>
  <c r="BI16" i="112"/>
  <c r="BB9" i="112"/>
  <c r="BF48" i="112"/>
  <c r="BJ69" i="112"/>
  <c r="BD42" i="112"/>
  <c r="BI35" i="112"/>
  <c r="BG17" i="112"/>
  <c r="BA64" i="111"/>
  <c r="BH69" i="107"/>
  <c r="BG57" i="102"/>
  <c r="BI21" i="102"/>
  <c r="BF44" i="112"/>
  <c r="BG26" i="107"/>
  <c r="BC37" i="102"/>
  <c r="BG56" i="111"/>
  <c r="BF56" i="111"/>
  <c r="BI61" i="112"/>
  <c r="BB4" i="112"/>
  <c r="BD49" i="112"/>
  <c r="BA41" i="112"/>
  <c r="BF34" i="112"/>
  <c r="BI56" i="112"/>
  <c r="BI10" i="111"/>
  <c r="BI64" i="107"/>
  <c r="BF37" i="107"/>
  <c r="BD46" i="107"/>
  <c r="BE53" i="107"/>
  <c r="BJ8" i="107"/>
  <c r="BF14" i="111"/>
  <c r="BI36" i="102"/>
  <c r="BG59" i="102"/>
  <c r="BA48" i="102"/>
  <c r="BJ45" i="102"/>
  <c r="BC57" i="102"/>
  <c r="BA44" i="102"/>
  <c r="BI78" i="102"/>
  <c r="BF24" i="102"/>
  <c r="AZ59" i="102"/>
  <c r="BK26" i="112"/>
  <c r="BF45" i="107"/>
  <c r="BC45" i="111"/>
  <c r="BC28" i="111"/>
  <c r="BI78" i="111"/>
  <c r="BG66" i="111"/>
  <c r="BH16" i="111"/>
  <c r="BE30" i="111"/>
  <c r="BB64" i="111"/>
  <c r="BE14" i="111"/>
  <c r="BE24" i="111"/>
  <c r="BI73" i="111"/>
  <c r="BI72" i="111" s="1"/>
  <c r="BB46" i="111"/>
  <c r="BA48" i="111"/>
  <c r="BA37" i="111"/>
  <c r="BH17" i="111"/>
  <c r="BJ42" i="111"/>
  <c r="AZ59" i="111"/>
  <c r="AZ26" i="111"/>
  <c r="BF63" i="111"/>
  <c r="BD69" i="111"/>
  <c r="BK28" i="111"/>
  <c r="BC46" i="111"/>
  <c r="BA67" i="111"/>
  <c r="BB13" i="111"/>
  <c r="BG41" i="111"/>
  <c r="BH73" i="111"/>
  <c r="BH72" i="111" s="1"/>
  <c r="BK27" i="111"/>
  <c r="BI45" i="111"/>
  <c r="BK48" i="111"/>
  <c r="AZ66" i="111"/>
  <c r="AZ39" i="111"/>
  <c r="BD19" i="111"/>
  <c r="BI48" i="111"/>
  <c r="BC10" i="111"/>
  <c r="BI14" i="111"/>
  <c r="BK69" i="111"/>
  <c r="BC63" i="111"/>
  <c r="BH44" i="111"/>
  <c r="BH67" i="111"/>
  <c r="BD58" i="111"/>
  <c r="BD23" i="111"/>
  <c r="BA28" i="111"/>
  <c r="BK52" i="111"/>
  <c r="BA46" i="111"/>
  <c r="BD54" i="111"/>
  <c r="BE8" i="111"/>
  <c r="BI39" i="111"/>
  <c r="BK53" i="111"/>
  <c r="BE56" i="111"/>
  <c r="BK31" i="111"/>
  <c r="BE18" i="111"/>
  <c r="BG17" i="111"/>
  <c r="BC42" i="111"/>
  <c r="BC17" i="111"/>
  <c r="BG13" i="111"/>
  <c r="BF40" i="111"/>
  <c r="BI27" i="111"/>
  <c r="BB32" i="111"/>
  <c r="BF13" i="111"/>
  <c r="BJ11" i="111"/>
  <c r="BF39" i="111"/>
  <c r="BF44" i="111"/>
  <c r="BC37" i="111"/>
  <c r="BD57" i="111"/>
  <c r="BE4" i="111"/>
  <c r="BB36" i="111"/>
  <c r="BF26" i="111"/>
  <c r="BD29" i="111"/>
  <c r="BH57" i="111"/>
  <c r="BB44" i="111"/>
  <c r="BA15" i="111"/>
  <c r="BE38" i="111"/>
  <c r="BK46" i="111"/>
  <c r="BH52" i="111"/>
  <c r="BJ46" i="111"/>
  <c r="BF29" i="111"/>
  <c r="BI63" i="111"/>
  <c r="BD13" i="111"/>
  <c r="BJ51" i="111"/>
  <c r="BE39" i="111"/>
  <c r="BE51" i="111"/>
  <c r="BG45" i="111"/>
  <c r="AZ40" i="111"/>
  <c r="BH45" i="111"/>
  <c r="BE43" i="111"/>
  <c r="AZ55" i="111"/>
  <c r="BK59" i="111"/>
  <c r="BF53" i="111"/>
  <c r="BK71" i="111"/>
  <c r="BK70" i="111" s="1"/>
  <c r="BB24" i="111"/>
  <c r="BG11" i="111"/>
  <c r="BF64" i="111"/>
  <c r="BG64" i="111"/>
  <c r="BH31" i="111"/>
  <c r="BG38" i="111"/>
  <c r="BB42" i="111"/>
  <c r="BF16" i="111"/>
  <c r="BF8" i="111"/>
  <c r="BJ59" i="111"/>
  <c r="BE71" i="111"/>
  <c r="BE70" i="111" s="1"/>
  <c r="BH4" i="111"/>
  <c r="BI21" i="111"/>
  <c r="BF25" i="111"/>
  <c r="BG25" i="111"/>
  <c r="BA23" i="111"/>
  <c r="BI16" i="111"/>
  <c r="BB43" i="111"/>
  <c r="BI13" i="111"/>
  <c r="BC21" i="111"/>
  <c r="BC71" i="111"/>
  <c r="BC70" i="111" s="1"/>
  <c r="BF9" i="111"/>
  <c r="BF61" i="111"/>
  <c r="BA20" i="111"/>
  <c r="BA13" i="111"/>
  <c r="BF66" i="111"/>
  <c r="BE66" i="111"/>
  <c r="BJ10" i="111"/>
  <c r="BE20" i="111"/>
  <c r="BF73" i="111"/>
  <c r="BF72" i="111" s="1"/>
  <c r="AZ23" i="111"/>
  <c r="BD9" i="111"/>
  <c r="BF24" i="111"/>
  <c r="BJ21" i="111"/>
  <c r="BI25" i="111"/>
  <c r="BE61" i="111"/>
  <c r="BB56" i="111"/>
  <c r="BJ24" i="111"/>
  <c r="BJ45" i="111"/>
  <c r="AZ67" i="111"/>
  <c r="BC16" i="111"/>
  <c r="AZ21" i="111"/>
  <c r="BC3" i="111"/>
  <c r="AZ17" i="111"/>
  <c r="BJ78" i="111"/>
  <c r="BC40" i="111"/>
  <c r="BI20" i="111"/>
  <c r="BD31" i="111"/>
  <c r="BJ54" i="111"/>
  <c r="BI61" i="111"/>
  <c r="BB40" i="111"/>
  <c r="BH35" i="111"/>
  <c r="BI3" i="111"/>
  <c r="BE69" i="111"/>
  <c r="BC58" i="111"/>
  <c r="BH48" i="111"/>
  <c r="BA58" i="111"/>
  <c r="BD4" i="111"/>
  <c r="BA45" i="111"/>
  <c r="BI54" i="111"/>
  <c r="BG16" i="111"/>
  <c r="BH3" i="111"/>
  <c r="BD52" i="111"/>
  <c r="BD63" i="111"/>
  <c r="BA73" i="111"/>
  <c r="BA72" i="111" s="1"/>
  <c r="BB31" i="111"/>
  <c r="BG3" i="111"/>
  <c r="BF37" i="111"/>
  <c r="BK63" i="111"/>
  <c r="BG43" i="111"/>
  <c r="BH56" i="111"/>
  <c r="AZ4" i="111"/>
  <c r="BB20" i="111"/>
  <c r="BF11" i="111"/>
  <c r="AZ73" i="111"/>
  <c r="AZ72" i="111" s="1"/>
  <c r="BJ13" i="111"/>
  <c r="BB52" i="111"/>
  <c r="BC69" i="111"/>
  <c r="BJ30" i="111"/>
  <c r="BI51" i="111"/>
  <c r="BK9" i="111"/>
  <c r="BI24" i="111"/>
  <c r="BD51" i="111"/>
  <c r="BB25" i="111"/>
  <c r="BF10" i="111"/>
  <c r="BG21" i="111"/>
  <c r="BF15" i="111"/>
  <c r="AZ38" i="111"/>
  <c r="BH27" i="111"/>
  <c r="BH64" i="111"/>
  <c r="BG57" i="111"/>
  <c r="BC54" i="111"/>
  <c r="BF42" i="111"/>
  <c r="BC59" i="111"/>
  <c r="AZ57" i="111"/>
  <c r="AZ56" i="111"/>
  <c r="BF71" i="111"/>
  <c r="BF70" i="111" s="1"/>
  <c r="BI44" i="111"/>
  <c r="BJ15" i="111"/>
  <c r="BI30" i="111"/>
  <c r="BE11" i="111"/>
  <c r="BG58" i="111"/>
  <c r="BG32" i="111"/>
  <c r="BC43" i="111"/>
  <c r="BG39" i="111"/>
  <c r="BB59" i="111"/>
  <c r="BA63" i="111"/>
  <c r="BH20" i="111"/>
  <c r="BF59" i="111"/>
  <c r="BI55" i="111"/>
  <c r="BJ38" i="111"/>
  <c r="BI64" i="111"/>
  <c r="BE23" i="111"/>
  <c r="BA18" i="111"/>
  <c r="BG69" i="111"/>
  <c r="AZ35" i="111"/>
  <c r="BI11" i="111"/>
  <c r="BD55" i="111"/>
  <c r="BG59" i="111"/>
  <c r="BI66" i="111"/>
  <c r="BA3" i="111"/>
  <c r="BI26" i="111"/>
  <c r="BI19" i="111"/>
  <c r="BG9" i="111"/>
  <c r="AZ58" i="111"/>
  <c r="BJ20" i="111"/>
  <c r="BC8" i="111"/>
  <c r="BE10" i="111"/>
  <c r="BG28" i="111"/>
  <c r="BK57" i="111"/>
  <c r="BB61" i="111"/>
  <c r="BH29" i="112"/>
  <c r="BI54" i="107"/>
  <c r="BF14" i="102"/>
  <c r="BC8" i="107"/>
  <c r="BB58" i="111"/>
  <c r="BI34" i="112"/>
  <c r="BH43" i="111"/>
  <c r="BB8" i="112"/>
  <c r="BK55" i="112"/>
  <c r="BC58" i="112"/>
  <c r="BE18" i="112"/>
  <c r="BE23" i="112"/>
  <c r="BK20" i="112"/>
  <c r="BB51" i="111"/>
  <c r="BK57" i="107"/>
  <c r="BH30" i="107"/>
  <c r="BC25" i="107"/>
  <c r="BB37" i="107"/>
  <c r="BB8" i="107"/>
  <c r="BI24" i="102"/>
  <c r="BK27" i="102"/>
  <c r="BJ52" i="102"/>
  <c r="BK28" i="102"/>
  <c r="BD35" i="102"/>
  <c r="BB73" i="102"/>
  <c r="BB72" i="102" s="1"/>
  <c r="BH38" i="102"/>
  <c r="BA24" i="102"/>
  <c r="BJ35" i="107"/>
  <c r="AZ59" i="108"/>
  <c r="BH56" i="108"/>
  <c r="AZ63" i="105"/>
  <c r="BC14" i="105"/>
  <c r="BH34" i="105"/>
  <c r="BH30" i="105"/>
  <c r="BJ32" i="105"/>
  <c r="BG78" i="105"/>
  <c r="BD49" i="105"/>
  <c r="BI48" i="105"/>
  <c r="BB49" i="105"/>
  <c r="BJ53" i="105"/>
  <c r="BC16" i="105"/>
  <c r="AZ14" i="108"/>
  <c r="BJ78" i="108"/>
  <c r="AZ18" i="108"/>
  <c r="BI53" i="108"/>
  <c r="BF61" i="105"/>
  <c r="BJ13" i="105"/>
  <c r="AZ34" i="105"/>
  <c r="BE29" i="105"/>
  <c r="AZ32" i="105"/>
  <c r="BB42" i="105"/>
  <c r="BJ48" i="105"/>
  <c r="BC46" i="105"/>
  <c r="BH48" i="105"/>
  <c r="BB52" i="105"/>
  <c r="BH15" i="105"/>
  <c r="BB13" i="108"/>
  <c r="BA61" i="108"/>
  <c r="BB51" i="108"/>
  <c r="AZ4" i="108"/>
  <c r="BI67" i="105"/>
  <c r="BF18" i="105"/>
  <c r="BE38" i="105"/>
  <c r="AZ36" i="105"/>
  <c r="BH39" i="105"/>
  <c r="BA48" i="105"/>
  <c r="BF55" i="105"/>
  <c r="BE55" i="105"/>
  <c r="BC56" i="105"/>
  <c r="BK58" i="105"/>
  <c r="BF64" i="105"/>
  <c r="BH23" i="105"/>
  <c r="BA15" i="108"/>
  <c r="BD11" i="108"/>
  <c r="BJ42" i="108"/>
  <c r="BB18" i="108"/>
  <c r="BK19" i="105"/>
  <c r="H11" i="418"/>
  <c r="BC48" i="108"/>
  <c r="BF53" i="108"/>
  <c r="BK55" i="105"/>
  <c r="BI8" i="105"/>
  <c r="BI27" i="105"/>
  <c r="BK21" i="105"/>
  <c r="BE25" i="105"/>
  <c r="BF37" i="105"/>
  <c r="BK42" i="105"/>
  <c r="BD41" i="105"/>
  <c r="BC41" i="105"/>
  <c r="BF45" i="105"/>
  <c r="AZ39" i="105"/>
  <c r="BB71" i="108"/>
  <c r="BB70" i="108" s="1"/>
  <c r="BE34" i="108"/>
  <c r="BE11" i="108"/>
  <c r="BC55" i="105"/>
  <c r="BA8" i="105"/>
  <c r="BA27" i="105"/>
  <c r="BA21" i="105"/>
  <c r="BK24" i="105"/>
  <c r="BH36" i="105"/>
  <c r="BE41" i="105"/>
  <c r="BI40" i="105"/>
  <c r="BF40" i="105"/>
  <c r="BH44" i="105"/>
  <c r="BD38" i="105"/>
  <c r="BB39" i="108"/>
  <c r="BG45" i="108"/>
  <c r="BG39" i="108"/>
  <c r="BH57" i="108"/>
  <c r="BK59" i="105"/>
  <c r="BB13" i="105"/>
  <c r="BD32" i="105"/>
  <c r="BC28" i="105"/>
  <c r="BH31" i="105"/>
  <c r="BF41" i="105"/>
  <c r="AZ48" i="105"/>
  <c r="BH45" i="105"/>
  <c r="BB46" i="105"/>
  <c r="BG51" i="105"/>
  <c r="BC8" i="105"/>
  <c r="AZ9" i="108"/>
  <c r="BC3" i="108"/>
  <c r="BF8" i="108"/>
  <c r="BF23" i="105"/>
  <c r="BF71" i="108"/>
  <c r="BF70" i="108" s="1"/>
  <c r="BI69" i="120"/>
  <c r="BB37" i="108"/>
  <c r="BG73" i="108"/>
  <c r="BG72" i="108" s="1"/>
  <c r="BI41" i="108"/>
  <c r="BH49" i="105"/>
  <c r="AZ73" i="105"/>
  <c r="AZ72" i="105" s="1"/>
  <c r="BG21" i="105"/>
  <c r="BG15" i="105"/>
  <c r="BD18" i="105"/>
  <c r="BK28" i="105"/>
  <c r="BH35" i="105"/>
  <c r="BG32" i="105"/>
  <c r="BK34" i="105"/>
  <c r="BA39" i="105"/>
  <c r="BA56" i="105"/>
  <c r="BC52" i="108"/>
  <c r="BK24" i="108"/>
  <c r="BD69" i="108"/>
  <c r="AZ49" i="105"/>
  <c r="BI71" i="105"/>
  <c r="BI70" i="105" s="1"/>
  <c r="BF20" i="105"/>
  <c r="BD14" i="105"/>
  <c r="BG17" i="105"/>
  <c r="BE27" i="105"/>
  <c r="BC34" i="105"/>
  <c r="BC31" i="105"/>
  <c r="BF32" i="105"/>
  <c r="BG38" i="105"/>
  <c r="AZ55" i="105"/>
  <c r="AZ51" i="108"/>
  <c r="BD71" i="108"/>
  <c r="BD70" i="108" s="1"/>
  <c r="BD30" i="108"/>
  <c r="BK43" i="108"/>
  <c r="BJ54" i="105"/>
  <c r="BJ26" i="105"/>
  <c r="BE20" i="105"/>
  <c r="BA24" i="105"/>
  <c r="BK35" i="105"/>
  <c r="BJ40" i="105"/>
  <c r="BC39" i="105"/>
  <c r="BB39" i="105"/>
  <c r="BI43" i="105"/>
  <c r="BI37" i="105"/>
  <c r="BI63" i="108"/>
  <c r="BK53" i="108"/>
  <c r="BB58" i="108"/>
  <c r="AZ61" i="108"/>
  <c r="BI69" i="108"/>
  <c r="BB25" i="105"/>
  <c r="BC57" i="108"/>
  <c r="BH27" i="108"/>
  <c r="BC32" i="108"/>
  <c r="BJ78" i="105"/>
  <c r="BH64" i="105"/>
  <c r="BK71" i="105"/>
  <c r="BK70" i="105" s="1"/>
  <c r="BK8" i="105"/>
  <c r="AZ11" i="105"/>
  <c r="BC20" i="105"/>
  <c r="BG26" i="105"/>
  <c r="BJ25" i="105"/>
  <c r="BE26" i="105"/>
  <c r="BK31" i="105"/>
  <c r="BC11" i="105"/>
  <c r="BE10" i="108"/>
  <c r="BA39" i="108"/>
  <c r="BI15" i="108"/>
  <c r="BF64" i="108"/>
  <c r="BB78" i="105"/>
  <c r="AZ64" i="105"/>
  <c r="BJ69" i="105"/>
  <c r="BB8" i="105"/>
  <c r="BJ10" i="105"/>
  <c r="BI19" i="105"/>
  <c r="BA25" i="105"/>
  <c r="AZ25" i="105"/>
  <c r="BI25" i="105"/>
  <c r="BA31" i="105"/>
  <c r="BA63" i="105"/>
  <c r="BA42" i="108"/>
  <c r="BB69" i="108"/>
  <c r="BF21" i="108"/>
  <c r="BA57" i="108"/>
  <c r="BD32" i="108"/>
  <c r="BG48" i="105"/>
  <c r="BA71" i="105"/>
  <c r="BA70" i="105" s="1"/>
  <c r="BE19" i="105"/>
  <c r="BH13" i="105"/>
  <c r="BJ16" i="105"/>
  <c r="BH26" i="105"/>
  <c r="BH32" i="105"/>
  <c r="BB30" i="105"/>
  <c r="BB31" i="105"/>
  <c r="BJ37" i="105"/>
  <c r="BD54" i="105"/>
  <c r="BK58" i="108"/>
  <c r="BK61" i="108"/>
  <c r="BH46" i="108"/>
  <c r="AZ46" i="108"/>
  <c r="BD31" i="105"/>
  <c r="BG18" i="108"/>
  <c r="BH41" i="108"/>
  <c r="BD15" i="108"/>
  <c r="BB43" i="108"/>
  <c r="BE32" i="105"/>
  <c r="BF52" i="105"/>
  <c r="BF53" i="105"/>
  <c r="BG57" i="105"/>
  <c r="BE67" i="105"/>
  <c r="BJ9" i="105"/>
  <c r="BF11" i="105"/>
  <c r="BC13" i="105"/>
  <c r="AZ17" i="105"/>
  <c r="BB19" i="105"/>
  <c r="BD35" i="108"/>
  <c r="AZ69" i="108"/>
  <c r="BE3" i="108"/>
  <c r="BF54" i="108"/>
  <c r="BK37" i="108"/>
  <c r="BF31" i="105"/>
  <c r="BD51" i="105"/>
  <c r="BJ52" i="105"/>
  <c r="BI56" i="105"/>
  <c r="BH66" i="105"/>
  <c r="BI4" i="105"/>
  <c r="BA9" i="105"/>
  <c r="BG10" i="105"/>
  <c r="BE11" i="105"/>
  <c r="BE16" i="105"/>
  <c r="BH18" i="105"/>
  <c r="BF27" i="108"/>
  <c r="BF10" i="108"/>
  <c r="BH63" i="108"/>
  <c r="BG23" i="108"/>
  <c r="BI58" i="108"/>
  <c r="BE37" i="105"/>
  <c r="BJ55" i="105"/>
  <c r="BI58" i="105"/>
  <c r="BI66" i="105"/>
  <c r="BA4" i="105"/>
  <c r="BH11" i="105"/>
  <c r="BD15" i="105"/>
  <c r="BA18" i="105"/>
  <c r="AZ18" i="105"/>
  <c r="BI23" i="105"/>
  <c r="BD28" i="105"/>
  <c r="BC42" i="108"/>
  <c r="AZ27" i="108"/>
  <c r="BE36" i="108"/>
  <c r="BG58" i="108"/>
  <c r="BB54" i="105"/>
  <c r="BK30" i="105"/>
  <c r="BD13" i="108"/>
  <c r="BC78" i="108"/>
  <c r="BJ9" i="108"/>
  <c r="BG46" i="108"/>
  <c r="BB27" i="105"/>
  <c r="BJ43" i="105"/>
  <c r="BF44" i="105"/>
  <c r="BB48" i="105"/>
  <c r="BF57" i="105"/>
  <c r="BD67" i="105"/>
  <c r="BF69" i="105"/>
  <c r="BD71" i="105"/>
  <c r="BD70" i="105" s="1"/>
  <c r="BF3" i="105"/>
  <c r="BD10" i="105"/>
  <c r="AZ46" i="105"/>
  <c r="BJ30" i="108"/>
  <c r="BG61" i="108"/>
  <c r="BC63" i="108"/>
  <c r="BG20" i="108"/>
  <c r="BJ26" i="108"/>
  <c r="BK26" i="105"/>
  <c r="BB43" i="105"/>
  <c r="BG43" i="105"/>
  <c r="BH46" i="105"/>
  <c r="BH56" i="105"/>
  <c r="BG66" i="105"/>
  <c r="BC67" i="105"/>
  <c r="BE69" i="105"/>
  <c r="BK73" i="105"/>
  <c r="BK72" i="105" s="1"/>
  <c r="BF9" i="105"/>
  <c r="BB32" i="105"/>
  <c r="BC18" i="108"/>
  <c r="BD73" i="108"/>
  <c r="BD72" i="108" s="1"/>
  <c r="BA19" i="108"/>
  <c r="BG30" i="105"/>
  <c r="BG49" i="105"/>
  <c r="AZ52" i="105"/>
  <c r="BH55" i="105"/>
  <c r="BC64" i="105"/>
  <c r="AZ4" i="105"/>
  <c r="BG8" i="105"/>
  <c r="BI9" i="105"/>
  <c r="BF10" i="105"/>
  <c r="BI15" i="105"/>
  <c r="AZ13" i="105"/>
  <c r="BI32" i="108"/>
  <c r="BB53" i="108"/>
  <c r="BJ15" i="108"/>
  <c r="BI30" i="108"/>
  <c r="BD61" i="108"/>
  <c r="AZ37" i="105"/>
  <c r="BD8" i="108"/>
  <c r="BG3" i="108"/>
  <c r="BB71" i="105"/>
  <c r="BB70" i="105" s="1"/>
  <c r="BG20" i="105"/>
  <c r="BG40" i="105"/>
  <c r="BH37" i="105"/>
  <c r="BG41" i="105"/>
  <c r="BE49" i="105"/>
  <c r="BE57" i="105"/>
  <c r="BD57" i="105"/>
  <c r="BB58" i="105"/>
  <c r="BG61" i="105"/>
  <c r="BA69" i="105"/>
  <c r="BD40" i="105"/>
  <c r="BD21" i="108"/>
  <c r="BE49" i="108"/>
  <c r="BI21" i="108"/>
  <c r="BC51" i="108"/>
  <c r="BD69" i="105"/>
  <c r="BF19" i="105"/>
  <c r="BF39" i="105"/>
  <c r="BJ36" i="105"/>
  <c r="BB40" i="105"/>
  <c r="BK48" i="105"/>
  <c r="BE56" i="105"/>
  <c r="BD56" i="105"/>
  <c r="BA57" i="105"/>
  <c r="BI59" i="105"/>
  <c r="BK66" i="105"/>
  <c r="BC24" i="105"/>
  <c r="BC10" i="108"/>
  <c r="BH61" i="108"/>
  <c r="BH16" i="108"/>
  <c r="BC26" i="105"/>
  <c r="BI78" i="105"/>
  <c r="BK78" i="105"/>
  <c r="BK45" i="105"/>
  <c r="BG55" i="105"/>
  <c r="BB64" i="105"/>
  <c r="BD66" i="105"/>
  <c r="BB67" i="105"/>
  <c r="BC71" i="105"/>
  <c r="BC70" i="105" s="1"/>
  <c r="BD8" i="105"/>
  <c r="BF29" i="105"/>
  <c r="BC24" i="108"/>
  <c r="BE17" i="108"/>
  <c r="AZ41" i="108"/>
  <c r="BF26" i="108"/>
  <c r="BB26" i="105"/>
  <c r="BA36" i="105"/>
  <c r="BH67" i="102"/>
  <c r="BB8" i="122"/>
  <c r="BC59" i="124"/>
  <c r="BD11" i="124"/>
  <c r="BH73" i="124"/>
  <c r="BH72" i="124" s="1"/>
  <c r="BD67" i="124"/>
  <c r="BJ21" i="124"/>
  <c r="BH64" i="124"/>
  <c r="AZ69" i="124"/>
  <c r="BF38" i="124"/>
  <c r="BB21" i="124"/>
  <c r="BA64" i="124"/>
  <c r="BG54" i="124"/>
  <c r="BK34" i="124"/>
  <c r="BJ52" i="124"/>
  <c r="BJ41" i="124"/>
  <c r="BE30" i="124"/>
  <c r="BC30" i="124"/>
  <c r="BF51" i="124"/>
  <c r="BD8" i="124"/>
  <c r="BC13" i="124"/>
  <c r="BG48" i="124"/>
  <c r="BH21" i="124"/>
  <c r="AZ14" i="124"/>
  <c r="BA78" i="124"/>
  <c r="BG42" i="124"/>
  <c r="BE40" i="124"/>
  <c r="BK39" i="124"/>
  <c r="BE55" i="124"/>
  <c r="BD19" i="124"/>
  <c r="AZ49" i="124"/>
  <c r="BI18" i="124"/>
  <c r="BJ64" i="124"/>
  <c r="BB34" i="124"/>
  <c r="BI17" i="124"/>
  <c r="BE46" i="124"/>
  <c r="BC45" i="124"/>
  <c r="BI44" i="124"/>
  <c r="BH44" i="124"/>
  <c r="AZ61" i="124"/>
  <c r="BI28" i="124"/>
  <c r="BF4" i="124"/>
  <c r="BK24" i="124"/>
  <c r="BJ34" i="124"/>
  <c r="AZ53" i="124"/>
  <c r="BK64" i="124"/>
  <c r="BF52" i="124"/>
  <c r="BG59" i="124"/>
  <c r="BA38" i="124"/>
  <c r="BB11" i="124"/>
  <c r="BI71" i="124"/>
  <c r="BI70" i="124" s="1"/>
  <c r="BI24" i="124"/>
  <c r="AZ52" i="124"/>
  <c r="BI34" i="124"/>
  <c r="BJ71" i="124"/>
  <c r="BJ70" i="124" s="1"/>
  <c r="BB25" i="124"/>
  <c r="AZ24" i="124"/>
  <c r="BH30" i="124"/>
  <c r="AZ51" i="124"/>
  <c r="BK35" i="124"/>
  <c r="BB16" i="124"/>
  <c r="BH4" i="124"/>
  <c r="BD37" i="124"/>
  <c r="BF73" i="124"/>
  <c r="BF72" i="124" s="1"/>
  <c r="BK40" i="124"/>
  <c r="BC24" i="124"/>
  <c r="BF36" i="124"/>
  <c r="BI13" i="124"/>
  <c r="BG73" i="124"/>
  <c r="BG72" i="124" s="1"/>
  <c r="BJ46" i="124"/>
  <c r="BE25" i="124"/>
  <c r="BC17" i="124"/>
  <c r="BF56" i="124"/>
  <c r="BE67" i="124"/>
  <c r="BE51" i="124"/>
  <c r="BK15" i="124"/>
  <c r="BH63" i="124"/>
  <c r="AZ59" i="124"/>
  <c r="BF57" i="124"/>
  <c r="BE20" i="124"/>
  <c r="BE36" i="124"/>
  <c r="BH48" i="124"/>
  <c r="BA21" i="124"/>
  <c r="AZ11" i="124"/>
  <c r="BB71" i="124"/>
  <c r="BB70" i="124" s="1"/>
  <c r="BE31" i="124"/>
  <c r="BF29" i="124"/>
  <c r="BF28" i="124"/>
  <c r="BD29" i="124"/>
  <c r="BD78" i="124"/>
  <c r="BG4" i="124"/>
  <c r="BK20" i="124"/>
  <c r="BD34" i="124"/>
  <c r="BI15" i="124"/>
  <c r="AZ4" i="124"/>
  <c r="BK36" i="124"/>
  <c r="BH35" i="124"/>
  <c r="BF34" i="124"/>
  <c r="BE34" i="124"/>
  <c r="BI48" i="124"/>
  <c r="BF11" i="124"/>
  <c r="BF71" i="124"/>
  <c r="BF70" i="124" s="1"/>
  <c r="BB13" i="124"/>
  <c r="BC51" i="124"/>
  <c r="BA40" i="124"/>
  <c r="BH40" i="124"/>
  <c r="BF63" i="124"/>
  <c r="BI66" i="124"/>
  <c r="BK9" i="124"/>
  <c r="BA13" i="124"/>
  <c r="BA27" i="124"/>
  <c r="BK52" i="124"/>
  <c r="BG36" i="124"/>
  <c r="BI21" i="124"/>
  <c r="BG63" i="124"/>
  <c r="BF53" i="124"/>
  <c r="BF69" i="124"/>
  <c r="BG14" i="124"/>
  <c r="BD21" i="124"/>
  <c r="BH32" i="124"/>
  <c r="BC16" i="124"/>
  <c r="BJ3" i="124"/>
  <c r="AZ63" i="124"/>
  <c r="BB26" i="124"/>
  <c r="BJ24" i="124"/>
  <c r="BH23" i="124"/>
  <c r="BG23" i="124"/>
  <c r="BA39" i="124"/>
  <c r="BF46" i="124"/>
  <c r="BG69" i="124"/>
  <c r="BG18" i="124"/>
  <c r="BG71" i="124"/>
  <c r="BG70" i="124" s="1"/>
  <c r="BC26" i="124"/>
  <c r="BA63" i="124"/>
  <c r="BF49" i="124"/>
  <c r="BJ58" i="124"/>
  <c r="BJ9" i="124"/>
  <c r="BK55" i="124"/>
  <c r="BH71" i="124"/>
  <c r="BH70" i="124" s="1"/>
  <c r="BH24" i="124"/>
  <c r="BG16" i="124"/>
  <c r="BK16" i="124"/>
  <c r="BD32" i="124"/>
  <c r="BE29" i="124"/>
  <c r="BJ49" i="124"/>
  <c r="BF16" i="124"/>
  <c r="BA20" i="124"/>
  <c r="BA11" i="124"/>
  <c r="BB52" i="124"/>
  <c r="BK69" i="124"/>
  <c r="BJ69" i="124"/>
  <c r="BK66" i="124"/>
  <c r="BB66" i="124"/>
  <c r="BK63" i="124"/>
  <c r="BG32" i="124"/>
  <c r="BI31" i="124"/>
  <c r="BK8" i="124"/>
  <c r="BA31" i="124"/>
  <c r="BJ15" i="124"/>
  <c r="BB3" i="124"/>
  <c r="BF61" i="124"/>
  <c r="BK25" i="124"/>
  <c r="BB24" i="124"/>
  <c r="AZ23" i="124"/>
  <c r="BD73" i="124"/>
  <c r="BD72" i="124" s="1"/>
  <c r="BH38" i="124"/>
  <c r="BG44" i="124"/>
  <c r="BG37" i="124"/>
  <c r="BI63" i="124"/>
  <c r="BD48" i="124"/>
  <c r="BG58" i="124"/>
  <c r="BD43" i="124"/>
  <c r="BI69" i="124"/>
  <c r="BC64" i="124"/>
  <c r="BF3" i="124"/>
  <c r="BI4" i="124"/>
  <c r="BA55" i="124"/>
  <c r="BA66" i="124"/>
  <c r="BF17" i="124"/>
  <c r="BJ4" i="124"/>
  <c r="BJ26" i="124"/>
  <c r="BA24" i="124"/>
  <c r="BE43" i="124"/>
  <c r="BA49" i="124"/>
  <c r="BA41" i="124"/>
  <c r="BC15" i="124"/>
  <c r="BB4" i="124"/>
  <c r="BC40" i="124"/>
  <c r="BE61" i="124"/>
  <c r="BA59" i="124"/>
  <c r="BD58" i="124"/>
  <c r="BG57" i="124"/>
  <c r="BJ56" i="124"/>
  <c r="BB73" i="124"/>
  <c r="BB72" i="124" s="1"/>
  <c r="BD20" i="124"/>
  <c r="BJ54" i="124"/>
  <c r="BH19" i="124"/>
  <c r="BD10" i="124"/>
  <c r="BH51" i="124"/>
  <c r="BC69" i="124"/>
  <c r="BB69" i="124"/>
  <c r="BC66" i="124"/>
  <c r="BE64" i="124"/>
  <c r="BC63" i="124"/>
  <c r="BH31" i="124"/>
  <c r="BG30" i="124"/>
  <c r="BD41" i="124"/>
  <c r="BG8" i="124"/>
  <c r="BH69" i="124"/>
  <c r="BE4" i="124"/>
  <c r="BG21" i="124"/>
  <c r="BC61" i="124"/>
  <c r="BD35" i="124"/>
  <c r="AZ30" i="124"/>
  <c r="BD55" i="124"/>
  <c r="BJ25" i="124"/>
  <c r="BD71" i="124"/>
  <c r="BD70" i="124" s="1"/>
  <c r="BB9" i="124"/>
  <c r="BH11" i="124"/>
  <c r="BI59" i="124"/>
  <c r="BC58" i="124"/>
  <c r="BI39" i="124"/>
  <c r="BE21" i="124"/>
  <c r="BB28" i="124"/>
  <c r="BH9" i="124"/>
  <c r="BI49" i="124"/>
  <c r="BB27" i="124"/>
  <c r="BB55" i="124"/>
  <c r="AZ54" i="124"/>
  <c r="BD52" i="124"/>
  <c r="BI51" i="124"/>
  <c r="BK67" i="124"/>
  <c r="BC49" i="124"/>
  <c r="BF14" i="124"/>
  <c r="BH39" i="124"/>
  <c r="BK14" i="124"/>
  <c r="BK3" i="124"/>
  <c r="BG38" i="124"/>
  <c r="BJ59" i="124"/>
  <c r="BE58" i="124"/>
  <c r="BH57" i="124"/>
  <c r="BK56" i="124"/>
  <c r="BB56" i="124"/>
  <c r="BK71" i="124"/>
  <c r="BK70" i="124" s="1"/>
  <c r="BK19" i="124"/>
  <c r="J15" i="418"/>
  <c r="H15" i="418"/>
  <c r="BC9" i="107"/>
  <c r="BF9" i="107"/>
  <c r="BA67" i="107"/>
  <c r="BJ73" i="107"/>
  <c r="BJ72" i="107" s="1"/>
  <c r="BF10" i="107"/>
  <c r="BJ39" i="107"/>
  <c r="BK21" i="107"/>
  <c r="BD73" i="107"/>
  <c r="BD72" i="107" s="1"/>
  <c r="BE49" i="107"/>
  <c r="BD32" i="107"/>
  <c r="BA15" i="107"/>
  <c r="BG64" i="107"/>
  <c r="BC43" i="107"/>
  <c r="BD27" i="107"/>
  <c r="BK48" i="107"/>
  <c r="BG49" i="107"/>
  <c r="BB40" i="107"/>
  <c r="BE55" i="107"/>
  <c r="AZ45" i="107"/>
  <c r="BH26" i="107"/>
  <c r="BA10" i="107"/>
  <c r="BD56" i="107"/>
  <c r="BD38" i="107"/>
  <c r="BE20" i="107"/>
  <c r="BC3" i="107"/>
  <c r="BE51" i="107"/>
  <c r="BH31" i="107"/>
  <c r="BG55" i="107"/>
  <c r="BJ55" i="107"/>
  <c r="BG25" i="107"/>
  <c r="BF3" i="107"/>
  <c r="AZ51" i="107"/>
  <c r="BJ32" i="107"/>
  <c r="AZ17" i="107"/>
  <c r="BE64" i="107"/>
  <c r="BI43" i="107"/>
  <c r="BB27" i="107"/>
  <c r="BG9" i="107"/>
  <c r="BG56" i="107"/>
  <c r="AZ39" i="107"/>
  <c r="BA48" i="107"/>
  <c r="BK37" i="107"/>
  <c r="BF32" i="107"/>
  <c r="BB64" i="107"/>
  <c r="BJ9" i="107"/>
  <c r="BJ56" i="107"/>
  <c r="BJ38" i="107"/>
  <c r="BD21" i="107"/>
  <c r="BA3" i="107"/>
  <c r="BC51" i="107"/>
  <c r="BE32" i="107"/>
  <c r="BB15" i="107"/>
  <c r="AZ64" i="107"/>
  <c r="BC78" i="107"/>
  <c r="BF26" i="107"/>
  <c r="AZ43" i="107"/>
  <c r="BG39" i="107"/>
  <c r="BC41" i="107"/>
  <c r="AZ18" i="107"/>
  <c r="BJ63" i="107"/>
  <c r="AZ44" i="107"/>
  <c r="BI26" i="107"/>
  <c r="BJ10" i="107"/>
  <c r="BE56" i="107"/>
  <c r="BF39" i="107"/>
  <c r="BF20" i="107"/>
  <c r="BI71" i="107"/>
  <c r="BI70" i="107" s="1"/>
  <c r="BA49" i="107"/>
  <c r="BJ21" i="107"/>
  <c r="BD20" i="107"/>
  <c r="BB13" i="107"/>
  <c r="BG51" i="107"/>
  <c r="BG23" i="107"/>
  <c r="BD71" i="107"/>
  <c r="BD70" i="107" s="1"/>
  <c r="BD49" i="107"/>
  <c r="BK32" i="107"/>
  <c r="BI16" i="107"/>
  <c r="BE63" i="107"/>
  <c r="BB43" i="107"/>
  <c r="BB28" i="107"/>
  <c r="BA8" i="107"/>
  <c r="BK54" i="107"/>
  <c r="BE28" i="107"/>
  <c r="BK9" i="107"/>
  <c r="BF73" i="107"/>
  <c r="BF72" i="107" s="1"/>
  <c r="BK59" i="107"/>
  <c r="BF69" i="107"/>
  <c r="BG17" i="107"/>
  <c r="BC10" i="107"/>
  <c r="BI67" i="107"/>
  <c r="BB26" i="107"/>
  <c r="BC56" i="107"/>
  <c r="BD51" i="107"/>
  <c r="BG71" i="107"/>
  <c r="BG70" i="107" s="1"/>
  <c r="BF23" i="107"/>
  <c r="BC63" i="107"/>
  <c r="BF56" i="107"/>
  <c r="BF18" i="107"/>
  <c r="BH37" i="107"/>
  <c r="BC38" i="107"/>
  <c r="BB34" i="107"/>
  <c r="BC59" i="107"/>
  <c r="BG19" i="107"/>
  <c r="BH43" i="107"/>
  <c r="AZ40" i="107"/>
  <c r="BD29" i="107"/>
  <c r="BE21" i="107"/>
  <c r="BJ13" i="107"/>
  <c r="BF35" i="107"/>
  <c r="BJ26" i="107"/>
  <c r="BF19" i="107"/>
  <c r="BH71" i="123"/>
  <c r="BH70" i="123" s="1"/>
  <c r="BE14" i="123"/>
  <c r="BA31" i="123"/>
  <c r="BA38" i="123"/>
  <c r="BH30" i="123"/>
  <c r="BK8" i="123"/>
  <c r="BG18" i="123"/>
  <c r="BC63" i="123"/>
  <c r="BC48" i="123"/>
  <c r="BK48" i="123"/>
  <c r="BA9" i="123"/>
  <c r="BK4" i="123"/>
  <c r="BG17" i="123"/>
  <c r="BH20" i="123"/>
  <c r="BG51" i="123"/>
  <c r="BB52" i="123"/>
  <c r="BF13" i="123"/>
  <c r="BH39" i="123"/>
  <c r="BF21" i="123"/>
  <c r="BF54" i="123"/>
  <c r="BF27" i="123"/>
  <c r="BJ38" i="123"/>
  <c r="BJ8" i="123"/>
  <c r="BI52" i="123"/>
  <c r="BC51" i="123"/>
  <c r="BF58" i="123"/>
  <c r="AZ39" i="123"/>
  <c r="BF11" i="123"/>
  <c r="BH78" i="123"/>
  <c r="BE67" i="123"/>
  <c r="BH17" i="123"/>
  <c r="BH4" i="123"/>
  <c r="BB8" i="123"/>
  <c r="BK34" i="123"/>
  <c r="BE55" i="123"/>
  <c r="BG31" i="123"/>
  <c r="BE34" i="123"/>
  <c r="BI9" i="123"/>
  <c r="BG46" i="123"/>
  <c r="BK9" i="123"/>
  <c r="BB46" i="123"/>
  <c r="BG59" i="123"/>
  <c r="BA21" i="123"/>
  <c r="BH29" i="123"/>
  <c r="BJ4" i="111"/>
  <c r="BK54" i="111"/>
  <c r="BH55" i="111"/>
  <c r="BB39" i="111"/>
  <c r="BD44" i="111"/>
  <c r="BF52" i="111"/>
  <c r="BA39" i="111"/>
  <c r="BJ71" i="111"/>
  <c r="BJ70" i="111" s="1"/>
  <c r="BJ14" i="111"/>
  <c r="BF38" i="111"/>
  <c r="BK18" i="111"/>
  <c r="BC35" i="111"/>
  <c r="BE3" i="111"/>
  <c r="BF28" i="111"/>
  <c r="BG27" i="111"/>
  <c r="BI46" i="111"/>
  <c r="BE64" i="111"/>
  <c r="BJ27" i="111"/>
  <c r="BF57" i="111"/>
  <c r="BG23" i="111"/>
  <c r="BC19" i="111"/>
  <c r="BG24" i="111"/>
  <c r="BC41" i="111"/>
  <c r="BC18" i="111"/>
  <c r="BH18" i="111"/>
  <c r="BK35" i="111"/>
  <c r="BC44" i="111"/>
  <c r="BK3" i="111"/>
  <c r="BF19" i="111"/>
  <c r="BJ67" i="111"/>
  <c r="BC32" i="111"/>
  <c r="BD37" i="111"/>
  <c r="BH32" i="111"/>
  <c r="AZ3" i="111"/>
  <c r="BD36" i="111"/>
  <c r="BE78" i="111"/>
  <c r="BD35" i="111"/>
  <c r="BD42" i="111"/>
  <c r="BA32" i="111"/>
  <c r="BH66" i="111"/>
  <c r="BH69" i="111"/>
  <c r="BC4" i="111"/>
  <c r="BC27" i="111"/>
  <c r="BH10" i="111"/>
  <c r="BB29" i="111"/>
  <c r="BD34" i="111"/>
  <c r="BF45" i="111"/>
  <c r="AZ20" i="111"/>
  <c r="BG67" i="111"/>
  <c r="BF21" i="111"/>
  <c r="BJ19" i="111"/>
  <c r="BA24" i="111"/>
  <c r="BD48" i="111"/>
  <c r="BA55" i="111"/>
  <c r="BG51" i="111"/>
  <c r="AZ69" i="111"/>
  <c r="BC36" i="111"/>
  <c r="BH61" i="111"/>
  <c r="BJ31" i="111"/>
  <c r="AZ61" i="111"/>
  <c r="BC30" i="111"/>
  <c r="BC78" i="111"/>
  <c r="AZ18" i="111"/>
  <c r="BH36" i="111"/>
  <c r="BH46" i="111"/>
  <c r="BJ53" i="111"/>
  <c r="BK56" i="111"/>
  <c r="BA52" i="111"/>
  <c r="BG4" i="111"/>
  <c r="BK25" i="111"/>
  <c r="BJ49" i="111"/>
  <c r="BC48" i="111"/>
  <c r="BB21" i="111"/>
  <c r="BE73" i="111"/>
  <c r="BE72" i="111" s="1"/>
  <c r="BC11" i="111"/>
  <c r="BB16" i="111"/>
  <c r="BK38" i="111"/>
  <c r="BB10" i="111"/>
  <c r="BD64" i="111"/>
  <c r="BE53" i="111"/>
  <c r="BG8" i="111"/>
  <c r="BI29" i="111"/>
  <c r="AZ19" i="111"/>
  <c r="AZ54" i="111"/>
  <c r="BA40" i="111"/>
  <c r="BD11" i="111"/>
  <c r="BH39" i="111"/>
  <c r="BG10" i="111"/>
  <c r="BK43" i="111"/>
  <c r="AZ44" i="111"/>
  <c r="BB30" i="111"/>
  <c r="BK55" i="111"/>
  <c r="AZ30" i="111"/>
  <c r="BF54" i="111"/>
  <c r="AZ78" i="111"/>
  <c r="BA29" i="111"/>
  <c r="BE16" i="111"/>
  <c r="BK32" i="111"/>
  <c r="BF34" i="111"/>
  <c r="BJ52" i="111"/>
  <c r="BB11" i="111"/>
  <c r="BD56" i="111"/>
  <c r="BI18" i="111"/>
  <c r="BD49" i="111"/>
  <c r="BA25" i="111"/>
  <c r="BG30" i="111"/>
  <c r="BI4" i="111"/>
  <c r="BI41" i="111"/>
  <c r="BA41" i="111"/>
  <c r="BJ43" i="111"/>
  <c r="BA16" i="111"/>
  <c r="BJ55" i="111"/>
  <c r="BF31" i="111"/>
  <c r="BH59" i="111"/>
  <c r="BH29" i="111"/>
  <c r="BH42" i="111"/>
  <c r="BA66" i="111"/>
  <c r="BA78" i="111"/>
  <c r="AZ42" i="111"/>
  <c r="BB48" i="111"/>
  <c r="BJ66" i="111"/>
  <c r="BF4" i="111"/>
  <c r="BK14" i="111"/>
  <c r="BD38" i="111"/>
  <c r="BH58" i="111"/>
  <c r="BI8" i="111"/>
  <c r="BJ39" i="111"/>
  <c r="BA21" i="111"/>
  <c r="BF30" i="111"/>
  <c r="BC24" i="111"/>
  <c r="BH41" i="111"/>
  <c r="AZ41" i="111"/>
  <c r="BD66" i="111"/>
  <c r="BE63" i="111"/>
  <c r="BH8" i="111"/>
  <c r="BH23" i="111"/>
  <c r="BG35" i="111"/>
  <c r="BA49" i="111"/>
  <c r="BG19" i="111"/>
  <c r="BK15" i="111"/>
  <c r="BA26" i="111"/>
  <c r="BE48" i="111"/>
  <c r="BA30" i="111"/>
  <c r="BC67" i="111"/>
  <c r="BG52" i="111"/>
  <c r="BF3" i="111"/>
  <c r="BE58" i="111"/>
  <c r="AZ43" i="111"/>
  <c r="BI69" i="111"/>
  <c r="AZ32" i="111"/>
  <c r="BK78" i="111"/>
  <c r="BF36" i="111"/>
  <c r="BH11" i="111"/>
  <c r="BI15" i="111"/>
  <c r="BI43" i="111"/>
  <c r="BG29" i="111"/>
  <c r="BK4" i="111"/>
  <c r="BD46" i="111"/>
  <c r="BJ32" i="111"/>
  <c r="BA27" i="111"/>
  <c r="BD28" i="111"/>
  <c r="BK45" i="111"/>
  <c r="BA14" i="111"/>
  <c r="BB19" i="111"/>
  <c r="BF20" i="111"/>
  <c r="BA69" i="111"/>
  <c r="BJ73" i="111"/>
  <c r="BJ72" i="111" s="1"/>
  <c r="BF67" i="111"/>
  <c r="BI71" i="111"/>
  <c r="BI70" i="111" s="1"/>
  <c r="AZ63" i="111"/>
  <c r="BI38" i="111"/>
  <c r="BC26" i="111"/>
  <c r="BB66" i="111"/>
  <c r="BG63" i="111"/>
  <c r="BE57" i="111"/>
  <c r="BA56" i="111"/>
  <c r="BI57" i="111"/>
  <c r="BH14" i="111"/>
  <c r="BG53" i="111"/>
  <c r="BE36" i="111"/>
  <c r="BE31" i="111"/>
  <c r="BA4" i="111"/>
  <c r="BB38" i="111"/>
  <c r="BJ23" i="111"/>
  <c r="AZ13" i="111"/>
  <c r="BB69" i="111"/>
  <c r="BJ18" i="111"/>
  <c r="BA38" i="111"/>
  <c r="BD17" i="111"/>
  <c r="BE55" i="111"/>
  <c r="BG14" i="111"/>
  <c r="BJ34" i="111"/>
  <c r="BI32" i="111"/>
  <c r="BH71" i="111"/>
  <c r="BH70" i="111" s="1"/>
  <c r="BJ35" i="111"/>
  <c r="BI52" i="103"/>
  <c r="AZ31" i="103"/>
  <c r="BE38" i="103"/>
  <c r="BG25" i="103"/>
  <c r="BK37" i="103"/>
  <c r="BK53" i="103"/>
  <c r="BC66" i="103"/>
  <c r="BG10" i="103"/>
  <c r="BD19" i="103"/>
  <c r="BG28" i="103"/>
  <c r="BE40" i="103"/>
  <c r="BF49" i="103"/>
  <c r="BF51" i="103"/>
  <c r="BJ57" i="103"/>
  <c r="BE13" i="103"/>
  <c r="BJ25" i="103"/>
  <c r="BF39" i="103"/>
  <c r="BK51" i="103"/>
  <c r="BH63" i="103"/>
  <c r="BA3" i="103"/>
  <c r="AZ14" i="103"/>
  <c r="BD25" i="103"/>
  <c r="BJ36" i="103"/>
  <c r="BI23" i="103"/>
  <c r="BE44" i="103"/>
  <c r="BD64" i="103"/>
  <c r="BB13" i="103"/>
  <c r="AZ26" i="103"/>
  <c r="BB38" i="103"/>
  <c r="BK45" i="103"/>
  <c r="BK54" i="103"/>
  <c r="AZ66" i="103"/>
  <c r="BB11" i="103"/>
  <c r="BD20" i="103"/>
  <c r="BH61" i="103"/>
  <c r="BD43" i="103"/>
  <c r="BK63" i="103"/>
  <c r="BH11" i="103"/>
  <c r="BI25" i="103"/>
  <c r="BJ9" i="103"/>
  <c r="BK41" i="103"/>
  <c r="BD51" i="103"/>
  <c r="BG59" i="103"/>
  <c r="AZ58" i="103"/>
  <c r="BA64" i="103"/>
  <c r="BI64" i="103"/>
  <c r="BD67" i="103"/>
  <c r="BH4" i="103"/>
  <c r="BB9" i="103"/>
  <c r="BG67" i="103"/>
  <c r="BF4" i="103"/>
  <c r="BK13" i="103"/>
  <c r="BI20" i="103"/>
  <c r="BH25" i="103"/>
  <c r="BG27" i="103"/>
  <c r="BF27" i="103"/>
  <c r="BD32" i="103"/>
  <c r="BF29" i="103"/>
  <c r="BE3" i="103"/>
  <c r="BB30" i="103"/>
  <c r="BH36" i="103"/>
  <c r="BA44" i="103"/>
  <c r="BB51" i="103"/>
  <c r="BH53" i="103"/>
  <c r="BC46" i="103"/>
  <c r="BH51" i="103"/>
  <c r="BD55" i="103"/>
  <c r="BK32" i="103"/>
  <c r="BG64" i="103"/>
  <c r="BH69" i="103"/>
  <c r="BH37" i="103"/>
  <c r="BH43" i="103"/>
  <c r="BD45" i="103"/>
  <c r="BE52" i="103"/>
  <c r="BG55" i="103"/>
  <c r="BC56" i="103"/>
  <c r="BE58" i="103"/>
  <c r="BF64" i="103"/>
  <c r="BH19" i="103"/>
  <c r="BA53" i="103"/>
  <c r="BF66" i="103"/>
  <c r="AZ8" i="103"/>
  <c r="BC14" i="103"/>
  <c r="BF16" i="103"/>
  <c r="BK18" i="103"/>
  <c r="BC19" i="103"/>
  <c r="BB19" i="103"/>
  <c r="BH21" i="103"/>
  <c r="BB55" i="103"/>
  <c r="BA24" i="103"/>
  <c r="BD29" i="103"/>
  <c r="BC38" i="103"/>
  <c r="BF43" i="103"/>
  <c r="BG40" i="103"/>
  <c r="BA41" i="103"/>
  <c r="BK43" i="103"/>
  <c r="BJ46" i="103"/>
  <c r="BA8" i="103"/>
  <c r="BG56" i="103"/>
  <c r="BC73" i="103"/>
  <c r="BC72" i="103" s="1"/>
  <c r="BD4" i="103"/>
  <c r="BA13" i="103"/>
  <c r="BE23" i="103"/>
  <c r="BF32" i="103"/>
  <c r="BF40" i="103"/>
  <c r="BG49" i="103"/>
  <c r="AZ61" i="103"/>
  <c r="BB8" i="103"/>
  <c r="BE57" i="103"/>
  <c r="BI39" i="103"/>
  <c r="BA55" i="103"/>
  <c r="BD3" i="103"/>
  <c r="BD18" i="103"/>
  <c r="BA29" i="103"/>
  <c r="BJ38" i="103"/>
  <c r="BA45" i="103"/>
  <c r="BE55" i="103"/>
  <c r="BI69" i="103"/>
  <c r="BD13" i="103"/>
  <c r="BI36" i="103"/>
  <c r="AZ49" i="103"/>
  <c r="BA71" i="103"/>
  <c r="BA70" i="103" s="1"/>
  <c r="BI16" i="103"/>
  <c r="BJ28" i="103"/>
  <c r="BF42" i="103"/>
  <c r="BA51" i="103"/>
  <c r="BD59" i="103"/>
  <c r="BD71" i="103"/>
  <c r="BD70" i="103" s="1"/>
  <c r="BJ15" i="103"/>
  <c r="BC25" i="103"/>
  <c r="BB32" i="103"/>
  <c r="BG21" i="103"/>
  <c r="BE27" i="103"/>
  <c r="BG39" i="103"/>
  <c r="AZ55" i="103"/>
  <c r="BE69" i="103"/>
  <c r="AZ13" i="103"/>
  <c r="BB21" i="103"/>
  <c r="BA30" i="103"/>
  <c r="BI41" i="103"/>
  <c r="BA52" i="103"/>
  <c r="BF35" i="103"/>
  <c r="BA31" i="103"/>
  <c r="BH31" i="103"/>
  <c r="AZ40" i="103"/>
  <c r="BI44" i="103"/>
  <c r="BG48" i="103"/>
  <c r="BI49" i="103"/>
  <c r="BK52" i="103"/>
  <c r="BJ56" i="103"/>
  <c r="BB26" i="103"/>
  <c r="BF45" i="103"/>
  <c r="BD57" i="103"/>
  <c r="BI67" i="103"/>
  <c r="BC4" i="103"/>
  <c r="BG9" i="103"/>
  <c r="BD11" i="103"/>
  <c r="AZ4" i="103"/>
  <c r="BK11" i="103"/>
  <c r="BI15" i="103"/>
  <c r="BA19" i="103"/>
  <c r="BA25" i="103"/>
  <c r="BG31" i="103"/>
  <c r="BD30" i="103"/>
  <c r="BG34" i="103"/>
  <c r="BF34" i="103"/>
  <c r="BB39" i="103"/>
  <c r="BA42" i="103"/>
  <c r="BJ8" i="103"/>
  <c r="BE51" i="103"/>
  <c r="BJ55" i="103"/>
  <c r="BE66" i="103"/>
  <c r="BJ73" i="103"/>
  <c r="BJ72" i="103" s="1"/>
  <c r="BK14" i="103"/>
  <c r="BF25" i="103"/>
  <c r="BE32" i="103"/>
  <c r="BB43" i="103"/>
  <c r="BH54" i="103"/>
  <c r="BB27" i="103"/>
  <c r="BC13" i="103"/>
  <c r="BD34" i="103"/>
  <c r="AZ46" i="103"/>
  <c r="BB20" i="103"/>
  <c r="BA26" i="103"/>
  <c r="AZ34" i="103"/>
  <c r="BE39" i="103"/>
  <c r="BE42" i="103"/>
  <c r="BD42" i="103"/>
  <c r="AZ45" i="103"/>
  <c r="BF78" i="103"/>
  <c r="BB34" i="103"/>
  <c r="BC41" i="103"/>
  <c r="BD49" i="103"/>
  <c r="BJ58" i="103"/>
  <c r="BK64" i="103"/>
  <c r="AZ73" i="103"/>
  <c r="AZ72" i="103" s="1"/>
  <c r="AZ64" i="103"/>
  <c r="BI66" i="103"/>
  <c r="BH3" i="103"/>
  <c r="BB25" i="103"/>
  <c r="BD66" i="103"/>
  <c r="BE11" i="103"/>
  <c r="BE18" i="103"/>
  <c r="AZ20" i="103"/>
  <c r="BH24" i="103"/>
  <c r="BG26" i="103"/>
  <c r="BE26" i="103"/>
  <c r="BC31" i="103"/>
  <c r="BA36" i="103"/>
  <c r="BC24" i="103"/>
  <c r="BB40" i="103"/>
  <c r="BB48" i="103"/>
  <c r="BC57" i="103"/>
  <c r="BI63" i="103"/>
  <c r="BF17" i="103"/>
  <c r="BE25" i="103"/>
  <c r="BG38" i="103"/>
  <c r="BA46" i="103"/>
  <c r="BI43" i="103"/>
  <c r="BI46" i="103"/>
  <c r="BC29" i="103"/>
  <c r="BK40" i="103"/>
  <c r="BF56" i="103"/>
  <c r="BA73" i="103"/>
  <c r="BA72" i="103" s="1"/>
  <c r="BB14" i="103"/>
  <c r="BG24" i="103"/>
  <c r="BD31" i="103"/>
  <c r="BG78" i="103"/>
  <c r="BE53" i="103"/>
  <c r="BK71" i="103"/>
  <c r="BK70" i="103" s="1"/>
  <c r="BC58" i="103"/>
  <c r="BA39" i="103"/>
  <c r="BF54" i="103"/>
  <c r="BK73" i="103"/>
  <c r="BK72" i="103" s="1"/>
  <c r="BI17" i="103"/>
  <c r="BI28" i="103"/>
  <c r="BA38" i="103"/>
  <c r="BG44" i="103"/>
  <c r="BI54" i="103"/>
  <c r="AZ69" i="103"/>
  <c r="BJ11" i="103"/>
  <c r="BJ16" i="103"/>
  <c r="BJ59" i="103"/>
  <c r="BG16" i="103"/>
  <c r="BB69" i="103"/>
  <c r="BF14" i="103"/>
  <c r="BA20" i="103"/>
  <c r="AZ27" i="103"/>
  <c r="BG32" i="103"/>
  <c r="BJ35" i="103"/>
  <c r="BI35" i="103"/>
  <c r="BE34" i="103"/>
  <c r="BD37" i="103"/>
  <c r="BD53" i="103"/>
  <c r="AZ37" i="103"/>
  <c r="BD78" i="103"/>
  <c r="BB53" i="103"/>
  <c r="BK57" i="103"/>
  <c r="BC54" i="103"/>
  <c r="BF55" i="103"/>
  <c r="BG57" i="103"/>
  <c r="BD63" i="103"/>
  <c r="BK25" i="103"/>
  <c r="BB57" i="103"/>
  <c r="BG3" i="103"/>
  <c r="BJ13" i="103"/>
  <c r="BD15" i="103"/>
  <c r="BB18" i="103"/>
  <c r="BJ18" i="103"/>
  <c r="BE24" i="103"/>
  <c r="BE28" i="103"/>
  <c r="BB10" i="103"/>
  <c r="BE35" i="103"/>
  <c r="BF41" i="103"/>
  <c r="BC51" i="103"/>
  <c r="BE56" i="103"/>
  <c r="BD69" i="103"/>
  <c r="BF9" i="103"/>
  <c r="AZ18" i="103"/>
  <c r="BI30" i="103"/>
  <c r="BH41" i="103"/>
  <c r="BK34" i="103"/>
  <c r="BG73" i="103"/>
  <c r="BG72" i="103" s="1"/>
  <c r="AZ23" i="103"/>
  <c r="BJ34" i="103"/>
  <c r="BC49" i="103"/>
  <c r="AZ63" i="103"/>
  <c r="BK4" i="103"/>
  <c r="BE16" i="103"/>
  <c r="BF24" i="103"/>
  <c r="BE37" i="103"/>
  <c r="BH45" i="103"/>
  <c r="BE29" i="103"/>
  <c r="BF18" i="103"/>
  <c r="BH32" i="103"/>
  <c r="BE45" i="103"/>
  <c r="BJ63" i="103"/>
  <c r="BI10" i="103"/>
  <c r="BF58" i="103"/>
  <c r="BD14" i="103"/>
  <c r="BE21" i="103"/>
  <c r="BH26" i="103"/>
  <c r="BH28" i="103"/>
  <c r="BF20" i="103"/>
  <c r="BD26" i="103"/>
  <c r="BH30" i="103"/>
  <c r="AZ36" i="103"/>
  <c r="BJ30" i="103"/>
  <c r="BB37" i="103"/>
  <c r="BJ44" i="103"/>
  <c r="AZ44" i="103"/>
  <c r="BD46" i="103"/>
  <c r="BF48" i="103"/>
  <c r="BB52" i="103"/>
  <c r="BA56" i="103"/>
  <c r="BE4" i="103"/>
  <c r="BG52" i="103"/>
  <c r="BH56" i="103"/>
  <c r="AZ67" i="103"/>
  <c r="BC3" i="103"/>
  <c r="BG8" i="103"/>
  <c r="BF10" i="103"/>
  <c r="BG13" i="103"/>
  <c r="BH18" i="103"/>
  <c r="AZ15" i="103"/>
  <c r="BI56" i="103"/>
  <c r="BK29" i="103"/>
  <c r="BD35" i="103"/>
  <c r="BG43" i="103"/>
  <c r="BK49" i="103"/>
  <c r="BE59" i="103"/>
  <c r="BE71" i="103"/>
  <c r="BE70" i="103" s="1"/>
  <c r="BC11" i="103"/>
  <c r="BK23" i="103"/>
  <c r="BG35" i="103"/>
  <c r="BB67" i="103"/>
  <c r="BF63" i="103"/>
  <c r="BA18" i="103"/>
  <c r="BB28" i="103"/>
  <c r="BB78" i="103"/>
  <c r="BH55" i="103"/>
  <c r="BF67" i="103"/>
  <c r="BF8" i="103"/>
  <c r="BE17" i="103"/>
  <c r="AZ30" i="103"/>
  <c r="BI53" i="103"/>
  <c r="BA67" i="103"/>
  <c r="BI8" i="103"/>
  <c r="BE15" i="103"/>
  <c r="BH17" i="103"/>
  <c r="BH13" i="103"/>
  <c r="BI14" i="103"/>
  <c r="BK19" i="103"/>
  <c r="BA23" i="103"/>
  <c r="AZ56" i="103"/>
  <c r="BI24" i="103"/>
  <c r="BF30" i="103"/>
  <c r="BI32" i="103"/>
  <c r="BK38" i="103"/>
  <c r="BB41" i="103"/>
  <c r="BJ41" i="103"/>
  <c r="BF44" i="103"/>
  <c r="BD48" i="103"/>
  <c r="BG19" i="103"/>
  <c r="AZ59" i="103"/>
  <c r="BA57" i="103"/>
  <c r="BI61" i="103"/>
  <c r="BK28" i="103"/>
  <c r="BJ29" i="103"/>
  <c r="BH64" i="103"/>
  <c r="BI11" i="103"/>
  <c r="BB63" i="103"/>
  <c r="AZ25" i="103"/>
  <c r="BH44" i="103"/>
  <c r="BE63" i="103"/>
  <c r="BC26" i="103"/>
  <c r="BC48" i="103"/>
  <c r="BK9" i="103"/>
  <c r="BJ48" i="103"/>
  <c r="BK35" i="103"/>
  <c r="BD23" i="103"/>
  <c r="BD16" i="103"/>
  <c r="BC8" i="103"/>
  <c r="BH39" i="103"/>
  <c r="BK17" i="103"/>
  <c r="BC21" i="103"/>
  <c r="BF21" i="103"/>
  <c r="BA28" i="103"/>
  <c r="BB35" i="103"/>
  <c r="BG37" i="103"/>
  <c r="BF37" i="103"/>
  <c r="BB36" i="103"/>
  <c r="AZ39" i="103"/>
  <c r="AZ43" i="103"/>
  <c r="BJ31" i="103"/>
  <c r="BF26" i="103"/>
  <c r="BD38" i="103"/>
  <c r="BE54" i="103"/>
  <c r="BH67" i="103"/>
  <c r="BF11" i="103"/>
  <c r="BG20" i="103"/>
  <c r="BH29" i="103"/>
  <c r="AZ41" i="103"/>
  <c r="BG51" i="103"/>
  <c r="BA9" i="103"/>
  <c r="BI73" i="103"/>
  <c r="BI72" i="103" s="1"/>
  <c r="BI26" i="103"/>
  <c r="BJ40" i="103"/>
  <c r="BF71" i="103"/>
  <c r="BF70" i="103" s="1"/>
  <c r="BK8" i="103"/>
  <c r="BK24" i="103"/>
  <c r="BD52" i="103"/>
  <c r="BB56" i="103"/>
  <c r="BE64" i="103"/>
  <c r="BH46" i="103"/>
  <c r="BG11" i="103"/>
  <c r="BE31" i="103"/>
  <c r="BE48" i="103"/>
  <c r="AZ19" i="103"/>
  <c r="BH71" i="103"/>
  <c r="BH70" i="103" s="1"/>
  <c r="BG61" i="103"/>
  <c r="BG42" i="103"/>
  <c r="BH20" i="103"/>
  <c r="BC15" i="103"/>
  <c r="BE9" i="103"/>
  <c r="BA59" i="103"/>
  <c r="BC40" i="103"/>
  <c r="BI59" i="103"/>
  <c r="BC9" i="103"/>
  <c r="AZ16" i="103"/>
  <c r="AZ24" i="103"/>
  <c r="AZ28" i="103"/>
  <c r="BI29" i="103"/>
  <c r="BJ21" i="103"/>
  <c r="BF28" i="103"/>
  <c r="BK31" i="103"/>
  <c r="BA16" i="103"/>
  <c r="BJ69" i="103"/>
  <c r="BJ20" i="103"/>
  <c r="BA32" i="103"/>
  <c r="BF46" i="103"/>
  <c r="BI58" i="103"/>
  <c r="BB3" i="103"/>
  <c r="BA14" i="103"/>
  <c r="BA21" i="103"/>
  <c r="BH35" i="103"/>
  <c r="BA43" i="103"/>
  <c r="BE49" i="103"/>
  <c r="BJ3" i="103"/>
  <c r="BF31" i="103"/>
  <c r="BG36" i="103"/>
  <c r="BC61" i="103"/>
  <c r="BK27" i="103"/>
  <c r="BJ17" i="103"/>
  <c r="BB45" i="103"/>
  <c r="BD17" i="103"/>
  <c r="BC28" i="103"/>
  <c r="BB24" i="103"/>
  <c r="BB49" i="103"/>
  <c r="BC69" i="103"/>
  <c r="BB23" i="103"/>
  <c r="BD61" i="103"/>
  <c r="BA40" i="103"/>
  <c r="BF36" i="103"/>
  <c r="BI13" i="103"/>
  <c r="BJ61" i="103"/>
  <c r="BJ52" i="103"/>
  <c r="BB71" i="103"/>
  <c r="BB70" i="103" s="1"/>
  <c r="AZ71" i="103"/>
  <c r="AZ70" i="103" s="1"/>
  <c r="BG69" i="103"/>
  <c r="BI9" i="103"/>
  <c r="AZ17" i="103"/>
  <c r="BE19" i="103"/>
  <c r="BJ14" i="103"/>
  <c r="BK15" i="103"/>
  <c r="AZ21" i="103"/>
  <c r="BD24" i="103"/>
  <c r="BC63" i="103"/>
  <c r="BB59" i="103"/>
  <c r="BF15" i="103"/>
  <c r="BJ26" i="103"/>
  <c r="BI40" i="103"/>
  <c r="AZ53" i="103"/>
  <c r="BJ64" i="103"/>
  <c r="BA4" i="103"/>
  <c r="BB15" i="103"/>
  <c r="BD27" i="103"/>
  <c r="BF38" i="103"/>
  <c r="BI4" i="103"/>
  <c r="BA35" i="103"/>
  <c r="BK48" i="103"/>
  <c r="BH73" i="103"/>
  <c r="BH72" i="103" s="1"/>
  <c r="BK10" i="103"/>
  <c r="BJ37" i="103"/>
  <c r="BD39" i="103"/>
  <c r="BD10" i="103"/>
  <c r="BK55" i="103"/>
  <c r="BA17" i="103"/>
  <c r="BA78" i="103"/>
  <c r="BB61" i="103"/>
  <c r="BC16" i="103"/>
  <c r="BE14" i="103"/>
  <c r="BC55" i="103"/>
  <c r="BA34" i="103"/>
  <c r="BJ24" i="103"/>
  <c r="BB4" i="103"/>
  <c r="BE67" i="103"/>
  <c r="BK46" i="103"/>
  <c r="BD44" i="103"/>
  <c r="BH15" i="103"/>
  <c r="BJ54" i="103"/>
  <c r="BH59" i="103"/>
  <c r="BB73" i="103"/>
  <c r="BB72" i="103" s="1"/>
  <c r="BH9" i="103"/>
  <c r="BK3" i="103"/>
  <c r="BJ4" i="103"/>
  <c r="BE8" i="103"/>
  <c r="BA15" i="103"/>
  <c r="BC17" i="103"/>
  <c r="BG41" i="103"/>
  <c r="BB54" i="103"/>
  <c r="BD8" i="103"/>
  <c r="BK20" i="103"/>
  <c r="BI34" i="103"/>
  <c r="BC45" i="103"/>
  <c r="BD56" i="103"/>
  <c r="BA66" i="103"/>
  <c r="BE20" i="103"/>
  <c r="BB31" i="103"/>
  <c r="BF13" i="103"/>
  <c r="AZ35" i="103"/>
  <c r="BH42" i="103"/>
  <c r="BG63" i="103"/>
  <c r="BI42" i="103"/>
  <c r="BE30" i="103"/>
  <c r="BK61" i="103"/>
  <c r="BC71" i="103"/>
  <c r="BC70" i="103" s="1"/>
  <c r="BH49" i="103"/>
  <c r="BJ10" i="103"/>
  <c r="BE36" i="103"/>
  <c r="BG53" i="103"/>
  <c r="BD9" i="103"/>
  <c r="BC44" i="103"/>
  <c r="BC78" i="103"/>
  <c r="BJ27" i="103"/>
  <c r="BG71" i="103"/>
  <c r="BG70" i="103" s="1"/>
  <c r="BK66" i="103"/>
  <c r="BC52" i="103"/>
  <c r="BC42" i="103"/>
  <c r="BJ39" i="103"/>
  <c r="AZ52" i="103"/>
  <c r="BH48" i="103"/>
  <c r="BC53" i="103"/>
  <c r="BA63" i="103"/>
  <c r="BF59" i="103"/>
  <c r="BB66" i="103"/>
  <c r="BJ66" i="103"/>
  <c r="BK69" i="103"/>
  <c r="BA11" i="103"/>
  <c r="BG30" i="103"/>
  <c r="AZ48" i="103"/>
  <c r="BJ67" i="103"/>
  <c r="BG15" i="103"/>
  <c r="BI27" i="103"/>
  <c r="BH40" i="103"/>
  <c r="BA49" i="103"/>
  <c r="BH57" i="103"/>
  <c r="BA69" i="103"/>
  <c r="BH14" i="103"/>
  <c r="BJ23" i="103"/>
  <c r="BG46" i="103"/>
  <c r="BB16" i="103"/>
  <c r="BK39" i="103"/>
  <c r="BA58" i="103"/>
  <c r="BI3" i="103"/>
  <c r="BH23" i="103"/>
  <c r="BF19" i="103"/>
  <c r="BA54" i="103"/>
  <c r="BC27" i="103"/>
  <c r="BK78" i="103"/>
  <c r="BC64" i="103"/>
  <c r="BD21" i="103"/>
  <c r="BC39" i="103"/>
  <c r="BK59" i="103"/>
  <c r="AZ11" i="103"/>
  <c r="BD28" i="103"/>
  <c r="BG23" i="103"/>
  <c r="BE61" i="103"/>
  <c r="BI57" i="103"/>
  <c r="BI38" i="103"/>
  <c r="BK36" i="103"/>
  <c r="BC32" i="103"/>
  <c r="BK67" i="103"/>
  <c r="BJ42" i="103"/>
  <c r="BK44" i="103"/>
  <c r="BA48" i="103"/>
  <c r="BJ53" i="103"/>
  <c r="AZ57" i="103"/>
  <c r="BG58" i="103"/>
  <c r="BA61" i="103"/>
  <c r="BC67" i="103"/>
  <c r="BG4" i="103"/>
  <c r="BC20" i="103"/>
  <c r="BB42" i="103"/>
  <c r="BK58" i="103"/>
  <c r="AZ9" i="103"/>
  <c r="BF23" i="103"/>
  <c r="BH34" i="103"/>
  <c r="AZ78" i="103"/>
  <c r="AZ51" i="103"/>
  <c r="BC59" i="103"/>
  <c r="BK16" i="103"/>
  <c r="BB58" i="103"/>
  <c r="BG54" i="103"/>
  <c r="BK42" i="103"/>
  <c r="BF52" i="103"/>
  <c r="BK56" i="103"/>
  <c r="BI18" i="103"/>
  <c r="BJ78" i="103"/>
  <c r="BJ45" i="103"/>
  <c r="BJ19" i="103"/>
  <c r="AZ10" i="103"/>
  <c r="BA37" i="103"/>
  <c r="BH58" i="103"/>
  <c r="BE10" i="103"/>
  <c r="BD40" i="103"/>
  <c r="BG66" i="103"/>
  <c r="BK21" i="103"/>
  <c r="BA10" i="103"/>
  <c r="BD54" i="103"/>
  <c r="BE43" i="103"/>
  <c r="BK30" i="103"/>
  <c r="BG29" i="103"/>
  <c r="BG18" i="103"/>
  <c r="BB17" i="103"/>
  <c r="BH38" i="103"/>
  <c r="BJ32" i="103"/>
  <c r="BE41" i="103"/>
  <c r="BE46" i="103"/>
  <c r="BJ49" i="103"/>
  <c r="BI51" i="103"/>
  <c r="AZ54" i="103"/>
  <c r="BD58" i="103"/>
  <c r="BE78" i="103"/>
  <c r="BK26" i="103"/>
  <c r="AZ38" i="103"/>
  <c r="BH52" i="103"/>
  <c r="BI71" i="103"/>
  <c r="BI70" i="103" s="1"/>
  <c r="BH16" i="103"/>
  <c r="BH27" i="103"/>
  <c r="BD36" i="103"/>
  <c r="BH78" i="103"/>
  <c r="BF53" i="103"/>
  <c r="BH66" i="103"/>
  <c r="BC10" i="103"/>
  <c r="V15" i="117"/>
  <c r="H24" i="418"/>
  <c r="J24" i="418"/>
  <c r="V15" i="110"/>
  <c r="BA10" i="111"/>
  <c r="AZ37" i="111"/>
  <c r="BK28" i="107"/>
  <c r="BD44" i="107"/>
  <c r="BG67" i="107"/>
  <c r="BB16" i="107"/>
  <c r="BH34" i="107"/>
  <c r="BJ51" i="107"/>
  <c r="BH3" i="107"/>
  <c r="BH23" i="107"/>
  <c r="BK40" i="107"/>
  <c r="AZ20" i="107"/>
  <c r="BB67" i="107"/>
  <c r="BC52" i="111"/>
  <c r="BA31" i="111"/>
  <c r="BH28" i="111"/>
  <c r="BG42" i="111"/>
  <c r="BI23" i="111"/>
  <c r="BI67" i="111"/>
  <c r="BD40" i="111"/>
  <c r="BC29" i="111"/>
  <c r="BG73" i="111"/>
  <c r="BG72" i="111" s="1"/>
  <c r="BD20" i="111"/>
  <c r="BE26" i="111"/>
  <c r="BE59" i="111"/>
  <c r="BG32" i="107"/>
  <c r="BG52" i="107"/>
  <c r="BK3" i="107"/>
  <c r="BF21" i="107"/>
  <c r="BE39" i="107"/>
  <c r="BG57" i="107"/>
  <c r="BI10" i="107"/>
  <c r="BG27" i="107"/>
  <c r="BH45" i="107"/>
  <c r="BI56" i="107"/>
  <c r="BA63" i="107"/>
  <c r="AZ16" i="111"/>
  <c r="BH37" i="111"/>
  <c r="BI32" i="124"/>
  <c r="BG3" i="124"/>
  <c r="BH8" i="124"/>
  <c r="BJ44" i="124"/>
  <c r="BH66" i="124"/>
  <c r="BC29" i="124"/>
  <c r="BI14" i="124"/>
  <c r="BF64" i="124"/>
  <c r="AZ3" i="124"/>
  <c r="BK29" i="124"/>
  <c r="BG29" i="124"/>
  <c r="BJ73" i="124"/>
  <c r="BJ72" i="124" s="1"/>
  <c r="BB15" i="124"/>
  <c r="BA28" i="124"/>
  <c r="BC8" i="124"/>
  <c r="BG46" i="124"/>
  <c r="BD39" i="124"/>
  <c r="BD69" i="124"/>
  <c r="AZ9" i="124"/>
  <c r="BH29" i="124"/>
  <c r="BK45" i="124"/>
  <c r="BC52" i="124"/>
  <c r="BJ29" i="124"/>
  <c r="BH8" i="103"/>
  <c r="BC43" i="103"/>
  <c r="BI21" i="103"/>
  <c r="BF73" i="103"/>
  <c r="BF72" i="103" s="1"/>
  <c r="BE73" i="103"/>
  <c r="BE72" i="103" s="1"/>
  <c r="BE21" i="111"/>
  <c r="BB71" i="107"/>
  <c r="BB70" i="107" s="1"/>
  <c r="AZ21" i="107"/>
  <c r="BA41" i="107"/>
  <c r="BI57" i="107"/>
  <c r="AZ11" i="107"/>
  <c r="BI27" i="107"/>
  <c r="BI44" i="107"/>
  <c r="BD64" i="107"/>
  <c r="BI18" i="107"/>
  <c r="BH36" i="107"/>
  <c r="BA31" i="107"/>
  <c r="BK71" i="107"/>
  <c r="BK70" i="107" s="1"/>
  <c r="BA17" i="111"/>
  <c r="H13" i="418"/>
  <c r="AZ29" i="111"/>
  <c r="BC25" i="111"/>
  <c r="BG15" i="111"/>
  <c r="BJ64" i="111"/>
  <c r="AZ15" i="111"/>
  <c r="BG49" i="111"/>
  <c r="BG36" i="111"/>
  <c r="BH9" i="111"/>
  <c r="BJ29" i="111"/>
  <c r="BD41" i="111"/>
  <c r="BC28" i="107"/>
  <c r="BK43" i="107"/>
  <c r="BD66" i="107"/>
  <c r="BI15" i="107"/>
  <c r="AZ34" i="107"/>
  <c r="BB51" i="107"/>
  <c r="AZ3" i="107"/>
  <c r="AZ23" i="107"/>
  <c r="BC40" i="107"/>
  <c r="BK13" i="107"/>
  <c r="BE43" i="107"/>
  <c r="BB23" i="111"/>
  <c r="BE24" i="124"/>
  <c r="BJ32" i="124"/>
  <c r="BH17" i="124"/>
  <c r="BH18" i="124"/>
  <c r="BD45" i="124"/>
  <c r="BD49" i="124"/>
  <c r="BE69" i="124"/>
  <c r="BD27" i="124"/>
  <c r="BG67" i="124"/>
  <c r="AZ38" i="124"/>
  <c r="BC57" i="124"/>
  <c r="BI67" i="124"/>
  <c r="BC10" i="124"/>
  <c r="AZ20" i="124"/>
  <c r="BJ78" i="124"/>
  <c r="BE14" i="124"/>
  <c r="BK42" i="124"/>
  <c r="BJ51" i="124"/>
  <c r="BG13" i="124"/>
  <c r="BF45" i="124"/>
  <c r="BB49" i="124"/>
  <c r="BF48" i="124"/>
  <c r="BH54" i="124"/>
  <c r="BK46" i="124"/>
  <c r="BI35" i="111"/>
  <c r="BF61" i="103"/>
  <c r="BI78" i="103"/>
  <c r="BC23" i="103"/>
  <c r="BJ51" i="103"/>
  <c r="BB64" i="103"/>
  <c r="BK64" i="111"/>
  <c r="BI58" i="111"/>
  <c r="BH24" i="111"/>
  <c r="BB3" i="111"/>
  <c r="AZ63" i="107"/>
  <c r="BK14" i="107"/>
  <c r="BC35" i="107"/>
  <c r="AZ53" i="107"/>
  <c r="BJ3" i="107"/>
  <c r="BJ23" i="107"/>
  <c r="BD39" i="107"/>
  <c r="BF57" i="107"/>
  <c r="BH10" i="107"/>
  <c r="BK30" i="107"/>
  <c r="BI48" i="107"/>
  <c r="BC66" i="111"/>
  <c r="BD15" i="111"/>
  <c r="BJ28" i="111"/>
  <c r="BD25" i="111"/>
  <c r="BK13" i="111"/>
  <c r="BK21" i="111"/>
  <c r="BC61" i="111"/>
  <c r="BH49" i="111"/>
  <c r="BC53" i="111"/>
  <c r="BA9" i="111"/>
  <c r="BH26" i="111"/>
  <c r="BD69" i="107"/>
  <c r="BG20" i="107"/>
  <c r="BH40" i="107"/>
  <c r="BA57" i="107"/>
  <c r="BK10" i="107"/>
  <c r="BA27" i="107"/>
  <c r="BA44" i="107"/>
  <c r="BK63" i="107"/>
  <c r="BA18" i="107"/>
  <c r="AZ36" i="107"/>
  <c r="BC29" i="107"/>
  <c r="BG24" i="107"/>
  <c r="BJ3" i="111"/>
  <c r="BF43" i="124"/>
  <c r="AZ35" i="124"/>
  <c r="BK53" i="124"/>
  <c r="BJ48" i="124"/>
  <c r="BJ67" i="124"/>
  <c r="BB51" i="124"/>
  <c r="BF55" i="124"/>
  <c r="BE3" i="124"/>
  <c r="BH67" i="124"/>
  <c r="BE71" i="124"/>
  <c r="BE70" i="124" s="1"/>
  <c r="BE17" i="124"/>
  <c r="BI3" i="124"/>
  <c r="BA15" i="124"/>
  <c r="BF32" i="124"/>
  <c r="BD4" i="124"/>
  <c r="BC20" i="124"/>
  <c r="BD54" i="124"/>
  <c r="BG28" i="124"/>
  <c r="BE26" i="124"/>
  <c r="BK11" i="124"/>
  <c r="BH61" i="124"/>
  <c r="BE18" i="124"/>
  <c r="BA4" i="124"/>
  <c r="AZ73" i="124"/>
  <c r="AZ72" i="124" s="1"/>
  <c r="BF3" i="103"/>
  <c r="BB44" i="103"/>
  <c r="BD41" i="103"/>
  <c r="BC30" i="103"/>
  <c r="BB29" i="103"/>
  <c r="BG45" i="103"/>
  <c r="BK51" i="111"/>
  <c r="AZ56" i="107"/>
  <c r="AZ9" i="107"/>
  <c r="BA29" i="107"/>
  <c r="BC44" i="107"/>
  <c r="BC66" i="107"/>
  <c r="BI17" i="107"/>
  <c r="AZ35" i="107"/>
  <c r="BI51" i="107"/>
  <c r="BK73" i="107"/>
  <c r="BK72" i="107" s="1"/>
  <c r="BH24" i="107"/>
  <c r="BC53" i="107"/>
  <c r="BJ44" i="111"/>
  <c r="BK41" i="111"/>
  <c r="BB49" i="111"/>
  <c r="AZ36" i="111"/>
  <c r="BF23" i="111"/>
  <c r="BD73" i="111"/>
  <c r="BD72" i="111" s="1"/>
  <c r="BH78" i="111"/>
  <c r="BD27" i="111"/>
  <c r="AZ48" i="111"/>
  <c r="BG31" i="111"/>
  <c r="BF17" i="111"/>
  <c r="BK10" i="111"/>
  <c r="BF61" i="107"/>
  <c r="BC14" i="107"/>
  <c r="BJ34" i="107"/>
  <c r="BF52" i="107"/>
  <c r="BB3" i="107"/>
  <c r="BB23" i="107"/>
  <c r="BK38" i="107"/>
  <c r="BK56" i="107"/>
  <c r="AZ10" i="107"/>
  <c r="BC30" i="107"/>
  <c r="BC42" i="107"/>
  <c r="BE52" i="111"/>
  <c r="BA8" i="124"/>
  <c r="BC36" i="124"/>
  <c r="BJ38" i="124"/>
  <c r="BE11" i="124"/>
  <c r="BJ14" i="124"/>
  <c r="BE52" i="124"/>
  <c r="BC56" i="124"/>
  <c r="BD13" i="124"/>
  <c r="BJ10" i="124"/>
  <c r="BE73" i="124"/>
  <c r="BE72" i="124" s="1"/>
  <c r="BA29" i="124"/>
  <c r="BG11" i="124"/>
  <c r="BG20" i="124"/>
  <c r="BK43" i="124"/>
  <c r="BC11" i="124"/>
  <c r="BB30" i="124"/>
  <c r="BC67" i="124"/>
  <c r="BG41" i="124"/>
  <c r="BK10" i="124"/>
  <c r="BJ27" i="124"/>
  <c r="BF35" i="124"/>
  <c r="BJ35" i="124"/>
  <c r="BD42" i="124"/>
  <c r="BJ20" i="124"/>
  <c r="BF57" i="103"/>
  <c r="BI31" i="103"/>
  <c r="BC35" i="103"/>
  <c r="BI48" i="103"/>
  <c r="BJ71" i="103"/>
  <c r="BJ70" i="103" s="1"/>
  <c r="BI19" i="103"/>
  <c r="BH34" i="111"/>
  <c r="BF51" i="107"/>
  <c r="BH73" i="107"/>
  <c r="BH72" i="107" s="1"/>
  <c r="BD23" i="107"/>
  <c r="AZ41" i="107"/>
  <c r="BH57" i="107"/>
  <c r="BG13" i="107"/>
  <c r="BH27" i="107"/>
  <c r="BA45" i="107"/>
  <c r="BK64" i="107"/>
  <c r="AZ19" i="107"/>
  <c r="BA52" i="107"/>
  <c r="AZ28" i="111"/>
  <c r="BJ61" i="111"/>
  <c r="BI31" i="111"/>
  <c r="BF27" i="111"/>
  <c r="BB73" i="111"/>
  <c r="BB72" i="111" s="1"/>
  <c r="BG54" i="111"/>
  <c r="BB26" i="111"/>
  <c r="BK11" i="111"/>
  <c r="BK73" i="111"/>
  <c r="BK72" i="111" s="1"/>
  <c r="BA34" i="111"/>
  <c r="BA57" i="111"/>
  <c r="BD55" i="107"/>
  <c r="BI8" i="107"/>
  <c r="BJ28" i="107"/>
  <c r="BJ43" i="107"/>
  <c r="BF64" i="107"/>
  <c r="BA17" i="107"/>
  <c r="BG34" i="107"/>
  <c r="BA51" i="107"/>
  <c r="BC73" i="107"/>
  <c r="BC72" i="107" s="1"/>
  <c r="AZ24" i="107"/>
  <c r="BI52" i="107"/>
  <c r="BA35" i="111"/>
  <c r="BK21" i="124"/>
  <c r="BA34" i="124"/>
  <c r="BK38" i="124"/>
  <c r="BD26" i="124"/>
  <c r="BE27" i="124"/>
  <c r="BA54" i="124"/>
  <c r="AZ57" i="124"/>
  <c r="BJ42" i="124"/>
  <c r="BF19" i="124"/>
  <c r="BI23" i="124"/>
  <c r="BC42" i="124"/>
  <c r="BA17" i="124"/>
  <c r="BE32" i="124"/>
  <c r="BG61" i="124"/>
  <c r="BA18" i="124"/>
  <c r="BA46" i="124"/>
  <c r="BE28" i="124"/>
  <c r="BG53" i="124"/>
  <c r="AZ21" i="124"/>
  <c r="BE15" i="124"/>
  <c r="BA45" i="124"/>
  <c r="BD3" i="124"/>
  <c r="BB40" i="124"/>
  <c r="BC48" i="124"/>
  <c r="BI45" i="103"/>
  <c r="BD73" i="103"/>
  <c r="BD72" i="103" s="1"/>
  <c r="BA27" i="103"/>
  <c r="BI55" i="103"/>
  <c r="BG14" i="103"/>
  <c r="BF69" i="103"/>
  <c r="BI34" i="111"/>
  <c r="BD43" i="107"/>
  <c r="BE66" i="107"/>
  <c r="BC16" i="107"/>
  <c r="BI34" i="107"/>
  <c r="BE52" i="107"/>
  <c r="AZ4" i="107"/>
  <c r="BI23" i="107"/>
  <c r="BK39" i="107"/>
  <c r="BA58" i="107"/>
  <c r="BD11" i="107"/>
  <c r="BK11" i="107"/>
  <c r="BI28" i="111"/>
  <c r="BI17" i="111"/>
  <c r="BK30" i="111"/>
  <c r="BE27" i="111"/>
  <c r="BJ36" i="111"/>
  <c r="BK26" i="111"/>
  <c r="BI9" i="111"/>
  <c r="BH51" i="111"/>
  <c r="AZ34" i="111"/>
  <c r="BG40" i="111"/>
  <c r="BI49" i="107"/>
  <c r="AZ73" i="107"/>
  <c r="AZ72" i="107" s="1"/>
  <c r="BG21" i="107"/>
  <c r="BG40" i="107"/>
  <c r="AZ57" i="107"/>
  <c r="BG11" i="107"/>
  <c r="AZ27" i="107"/>
  <c r="BH44" i="107"/>
  <c r="BC64" i="107"/>
  <c r="BH18" i="107"/>
  <c r="AZ46" i="107"/>
  <c r="BB35" i="111"/>
  <c r="BE44" i="124"/>
  <c r="BB64" i="124"/>
  <c r="BF40" i="124"/>
  <c r="BE59" i="124"/>
  <c r="BF9" i="124"/>
  <c r="BI57" i="124"/>
  <c r="AZ31" i="124"/>
  <c r="BE78" i="124"/>
  <c r="BC25" i="124"/>
  <c r="BF27" i="124"/>
  <c r="BG25" i="124"/>
  <c r="AZ45" i="124"/>
  <c r="BI8" i="124"/>
  <c r="BA23" i="124"/>
  <c r="BE13" i="124"/>
  <c r="BC39" i="124"/>
  <c r="BF30" i="124"/>
  <c r="BB48" i="124"/>
  <c r="BG31" i="124"/>
  <c r="BG35" i="124"/>
  <c r="BA19" i="124"/>
  <c r="BA69" i="124"/>
  <c r="AZ32" i="124"/>
  <c r="BC36" i="103"/>
  <c r="AZ32" i="103"/>
  <c r="BG17" i="103"/>
  <c r="AZ3" i="103"/>
  <c r="AZ11" i="111"/>
  <c r="BC20" i="111"/>
  <c r="BF32" i="111"/>
  <c r="BA40" i="107"/>
  <c r="BJ57" i="107"/>
  <c r="BA11" i="107"/>
  <c r="BA28" i="107"/>
  <c r="BJ44" i="107"/>
  <c r="BJ66" i="107"/>
  <c r="BB18" i="107"/>
  <c r="BG35" i="107"/>
  <c r="BB52" i="107"/>
  <c r="BH32" i="107"/>
  <c r="BC14" i="111"/>
  <c r="BB28" i="111"/>
  <c r="BK66" i="111"/>
  <c r="AZ14" i="111"/>
  <c r="BK17" i="111"/>
  <c r="BD78" i="111"/>
  <c r="BE25" i="111"/>
  <c r="BJ37" i="111"/>
  <c r="BC51" i="111"/>
  <c r="BH40" i="111"/>
  <c r="BK78" i="107"/>
  <c r="BH64" i="107"/>
  <c r="BJ15" i="107"/>
  <c r="BA34" i="107"/>
  <c r="BK51" i="107"/>
  <c r="BI3" i="107"/>
  <c r="BA23" i="107"/>
  <c r="BC39" i="107"/>
  <c r="BE57" i="107"/>
  <c r="BG10" i="107"/>
  <c r="BI9" i="107"/>
  <c r="BD21" i="111"/>
  <c r="BB34" i="111"/>
  <c r="BI10" i="124"/>
  <c r="BJ13" i="124"/>
  <c r="AZ42" i="124"/>
  <c r="AZ44" i="124"/>
  <c r="BC19" i="124"/>
  <c r="BG19" i="124"/>
  <c r="BB59" i="124"/>
  <c r="BI61" i="124"/>
  <c r="BF10" i="124"/>
  <c r="BK59" i="124"/>
  <c r="BH26" i="124"/>
  <c r="BE35" i="124"/>
  <c r="BC3" i="124"/>
  <c r="BC14" i="124"/>
  <c r="BF37" i="124"/>
  <c r="BH3" i="124"/>
  <c r="BA51" i="124"/>
  <c r="BH42" i="124"/>
  <c r="BH20" i="124"/>
  <c r="BB45" i="124"/>
  <c r="BF15" i="124"/>
  <c r="BI29" i="124"/>
  <c r="BH10" i="124"/>
  <c r="AZ29" i="103"/>
  <c r="BJ43" i="103"/>
  <c r="BC37" i="103"/>
  <c r="AZ42" i="103"/>
  <c r="BI37" i="103"/>
  <c r="BF25" i="121"/>
  <c r="BH32" i="121"/>
  <c r="BB67" i="121"/>
  <c r="BE55" i="121"/>
  <c r="BF78" i="121"/>
  <c r="BF31" i="121"/>
  <c r="BG73" i="121"/>
  <c r="BG72" i="121" s="1"/>
  <c r="BI29" i="121"/>
  <c r="BB35" i="121"/>
  <c r="BH20" i="121"/>
  <c r="BB19" i="121"/>
  <c r="BC45" i="121"/>
  <c r="BA27" i="121"/>
  <c r="BH14" i="121"/>
  <c r="BJ58" i="121"/>
  <c r="BE57" i="121"/>
  <c r="BF49" i="121"/>
  <c r="BB43" i="121"/>
  <c r="BC31" i="121"/>
  <c r="BH39" i="121"/>
  <c r="BE4" i="121"/>
  <c r="BG29" i="121"/>
  <c r="AZ23" i="121"/>
  <c r="BJ40" i="121"/>
  <c r="BK18" i="121"/>
  <c r="BJ18" i="121"/>
  <c r="AZ8" i="111"/>
  <c r="BB16" i="123"/>
  <c r="BD9" i="123"/>
  <c r="BC9" i="123"/>
  <c r="BJ11" i="123"/>
  <c r="BI10" i="123"/>
  <c r="BJ17" i="123"/>
  <c r="BK35" i="123"/>
  <c r="BF24" i="123"/>
  <c r="BE36" i="123"/>
  <c r="BI29" i="123"/>
  <c r="BF37" i="123"/>
  <c r="BA3" i="123"/>
  <c r="BG38" i="123"/>
  <c r="BG20" i="123"/>
  <c r="BC49" i="123"/>
  <c r="BB45" i="123"/>
  <c r="BG43" i="123"/>
  <c r="BI31" i="123"/>
  <c r="BK16" i="123"/>
  <c r="BD25" i="123"/>
  <c r="BH10" i="123"/>
  <c r="BI63" i="123"/>
  <c r="BI38" i="123"/>
  <c r="BI44" i="123"/>
  <c r="BJ31" i="123"/>
  <c r="BG25" i="123"/>
  <c r="BC16" i="123"/>
  <c r="BF53" i="123"/>
  <c r="BC61" i="123"/>
  <c r="BK56" i="123"/>
  <c r="BB20" i="123"/>
  <c r="BJ15" i="123"/>
  <c r="BC73" i="123"/>
  <c r="BC72" i="123" s="1"/>
  <c r="BB54" i="123"/>
  <c r="BE41" i="123"/>
  <c r="BG21" i="123"/>
  <c r="BK67" i="123"/>
  <c r="AZ63" i="123"/>
  <c r="BG49" i="123"/>
  <c r="BI25" i="123"/>
  <c r="AZ49" i="123"/>
  <c r="BK24" i="123"/>
  <c r="BB39" i="123"/>
  <c r="BE13" i="123"/>
  <c r="O63" i="118"/>
  <c r="BG8" i="123"/>
  <c r="BB11" i="123"/>
  <c r="BA10" i="123"/>
  <c r="BC35" i="123"/>
  <c r="BI3" i="123"/>
  <c r="BB3" i="123"/>
  <c r="BG11" i="123"/>
  <c r="BJ3" i="123"/>
  <c r="BH14" i="123"/>
  <c r="BA4" i="123"/>
  <c r="BF19" i="123"/>
  <c r="BI4" i="123"/>
  <c r="BI15" i="123"/>
  <c r="BH13" i="123"/>
  <c r="BC57" i="123"/>
  <c r="BE40" i="123"/>
  <c r="BB38" i="123"/>
  <c r="BF26" i="123"/>
  <c r="BB71" i="123"/>
  <c r="BB70" i="123" s="1"/>
  <c r="BA17" i="123"/>
  <c r="BA61" i="123"/>
  <c r="BC52" i="123"/>
  <c r="BF44" i="123"/>
  <c r="BD39" i="123"/>
  <c r="BH25" i="123"/>
  <c r="BH19" i="123"/>
  <c r="BB67" i="123"/>
  <c r="BK44" i="123"/>
  <c r="BG71" i="123"/>
  <c r="BG70" i="123" s="1"/>
  <c r="BD36" i="123"/>
  <c r="BI64" i="123"/>
  <c r="BJ51" i="123"/>
  <c r="AZ69" i="123"/>
  <c r="AZ66" i="123"/>
  <c r="BB53" i="123"/>
  <c r="BH15" i="123"/>
  <c r="BK21" i="123"/>
  <c r="BJ53" i="123"/>
  <c r="BE56" i="123"/>
  <c r="BK20" i="123"/>
  <c r="BB78" i="123"/>
  <c r="BK18" i="123"/>
  <c r="BH32" i="123"/>
  <c r="BJ58" i="123"/>
  <c r="BC27" i="123"/>
  <c r="AZ4" i="123"/>
  <c r="BJ34" i="123"/>
  <c r="BF8" i="123"/>
  <c r="BI40" i="123"/>
  <c r="BE25" i="123"/>
  <c r="BK10" i="123"/>
  <c r="BB28" i="123"/>
  <c r="AZ11" i="123"/>
  <c r="BE9" i="123"/>
  <c r="BH11" i="123"/>
  <c r="BB10" i="123"/>
  <c r="AZ13" i="123"/>
  <c r="BG13" i="123"/>
  <c r="BH8" i="123"/>
  <c r="BC17" i="123"/>
  <c r="BG35" i="123"/>
  <c r="BA32" i="123"/>
  <c r="BC71" i="123"/>
  <c r="BC70" i="123" s="1"/>
  <c r="BG55" i="123"/>
  <c r="BJ63" i="123"/>
  <c r="BH59" i="123"/>
  <c r="BB44" i="123"/>
  <c r="BJ49" i="123"/>
  <c r="BI23" i="123"/>
  <c r="BJ20" i="123"/>
  <c r="BJ14" i="123"/>
  <c r="BC58" i="123"/>
  <c r="BH41" i="123"/>
  <c r="BB59" i="123"/>
  <c r="BG57" i="123"/>
  <c r="BK53" i="123"/>
  <c r="BK43" i="123"/>
  <c r="BJ59" i="123"/>
  <c r="BD67" i="123"/>
  <c r="BA46" i="123"/>
  <c r="BI27" i="123"/>
  <c r="BE58" i="123"/>
  <c r="BI14" i="123"/>
  <c r="BD46" i="123"/>
  <c r="BH23" i="123"/>
  <c r="BH49" i="123"/>
  <c r="BF46" i="123"/>
  <c r="BC41" i="123"/>
  <c r="BG67" i="123"/>
  <c r="AZ14" i="123"/>
  <c r="BC3" i="123"/>
  <c r="BF18" i="123"/>
  <c r="BA40" i="123"/>
  <c r="BD26" i="123"/>
  <c r="BC10" i="123"/>
  <c r="BJ28" i="123"/>
  <c r="BJ4" i="123"/>
  <c r="BJ10" i="123"/>
  <c r="BJ16" i="123"/>
  <c r="AZ8" i="123"/>
  <c r="BC4" i="123"/>
  <c r="BA42" i="123"/>
  <c r="BE29" i="123"/>
  <c r="BG26" i="123"/>
  <c r="AZ56" i="123"/>
  <c r="BA49" i="123"/>
  <c r="BA54" i="123"/>
  <c r="BA69" i="123"/>
  <c r="BE39" i="123"/>
  <c r="BG30" i="123"/>
  <c r="BJ18" i="123"/>
  <c r="BD15" i="123"/>
  <c r="BC67" i="123"/>
  <c r="BE52" i="123"/>
  <c r="BI35" i="123"/>
  <c r="BH67" i="123"/>
  <c r="BE49" i="123"/>
  <c r="AZ19" i="123"/>
  <c r="BH40" i="123"/>
  <c r="BC69" i="123"/>
  <c r="BH43" i="123"/>
  <c r="BK40" i="123"/>
  <c r="BC23" i="123"/>
  <c r="BJ23" i="123"/>
  <c r="AZ61" i="123"/>
  <c r="AZ78" i="123"/>
  <c r="BI18" i="123"/>
  <c r="BI78" i="123"/>
  <c r="BJ54" i="123"/>
  <c r="BF36" i="123"/>
  <c r="BB57" i="123"/>
  <c r="BB34" i="123"/>
  <c r="BC8" i="123"/>
  <c r="BA15" i="123"/>
  <c r="BF9" i="123"/>
  <c r="AZ21" i="123"/>
  <c r="BB4" i="123"/>
  <c r="BA29" i="123"/>
  <c r="BA11" i="123"/>
  <c r="BF3" i="123"/>
  <c r="BI11" i="123"/>
  <c r="BE4" i="123"/>
  <c r="BA13" i="123"/>
  <c r="BD3" i="123"/>
  <c r="BE10" i="123"/>
  <c r="BE46" i="123"/>
  <c r="BB24" i="123"/>
  <c r="BK55" i="123"/>
  <c r="BK49" i="123"/>
  <c r="BC78" i="123"/>
  <c r="BC36" i="123"/>
  <c r="AZ54" i="123"/>
  <c r="BG34" i="123"/>
  <c r="BF67" i="123"/>
  <c r="BK11" i="123"/>
  <c r="BJ67" i="123"/>
  <c r="BI39" i="123"/>
  <c r="BD44" i="123"/>
  <c r="AZ10" i="123"/>
  <c r="BK32" i="123"/>
  <c r="BA44" i="123"/>
  <c r="BB14" i="123"/>
  <c r="BD52" i="123"/>
  <c r="BA71" i="123"/>
  <c r="BA70" i="123" s="1"/>
  <c r="BC38" i="123"/>
  <c r="BA48" i="123"/>
  <c r="BE73" i="123"/>
  <c r="BE72" i="123" s="1"/>
  <c r="BK58" i="123"/>
  <c r="BA34" i="123"/>
  <c r="BJ45" i="123"/>
  <c r="BJ21" i="123"/>
  <c r="BA66" i="123"/>
  <c r="BI36" i="123"/>
  <c r="BF66" i="123"/>
  <c r="BH35" i="123"/>
  <c r="BG9" i="123"/>
  <c r="BH21" i="123"/>
  <c r="BK3" i="123"/>
  <c r="BE23" i="123"/>
  <c r="BB9" i="123"/>
  <c r="BA8" i="123"/>
  <c r="BJ9" i="123"/>
  <c r="BI8" i="123"/>
  <c r="BG3" i="123"/>
  <c r="AZ9" i="123"/>
  <c r="BF4" i="123"/>
  <c r="BH9" i="123"/>
  <c r="BE8" i="123"/>
  <c r="BD4" i="123"/>
  <c r="BF59" i="123"/>
  <c r="BB19" i="123"/>
  <c r="BJ48" i="123"/>
  <c r="BE43" i="123"/>
  <c r="BK59" i="123"/>
  <c r="BG29" i="123"/>
  <c r="BA59" i="123"/>
  <c r="AZ27" i="123"/>
  <c r="BF40" i="123"/>
  <c r="BB63" i="123"/>
  <c r="BE54" i="123"/>
  <c r="BC34" i="123"/>
  <c r="BA41" i="123"/>
  <c r="BI61" i="123"/>
  <c r="BI26" i="123"/>
  <c r="BC11" i="123"/>
  <c r="BH66" i="123"/>
  <c r="BC44" i="123"/>
  <c r="BA26" i="123"/>
  <c r="BB32" i="123"/>
  <c r="BK42" i="123"/>
  <c r="BI55" i="123"/>
  <c r="BJ52" i="123"/>
  <c r="BJ27" i="123"/>
  <c r="BE57" i="123"/>
  <c r="BD17" i="123"/>
  <c r="BD63" i="123"/>
  <c r="BC31" i="123"/>
  <c r="BK54" i="123"/>
  <c r="BG28" i="123"/>
  <c r="AZ30" i="123"/>
  <c r="BD8" i="123"/>
  <c r="BB17" i="123"/>
  <c r="BD10" i="123"/>
  <c r="BK27" i="123"/>
  <c r="BB13" i="123"/>
  <c r="AZ3" i="123"/>
  <c r="BJ13" i="123"/>
  <c r="BH3" i="123"/>
  <c r="BC14" i="123"/>
  <c r="BG4" i="123"/>
  <c r="BK14" i="123"/>
  <c r="BE3" i="123"/>
  <c r="BF32" i="123"/>
  <c r="BJ19" i="123"/>
  <c r="BB69" i="123"/>
  <c r="BC56" i="123"/>
  <c r="BE78" i="123"/>
  <c r="BB40" i="123"/>
  <c r="BI41" i="123"/>
  <c r="BC25" i="123"/>
  <c r="BJ69" i="123"/>
  <c r="BA36" i="123"/>
  <c r="BD59" i="123"/>
  <c r="AZ55" i="123"/>
  <c r="BH37" i="123"/>
  <c r="BK28" i="123"/>
  <c r="BJ35" i="123"/>
  <c r="BD71" i="123"/>
  <c r="BD70" i="123" s="1"/>
  <c r="BE21" i="123"/>
  <c r="BG61" i="123"/>
  <c r="BC28" i="123"/>
  <c r="AZ41" i="123"/>
  <c r="BD20" i="123"/>
  <c r="BC53" i="123"/>
  <c r="AZ53" i="123"/>
  <c r="BE48" i="123"/>
  <c r="BF61" i="123"/>
  <c r="BA27" i="123"/>
  <c r="BG53" i="123"/>
  <c r="BF25" i="123"/>
  <c r="AZ64" i="123"/>
  <c r="BC39" i="123"/>
  <c r="BF69" i="123"/>
  <c r="O63" i="114"/>
  <c r="BE59" i="101"/>
  <c r="BD63" i="101"/>
  <c r="BC30" i="101"/>
  <c r="BI45" i="101"/>
  <c r="BH36" i="101"/>
  <c r="BG23" i="101"/>
  <c r="AZ36" i="101"/>
  <c r="BK28" i="101"/>
  <c r="BK17" i="101"/>
  <c r="BK49" i="101"/>
  <c r="BH18" i="101"/>
  <c r="BK51" i="101"/>
  <c r="BH19" i="101"/>
  <c r="BG71" i="101"/>
  <c r="BG70" i="101" s="1"/>
  <c r="BJ64" i="101"/>
  <c r="BE53" i="101"/>
  <c r="BA67" i="101"/>
  <c r="BD32" i="101"/>
  <c r="AZ39" i="101"/>
  <c r="BF21" i="101"/>
  <c r="BI35" i="101"/>
  <c r="BD53" i="101"/>
  <c r="BK13" i="101"/>
  <c r="BG26" i="101"/>
  <c r="BC38" i="101"/>
  <c r="BG51" i="101"/>
  <c r="BK44" i="101"/>
  <c r="BE66" i="101"/>
  <c r="BB39" i="101"/>
  <c r="BC52" i="101"/>
  <c r="BD59" i="101"/>
  <c r="BC28" i="101"/>
  <c r="BH54" i="101"/>
  <c r="BB29" i="101"/>
  <c r="BC48" i="101"/>
  <c r="BJ71" i="101"/>
  <c r="BJ70" i="101" s="1"/>
  <c r="BD67" i="101"/>
  <c r="BH17" i="101"/>
  <c r="BK57" i="101"/>
  <c r="BB4" i="101"/>
  <c r="BF27" i="101"/>
  <c r="BH59" i="101"/>
  <c r="BG25" i="101"/>
  <c r="BH9" i="101"/>
  <c r="BI28" i="101"/>
  <c r="BH52" i="101"/>
  <c r="BH32" i="101"/>
  <c r="BJ26" i="101"/>
  <c r="BG42" i="101"/>
  <c r="BJ15" i="101"/>
  <c r="BD13" i="101"/>
  <c r="BD25" i="101"/>
  <c r="BA45" i="101"/>
  <c r="AZ67" i="101"/>
  <c r="BF31" i="101"/>
  <c r="AZ23" i="101"/>
  <c r="BK42" i="101"/>
  <c r="BK37" i="101"/>
  <c r="BK45" i="101"/>
  <c r="BF20" i="101"/>
  <c r="BA36" i="101"/>
  <c r="BG18" i="101"/>
  <c r="BI37" i="101"/>
  <c r="BE56" i="101"/>
  <c r="BC71" i="101"/>
  <c r="BC70" i="101" s="1"/>
  <c r="BA37" i="101"/>
  <c r="AZ78" i="101"/>
  <c r="BJ25" i="101"/>
  <c r="BG43" i="101"/>
  <c r="BE29" i="101"/>
  <c r="BB69" i="101"/>
  <c r="BG27" i="101"/>
  <c r="BC44" i="101"/>
  <c r="AZ69" i="101"/>
  <c r="BB19" i="101"/>
  <c r="BK73" i="101"/>
  <c r="BK72" i="101" s="1"/>
  <c r="BH34" i="101"/>
  <c r="BD8" i="101"/>
  <c r="AZ27" i="101"/>
  <c r="AZ19" i="101"/>
  <c r="BE57" i="101"/>
  <c r="BD45" i="101"/>
  <c r="BC58" i="101"/>
  <c r="BE25" i="101"/>
  <c r="BK31" i="101"/>
  <c r="BF39" i="101"/>
  <c r="BA42" i="101"/>
  <c r="BF9" i="101"/>
  <c r="BE20" i="101"/>
  <c r="BE41" i="101"/>
  <c r="BI49" i="101"/>
  <c r="BF44" i="101"/>
  <c r="BA40" i="101"/>
  <c r="BF57" i="101"/>
  <c r="BC31" i="101"/>
  <c r="BJ43" i="101"/>
  <c r="BE15" i="101"/>
  <c r="BE36" i="101"/>
  <c r="BG10" i="101"/>
  <c r="BB41" i="101"/>
  <c r="BJ58" i="101"/>
  <c r="BI63" i="101"/>
  <c r="BH57" i="101"/>
  <c r="BI10" i="101"/>
  <c r="AZ51" i="101"/>
  <c r="BA66" i="101"/>
  <c r="BF37" i="101"/>
  <c r="BG13" i="101"/>
  <c r="BI66" i="101"/>
  <c r="AZ15" i="101"/>
  <c r="AZ34" i="101"/>
  <c r="BK9" i="101"/>
  <c r="BD28" i="101"/>
  <c r="BD21" i="101"/>
  <c r="BB66" i="101"/>
  <c r="BD10" i="101"/>
  <c r="AZ28" i="101"/>
  <c r="BG34" i="101"/>
  <c r="BI57" i="101"/>
  <c r="BJ13" i="101"/>
  <c r="BJ10" i="101"/>
  <c r="BC27" i="101"/>
  <c r="BH38" i="101"/>
  <c r="BH31" i="101"/>
  <c r="BD41" i="101"/>
  <c r="BB15" i="101"/>
  <c r="BI14" i="101"/>
  <c r="BK26" i="101"/>
  <c r="BF46" i="101"/>
  <c r="BI69" i="101"/>
  <c r="BH10" i="101"/>
  <c r="AZ43" i="101"/>
  <c r="BD55" i="101"/>
  <c r="AZ16" i="101"/>
  <c r="BJ61" i="101"/>
  <c r="BH44" i="101"/>
  <c r="BB53" i="101"/>
  <c r="BC63" i="101"/>
  <c r="BA18" i="101"/>
  <c r="BC4" i="101"/>
  <c r="BG14" i="101"/>
  <c r="BG69" i="101"/>
  <c r="AZ14" i="101"/>
  <c r="BI40" i="101"/>
  <c r="BB17" i="101"/>
  <c r="BA38" i="101"/>
  <c r="BJ31" i="101"/>
  <c r="BA52" i="101"/>
  <c r="BK40" i="101"/>
  <c r="BC51" i="101"/>
  <c r="BC17" i="101"/>
  <c r="BC25" i="101"/>
  <c r="BD46" i="101"/>
  <c r="BF54" i="101"/>
  <c r="AZ18" i="101"/>
  <c r="BH28" i="101"/>
  <c r="BJ45" i="101"/>
  <c r="BE61" i="101"/>
  <c r="BB40" i="101"/>
  <c r="BA34" i="101"/>
  <c r="BC49" i="101"/>
  <c r="BE24" i="101"/>
  <c r="BF38" i="101"/>
  <c r="BC23" i="101"/>
  <c r="BF78" i="101"/>
  <c r="BK18" i="101"/>
  <c r="BI53" i="101"/>
  <c r="BF73" i="101"/>
  <c r="BF72" i="101" s="1"/>
  <c r="BA56" i="101"/>
  <c r="AZ52" i="101"/>
  <c r="AZ3" i="101"/>
  <c r="BB43" i="101"/>
  <c r="BJ57" i="101"/>
  <c r="BA54" i="101"/>
  <c r="BH21" i="101"/>
  <c r="BJ11" i="101"/>
  <c r="BK21" i="101"/>
  <c r="BF49" i="101"/>
  <c r="BB71" i="101"/>
  <c r="BB70" i="101" s="1"/>
  <c r="BH66" i="101"/>
  <c r="AZ17" i="101"/>
  <c r="BB57" i="101"/>
  <c r="BK3" i="101"/>
  <c r="BE38" i="101"/>
  <c r="BH40" i="101"/>
  <c r="BF10" i="101"/>
  <c r="BD20" i="101"/>
  <c r="BB21" i="101"/>
  <c r="BG41" i="101"/>
  <c r="AZ32" i="101"/>
  <c r="BA26" i="101"/>
  <c r="BK64" i="101"/>
  <c r="BG9" i="101"/>
  <c r="BH29" i="101"/>
  <c r="BF35" i="101"/>
  <c r="AZ58" i="101"/>
  <c r="BE3" i="101"/>
  <c r="BG16" i="101"/>
  <c r="BF52" i="101"/>
  <c r="AZ66" i="101"/>
  <c r="BD73" i="101"/>
  <c r="BD72" i="101" s="1"/>
  <c r="BH13" i="101"/>
  <c r="BB35" i="101"/>
  <c r="AZ41" i="101"/>
  <c r="BJ17" i="101"/>
  <c r="BH56" i="101"/>
  <c r="BI52" i="101"/>
  <c r="BK67" i="101"/>
  <c r="BB54" i="101"/>
  <c r="BA28" i="101"/>
  <c r="BE63" i="101"/>
  <c r="BC24" i="101"/>
  <c r="BF58" i="101"/>
  <c r="BF48" i="101"/>
  <c r="BG45" i="101"/>
  <c r="BJ34" i="101"/>
  <c r="BF43" i="101"/>
  <c r="BC35" i="101"/>
  <c r="BI55" i="101"/>
  <c r="BF66" i="101"/>
  <c r="BH25" i="101"/>
  <c r="AZ40" i="101"/>
  <c r="AZ57" i="101"/>
  <c r="BH73" i="101"/>
  <c r="BH72" i="101" s="1"/>
  <c r="BE35" i="101"/>
  <c r="BJ27" i="101"/>
  <c r="BK78" i="101"/>
  <c r="BK16" i="101"/>
  <c r="BB10" i="101"/>
  <c r="BD30" i="101"/>
  <c r="BK55" i="101"/>
  <c r="BA41" i="101"/>
  <c r="BE67" i="101"/>
  <c r="BH20" i="101"/>
  <c r="BJ49" i="101"/>
  <c r="BB44" i="101"/>
  <c r="BE64" i="101"/>
  <c r="BG38" i="101"/>
  <c r="BH51" i="101"/>
  <c r="BH61" i="101"/>
  <c r="BJ29" i="101"/>
  <c r="BG19" i="101"/>
  <c r="BK30" i="101"/>
  <c r="AZ59" i="101"/>
  <c r="BA63" i="101"/>
  <c r="BJ56" i="101"/>
  <c r="BA10" i="101"/>
  <c r="BH49" i="101"/>
  <c r="BI64" i="101"/>
  <c r="BC46" i="101"/>
  <c r="BJ48" i="101"/>
  <c r="BA17" i="101"/>
  <c r="BC26" i="101"/>
  <c r="BA35" i="101"/>
  <c r="BA9" i="101"/>
  <c r="BE27" i="101"/>
  <c r="BK20" i="101"/>
  <c r="BD56" i="101"/>
  <c r="BC3" i="101"/>
  <c r="BE39" i="101"/>
  <c r="BC78" i="101"/>
  <c r="BH11" i="101"/>
  <c r="BD14" i="101"/>
  <c r="BD24" i="101"/>
  <c r="BJ9" i="101"/>
  <c r="BG55" i="101"/>
  <c r="BE28" i="101"/>
  <c r="BC57" i="101"/>
  <c r="BD27" i="101"/>
  <c r="BJ51" i="101"/>
  <c r="BK4" i="101"/>
  <c r="AZ37" i="101"/>
  <c r="AZ44" i="101"/>
  <c r="BF45" i="101"/>
  <c r="BI38" i="101"/>
  <c r="BF4" i="101"/>
  <c r="BA29" i="101"/>
  <c r="BB13" i="101"/>
  <c r="BB59" i="101"/>
  <c r="BJ40" i="101"/>
  <c r="BB28" i="101"/>
  <c r="BG59" i="101"/>
  <c r="BF67" i="101"/>
  <c r="BD43" i="101"/>
  <c r="BD66" i="101"/>
  <c r="BH30" i="101"/>
  <c r="BE52" i="101"/>
  <c r="BC13" i="101"/>
  <c r="BI3" i="101"/>
  <c r="BK29" i="101"/>
  <c r="BI23" i="101"/>
  <c r="BG67" i="101"/>
  <c r="BI11" i="101"/>
  <c r="BA19" i="101"/>
  <c r="BG57" i="101"/>
  <c r="BF69" i="101"/>
  <c r="BB52" i="101"/>
  <c r="BG8" i="101"/>
  <c r="BA25" i="101"/>
  <c r="BE43" i="101"/>
  <c r="BG39" i="101"/>
  <c r="BG56" i="101"/>
  <c r="BI30" i="101"/>
  <c r="BA43" i="101"/>
  <c r="BB9" i="101"/>
  <c r="BI43" i="101"/>
  <c r="BE31" i="101"/>
  <c r="BH42" i="101"/>
  <c r="BH14" i="101"/>
  <c r="BE55" i="101"/>
  <c r="BE51" i="101"/>
  <c r="BG73" i="101"/>
  <c r="BG72" i="101" s="1"/>
  <c r="BH78" i="101"/>
  <c r="BA57" i="101"/>
  <c r="BH55" i="101"/>
  <c r="BB3" i="101"/>
  <c r="BB26" i="101"/>
  <c r="BE32" i="101"/>
  <c r="BJ42" i="101"/>
  <c r="BE69" i="101"/>
  <c r="BG64" i="101"/>
  <c r="BH16" i="101"/>
  <c r="BE48" i="101"/>
  <c r="AZ64" i="101"/>
  <c r="BG48" i="101"/>
  <c r="BE4" i="101"/>
  <c r="BI18" i="101"/>
  <c r="AZ21" i="101"/>
  <c r="BF32" i="101"/>
  <c r="BJ16" i="101"/>
  <c r="BJ67" i="101"/>
  <c r="BC73" i="101"/>
  <c r="BC72" i="101" s="1"/>
  <c r="BJ78" i="101"/>
  <c r="BK41" i="101"/>
  <c r="BD40" i="101"/>
  <c r="BF36" i="101"/>
  <c r="BB55" i="101"/>
  <c r="AZ61" i="101"/>
  <c r="BH53" i="101"/>
  <c r="BH24" i="101"/>
  <c r="BH64" i="101"/>
  <c r="BI21" i="101"/>
  <c r="BD58" i="101"/>
  <c r="BC40" i="101"/>
  <c r="BA4" i="101"/>
  <c r="BF71" i="101"/>
  <c r="BF70" i="101" s="1"/>
  <c r="BF13" i="101"/>
  <c r="BE44" i="101"/>
  <c r="BG53" i="101"/>
  <c r="BK8" i="101"/>
  <c r="BD19" i="101"/>
  <c r="BD31" i="101"/>
  <c r="BJ63" i="101"/>
  <c r="BG24" i="101"/>
  <c r="BB64" i="101"/>
  <c r="BE58" i="101"/>
  <c r="BF11" i="101"/>
  <c r="BI51" i="101"/>
  <c r="BJ66" i="101"/>
  <c r="BC36" i="101"/>
  <c r="BG11" i="101"/>
  <c r="BA24" i="101"/>
  <c r="BE14" i="101"/>
  <c r="BB27" i="101"/>
  <c r="BB51" i="101"/>
  <c r="BD34" i="101"/>
  <c r="BA27" i="101"/>
  <c r="BB78" i="101"/>
  <c r="BC16" i="101"/>
  <c r="BD11" i="101"/>
  <c r="BI24" i="101"/>
  <c r="BE9" i="101"/>
  <c r="BF53" i="101"/>
  <c r="BI16" i="101"/>
  <c r="BH26" i="101"/>
  <c r="BD78" i="101"/>
  <c r="BD38" i="101"/>
  <c r="BJ55" i="101"/>
  <c r="AZ30" i="101"/>
  <c r="BG78" i="101"/>
  <c r="BC10" i="101"/>
  <c r="BE23" i="101"/>
  <c r="BK38" i="101"/>
  <c r="BK15" i="101"/>
  <c r="BD61" i="101"/>
  <c r="BD54" i="101"/>
  <c r="BE49" i="101"/>
  <c r="BB63" i="101"/>
  <c r="BK36" i="101"/>
  <c r="BD48" i="101"/>
  <c r="BA3" i="101"/>
  <c r="AZ24" i="101"/>
  <c r="BJ35" i="101"/>
  <c r="BK34" i="101"/>
  <c r="BG3" i="101"/>
  <c r="BJ28" i="101"/>
  <c r="BI31" i="101"/>
  <c r="BD15" i="101"/>
  <c r="BI25" i="101"/>
  <c r="BB48" i="101"/>
  <c r="BD57" i="101"/>
  <c r="BK59" i="101"/>
  <c r="BK10" i="101"/>
  <c r="BG46" i="101"/>
  <c r="BE40" i="101"/>
  <c r="BF34" i="101"/>
  <c r="BC9" i="101"/>
  <c r="BI78" i="101"/>
  <c r="AZ13" i="101"/>
  <c r="BK56" i="101"/>
  <c r="BI73" i="101"/>
  <c r="BI72" i="101" s="1"/>
  <c r="BC59" i="101"/>
  <c r="BG4" i="101"/>
  <c r="BK39" i="101"/>
  <c r="BD44" i="101"/>
  <c r="BK14" i="101"/>
  <c r="BH27" i="101"/>
  <c r="BJ37" i="101"/>
  <c r="BF14" i="101"/>
  <c r="BI32" i="101"/>
  <c r="BI56" i="101"/>
  <c r="BJ52" i="101"/>
  <c r="BH3" i="101"/>
  <c r="BK43" i="101"/>
  <c r="BG58" i="101"/>
  <c r="BK52" i="101"/>
  <c r="BA20" i="101"/>
  <c r="BB32" i="101"/>
  <c r="BA21" i="101"/>
  <c r="BG32" i="101"/>
  <c r="BD64" i="101"/>
  <c r="BC29" i="101"/>
  <c r="BA23" i="101"/>
  <c r="BK66" i="101"/>
  <c r="BA11" i="101"/>
  <c r="BI20" i="101"/>
  <c r="AZ31" i="101"/>
  <c r="BE16" i="101"/>
  <c r="BC67" i="101"/>
  <c r="BG20" i="101"/>
  <c r="BF40" i="101"/>
  <c r="BA39" i="101"/>
  <c r="BA32" i="101"/>
  <c r="BE46" i="101"/>
  <c r="BG21" i="101"/>
  <c r="BJ36" i="101"/>
  <c r="BI17" i="101"/>
  <c r="BE30" i="101"/>
  <c r="BA44" i="101"/>
  <c r="BH23" i="101"/>
  <c r="BC15" i="101"/>
  <c r="BI48" i="101"/>
  <c r="BE78" i="101"/>
  <c r="BA55" i="101"/>
  <c r="BG29" i="101"/>
  <c r="BB42" i="101"/>
  <c r="BE11" i="101"/>
  <c r="BB31" i="101"/>
  <c r="BC45" i="101"/>
  <c r="BJ54" i="101"/>
  <c r="BJ23" i="101"/>
  <c r="BB34" i="101"/>
  <c r="BK49" i="110"/>
  <c r="BI42" i="110"/>
  <c r="BB44" i="110"/>
  <c r="BK51" i="110"/>
  <c r="BH53" i="110"/>
  <c r="BE67" i="110"/>
  <c r="BF32" i="110"/>
  <c r="BC52" i="110"/>
  <c r="BH56" i="110"/>
  <c r="BJ25" i="110"/>
  <c r="AZ36" i="110"/>
  <c r="BD49" i="110"/>
  <c r="AZ48" i="110"/>
  <c r="BC13" i="110"/>
  <c r="BK34" i="110"/>
  <c r="BA16" i="110"/>
  <c r="BJ61" i="110"/>
  <c r="BK24" i="110"/>
  <c r="BC32" i="110"/>
  <c r="BJ58" i="110"/>
  <c r="BG32" i="110"/>
  <c r="BD78" i="110"/>
  <c r="BK9" i="110"/>
  <c r="BD38" i="110"/>
  <c r="AZ13" i="110"/>
  <c r="BB4" i="110"/>
  <c r="BA45" i="110"/>
  <c r="BB17" i="110"/>
  <c r="BF69" i="110"/>
  <c r="BJ73" i="110"/>
  <c r="BJ72" i="110" s="1"/>
  <c r="BD42" i="110"/>
  <c r="BD20" i="110"/>
  <c r="BF53" i="110"/>
  <c r="BG18" i="110"/>
  <c r="BG37" i="110"/>
  <c r="BC41" i="110"/>
  <c r="BH31" i="110"/>
  <c r="BK52" i="110"/>
  <c r="BF31" i="110"/>
  <c r="BC54" i="110"/>
  <c r="AZ54" i="110"/>
  <c r="BF48" i="110"/>
  <c r="BJ14" i="110"/>
  <c r="BH64" i="110"/>
  <c r="BK63" i="110"/>
  <c r="BB41" i="110"/>
  <c r="BI14" i="110"/>
  <c r="BF78" i="110"/>
  <c r="BH25" i="110"/>
  <c r="BC26" i="110"/>
  <c r="BG43" i="110"/>
  <c r="BE8" i="110"/>
  <c r="BH63" i="110"/>
  <c r="BD9" i="110"/>
  <c r="BB63" i="110"/>
  <c r="BB11" i="110"/>
  <c r="BJ71" i="110"/>
  <c r="BJ70" i="110" s="1"/>
  <c r="AZ55" i="110"/>
  <c r="BI40" i="110"/>
  <c r="BA11" i="110"/>
  <c r="BD71" i="110"/>
  <c r="BD70" i="110" s="1"/>
  <c r="BE30" i="110"/>
  <c r="BJ64" i="110"/>
  <c r="BK56" i="110"/>
  <c r="BA4" i="110"/>
  <c r="BJ55" i="110"/>
  <c r="BG42" i="110"/>
  <c r="BE42" i="110"/>
  <c r="BI38" i="110"/>
  <c r="BH14" i="110"/>
  <c r="BE71" i="110"/>
  <c r="BE70" i="110" s="1"/>
  <c r="BJ78" i="110"/>
  <c r="BG45" i="110"/>
  <c r="BJ69" i="110"/>
  <c r="BG49" i="110"/>
  <c r="BH13" i="110"/>
  <c r="BA64" i="110"/>
  <c r="BH32" i="110"/>
  <c r="BA29" i="110"/>
  <c r="BD21" i="110"/>
  <c r="BE51" i="110"/>
  <c r="BK40" i="110"/>
  <c r="BK37" i="110"/>
  <c r="BI36" i="110"/>
  <c r="BG55" i="110"/>
  <c r="BB19" i="110"/>
  <c r="BG9" i="110"/>
  <c r="BE59" i="110"/>
  <c r="BG41" i="110"/>
  <c r="BC64" i="122"/>
  <c r="O63" i="115"/>
  <c r="BB59" i="121"/>
  <c r="BC3" i="121"/>
  <c r="AZ30" i="121"/>
  <c r="BE54" i="121"/>
  <c r="BF14" i="121"/>
  <c r="AZ42" i="121"/>
  <c r="BA52" i="121"/>
  <c r="BG78" i="121"/>
  <c r="BD34" i="121"/>
  <c r="BD44" i="121"/>
  <c r="BG8" i="121"/>
  <c r="BE28" i="121"/>
  <c r="BG11" i="121"/>
  <c r="BI17" i="121"/>
  <c r="BG43" i="121"/>
  <c r="BI26" i="121"/>
  <c r="BK36" i="121"/>
  <c r="BC41" i="121"/>
  <c r="BK31" i="121"/>
  <c r="BG15" i="121"/>
  <c r="BI41" i="121"/>
  <c r="BA13" i="121"/>
  <c r="BB44" i="121"/>
  <c r="BD67" i="121"/>
  <c r="BB13" i="121"/>
  <c r="BE21" i="121"/>
  <c r="BE20" i="121"/>
  <c r="BD59" i="121"/>
  <c r="AZ11" i="121"/>
  <c r="BA43" i="121"/>
  <c r="BJ28" i="121"/>
  <c r="BC52" i="121"/>
  <c r="BB10" i="121"/>
  <c r="BG40" i="121"/>
  <c r="BF71" i="121"/>
  <c r="BF70" i="121" s="1"/>
  <c r="BH23" i="121"/>
  <c r="BJ48" i="121"/>
  <c r="BE32" i="121"/>
  <c r="BG9" i="121"/>
  <c r="BA38" i="121"/>
  <c r="BJ19" i="121"/>
  <c r="BA40" i="121"/>
  <c r="BK64" i="121"/>
  <c r="BD41" i="121"/>
  <c r="BF52" i="121"/>
  <c r="BG14" i="121"/>
  <c r="BA8" i="121"/>
  <c r="BC34" i="121"/>
  <c r="BE29" i="121"/>
  <c r="BF21" i="121"/>
  <c r="BG61" i="121"/>
  <c r="BE13" i="121"/>
  <c r="BK11" i="121"/>
  <c r="BA29" i="121"/>
  <c r="BK52" i="121"/>
  <c r="BE11" i="121"/>
  <c r="BC44" i="121"/>
  <c r="BJ49" i="121"/>
  <c r="BK54" i="121"/>
  <c r="BI32" i="121"/>
  <c r="BB26" i="121"/>
  <c r="AZ73" i="121"/>
  <c r="AZ72" i="121" s="1"/>
  <c r="BC21" i="121"/>
  <c r="BG41" i="121"/>
  <c r="BH29" i="121"/>
  <c r="BJ73" i="121"/>
  <c r="BJ72" i="121" s="1"/>
  <c r="BJ16" i="121"/>
  <c r="BI16" i="121"/>
  <c r="AZ28" i="118"/>
  <c r="BI44" i="118"/>
  <c r="BF58" i="118"/>
  <c r="BG46" i="118"/>
  <c r="BB15" i="121"/>
  <c r="AZ44" i="121"/>
  <c r="AZ35" i="121"/>
  <c r="BD37" i="121"/>
  <c r="BH46" i="121"/>
  <c r="BB32" i="121"/>
  <c r="BF16" i="121"/>
  <c r="BA42" i="121"/>
  <c r="BH18" i="121"/>
  <c r="BD46" i="121"/>
  <c r="BC40" i="121"/>
  <c r="BC13" i="121"/>
  <c r="BE53" i="121"/>
  <c r="BA19" i="121"/>
  <c r="BJ26" i="121"/>
  <c r="BH73" i="121"/>
  <c r="BH72" i="121" s="1"/>
  <c r="BH26" i="121"/>
  <c r="BB8" i="121"/>
  <c r="BG30" i="121"/>
  <c r="AZ8" i="121"/>
  <c r="BI31" i="121"/>
  <c r="BJ29" i="121"/>
  <c r="AZ39" i="121"/>
  <c r="BH40" i="121"/>
  <c r="BK49" i="121"/>
  <c r="BA66" i="121"/>
  <c r="BE30" i="121"/>
  <c r="BE24" i="121"/>
  <c r="BE42" i="121"/>
  <c r="BA21" i="121"/>
  <c r="BI35" i="121"/>
  <c r="BF44" i="121"/>
  <c r="BD30" i="121"/>
  <c r="AZ13" i="121"/>
  <c r="BC39" i="121"/>
  <c r="BE27" i="121"/>
  <c r="BA63" i="121"/>
  <c r="BA14" i="121"/>
  <c r="BD13" i="121"/>
  <c r="BK35" i="121"/>
  <c r="BD53" i="121"/>
  <c r="BH13" i="121"/>
  <c r="BK44" i="121"/>
  <c r="AZ56" i="121"/>
  <c r="BF42" i="121"/>
  <c r="BG32" i="121"/>
  <c r="BJ61" i="121"/>
  <c r="AZ37" i="121"/>
  <c r="BI66" i="121"/>
  <c r="BD31" i="121"/>
  <c r="BE25" i="121"/>
  <c r="BC48" i="121"/>
  <c r="BH4" i="121"/>
  <c r="BC36" i="121"/>
  <c r="BG45" i="121"/>
  <c r="BB37" i="121"/>
  <c r="BB23" i="121"/>
  <c r="BA41" i="121"/>
  <c r="BF58" i="121"/>
  <c r="BA18" i="121"/>
  <c r="AZ31" i="121"/>
  <c r="BK26" i="121"/>
  <c r="BH58" i="121"/>
  <c r="BI10" i="121"/>
  <c r="BI9" i="121"/>
  <c r="BB34" i="121"/>
  <c r="BI51" i="121"/>
  <c r="BC9" i="121"/>
  <c r="BH38" i="121"/>
  <c r="BG27" i="121"/>
  <c r="BE9" i="121"/>
  <c r="BF38" i="121"/>
  <c r="BH8" i="121"/>
  <c r="BG36" i="121"/>
  <c r="BI30" i="121"/>
  <c r="BK78" i="121"/>
  <c r="BC64" i="121"/>
  <c r="BB39" i="121"/>
  <c r="BF64" i="121"/>
  <c r="BH44" i="121"/>
  <c r="BI18" i="121"/>
  <c r="BC32" i="121"/>
  <c r="BB27" i="121"/>
  <c r="BJ67" i="121"/>
  <c r="BK19" i="121"/>
  <c r="BH10" i="121"/>
  <c r="BJ34" i="121"/>
  <c r="BA58" i="121"/>
  <c r="BC20" i="121"/>
  <c r="BJ43" i="121"/>
  <c r="BA3" i="121"/>
  <c r="BI15" i="121"/>
  <c r="BG64" i="121"/>
  <c r="BB38" i="121"/>
  <c r="BG13" i="121"/>
  <c r="BF30" i="121"/>
  <c r="BI71" i="121"/>
  <c r="BI70" i="121" s="1"/>
  <c r="BI25" i="121"/>
  <c r="BJ4" i="121"/>
  <c r="BJ35" i="121"/>
  <c r="BB73" i="121"/>
  <c r="BB72" i="121" s="1"/>
  <c r="BK29" i="121"/>
  <c r="BD4" i="121"/>
  <c r="AZ46" i="121"/>
  <c r="BJ37" i="121"/>
  <c r="BG24" i="121"/>
  <c r="BE45" i="121"/>
  <c r="AZ18" i="121"/>
  <c r="BF8" i="121"/>
  <c r="BA57" i="121"/>
  <c r="BJ38" i="121"/>
  <c r="BE14" i="121"/>
  <c r="BE31" i="121"/>
  <c r="BK41" i="121"/>
  <c r="AZ26" i="121"/>
  <c r="BD36" i="121"/>
  <c r="BI13" i="121"/>
  <c r="BJ30" i="121"/>
  <c r="BK28" i="121"/>
  <c r="BA24" i="121"/>
  <c r="BF73" i="121"/>
  <c r="BF72" i="121" s="1"/>
  <c r="BD54" i="121"/>
  <c r="BE3" i="121"/>
  <c r="BK45" i="121"/>
  <c r="BD23" i="121"/>
  <c r="BB46" i="121"/>
  <c r="BB48" i="121"/>
  <c r="AZ41" i="121"/>
  <c r="BE43" i="121"/>
  <c r="BD14" i="121"/>
  <c r="BJ46" i="121"/>
  <c r="BH3" i="121"/>
  <c r="BH41" i="121"/>
  <c r="BG51" i="121"/>
  <c r="BI36" i="121"/>
  <c r="BD66" i="121"/>
  <c r="BH69" i="121"/>
  <c r="BE66" i="121"/>
  <c r="BK21" i="121"/>
  <c r="BE78" i="121"/>
  <c r="BC26" i="121"/>
  <c r="BG66" i="121"/>
  <c r="BG17" i="121"/>
  <c r="BF17" i="121"/>
  <c r="BF32" i="121"/>
  <c r="BD17" i="121"/>
  <c r="BJ16" i="111"/>
  <c r="BA59" i="111"/>
  <c r="BF18" i="111"/>
  <c r="BI56" i="111"/>
  <c r="BD61" i="111"/>
  <c r="BE9" i="111"/>
  <c r="BE49" i="111"/>
  <c r="BI59" i="111"/>
  <c r="BD18" i="111"/>
  <c r="AZ24" i="111"/>
  <c r="W19" i="116"/>
  <c r="BK44" i="111"/>
  <c r="BA42" i="111"/>
  <c r="BK24" i="111"/>
  <c r="BB78" i="111"/>
  <c r="BK37" i="111"/>
  <c r="BA19" i="111"/>
  <c r="BB4" i="111"/>
  <c r="BH53" i="111"/>
  <c r="BC56" i="111"/>
  <c r="BE45" i="111"/>
  <c r="BC13" i="111"/>
  <c r="BI40" i="111"/>
  <c r="BE15" i="111"/>
  <c r="BJ41" i="111"/>
  <c r="BE19" i="111"/>
  <c r="BD59" i="111"/>
  <c r="AZ53" i="111"/>
  <c r="BD3" i="111"/>
  <c r="BB27" i="111"/>
  <c r="BE46" i="111"/>
  <c r="BG20" i="111"/>
  <c r="BD43" i="111"/>
  <c r="BE34" i="111"/>
  <c r="BB63" i="111"/>
  <c r="BH54" i="111"/>
  <c r="BK39" i="111"/>
  <c r="BC64" i="111"/>
  <c r="BA71" i="111"/>
  <c r="BA70" i="111" s="1"/>
  <c r="BH63" i="111"/>
  <c r="BK58" i="111"/>
  <c r="BA36" i="111"/>
  <c r="BD26" i="111"/>
  <c r="BF41" i="111"/>
  <c r="BK67" i="111"/>
  <c r="BH38" i="111"/>
  <c r="BF43" i="111"/>
  <c r="BK36" i="111"/>
  <c r="BK42" i="111"/>
  <c r="AZ45" i="111"/>
  <c r="AZ31" i="111"/>
  <c r="BB71" i="111"/>
  <c r="BB70" i="111" s="1"/>
  <c r="AZ64" i="111"/>
  <c r="AZ27" i="111"/>
  <c r="BC49" i="111"/>
  <c r="BI36" i="111"/>
  <c r="BB55" i="111"/>
  <c r="BE67" i="111"/>
  <c r="BJ48" i="111"/>
  <c r="BE29" i="111"/>
  <c r="BE37" i="111"/>
  <c r="BC31" i="111"/>
  <c r="BB18" i="111"/>
  <c r="BB67" i="111"/>
  <c r="BB15" i="111"/>
  <c r="BC57" i="111"/>
  <c r="BD24" i="111"/>
  <c r="AZ52" i="111"/>
  <c r="BI29" i="101"/>
  <c r="BF18" i="101"/>
  <c r="BA13" i="101"/>
  <c r="BH69" i="101"/>
  <c r="BB24" i="101"/>
  <c r="BB30" i="101"/>
  <c r="BJ3" i="101"/>
  <c r="BC11" i="101"/>
  <c r="BD49" i="101"/>
  <c r="BI36" i="101"/>
  <c r="BG30" i="101"/>
  <c r="AZ26" i="101"/>
  <c r="BJ20" i="101"/>
  <c r="BG17" i="101"/>
  <c r="BI13" i="101"/>
  <c r="AZ71" i="101"/>
  <c r="AZ70" i="101" s="1"/>
  <c r="BJ24" i="101"/>
  <c r="BJ30" i="101"/>
  <c r="BH67" i="101"/>
  <c r="BE73" i="101"/>
  <c r="BE72" i="101" s="1"/>
  <c r="BG28" i="101"/>
  <c r="AZ29" i="101"/>
  <c r="BB8" i="101"/>
  <c r="BA69" i="101"/>
  <c r="BA46" i="101"/>
  <c r="BH35" i="101"/>
  <c r="BJ59" i="101"/>
  <c r="AZ42" i="101"/>
  <c r="BH46" i="101"/>
  <c r="BC43" i="101"/>
  <c r="BB38" i="101"/>
  <c r="AZ35" i="101"/>
  <c r="BK35" i="101"/>
  <c r="BF19" i="101"/>
  <c r="BF51" i="101"/>
  <c r="BE21" i="101"/>
  <c r="BH8" i="101"/>
  <c r="BA64" i="101"/>
  <c r="BC20" i="101"/>
  <c r="BF26" i="101"/>
  <c r="BJ8" i="101"/>
  <c r="BI43" i="110"/>
  <c r="BH4" i="110"/>
  <c r="BJ53" i="110"/>
  <c r="BA53" i="110"/>
  <c r="BG17" i="110"/>
  <c r="BF58" i="110"/>
  <c r="BF9" i="110"/>
  <c r="BE32" i="110"/>
  <c r="BD52" i="110"/>
  <c r="BA57" i="110"/>
  <c r="BK18" i="110"/>
  <c r="BF41" i="110"/>
  <c r="BA30" i="110"/>
  <c r="BA78" i="110"/>
  <c r="BI52" i="110"/>
  <c r="BA44" i="110"/>
  <c r="BD11" i="110"/>
  <c r="BK45" i="110"/>
  <c r="BB10" i="110"/>
  <c r="BK27" i="110"/>
  <c r="BC46" i="110"/>
  <c r="BG44" i="110"/>
  <c r="AZ28" i="110"/>
  <c r="BI11" i="110"/>
  <c r="BF15" i="110"/>
  <c r="BE29" i="110"/>
  <c r="BK48" i="110"/>
  <c r="BH49" i="110"/>
  <c r="BH36" i="110"/>
  <c r="BB64" i="110"/>
  <c r="BI10" i="110"/>
  <c r="BE27" i="110"/>
  <c r="BH40" i="110"/>
  <c r="BA8" i="101"/>
  <c r="BJ39" i="101"/>
  <c r="BD26" i="101"/>
  <c r="BG52" i="101"/>
  <c r="BD35" i="101"/>
  <c r="BC41" i="101"/>
  <c r="BK58" i="101"/>
  <c r="BC39" i="101"/>
  <c r="AZ48" i="101"/>
  <c r="BF16" i="101"/>
  <c r="BC14" i="101"/>
  <c r="AZ53" i="101"/>
  <c r="BJ41" i="101"/>
  <c r="BK61" i="101"/>
  <c r="BB46" i="101"/>
  <c r="BE8" i="101"/>
  <c r="BI54" i="101"/>
  <c r="BI58" i="101"/>
  <c r="BF29" i="101"/>
  <c r="BF24" i="101"/>
  <c r="BD17" i="101"/>
  <c r="BI15" i="101"/>
  <c r="BI59" i="101"/>
  <c r="BD36" i="101"/>
  <c r="BG35" i="101"/>
  <c r="BE19" i="101"/>
  <c r="BB45" i="101"/>
  <c r="BF30" i="101"/>
  <c r="AZ38" i="101"/>
  <c r="BA42" i="110"/>
  <c r="BD41" i="110"/>
  <c r="BA43" i="110"/>
  <c r="AZ4" i="110"/>
  <c r="BC64" i="110"/>
  <c r="AZ20" i="110"/>
  <c r="BD48" i="110"/>
  <c r="BD63" i="110"/>
  <c r="BJ39" i="110"/>
  <c r="BC57" i="110"/>
  <c r="BF61" i="110"/>
  <c r="BD54" i="110"/>
  <c r="BJ37" i="110"/>
  <c r="BJ29" i="110"/>
  <c r="BE46" i="110"/>
  <c r="BG59" i="110"/>
  <c r="BC14" i="110"/>
  <c r="BF44" i="110"/>
  <c r="BA35" i="110"/>
  <c r="BI39" i="110"/>
  <c r="BI49" i="110"/>
  <c r="BA56" i="110"/>
  <c r="BI30" i="110"/>
  <c r="BK41" i="110"/>
  <c r="BG67" i="110"/>
  <c r="BB32" i="110"/>
  <c r="BD55" i="110"/>
  <c r="BI59" i="110"/>
  <c r="BE38" i="110"/>
  <c r="BC31" i="110"/>
  <c r="BF67" i="110"/>
  <c r="BA24" i="110"/>
  <c r="BC39" i="110"/>
  <c r="BJ66" i="110"/>
  <c r="BE34" i="101"/>
  <c r="BA59" i="101"/>
  <c r="BF41" i="101"/>
  <c r="AZ46" i="101"/>
  <c r="BJ44" i="101"/>
  <c r="BG31" i="101"/>
  <c r="BE26" i="101"/>
  <c r="BD3" i="101"/>
  <c r="BG37" i="101"/>
  <c r="BK32" i="101"/>
  <c r="BH71" i="101"/>
  <c r="BH70" i="101" s="1"/>
  <c r="BC54" i="101"/>
  <c r="BG15" i="101"/>
  <c r="BI61" i="101"/>
  <c r="BB67" i="101"/>
  <c r="BF17" i="101"/>
  <c r="BE17" i="101"/>
  <c r="AZ11" i="101"/>
  <c r="BH4" i="101"/>
  <c r="BJ38" i="101"/>
  <c r="BC19" i="101"/>
  <c r="BH41" i="101"/>
  <c r="BF28" i="101"/>
  <c r="BG54" i="101"/>
  <c r="BB37" i="101"/>
  <c r="BC42" i="101"/>
  <c r="BI45" i="110"/>
  <c r="BE44" i="110"/>
  <c r="BB37" i="110"/>
  <c r="BI54" i="110"/>
  <c r="BB3" i="110"/>
  <c r="BG20" i="110"/>
  <c r="BB54" i="110"/>
  <c r="AZ41" i="110"/>
  <c r="BJ46" i="110"/>
  <c r="BE63" i="110"/>
  <c r="BA69" i="110"/>
  <c r="BA23" i="110"/>
  <c r="BG38" i="110"/>
  <c r="BA34" i="110"/>
  <c r="BH78" i="110"/>
  <c r="BI3" i="110"/>
  <c r="BK16" i="110"/>
  <c r="AZ49" i="110"/>
  <c r="BG28" i="110"/>
  <c r="BG48" i="110"/>
  <c r="BI56" i="110"/>
  <c r="AZ56" i="110"/>
  <c r="BH23" i="110"/>
  <c r="BJ19" i="110"/>
  <c r="BF71" i="110"/>
  <c r="BF70" i="110" s="1"/>
  <c r="BH29" i="110"/>
  <c r="BB46" i="110"/>
  <c r="BE21" i="110"/>
  <c r="BD43" i="110"/>
  <c r="BD51" i="110"/>
  <c r="BK44" i="110"/>
  <c r="BD37" i="110"/>
  <c r="BJ38" i="110"/>
  <c r="BC42" i="110"/>
  <c r="BB23" i="101"/>
  <c r="AZ8" i="101"/>
  <c r="BG63" i="101"/>
  <c r="BJ19" i="101"/>
  <c r="BJ73" i="101"/>
  <c r="BJ72" i="101" s="1"/>
  <c r="AZ10" i="101"/>
  <c r="AZ4" i="101"/>
  <c r="BF3" i="101"/>
  <c r="BA71" i="101"/>
  <c r="BA70" i="101" s="1"/>
  <c r="BK24" i="101"/>
  <c r="BD4" i="101"/>
  <c r="BJ46" i="101"/>
  <c r="BB36" i="101"/>
  <c r="BF61" i="101"/>
  <c r="BI42" i="101"/>
  <c r="BA48" i="101"/>
  <c r="BH57" i="110"/>
  <c r="BB45" i="110"/>
  <c r="BJ40" i="110"/>
  <c r="BE48" i="110"/>
  <c r="BG11" i="110"/>
  <c r="BE24" i="110"/>
  <c r="BB61" i="110"/>
  <c r="BH35" i="110"/>
  <c r="BA63" i="110"/>
  <c r="BC3" i="110"/>
  <c r="BF73" i="110"/>
  <c r="BF72" i="110" s="1"/>
  <c r="BF13" i="110"/>
  <c r="BE40" i="110"/>
  <c r="AZ37" i="110"/>
  <c r="BE36" i="110"/>
  <c r="BH45" i="110"/>
  <c r="BE20" i="110"/>
  <c r="BA51" i="110"/>
  <c r="BJ20" i="110"/>
  <c r="BF52" i="110"/>
  <c r="BI66" i="110"/>
  <c r="BG58" i="110"/>
  <c r="BH42" i="110"/>
  <c r="BH30" i="110"/>
  <c r="BK46" i="110"/>
  <c r="AZ29" i="110"/>
  <c r="BK78" i="110"/>
  <c r="BI31" i="110"/>
  <c r="BE55" i="110"/>
  <c r="BK57" i="110"/>
  <c r="BG78" i="110"/>
  <c r="BC37" i="101"/>
  <c r="BI19" i="101"/>
  <c r="BH63" i="101"/>
  <c r="BA53" i="101"/>
  <c r="AZ45" i="101"/>
  <c r="BA78" i="101"/>
  <c r="BB61" i="101"/>
  <c r="BH45" i="101"/>
  <c r="AZ54" i="101"/>
  <c r="BA58" i="101"/>
  <c r="BA30" i="101"/>
  <c r="BC18" i="101"/>
  <c r="BK11" i="101"/>
  <c r="AZ49" i="101"/>
  <c r="BH39" i="101"/>
  <c r="AZ20" i="101"/>
  <c r="BA16" i="101"/>
  <c r="BB14" i="101"/>
  <c r="BI71" i="101"/>
  <c r="BI70" i="101" s="1"/>
  <c r="BB25" i="101"/>
  <c r="BA31" i="101"/>
  <c r="BI8" i="101"/>
  <c r="BC64" i="101"/>
  <c r="BE71" i="101"/>
  <c r="BE70" i="101" s="1"/>
  <c r="BB73" i="101"/>
  <c r="BB72" i="101" s="1"/>
  <c r="BB58" i="101"/>
  <c r="BD16" i="101"/>
  <c r="BC66" i="101"/>
  <c r="BF55" i="101"/>
  <c r="BI41" i="101"/>
  <c r="BK69" i="101"/>
  <c r="BK48" i="101"/>
  <c r="BK53" i="101"/>
  <c r="BG26" i="110"/>
  <c r="AZ46" i="110"/>
  <c r="BH43" i="110"/>
  <c r="BJ42" i="110"/>
  <c r="BH51" i="110"/>
  <c r="BI26" i="110"/>
  <c r="AZ61" i="110"/>
  <c r="BF26" i="110"/>
  <c r="BB57" i="110"/>
  <c r="BK4" i="110"/>
  <c r="AZ69" i="110"/>
  <c r="BE43" i="110"/>
  <c r="BI37" i="110"/>
  <c r="AZ40" i="110"/>
  <c r="BC69" i="110"/>
  <c r="BH26" i="110"/>
  <c r="BK53" i="110"/>
  <c r="BG23" i="110"/>
  <c r="BJ44" i="110"/>
  <c r="BF8" i="110"/>
  <c r="BC73" i="110"/>
  <c r="BC72" i="110" s="1"/>
  <c r="BI51" i="110"/>
  <c r="BE26" i="110"/>
  <c r="BE45" i="110"/>
  <c r="BA67" i="110"/>
  <c r="AZ18" i="110"/>
  <c r="BA36" i="110"/>
  <c r="BK29" i="110"/>
  <c r="BF18" i="110"/>
  <c r="BA39" i="110"/>
  <c r="BB34" i="110"/>
  <c r="BG66" i="101"/>
  <c r="BD18" i="101"/>
  <c r="BB11" i="101"/>
  <c r="BI4" i="101"/>
  <c r="BE42" i="101"/>
  <c r="BF25" i="101"/>
  <c r="BE13" i="101"/>
  <c r="BC34" i="101"/>
  <c r="BE18" i="101"/>
  <c r="BI44" i="101"/>
  <c r="BD29" i="101"/>
  <c r="BH37" i="101"/>
  <c r="BI67" i="101"/>
  <c r="BJ53" i="101"/>
  <c r="AZ55" i="101"/>
  <c r="BF56" i="101"/>
  <c r="BI46" i="101"/>
  <c r="BG40" i="101"/>
  <c r="BF63" i="101"/>
  <c r="BK46" i="101"/>
  <c r="BD9" i="101"/>
  <c r="BC55" i="101"/>
  <c r="BF36" i="110"/>
  <c r="BG54" i="110"/>
  <c r="BD44" i="110"/>
  <c r="BF46" i="110"/>
  <c r="BG29" i="110"/>
  <c r="BJ32" i="110"/>
  <c r="BB67" i="110"/>
  <c r="AZ30" i="110"/>
  <c r="BE52" i="110"/>
  <c r="AZ15" i="110"/>
  <c r="BH8" i="110"/>
  <c r="BI78" i="110"/>
  <c r="BI53" i="110"/>
  <c r="BK39" i="110"/>
  <c r="BC78" i="110"/>
  <c r="BH59" i="110"/>
  <c r="BK38" i="110"/>
  <c r="BK59" i="110"/>
  <c r="BE25" i="110"/>
  <c r="BG39" i="110"/>
  <c r="BF56" i="110"/>
  <c r="BI4" i="110"/>
  <c r="BI8" i="110"/>
  <c r="BC37" i="110"/>
  <c r="BA15" i="110"/>
  <c r="BF59" i="110"/>
  <c r="BF40" i="110"/>
  <c r="BD59" i="110"/>
  <c r="BK32" i="110"/>
  <c r="BD36" i="110"/>
  <c r="BG51" i="108"/>
  <c r="BF46" i="105"/>
  <c r="BK69" i="105"/>
  <c r="BE18" i="105"/>
  <c r="BK11" i="105"/>
  <c r="BA16" i="105"/>
  <c r="BF17" i="105"/>
  <c r="BB23" i="105"/>
  <c r="BK23" i="105"/>
  <c r="BJ23" i="105"/>
  <c r="AZ30" i="105"/>
  <c r="BG34" i="105"/>
  <c r="BG49" i="108"/>
  <c r="BG21" i="108"/>
  <c r="BD15" i="120"/>
  <c r="BF31" i="108"/>
  <c r="BF38" i="108"/>
  <c r="BA42" i="105"/>
  <c r="BE61" i="105"/>
  <c r="BG67" i="105"/>
  <c r="BB4" i="105"/>
  <c r="BJ3" i="105"/>
  <c r="BI10" i="105"/>
  <c r="BI14" i="105"/>
  <c r="BB17" i="105"/>
  <c r="BA17" i="105"/>
  <c r="BC21" i="105"/>
  <c r="BI13" i="105"/>
  <c r="BK38" i="108"/>
  <c r="BC44" i="108"/>
  <c r="BG37" i="108"/>
  <c r="BF25" i="108"/>
  <c r="BI8" i="120"/>
  <c r="BJ34" i="108"/>
  <c r="BB63" i="108"/>
  <c r="BD36" i="105"/>
  <c r="BB55" i="105"/>
  <c r="BH57" i="105"/>
  <c r="BD64" i="105"/>
  <c r="BF63" i="105"/>
  <c r="BI3" i="105"/>
  <c r="BF8" i="105"/>
  <c r="BG9" i="105"/>
  <c r="AZ15" i="105"/>
  <c r="BE9" i="105"/>
  <c r="BE29" i="108"/>
  <c r="BC26" i="108"/>
  <c r="BH48" i="108"/>
  <c r="BI31" i="108"/>
  <c r="BE57" i="120"/>
  <c r="BB29" i="108"/>
  <c r="BE67" i="108"/>
  <c r="BH29" i="105"/>
  <c r="BF48" i="105"/>
  <c r="BC51" i="105"/>
  <c r="AZ54" i="105"/>
  <c r="BK54" i="105"/>
  <c r="BE63" i="105"/>
  <c r="BK64" i="105"/>
  <c r="BC66" i="105"/>
  <c r="BB69" i="105"/>
  <c r="BI17" i="105"/>
  <c r="BE20" i="108"/>
  <c r="BG24" i="108"/>
  <c r="BI23" i="108"/>
  <c r="BC54" i="120"/>
  <c r="BA24" i="108"/>
  <c r="BD25" i="105"/>
  <c r="BA78" i="105"/>
  <c r="BD42" i="105"/>
  <c r="BA45" i="105"/>
  <c r="BG46" i="105"/>
  <c r="BH54" i="105"/>
  <c r="BG54" i="105"/>
  <c r="BD55" i="105"/>
  <c r="BA58" i="105"/>
  <c r="AZ58" i="105"/>
  <c r="BG9" i="108"/>
  <c r="AZ19" i="108"/>
  <c r="AZ15" i="108"/>
  <c r="BF21" i="120"/>
  <c r="BK20" i="108"/>
  <c r="BD17" i="105"/>
  <c r="BD37" i="105"/>
  <c r="BC35" i="105"/>
  <c r="BB38" i="105"/>
  <c r="BK40" i="105"/>
  <c r="BD46" i="105"/>
  <c r="BJ44" i="105"/>
  <c r="BG45" i="105"/>
  <c r="BK49" i="105"/>
  <c r="BD4" i="105"/>
  <c r="BF14" i="108"/>
  <c r="BJ3" i="108"/>
  <c r="BG15" i="120"/>
  <c r="BG13" i="108"/>
  <c r="BC59" i="105"/>
  <c r="BJ11" i="105"/>
  <c r="BE31" i="105"/>
  <c r="BG27" i="105"/>
  <c r="BE30" i="105"/>
  <c r="BD34" i="105"/>
  <c r="BD39" i="105"/>
  <c r="BI38" i="105"/>
  <c r="BH38" i="105"/>
  <c r="BC78" i="105"/>
  <c r="BJ31" i="105"/>
  <c r="BF61" i="108"/>
  <c r="AZ3" i="108"/>
  <c r="BE54" i="108"/>
  <c r="BH24" i="108"/>
  <c r="BC78" i="120"/>
  <c r="BA45" i="121"/>
  <c r="BE17" i="107"/>
  <c r="BE34" i="107"/>
  <c r="BG16" i="107"/>
  <c r="BI61" i="107"/>
  <c r="BD48" i="107"/>
  <c r="BE31" i="107"/>
  <c r="BI14" i="107"/>
  <c r="BF63" i="107"/>
  <c r="BJ78" i="107"/>
  <c r="BE26" i="107"/>
  <c r="BA21" i="107"/>
  <c r="BE3" i="107"/>
  <c r="BB39" i="107"/>
  <c r="BC21" i="107"/>
  <c r="BE71" i="107"/>
  <c r="BE70" i="107" s="1"/>
  <c r="BH55" i="107"/>
  <c r="BD37" i="107"/>
  <c r="BD19" i="107"/>
  <c r="BG73" i="107"/>
  <c r="BG72" i="107" s="1"/>
  <c r="BH49" i="107"/>
  <c r="AZ31" i="107"/>
  <c r="BI39" i="107"/>
  <c r="BD78" i="107"/>
  <c r="BG44" i="107"/>
  <c r="AZ26" i="107"/>
  <c r="BH16" i="107"/>
  <c r="BD63" i="107"/>
  <c r="BA43" i="107"/>
  <c r="BK26" i="107"/>
  <c r="BH8" i="107"/>
  <c r="BK55" i="107"/>
  <c r="BG38" i="107"/>
  <c r="BD15" i="107"/>
  <c r="BB73" i="107"/>
  <c r="BB72" i="107" s="1"/>
  <c r="BK49" i="107"/>
  <c r="BB32" i="107"/>
  <c r="BK20" i="107"/>
  <c r="BE73" i="107"/>
  <c r="BE72" i="107" s="1"/>
  <c r="BF49" i="107"/>
  <c r="BF31" i="107"/>
  <c r="BJ14" i="107"/>
  <c r="BG63" i="107"/>
  <c r="BJ42" i="107"/>
  <c r="BI63" i="107"/>
  <c r="BB9" i="107"/>
  <c r="BB56" i="107"/>
  <c r="BB38" i="107"/>
  <c r="BA26" i="107"/>
  <c r="BB10" i="107"/>
  <c r="BI55" i="107"/>
  <c r="BE38" i="107"/>
  <c r="BE19" i="107"/>
  <c r="BA71" i="107"/>
  <c r="BA70" i="107" s="1"/>
  <c r="BH48" i="107"/>
  <c r="BG36" i="107"/>
  <c r="BF17" i="107"/>
  <c r="BB63" i="107"/>
  <c r="BG43" i="107"/>
  <c r="BC32" i="107"/>
  <c r="BA16" i="107"/>
  <c r="BK61" i="107"/>
  <c r="BI78" i="107"/>
  <c r="BK27" i="107"/>
  <c r="BC54" i="107"/>
  <c r="BB14" i="107"/>
  <c r="BG41" i="123"/>
  <c r="BI57" i="123"/>
  <c r="BD19" i="123"/>
  <c r="BE18" i="123"/>
  <c r="BD43" i="123"/>
  <c r="BG45" i="123"/>
  <c r="BG44" i="123"/>
  <c r="BH44" i="123"/>
  <c r="BF42" i="123"/>
  <c r="BF23" i="123"/>
  <c r="BF29" i="123"/>
  <c r="BF56" i="123"/>
  <c r="BB58" i="123"/>
  <c r="BH56" i="123"/>
  <c r="BF55" i="123"/>
  <c r="BI30" i="123"/>
  <c r="BC29" i="123"/>
  <c r="BD29" i="123"/>
  <c r="BK31" i="123"/>
  <c r="BK25" i="123"/>
  <c r="BB73" i="123"/>
  <c r="BB72" i="123" s="1"/>
  <c r="BG56" i="123"/>
  <c r="BF64" i="123"/>
  <c r="AZ34" i="123"/>
  <c r="BG39" i="123"/>
  <c r="BG19" i="123"/>
  <c r="AZ18" i="123"/>
  <c r="BA19" i="123"/>
  <c r="BF16" i="123"/>
  <c r="BE11" i="123"/>
  <c r="BF41" i="123"/>
  <c r="BH57" i="123"/>
  <c r="BE63" i="123"/>
  <c r="BH34" i="123"/>
  <c r="BA28" i="123"/>
  <c r="BB64" i="123"/>
  <c r="BC64" i="123"/>
  <c r="BC45" i="123"/>
  <c r="BF52" i="123"/>
  <c r="BB26" i="123"/>
  <c r="BK26" i="123"/>
  <c r="BB51" i="123"/>
  <c r="BH52" i="123"/>
  <c r="BE51" i="123"/>
  <c r="BF51" i="123"/>
  <c r="BC46" i="123"/>
  <c r="BK15" i="123"/>
  <c r="BB36" i="123"/>
  <c r="BD66" i="123"/>
  <c r="BF14" i="123"/>
  <c r="BG14" i="123"/>
  <c r="BJ73" i="123"/>
  <c r="BJ72" i="123" s="1"/>
  <c r="BG37" i="123"/>
  <c r="BD34" i="123"/>
  <c r="BF35" i="123"/>
  <c r="BB37" i="123"/>
  <c r="BI17" i="123"/>
  <c r="BD11" i="123"/>
  <c r="AZ73" i="123"/>
  <c r="AZ72" i="123" s="1"/>
  <c r="BE71" i="123"/>
  <c r="BE70" i="123" s="1"/>
  <c r="BF39" i="123"/>
  <c r="BJ78" i="123"/>
  <c r="BE26" i="123"/>
  <c r="BG23" i="123"/>
  <c r="BA24" i="123"/>
  <c r="AZ26" i="123"/>
  <c r="BF30" i="123"/>
  <c r="BD13" i="123"/>
  <c r="BI71" i="123"/>
  <c r="BI70" i="123" s="1"/>
  <c r="BH69" i="123"/>
  <c r="BG40" i="123"/>
  <c r="BI34" i="123"/>
  <c r="BB15" i="123"/>
  <c r="BI13" i="123"/>
  <c r="BA63" i="123"/>
  <c r="BC59" i="123"/>
  <c r="BD48" i="123"/>
  <c r="BJ29" i="123"/>
  <c r="BC32" i="123"/>
  <c r="BF73" i="123"/>
  <c r="BF72" i="123" s="1"/>
  <c r="BB56" i="123"/>
  <c r="BA58" i="123"/>
  <c r="BI56" i="123"/>
  <c r="BG32" i="123"/>
  <c r="BH24" i="123"/>
  <c r="AZ25" i="123"/>
  <c r="BB18" i="123"/>
  <c r="BA73" i="123"/>
  <c r="BA72" i="123" s="1"/>
  <c r="BF43" i="123"/>
  <c r="BD38" i="123"/>
  <c r="BI59" i="123"/>
  <c r="AZ17" i="123"/>
  <c r="BI16" i="123"/>
  <c r="BJ42" i="123"/>
  <c r="BI54" i="123"/>
  <c r="BK66" i="123"/>
  <c r="BE31" i="123"/>
  <c r="BF31" i="123"/>
  <c r="AZ57" i="123"/>
  <c r="BH58" i="123"/>
  <c r="BD57" i="123"/>
  <c r="BK71" i="123"/>
  <c r="BK70" i="123" s="1"/>
  <c r="BD53" i="123"/>
  <c r="BA56" i="123"/>
  <c r="BG42" i="123"/>
  <c r="BA57" i="123"/>
  <c r="BE20" i="123"/>
  <c r="BE19" i="123"/>
  <c r="BE44" i="123"/>
  <c r="BK41" i="123"/>
  <c r="BJ39" i="123"/>
  <c r="BK39" i="123"/>
  <c r="BG78" i="123"/>
  <c r="BA64" i="123"/>
  <c r="BC19" i="123"/>
  <c r="AZ71" i="123"/>
  <c r="AZ70" i="123" s="1"/>
  <c r="BJ61" i="123"/>
  <c r="BB43" i="123"/>
  <c r="BI49" i="123"/>
  <c r="AZ31" i="123"/>
  <c r="BK29" i="123"/>
  <c r="BC30" i="123"/>
  <c r="BJ37" i="123"/>
  <c r="BC26" i="123"/>
  <c r="BK19" i="123"/>
  <c r="BK69" i="123"/>
  <c r="BK73" i="123"/>
  <c r="BK72" i="123" s="1"/>
  <c r="BJ43" i="123"/>
  <c r="AZ40" i="123"/>
  <c r="AZ20" i="123"/>
  <c r="BH18" i="123"/>
  <c r="BI19" i="123"/>
  <c r="BF10" i="123"/>
  <c r="BD56" i="123"/>
  <c r="BI20" i="123"/>
  <c r="BK37" i="123"/>
  <c r="BD61" i="123"/>
  <c r="BH16" i="123"/>
  <c r="BA16" i="123"/>
  <c r="BB42" i="123"/>
  <c r="BA39" i="123"/>
  <c r="BJ30" i="123"/>
  <c r="BB31" i="123"/>
  <c r="BA23" i="123"/>
  <c r="BJ44" i="123"/>
  <c r="BI32" i="123"/>
  <c r="BI43" i="123"/>
  <c r="BH54" i="123"/>
  <c r="BD24" i="123"/>
  <c r="BE24" i="123"/>
  <c r="BH48" i="123"/>
  <c r="BB49" i="123"/>
  <c r="BD42" i="123"/>
  <c r="BI37" i="123"/>
  <c r="BF28" i="123"/>
  <c r="BD18" i="123"/>
  <c r="BG16" i="123"/>
  <c r="BI67" i="123"/>
  <c r="BJ66" i="123"/>
  <c r="AZ42" i="123"/>
  <c r="BE45" i="123"/>
  <c r="BI21" i="123"/>
  <c r="BC15" i="123"/>
  <c r="BE16" i="123"/>
  <c r="BJ64" i="123"/>
  <c r="BE69" i="123"/>
  <c r="BD58" i="123"/>
  <c r="BD37" i="123"/>
  <c r="BE37" i="123"/>
  <c r="BK17" i="123"/>
  <c r="BD16" i="123"/>
  <c r="BA18" i="123"/>
  <c r="BD14" i="123"/>
  <c r="BH27" i="123"/>
  <c r="AZ44" i="123"/>
  <c r="BK45" i="123"/>
  <c r="BD51" i="123"/>
  <c r="BJ26" i="123"/>
  <c r="BB27" i="123"/>
  <c r="BK51" i="123"/>
  <c r="AZ46" i="123"/>
  <c r="AZ45" i="123"/>
  <c r="BA45" i="123"/>
  <c r="BK46" i="123"/>
  <c r="BD35" i="123"/>
  <c r="BB25" i="123"/>
  <c r="BG63" i="123"/>
  <c r="BD64" i="123"/>
  <c r="AZ51" i="123"/>
  <c r="BB41" i="123"/>
  <c r="AZ38" i="123"/>
  <c r="BE35" i="123"/>
  <c r="AZ36" i="123"/>
  <c r="AZ43" i="123"/>
  <c r="BK78" i="123"/>
  <c r="BJ25" i="123"/>
  <c r="BE61" i="123"/>
  <c r="BK63" i="123"/>
  <c r="BI51" i="123"/>
  <c r="BC43" i="123"/>
  <c r="BD27" i="123"/>
  <c r="AZ24" i="123"/>
  <c r="BI24" i="123"/>
  <c r="BF17" i="123"/>
  <c r="BK64" i="123"/>
  <c r="BJ71" i="123"/>
  <c r="BJ70" i="123" s="1"/>
  <c r="BA43" i="123"/>
  <c r="BA55" i="123"/>
  <c r="BK23" i="123"/>
  <c r="BD23" i="123"/>
  <c r="AZ48" i="123"/>
  <c r="BD78" i="123"/>
  <c r="AZ37" i="123"/>
  <c r="BA37" i="123"/>
  <c r="BG27" i="123"/>
  <c r="BA67" i="123"/>
  <c r="BK13" i="123"/>
  <c r="BH51" i="123"/>
  <c r="BI69" i="123"/>
  <c r="BH28" i="123"/>
  <c r="AZ29" i="123"/>
  <c r="BC54" i="123"/>
  <c r="BH55" i="123"/>
  <c r="BB48" i="123"/>
  <c r="BF78" i="123"/>
  <c r="BF34" i="123"/>
  <c r="BK36" i="123"/>
  <c r="BB23" i="123"/>
  <c r="AZ67" i="123"/>
  <c r="BG69" i="123"/>
  <c r="BD45" i="123"/>
  <c r="BH53" i="123"/>
  <c r="BB29" i="123"/>
  <c r="BA20" i="123"/>
  <c r="BC21" i="123"/>
  <c r="BC13" i="123"/>
  <c r="BE53" i="123"/>
  <c r="BC18" i="123"/>
  <c r="BG73" i="123"/>
  <c r="BG72" i="123" s="1"/>
  <c r="BE64" i="123"/>
  <c r="BA78" i="123"/>
  <c r="BI42" i="123"/>
  <c r="BG24" i="123"/>
  <c r="BB21" i="123"/>
  <c r="AZ23" i="123"/>
  <c r="BC20" i="123"/>
  <c r="BE66" i="123"/>
  <c r="BJ24" i="123"/>
  <c r="BD55" i="123"/>
  <c r="BC66" i="123"/>
  <c r="BD32" i="123"/>
  <c r="BE32" i="123"/>
  <c r="BG58" i="123"/>
  <c r="BA53" i="123"/>
  <c r="AZ52" i="123"/>
  <c r="BA52" i="123"/>
  <c r="BG54" i="123"/>
  <c r="BE27" i="123"/>
  <c r="BE30" i="123"/>
  <c r="BJ55" i="123"/>
  <c r="BF57" i="123"/>
  <c r="AZ15" i="123"/>
  <c r="BF45" i="123"/>
  <c r="BC42" i="123"/>
  <c r="BC40" i="123"/>
  <c r="BD40" i="123"/>
  <c r="BC55" i="123"/>
  <c r="BJ40" i="123"/>
  <c r="BD31" i="123"/>
  <c r="BB55" i="123"/>
  <c r="BJ56" i="123"/>
  <c r="BK57" i="123"/>
  <c r="BA51" i="123"/>
  <c r="BH31" i="123"/>
  <c r="BB30" i="123"/>
  <c r="BK30" i="123"/>
  <c r="BD21" i="123"/>
  <c r="AZ35" i="123"/>
  <c r="BD49" i="123"/>
  <c r="BF49" i="123"/>
  <c r="BF71" i="123"/>
  <c r="BF70" i="123" s="1"/>
  <c r="AZ28" i="123"/>
  <c r="BI28" i="123"/>
  <c r="BI53" i="123"/>
  <c r="BI48" i="123"/>
  <c r="BD41" i="123"/>
  <c r="BE42" i="123"/>
  <c r="BJ32" i="123"/>
  <c r="AZ59" i="123"/>
  <c r="BK52" i="123"/>
  <c r="BE59" i="123"/>
  <c r="BC24" i="123"/>
  <c r="BH64" i="123"/>
  <c r="BI66" i="123"/>
  <c r="BF48" i="123"/>
  <c r="BG48" i="123"/>
  <c r="BA30" i="123"/>
  <c r="BD28" i="123"/>
  <c r="BE28" i="123"/>
  <c r="BA25" i="123"/>
  <c r="BB66" i="123"/>
  <c r="BG10" i="123"/>
  <c r="BH73" i="123"/>
  <c r="BH72" i="123" s="1"/>
  <c r="BD73" i="123"/>
  <c r="BD72" i="123" s="1"/>
  <c r="BE38" i="123"/>
  <c r="BF38" i="123"/>
  <c r="BA14" i="123"/>
  <c r="BB61" i="123"/>
  <c r="BI58" i="123"/>
  <c r="BE15" i="123"/>
  <c r="BH61" i="123"/>
  <c r="BE17" i="123"/>
  <c r="BJ36" i="123"/>
  <c r="BG64" i="123"/>
  <c r="BG15" i="123"/>
  <c r="BF20" i="123"/>
  <c r="BG52" i="123"/>
  <c r="BH46" i="123"/>
  <c r="BH45" i="123"/>
  <c r="BI45" i="123"/>
  <c r="BH63" i="123"/>
  <c r="AZ32" i="123"/>
  <c r="BC37" i="123"/>
  <c r="BF63" i="123"/>
  <c r="AZ16" i="123"/>
  <c r="BI73" i="123"/>
  <c r="BI72" i="123" s="1"/>
  <c r="BJ41" i="123"/>
  <c r="BH38" i="123"/>
  <c r="BG36" i="123"/>
  <c r="BH36" i="123"/>
  <c r="BH26" i="123"/>
  <c r="BJ57" i="123"/>
  <c r="BD30" i="123"/>
  <c r="AZ58" i="123"/>
  <c r="BK61" i="123"/>
  <c r="BA35" i="123"/>
  <c r="BB35" i="123"/>
  <c r="BG66" i="123"/>
  <c r="BD54" i="123"/>
  <c r="BI46" i="123"/>
  <c r="BJ46" i="123"/>
  <c r="BK38" i="123"/>
  <c r="BH42" i="123"/>
  <c r="BF15" i="123"/>
  <c r="BD69" i="123"/>
  <c r="H6" i="418"/>
  <c r="BF8" i="120"/>
  <c r="BC32" i="120"/>
  <c r="BF58" i="120"/>
  <c r="BH46" i="120"/>
  <c r="AZ25" i="120"/>
  <c r="BA21" i="120"/>
  <c r="BK45" i="120"/>
  <c r="BD46" i="120"/>
  <c r="BK38" i="120"/>
  <c r="BD59" i="108"/>
  <c r="BB52" i="108"/>
  <c r="BH3" i="108"/>
  <c r="BE26" i="120"/>
  <c r="BE19" i="120"/>
  <c r="BJ46" i="120"/>
  <c r="BI32" i="120"/>
  <c r="BE17" i="120"/>
  <c r="BH9" i="120"/>
  <c r="BE30" i="120"/>
  <c r="BF43" i="120"/>
  <c r="BG36" i="120"/>
  <c r="BB45" i="108"/>
  <c r="BD42" i="120"/>
  <c r="BJ3" i="120"/>
  <c r="BK43" i="120"/>
  <c r="BK24" i="120"/>
  <c r="BC73" i="120"/>
  <c r="BC72" i="120" s="1"/>
  <c r="BH61" i="120"/>
  <c r="BK15" i="120"/>
  <c r="BA56" i="120"/>
  <c r="BD38" i="120"/>
  <c r="BB29" i="120"/>
  <c r="BJ55" i="120"/>
  <c r="BH58" i="120"/>
  <c r="BD19" i="120"/>
  <c r="BA54" i="120"/>
  <c r="BK48" i="120"/>
  <c r="BK56" i="120"/>
  <c r="AZ57" i="120"/>
  <c r="BC28" i="108"/>
  <c r="BE69" i="108"/>
  <c r="BI16" i="120"/>
  <c r="BH40" i="120"/>
  <c r="BJ38" i="120"/>
  <c r="BC35" i="120"/>
  <c r="BK42" i="120"/>
  <c r="BD35" i="120"/>
  <c r="BC56" i="120"/>
  <c r="BK57" i="120"/>
  <c r="BI57" i="108"/>
  <c r="BC19" i="108"/>
  <c r="BI3" i="120"/>
  <c r="AZ24" i="120"/>
  <c r="AZ20" i="120"/>
  <c r="BI4" i="120"/>
  <c r="BB39" i="120"/>
  <c r="BK25" i="120"/>
  <c r="AZ16" i="120"/>
  <c r="BE15" i="120"/>
  <c r="BB61" i="120"/>
  <c r="BA45" i="120"/>
  <c r="BD69" i="120"/>
  <c r="BA59" i="120"/>
  <c r="BF42" i="120"/>
  <c r="BG40" i="120"/>
  <c r="BE36" i="120"/>
  <c r="AZ56" i="120"/>
  <c r="BF55" i="107"/>
  <c r="BE61" i="107"/>
  <c r="BG30" i="107"/>
  <c r="BE35" i="107"/>
  <c r="BE48" i="107"/>
  <c r="BF71" i="107"/>
  <c r="BF70" i="107" s="1"/>
  <c r="BC20" i="107"/>
  <c r="BJ37" i="107"/>
  <c r="BB42" i="107"/>
  <c r="H5" i="418"/>
  <c r="J20" i="418"/>
  <c r="H20" i="418"/>
  <c r="BF73" i="108"/>
  <c r="BF72" i="108" s="1"/>
  <c r="BC29" i="108"/>
  <c r="BG48" i="108"/>
  <c r="BJ31" i="108"/>
  <c r="BK69" i="108"/>
  <c r="BK67" i="108"/>
  <c r="BJ48" i="108"/>
  <c r="AZ10" i="108"/>
  <c r="BG11" i="108"/>
  <c r="BK36" i="108"/>
  <c r="BA58" i="108"/>
  <c r="BK28" i="108"/>
  <c r="BG15" i="108"/>
  <c r="BD48" i="108"/>
  <c r="BF48" i="108"/>
  <c r="BK41" i="108"/>
  <c r="BF67" i="108"/>
  <c r="BE30" i="108"/>
  <c r="BB14" i="108"/>
  <c r="BI48" i="108"/>
  <c r="BJ67" i="108"/>
  <c r="BB21" i="108"/>
  <c r="BA16" i="108"/>
  <c r="BA41" i="108"/>
  <c r="BE48" i="108"/>
  <c r="BD63" i="108"/>
  <c r="BA54" i="108"/>
  <c r="BF42" i="108"/>
  <c r="BK55" i="108"/>
  <c r="BK54" i="108"/>
  <c r="BC58" i="108"/>
  <c r="BJ4" i="108"/>
  <c r="BF29" i="108"/>
  <c r="BK78" i="108"/>
  <c r="BB32" i="108"/>
  <c r="BG66" i="108"/>
  <c r="BH36" i="108"/>
  <c r="BD54" i="108"/>
  <c r="BF57" i="108"/>
  <c r="BJ18" i="108"/>
  <c r="BE27" i="108"/>
  <c r="AZ31" i="108"/>
  <c r="BD40" i="108"/>
  <c r="BH45" i="108"/>
  <c r="BI37" i="108"/>
  <c r="BA52" i="108"/>
  <c r="BK40" i="108"/>
  <c r="BE66" i="108"/>
  <c r="BA43" i="108"/>
  <c r="AZ29" i="108"/>
  <c r="BA34" i="108"/>
  <c r="BC20" i="108"/>
  <c r="BA49" i="108"/>
  <c r="BI55" i="108"/>
  <c r="BB34" i="108"/>
  <c r="BG32" i="108"/>
  <c r="BA63" i="108"/>
  <c r="BK25" i="108"/>
  <c r="BH10" i="108"/>
  <c r="BJ10" i="108"/>
  <c r="BJ25" i="108"/>
  <c r="BI40" i="108"/>
  <c r="BF32" i="108"/>
  <c r="BJ24" i="108"/>
  <c r="BH11" i="108"/>
  <c r="BH64" i="108"/>
  <c r="BA59" i="108"/>
  <c r="BK71" i="108"/>
  <c r="BK70" i="108" s="1"/>
  <c r="AZ55" i="108"/>
  <c r="AZ54" i="108"/>
  <c r="BK13" i="108"/>
  <c r="BJ45" i="108"/>
  <c r="BC38" i="108"/>
  <c r="AZ42" i="108"/>
  <c r="BD42" i="108"/>
  <c r="BJ46" i="108"/>
  <c r="BA45" i="108"/>
  <c r="BG16" i="108"/>
  <c r="BK16" i="108"/>
  <c r="BG19" i="108"/>
  <c r="BI11" i="108"/>
  <c r="BC8" i="108"/>
  <c r="BC30" i="108"/>
  <c r="BH30" i="108"/>
  <c r="BD57" i="108"/>
  <c r="BF46" i="108"/>
  <c r="AZ13" i="108"/>
  <c r="BD46" i="108"/>
  <c r="BB31" i="108"/>
  <c r="BE58" i="108"/>
  <c r="BG64" i="108"/>
  <c r="BK30" i="108"/>
  <c r="BK29" i="108"/>
  <c r="BI39" i="108"/>
  <c r="BE31" i="108"/>
  <c r="BI28" i="108"/>
  <c r="BJ44" i="108"/>
  <c r="BD9" i="108"/>
  <c r="BJ36" i="108"/>
  <c r="BF45" i="108"/>
  <c r="BF17" i="108"/>
  <c r="AZ40" i="108"/>
  <c r="BF34" i="108"/>
  <c r="BA73" i="108"/>
  <c r="BA72" i="108" s="1"/>
  <c r="BK26" i="108"/>
  <c r="BH32" i="108"/>
  <c r="BF16" i="108"/>
  <c r="BB10" i="108"/>
  <c r="BI35" i="108"/>
  <c r="BJ73" i="108"/>
  <c r="BJ72" i="108" s="1"/>
  <c r="BH28" i="108"/>
  <c r="BD36" i="108"/>
  <c r="BG17" i="108"/>
  <c r="BJ71" i="108"/>
  <c r="BJ70" i="108" s="1"/>
  <c r="BD51" i="108"/>
  <c r="BB55" i="108"/>
  <c r="BE53" i="108"/>
  <c r="BK15" i="108"/>
  <c r="BD53" i="108"/>
  <c r="BJ16" i="108"/>
  <c r="BK23" i="108"/>
  <c r="BD44" i="108"/>
  <c r="BJ38" i="108"/>
  <c r="AZ32" i="108"/>
  <c r="BE37" i="108"/>
  <c r="BA71" i="108"/>
  <c r="BA70" i="108" s="1"/>
  <c r="BG55" i="108"/>
  <c r="BJ59" i="108"/>
  <c r="BF56" i="108"/>
  <c r="AZ23" i="108"/>
  <c r="BG8" i="108"/>
  <c r="BC67" i="108"/>
  <c r="BJ66" i="108"/>
  <c r="BC34" i="108"/>
  <c r="BJ19" i="108"/>
  <c r="AZ43" i="108"/>
  <c r="BG57" i="108"/>
  <c r="AZ45" i="108"/>
  <c r="BI18" i="108"/>
  <c r="BI16" i="108"/>
  <c r="BI78" i="108"/>
  <c r="BA21" i="108"/>
  <c r="BB49" i="108"/>
  <c r="BH43" i="108"/>
  <c r="BI13" i="108"/>
  <c r="BF63" i="108"/>
  <c r="BI38" i="108"/>
  <c r="BK27" i="108"/>
  <c r="BB19" i="108"/>
  <c r="BG44" i="108"/>
  <c r="BH20" i="108"/>
  <c r="BG14" i="108"/>
  <c r="BI25" i="108"/>
  <c r="BE51" i="108"/>
  <c r="BI20" i="108"/>
  <c r="BB8" i="108"/>
  <c r="AZ63" i="108"/>
  <c r="BC69" i="108"/>
  <c r="BA66" i="108"/>
  <c r="BA69" i="108"/>
  <c r="BI49" i="108"/>
  <c r="BA4" i="108"/>
  <c r="BJ37" i="108"/>
  <c r="BK31" i="108"/>
  <c r="BI52" i="108"/>
  <c r="BB44" i="108"/>
  <c r="AZ38" i="108"/>
  <c r="AZ49" i="108"/>
  <c r="BF13" i="108"/>
  <c r="BD67" i="108"/>
  <c r="BD52" i="108"/>
  <c r="BF40" i="108"/>
  <c r="BC39" i="108"/>
  <c r="BA17" i="108"/>
  <c r="BE78" i="108"/>
  <c r="BJ61" i="108"/>
  <c r="BH40" i="108"/>
  <c r="BD39" i="108"/>
  <c r="BJ56" i="108"/>
  <c r="BA55" i="108"/>
  <c r="BA53" i="108"/>
  <c r="BJ21" i="108"/>
  <c r="BB64" i="108"/>
  <c r="BE18" i="108"/>
  <c r="BF19" i="108"/>
  <c r="BH29" i="108"/>
  <c r="BH55" i="108"/>
  <c r="BH13" i="108"/>
  <c r="BI46" i="108"/>
  <c r="BH66" i="108"/>
  <c r="BI45" i="108"/>
  <c r="BC49" i="108"/>
  <c r="BD28" i="108"/>
  <c r="BF66" i="108"/>
  <c r="BC14" i="108"/>
  <c r="BK21" i="108"/>
  <c r="BJ17" i="108"/>
  <c r="BE46" i="108"/>
  <c r="BC27" i="108"/>
  <c r="BC41" i="108"/>
  <c r="BK9" i="108"/>
  <c r="BA40" i="108"/>
  <c r="BK8" i="108"/>
  <c r="AZ57" i="108"/>
  <c r="BF78" i="108"/>
  <c r="BB24" i="108"/>
  <c r="BH15" i="108"/>
  <c r="BG41" i="108"/>
  <c r="AZ36" i="108"/>
  <c r="BC53" i="108"/>
  <c r="BA44" i="108"/>
  <c r="BF37" i="108"/>
  <c r="BI29" i="108"/>
  <c r="BC21" i="108"/>
  <c r="BD18" i="108"/>
  <c r="BJ8" i="108"/>
  <c r="BJ57" i="108"/>
  <c r="BA14" i="108"/>
  <c r="BB59" i="108"/>
  <c r="BH35" i="108"/>
  <c r="BE35" i="108"/>
  <c r="AZ56" i="108"/>
  <c r="BK49" i="108"/>
  <c r="BB66" i="108"/>
  <c r="AZ16" i="108"/>
  <c r="BD78" i="108"/>
  <c r="BB26" i="108"/>
  <c r="BD56" i="108"/>
  <c r="BH58" i="108"/>
  <c r="BC40" i="108"/>
  <c r="BA78" i="108"/>
  <c r="BB41" i="108"/>
  <c r="BB9" i="108"/>
  <c r="BD34" i="108"/>
  <c r="BE8" i="108"/>
  <c r="BA56" i="108"/>
  <c r="BE73" i="108"/>
  <c r="BE72" i="108" s="1"/>
  <c r="BI59" i="108"/>
  <c r="BH38" i="108"/>
  <c r="BJ32" i="108"/>
  <c r="BH54" i="108"/>
  <c r="BG31" i="108"/>
  <c r="BA37" i="108"/>
  <c r="BB36" i="108"/>
  <c r="BH49" i="108"/>
  <c r="BH42" i="108"/>
  <c r="AZ20" i="108"/>
  <c r="BA13" i="108"/>
  <c r="BF18" i="108"/>
  <c r="BB17" i="108"/>
  <c r="BD64" i="108"/>
  <c r="BE24" i="108"/>
  <c r="BJ52" i="108"/>
  <c r="BB27" i="108"/>
  <c r="BE52" i="108"/>
  <c r="BD26" i="108"/>
  <c r="BG27" i="108"/>
  <c r="BI66" i="108"/>
  <c r="AZ58" i="108"/>
  <c r="BB23" i="108"/>
  <c r="BH51" i="108"/>
  <c r="BD66" i="108"/>
  <c r="BJ40" i="108"/>
  <c r="AZ25" i="108"/>
  <c r="BI67" i="108"/>
  <c r="BB61" i="108"/>
  <c r="BE39" i="108"/>
  <c r="BH23" i="108"/>
  <c r="BE21" i="108"/>
  <c r="BC37" i="108"/>
  <c r="BG52" i="108"/>
  <c r="BI54" i="108"/>
  <c r="BK52" i="108"/>
  <c r="BK17" i="108"/>
  <c r="BE38" i="108"/>
  <c r="BD14" i="108"/>
  <c r="BF55" i="108"/>
  <c r="BA18" i="108"/>
  <c r="BI4" i="108"/>
  <c r="AZ66" i="108"/>
  <c r="BC36" i="108"/>
  <c r="BJ58" i="108"/>
  <c r="AZ78" i="108"/>
  <c r="BG29" i="108"/>
  <c r="AZ21" i="108"/>
  <c r="BK45" i="108"/>
  <c r="BC45" i="108"/>
  <c r="BD45" i="108"/>
  <c r="BC17" i="108"/>
  <c r="BB11" i="108"/>
  <c r="BD24" i="108"/>
  <c r="BH39" i="108"/>
  <c r="AZ26" i="108"/>
  <c r="BB56" i="108"/>
  <c r="BG28" i="108"/>
  <c r="BK19" i="108"/>
  <c r="BB35" i="108"/>
  <c r="AZ8" i="108"/>
  <c r="BC46" i="108"/>
  <c r="BH59" i="108"/>
  <c r="BE44" i="108"/>
  <c r="BE64" i="108"/>
  <c r="BD43" i="108"/>
  <c r="BC9" i="108"/>
  <c r="BF11" i="108"/>
  <c r="BF4" i="108"/>
  <c r="BA38" i="108"/>
  <c r="BJ20" i="108"/>
  <c r="BF52" i="108"/>
  <c r="BC71" i="108"/>
  <c r="BC70" i="108" s="1"/>
  <c r="BI3" i="108"/>
  <c r="BH71" i="108"/>
  <c r="BH70" i="108" s="1"/>
  <c r="BH31" i="108"/>
  <c r="BE15" i="108"/>
  <c r="BE9" i="108"/>
  <c r="BD29" i="108"/>
  <c r="BE14" i="108"/>
  <c r="BH52" i="108"/>
  <c r="BE25" i="108"/>
  <c r="BD16" i="108"/>
  <c r="BB20" i="108"/>
  <c r="BG30" i="108"/>
  <c r="BJ54" i="108"/>
  <c r="BC4" i="108"/>
  <c r="BF30" i="108"/>
  <c r="BH73" i="108"/>
  <c r="BH72" i="108" s="1"/>
  <c r="BB25" i="108"/>
  <c r="BE63" i="108"/>
  <c r="BK14" i="108"/>
  <c r="BK11" i="108"/>
  <c r="BJ39" i="108"/>
  <c r="BH9" i="108"/>
  <c r="BA36" i="108"/>
  <c r="BC55" i="108"/>
  <c r="BF58" i="108"/>
  <c r="BD20" i="108"/>
  <c r="BF49" i="108"/>
  <c r="BA3" i="108"/>
  <c r="BE56" i="108"/>
  <c r="BG71" i="108"/>
  <c r="BG70" i="108" s="1"/>
  <c r="BG4" i="108"/>
  <c r="BH19" i="108"/>
  <c r="BG53" i="108"/>
  <c r="BB42" i="108"/>
  <c r="BD3" i="108"/>
  <c r="BI10" i="108"/>
  <c r="AZ71" i="108"/>
  <c r="AZ70" i="108" s="1"/>
  <c r="BI64" i="108"/>
  <c r="BH25" i="108"/>
  <c r="BB28" i="108"/>
  <c r="BD27" i="108"/>
  <c r="BC13" i="108"/>
  <c r="BB67" i="108"/>
  <c r="AZ11" i="108"/>
  <c r="BG10" i="108"/>
  <c r="AZ28" i="108"/>
  <c r="BI26" i="108"/>
  <c r="BD23" i="108"/>
  <c r="BI56" i="108"/>
  <c r="BD37" i="108"/>
  <c r="BG42" i="108"/>
  <c r="BC25" i="108"/>
  <c r="BJ35" i="108"/>
  <c r="BF24" i="108"/>
  <c r="BE26" i="108"/>
  <c r="BK73" i="108"/>
  <c r="BK72" i="108" s="1"/>
  <c r="BI27" i="108"/>
  <c r="AZ30" i="108"/>
  <c r="BK44" i="108"/>
  <c r="BG40" i="108"/>
  <c r="BK46" i="108"/>
  <c r="BH67" i="108"/>
  <c r="BF15" i="108"/>
  <c r="BF43" i="108"/>
  <c r="BI34" i="108"/>
  <c r="BK64" i="108"/>
  <c r="BE43" i="108"/>
  <c r="BG34" i="108"/>
  <c r="BE71" i="108"/>
  <c r="BE70" i="108" s="1"/>
  <c r="BE4" i="108"/>
  <c r="BK66" i="108"/>
  <c r="BD31" i="108"/>
  <c r="BG38" i="108"/>
  <c r="BI42" i="108"/>
  <c r="BA20" i="108"/>
  <c r="BK57" i="108"/>
  <c r="BI61" i="108"/>
  <c r="AZ35" i="108"/>
  <c r="BA8" i="108"/>
  <c r="BH53" i="108"/>
  <c r="BE16" i="108"/>
  <c r="BI43" i="108"/>
  <c r="BB15" i="108"/>
  <c r="BJ11" i="108"/>
  <c r="BA28" i="108"/>
  <c r="BA67" i="108"/>
  <c r="BE40" i="108"/>
  <c r="BH21" i="108"/>
  <c r="BB78" i="108"/>
  <c r="BE61" i="108"/>
  <c r="BI9" i="108"/>
  <c r="BE69" i="120"/>
  <c r="BC71" i="120"/>
  <c r="BC70" i="120" s="1"/>
  <c r="BH52" i="120"/>
  <c r="BK36" i="120"/>
  <c r="BJ32" i="120"/>
  <c r="BI43" i="120"/>
  <c r="BE58" i="120"/>
  <c r="BJ8" i="120"/>
  <c r="AZ18" i="120"/>
  <c r="BE34" i="120"/>
  <c r="BB49" i="120"/>
  <c r="BH63" i="120"/>
  <c r="BG31" i="120"/>
  <c r="BH16" i="120"/>
  <c r="BD55" i="120"/>
  <c r="BE44" i="120"/>
  <c r="BK30" i="120"/>
  <c r="BI27" i="120"/>
  <c r="BE38" i="120"/>
  <c r="BJ52" i="120"/>
  <c r="BC67" i="120"/>
  <c r="BB13" i="120"/>
  <c r="BG25" i="120"/>
  <c r="AZ78" i="120"/>
  <c r="AZ55" i="120"/>
  <c r="BG67" i="120"/>
  <c r="BD9" i="120"/>
  <c r="BG16" i="120"/>
  <c r="BJ25" i="120"/>
  <c r="BA63" i="120"/>
  <c r="BC26" i="120"/>
  <c r="BK78" i="120"/>
  <c r="BD54" i="120"/>
  <c r="BG63" i="120"/>
  <c r="BA40" i="120"/>
  <c r="BD25" i="120"/>
  <c r="BJ23" i="120"/>
  <c r="BI31" i="120"/>
  <c r="BK44" i="120"/>
  <c r="BG57" i="120"/>
  <c r="BG18" i="120"/>
  <c r="BH37" i="120"/>
  <c r="BF32" i="120"/>
  <c r="AZ17" i="120"/>
  <c r="BG17" i="120"/>
  <c r="BA26" i="120"/>
  <c r="BG39" i="120"/>
  <c r="BD49" i="120"/>
  <c r="BK69" i="120"/>
  <c r="BB14" i="120"/>
  <c r="BK28" i="120"/>
  <c r="BG66" i="120"/>
  <c r="BH49" i="120"/>
  <c r="BH69" i="120"/>
  <c r="BI64" i="120"/>
  <c r="BK9" i="120"/>
  <c r="BK20" i="120"/>
  <c r="BH31" i="120"/>
  <c r="BB78" i="120"/>
  <c r="BF61" i="120"/>
  <c r="AZ8" i="120"/>
  <c r="AZ21" i="120"/>
  <c r="BD57" i="120"/>
  <c r="BG78" i="120"/>
  <c r="BH45" i="120"/>
  <c r="BF11" i="120"/>
  <c r="BH39" i="120"/>
  <c r="BB34" i="120"/>
  <c r="BH41" i="120"/>
  <c r="BF35" i="120"/>
  <c r="BB30" i="120"/>
  <c r="BD18" i="120"/>
  <c r="BB67" i="120"/>
  <c r="AZ51" i="120"/>
  <c r="BA46" i="120"/>
  <c r="BI57" i="120"/>
  <c r="BK8" i="120"/>
  <c r="BB20" i="120"/>
  <c r="BE29" i="120"/>
  <c r="BI44" i="120"/>
  <c r="AZ63" i="120"/>
  <c r="BK10" i="120"/>
  <c r="BD43" i="120"/>
  <c r="BJ29" i="120"/>
  <c r="BA32" i="120"/>
  <c r="AZ43" i="120"/>
  <c r="BH57" i="120"/>
  <c r="BB8" i="120"/>
  <c r="BD17" i="120"/>
  <c r="BE32" i="120"/>
  <c r="BG48" i="120"/>
  <c r="BD61" i="120"/>
  <c r="BK66" i="120"/>
  <c r="BE73" i="120"/>
  <c r="BE72" i="120" s="1"/>
  <c r="BF15" i="120"/>
  <c r="BB25" i="120"/>
  <c r="BK37" i="120"/>
  <c r="BA48" i="120"/>
  <c r="BK67" i="120"/>
  <c r="BA13" i="120"/>
  <c r="BD27" i="120"/>
  <c r="BA49" i="120"/>
  <c r="BA34" i="120"/>
  <c r="BD37" i="120"/>
  <c r="BC48" i="120"/>
  <c r="BD63" i="120"/>
  <c r="BG69" i="120"/>
  <c r="BG53" i="120"/>
  <c r="BD44" i="120"/>
  <c r="BJ39" i="120"/>
  <c r="AZ34" i="120"/>
  <c r="BH28" i="120"/>
  <c r="AZ58" i="120"/>
  <c r="BB43" i="120"/>
  <c r="BD40" i="120"/>
  <c r="BB52" i="120"/>
  <c r="BD67" i="120"/>
  <c r="BD14" i="120"/>
  <c r="BG23" i="120"/>
  <c r="BE39" i="120"/>
  <c r="BA55" i="120"/>
  <c r="BB3" i="120"/>
  <c r="AZ39" i="120"/>
  <c r="BD24" i="120"/>
  <c r="BA27" i="120"/>
  <c r="BC37" i="120"/>
  <c r="BA52" i="120"/>
  <c r="BF66" i="120"/>
  <c r="BJ11" i="120"/>
  <c r="BG24" i="120"/>
  <c r="BE42" i="120"/>
  <c r="BE54" i="120"/>
  <c r="BB57" i="120"/>
  <c r="BF63" i="120"/>
  <c r="BD8" i="120"/>
  <c r="BJ19" i="120"/>
  <c r="BF29" i="120"/>
  <c r="BD41" i="120"/>
  <c r="AZ59" i="120"/>
  <c r="BF19" i="120"/>
  <c r="BJ42" i="120"/>
  <c r="BI28" i="120"/>
  <c r="BA31" i="120"/>
  <c r="BI42" i="120"/>
  <c r="BB56" i="120"/>
  <c r="BG54" i="120"/>
  <c r="BG55" i="120"/>
  <c r="BC20" i="120"/>
  <c r="BI19" i="120"/>
  <c r="BC10" i="120"/>
  <c r="BE48" i="120"/>
  <c r="BF38" i="120"/>
  <c r="BI36" i="120"/>
  <c r="BA24" i="120"/>
  <c r="BB21" i="120"/>
  <c r="BF23" i="120"/>
  <c r="BI14" i="120"/>
  <c r="BB66" i="120"/>
  <c r="BC52" i="120"/>
  <c r="AZ36" i="120"/>
  <c r="BB37" i="120"/>
  <c r="BF46" i="120"/>
  <c r="BA67" i="120"/>
  <c r="BI11" i="120"/>
  <c r="BB73" i="120"/>
  <c r="BB72" i="120" s="1"/>
  <c r="BH55" i="120"/>
  <c r="BE59" i="120"/>
  <c r="BD73" i="120"/>
  <c r="BD72" i="120" s="1"/>
  <c r="BJ18" i="120"/>
  <c r="BG27" i="120"/>
  <c r="AZ40" i="120"/>
  <c r="BF57" i="120"/>
  <c r="BB4" i="120"/>
  <c r="BJ17" i="120"/>
  <c r="BK35" i="120"/>
  <c r="BE20" i="120"/>
  <c r="BC25" i="120"/>
  <c r="BH34" i="120"/>
  <c r="BB48" i="120"/>
  <c r="BJ59" i="120"/>
  <c r="AZ9" i="120"/>
  <c r="BH20" i="120"/>
  <c r="BD39" i="120"/>
  <c r="BJ51" i="120"/>
  <c r="BD52" i="120"/>
  <c r="BJ57" i="120"/>
  <c r="BF69" i="120"/>
  <c r="BF17" i="120"/>
  <c r="AZ26" i="120"/>
  <c r="BC38" i="120"/>
  <c r="BK55" i="120"/>
  <c r="BC3" i="120"/>
  <c r="BJ16" i="120"/>
  <c r="BI40" i="120"/>
  <c r="BK26" i="120"/>
  <c r="AZ28" i="120"/>
  <c r="BI39" i="120"/>
  <c r="BE45" i="120"/>
  <c r="BD58" i="120"/>
  <c r="BA8" i="120"/>
  <c r="BG19" i="120"/>
  <c r="BA38" i="120"/>
  <c r="BF56" i="120"/>
  <c r="BF4" i="120"/>
  <c r="AZ14" i="120"/>
  <c r="BD26" i="120"/>
  <c r="BI38" i="120"/>
  <c r="BE52" i="120"/>
  <c r="BB10" i="120"/>
  <c r="BG21" i="120"/>
  <c r="BI41" i="120"/>
  <c r="BD71" i="120"/>
  <c r="BD70" i="120" s="1"/>
  <c r="BA39" i="120"/>
  <c r="BE14" i="120"/>
  <c r="BK13" i="120"/>
  <c r="BB69" i="120"/>
  <c r="BJ69" i="120"/>
  <c r="BG73" i="120"/>
  <c r="BG72" i="120" s="1"/>
  <c r="BC42" i="120"/>
  <c r="BJ31" i="120"/>
  <c r="BI30" i="120"/>
  <c r="BA19" i="120"/>
  <c r="BD16" i="120"/>
  <c r="BC17" i="120"/>
  <c r="BF9" i="120"/>
  <c r="BE56" i="120"/>
  <c r="BA43" i="120"/>
  <c r="BG29" i="120"/>
  <c r="BF28" i="120"/>
  <c r="BJ40" i="120"/>
  <c r="BC58" i="120"/>
  <c r="BJ4" i="120"/>
  <c r="BI63" i="120"/>
  <c r="BI45" i="120"/>
  <c r="BH51" i="120"/>
  <c r="BJ61" i="120"/>
  <c r="BG10" i="120"/>
  <c r="AZ23" i="120"/>
  <c r="BF34" i="120"/>
  <c r="BC49" i="120"/>
  <c r="AZ67" i="120"/>
  <c r="BH13" i="120"/>
  <c r="BA29" i="120"/>
  <c r="BF13" i="120"/>
  <c r="BC19" i="120"/>
  <c r="BH27" i="120"/>
  <c r="BE41" i="120"/>
  <c r="BD53" i="120"/>
  <c r="BI73" i="120"/>
  <c r="BI72" i="120" s="1"/>
  <c r="BJ15" i="120"/>
  <c r="BD31" i="120"/>
  <c r="BD59" i="120"/>
  <c r="BF44" i="120"/>
  <c r="BD48" i="120"/>
  <c r="BC59" i="120"/>
  <c r="BB9" i="120"/>
  <c r="BC21" i="120"/>
  <c r="BF31" i="120"/>
  <c r="BE46" i="120"/>
  <c r="BD64" i="120"/>
  <c r="BH11" i="120"/>
  <c r="BJ34" i="120"/>
  <c r="BH17" i="120"/>
  <c r="BC24" i="120"/>
  <c r="AZ32" i="120"/>
  <c r="BB40" i="120"/>
  <c r="BD51" i="120"/>
  <c r="BE71" i="120"/>
  <c r="BE70" i="120" s="1"/>
  <c r="BJ14" i="120"/>
  <c r="BC29" i="120"/>
  <c r="BC46" i="120"/>
  <c r="BA14" i="120"/>
  <c r="BH4" i="120"/>
  <c r="BI17" i="120"/>
  <c r="BC30" i="120"/>
  <c r="BC43" i="120"/>
  <c r="BG59" i="120"/>
  <c r="BG4" i="120"/>
  <c r="BH15" i="120"/>
  <c r="BG35" i="120"/>
  <c r="BI58" i="120"/>
  <c r="BI15" i="120"/>
  <c r="BB23" i="120"/>
  <c r="BC8" i="120"/>
  <c r="BJ56" i="120"/>
  <c r="BI59" i="120"/>
  <c r="BE61" i="120"/>
  <c r="BJ64" i="120"/>
  <c r="BK34" i="120"/>
  <c r="BJ26" i="120"/>
  <c r="BD13" i="120"/>
  <c r="BC13" i="120"/>
  <c r="BB11" i="120"/>
  <c r="BA69" i="120"/>
  <c r="BB71" i="120"/>
  <c r="BB70" i="120" s="1"/>
  <c r="BK46" i="120"/>
  <c r="BB26" i="120"/>
  <c r="BJ24" i="120"/>
  <c r="BH23" i="120"/>
  <c r="BA35" i="120"/>
  <c r="BC51" i="120"/>
  <c r="BI67" i="120"/>
  <c r="BK54" i="120"/>
  <c r="BK39" i="120"/>
  <c r="BF78" i="120"/>
  <c r="BJ54" i="120"/>
  <c r="BE4" i="120"/>
  <c r="BA18" i="120"/>
  <c r="BH25" i="120"/>
  <c r="BA78" i="120"/>
  <c r="BB58" i="120"/>
  <c r="BA64" i="120"/>
  <c r="BF67" i="120"/>
  <c r="BE11" i="120"/>
  <c r="BI23" i="120"/>
  <c r="BB35" i="120"/>
  <c r="BJ44" i="120"/>
  <c r="BE64" i="120"/>
  <c r="BD10" i="120"/>
  <c r="BF24" i="120"/>
  <c r="BJ53" i="120"/>
  <c r="BH38" i="120"/>
  <c r="BA42" i="120"/>
  <c r="BF53" i="120"/>
  <c r="BG71" i="120"/>
  <c r="BG70" i="120" s="1"/>
  <c r="BE16" i="120"/>
  <c r="BH24" i="120"/>
  <c r="BC41" i="120"/>
  <c r="BG56" i="120"/>
  <c r="BA4" i="120"/>
  <c r="BA71" i="120"/>
  <c r="BA70" i="120" s="1"/>
  <c r="BA10" i="120"/>
  <c r="BC18" i="120"/>
  <c r="BI26" i="120"/>
  <c r="BH32" i="120"/>
  <c r="BG43" i="120"/>
  <c r="BB63" i="120"/>
  <c r="BH8" i="120"/>
  <c r="BH21" i="120"/>
  <c r="AZ41" i="120"/>
  <c r="BI55" i="120"/>
  <c r="BG3" i="120"/>
  <c r="BG13" i="120"/>
  <c r="BE25" i="120"/>
  <c r="AZ38" i="120"/>
  <c r="BA51" i="120"/>
  <c r="BE3" i="120"/>
  <c r="BE9" i="120"/>
  <c r="BB28" i="120"/>
  <c r="BJ71" i="120"/>
  <c r="BJ70" i="120" s="1"/>
  <c r="BD56" i="120"/>
  <c r="AZ49" i="120"/>
  <c r="BC9" i="120"/>
  <c r="BH66" i="120"/>
  <c r="BJ48" i="120"/>
  <c r="BC53" i="120"/>
  <c r="BF54" i="120"/>
  <c r="BH56" i="120"/>
  <c r="AZ29" i="120"/>
  <c r="BE21" i="120"/>
  <c r="BK4" i="120"/>
  <c r="BH59" i="120"/>
  <c r="BJ73" i="120"/>
  <c r="BJ72" i="120" s="1"/>
  <c r="BE40" i="120"/>
  <c r="BD20" i="120"/>
  <c r="BB19" i="120"/>
  <c r="BI18" i="120"/>
  <c r="BG26" i="120"/>
  <c r="BJ78" i="120"/>
  <c r="BK58" i="120"/>
  <c r="BH48" i="120"/>
  <c r="BK32" i="120"/>
  <c r="BJ36" i="120"/>
  <c r="BI46" i="120"/>
  <c r="BI61" i="120"/>
  <c r="BC11" i="120"/>
  <c r="BA20" i="120"/>
  <c r="AZ37" i="120"/>
  <c r="BF52" i="120"/>
  <c r="BK71" i="120"/>
  <c r="BK70" i="120" s="1"/>
  <c r="BH53" i="120"/>
  <c r="BG58" i="120"/>
  <c r="BH71" i="120"/>
  <c r="BH70" i="120" s="1"/>
  <c r="BB18" i="120"/>
  <c r="BH26" i="120"/>
  <c r="BF39" i="120"/>
  <c r="BI56" i="120"/>
  <c r="BK3" i="120"/>
  <c r="BB17" i="120"/>
  <c r="BG46" i="120"/>
  <c r="BK31" i="120"/>
  <c r="BE35" i="120"/>
  <c r="BG45" i="120"/>
  <c r="BK59" i="120"/>
  <c r="BI9" i="120"/>
  <c r="AZ19" i="120"/>
  <c r="BI35" i="120"/>
  <c r="BB51" i="120"/>
  <c r="BC66" i="120"/>
  <c r="BF59" i="120"/>
  <c r="BA66" i="120"/>
  <c r="AZ10" i="120"/>
  <c r="BD21" i="120"/>
  <c r="BI25" i="120"/>
  <c r="BJ37" i="120"/>
  <c r="BB55" i="120"/>
  <c r="BH73" i="120"/>
  <c r="BH72" i="120" s="1"/>
  <c r="BB16" i="120"/>
  <c r="BC34" i="120"/>
  <c r="BJ45" i="120"/>
  <c r="BG8" i="120"/>
  <c r="AZ4" i="120"/>
  <c r="BA17" i="120"/>
  <c r="BK29" i="120"/>
  <c r="BH78" i="120"/>
  <c r="BJ58" i="120"/>
  <c r="BH3" i="120"/>
  <c r="BF20" i="120"/>
  <c r="BI49" i="120"/>
  <c r="BI66" i="120"/>
  <c r="AZ52" i="120"/>
  <c r="AZ66" i="120"/>
  <c r="BB44" i="120"/>
  <c r="BG42" i="120"/>
  <c r="AZ44" i="120"/>
  <c r="BD36" i="120"/>
  <c r="BF51" i="120"/>
  <c r="BK23" i="120"/>
  <c r="BH64" i="120"/>
  <c r="BG64" i="120"/>
  <c r="BF64" i="120"/>
  <c r="BG52" i="120"/>
  <c r="BK53" i="120"/>
  <c r="BB64" i="120"/>
  <c r="BC23" i="120"/>
  <c r="BF14" i="120"/>
  <c r="BD11" i="120"/>
  <c r="BK11" i="120"/>
  <c r="BI20" i="120"/>
  <c r="BI37" i="120"/>
  <c r="BA53" i="120"/>
  <c r="BB42" i="120"/>
  <c r="BA28" i="120"/>
  <c r="BJ30" i="120"/>
  <c r="AZ42" i="120"/>
  <c r="BE55" i="120"/>
  <c r="BK73" i="120"/>
  <c r="BK72" i="120" s="1"/>
  <c r="BC15" i="120"/>
  <c r="BD29" i="120"/>
  <c r="BB45" i="120"/>
  <c r="BG61" i="120"/>
  <c r="AZ45" i="120"/>
  <c r="BG49" i="120"/>
  <c r="BA61" i="120"/>
  <c r="BJ9" i="120"/>
  <c r="BK21" i="120"/>
  <c r="BG32" i="120"/>
  <c r="BI48" i="120"/>
  <c r="BD66" i="120"/>
  <c r="AZ13" i="120"/>
  <c r="BB41" i="120"/>
  <c r="BB27" i="120"/>
  <c r="BH29" i="120"/>
  <c r="BC40" i="120"/>
  <c r="AZ54" i="120"/>
  <c r="BF71" i="120"/>
  <c r="BF70" i="120" s="1"/>
  <c r="BC14" i="120"/>
  <c r="BE27" i="120"/>
  <c r="BE43" i="120"/>
  <c r="BJ67" i="120"/>
  <c r="BI51" i="120"/>
  <c r="BA57" i="120"/>
  <c r="BE67" i="120"/>
  <c r="BF16" i="120"/>
  <c r="BJ20" i="120"/>
  <c r="BF30" i="120"/>
  <c r="BC45" i="120"/>
  <c r="BJ63" i="120"/>
  <c r="AZ11" i="120"/>
  <c r="BK27" i="120"/>
  <c r="BF40" i="120"/>
  <c r="BI53" i="120"/>
  <c r="BD4" i="120"/>
  <c r="BG11" i="120"/>
  <c r="BE24" i="120"/>
  <c r="BG37" i="120"/>
  <c r="BJ49" i="120"/>
  <c r="AZ3" i="120"/>
  <c r="AZ15" i="120"/>
  <c r="BB46" i="120"/>
  <c r="BA25" i="120"/>
  <c r="BB36" i="120"/>
  <c r="BG51" i="120"/>
  <c r="BG30" i="120"/>
  <c r="BE28" i="120"/>
  <c r="BK17" i="120"/>
  <c r="BG20" i="120"/>
  <c r="BG38" i="120"/>
  <c r="BB54" i="120"/>
  <c r="BF49" i="120"/>
  <c r="BE51" i="120"/>
  <c r="BJ35" i="120"/>
  <c r="BB38" i="120"/>
  <c r="BK41" i="120"/>
  <c r="BF37" i="120"/>
  <c r="BI71" i="120"/>
  <c r="BI70" i="120" s="1"/>
  <c r="BE63" i="120"/>
  <c r="BE49" i="120"/>
  <c r="BC63" i="120"/>
  <c r="BE10" i="120"/>
  <c r="BI21" i="120"/>
  <c r="BA41" i="120"/>
  <c r="BI29" i="120"/>
  <c r="BG14" i="120"/>
  <c r="BK19" i="120"/>
  <c r="BG28" i="120"/>
  <c r="BH42" i="120"/>
  <c r="BH54" i="120"/>
  <c r="BD3" i="120"/>
  <c r="BC16" i="120"/>
  <c r="BD32" i="120"/>
  <c r="AZ48" i="120"/>
  <c r="BB32" i="120"/>
  <c r="BA36" i="120"/>
  <c r="AZ46" i="120"/>
  <c r="AZ61" i="120"/>
  <c r="BF10" i="120"/>
  <c r="BH19" i="120"/>
  <c r="BF36" i="120"/>
  <c r="BK51" i="120"/>
  <c r="BH67" i="120"/>
  <c r="BF73" i="120"/>
  <c r="BF72" i="120" s="1"/>
  <c r="BI10" i="120"/>
  <c r="BK18" i="120"/>
  <c r="AZ27" i="120"/>
  <c r="BK40" i="120"/>
  <c r="BI52" i="120"/>
  <c r="AZ73" i="120"/>
  <c r="AZ72" i="120" s="1"/>
  <c r="BB15" i="120"/>
  <c r="BD30" i="120"/>
  <c r="BB53" i="120"/>
  <c r="BE37" i="120"/>
  <c r="BG41" i="120"/>
  <c r="BK52" i="120"/>
  <c r="BB59" i="120"/>
  <c r="BA9" i="120"/>
  <c r="BH18" i="120"/>
  <c r="AZ35" i="120"/>
  <c r="BK49" i="120"/>
  <c r="BC64" i="120"/>
  <c r="BH14" i="120"/>
  <c r="BC27" i="120"/>
  <c r="BC39" i="120"/>
  <c r="AZ53" i="120"/>
  <c r="BF3" i="120"/>
  <c r="BJ10" i="120"/>
  <c r="BD23" i="120"/>
  <c r="BC36" i="120"/>
  <c r="BA58" i="120"/>
  <c r="BE8" i="120"/>
  <c r="BA37" i="120"/>
  <c r="AZ64" i="120"/>
  <c r="AZ31" i="120"/>
  <c r="BI24" i="120"/>
  <c r="BJ21" i="120"/>
  <c r="BI13" i="120"/>
  <c r="BA15" i="120"/>
  <c r="BH30" i="120"/>
  <c r="BJ43" i="120"/>
  <c r="BE78" i="120"/>
  <c r="BH43" i="120"/>
  <c r="BF27" i="120"/>
  <c r="BE31" i="120"/>
  <c r="BH35" i="120"/>
  <c r="AZ30" i="120"/>
  <c r="BK61" i="120"/>
  <c r="BF55" i="120"/>
  <c r="BD78" i="120"/>
  <c r="BC55" i="120"/>
  <c r="BC4" i="120"/>
  <c r="BK16" i="120"/>
  <c r="BD34" i="120"/>
  <c r="BK64" i="120"/>
  <c r="AZ71" i="120"/>
  <c r="AZ70" i="120" s="1"/>
  <c r="BE13" i="120"/>
  <c r="BB24" i="120"/>
  <c r="BH36" i="120"/>
  <c r="BD45" i="120"/>
  <c r="BE66" i="120"/>
  <c r="BA11" i="120"/>
  <c r="BF25" i="120"/>
  <c r="BJ41" i="120"/>
  <c r="BJ27" i="120"/>
  <c r="BA30" i="120"/>
  <c r="BF41" i="120"/>
  <c r="BI54" i="120"/>
  <c r="BA73" i="120"/>
  <c r="BA72" i="120" s="1"/>
  <c r="BK14" i="120"/>
  <c r="BD28" i="120"/>
  <c r="BH44" i="120"/>
  <c r="BC57" i="120"/>
  <c r="BC61" i="120"/>
  <c r="BJ66" i="120"/>
  <c r="BH10" i="120"/>
  <c r="BA23" i="120"/>
  <c r="BG34" i="120"/>
  <c r="BA44" i="120"/>
  <c r="BK63" i="120"/>
  <c r="BG9" i="120"/>
  <c r="BE23" i="120"/>
  <c r="BF45" i="120"/>
  <c r="BB31" i="120"/>
  <c r="BI34" i="120"/>
  <c r="BC44" i="120"/>
  <c r="BE53" i="120"/>
  <c r="BC69" i="120"/>
  <c r="BJ13" i="120"/>
  <c r="BF26" i="120"/>
  <c r="BI78" i="120"/>
  <c r="BF18" i="120"/>
  <c r="BE18" i="120"/>
  <c r="BC31" i="120"/>
  <c r="BG44" i="120"/>
  <c r="AZ69" i="120"/>
  <c r="BA3" i="120"/>
  <c r="BA16" i="120"/>
  <c r="BJ28" i="120"/>
  <c r="BF48" i="120"/>
  <c r="H9" i="418"/>
  <c r="J9" i="418"/>
  <c r="AZ17" i="114"/>
  <c r="BG18" i="112"/>
  <c r="BE71" i="115"/>
  <c r="BE70" i="115" s="1"/>
  <c r="BD71" i="115"/>
  <c r="BD70" i="115" s="1"/>
  <c r="BA15" i="115"/>
  <c r="BI13" i="115"/>
  <c r="BK34" i="115"/>
  <c r="BH28" i="115"/>
  <c r="BD24" i="115"/>
  <c r="AZ11" i="115"/>
  <c r="AZ23" i="114"/>
  <c r="BJ58" i="115"/>
  <c r="BH43" i="112"/>
  <c r="BD25" i="115"/>
  <c r="BD37" i="114"/>
  <c r="BE3" i="114"/>
  <c r="BI24" i="114"/>
  <c r="BI43" i="114"/>
  <c r="BA9" i="114"/>
  <c r="AZ16" i="114"/>
  <c r="BC37" i="114"/>
  <c r="BJ14" i="114"/>
  <c r="BD13" i="114"/>
  <c r="BH30" i="114"/>
  <c r="BH13" i="114"/>
  <c r="BD9" i="114"/>
  <c r="BG20" i="114"/>
  <c r="BE43" i="114"/>
  <c r="BC46" i="114"/>
  <c r="BG13" i="114"/>
  <c r="BA52" i="114"/>
  <c r="BB44" i="114"/>
  <c r="BG17" i="114"/>
  <c r="BK58" i="114"/>
  <c r="BB37" i="114"/>
  <c r="BK21" i="114"/>
  <c r="BA3" i="114"/>
  <c r="BE27" i="114"/>
  <c r="BC69" i="114"/>
  <c r="BF73" i="114"/>
  <c r="BF72" i="114" s="1"/>
  <c r="BF13" i="114"/>
  <c r="AZ73" i="114"/>
  <c r="AZ72" i="114" s="1"/>
  <c r="BA46" i="114"/>
  <c r="BK30" i="114"/>
  <c r="BG59" i="114"/>
  <c r="BJ66" i="114"/>
  <c r="BE37" i="114"/>
  <c r="BG36" i="114"/>
  <c r="BG38" i="114"/>
  <c r="BI13" i="114"/>
  <c r="BB24" i="114"/>
  <c r="BI18" i="114"/>
  <c r="BE11" i="114"/>
  <c r="BB63" i="114"/>
  <c r="BG35" i="114"/>
  <c r="BJ73" i="114"/>
  <c r="BJ72" i="114" s="1"/>
  <c r="BE49" i="114"/>
  <c r="BK39" i="114"/>
  <c r="BI10" i="114"/>
  <c r="BH52" i="114"/>
  <c r="BI9" i="114"/>
  <c r="BE23" i="114"/>
  <c r="BA32" i="114"/>
  <c r="BJ8" i="114"/>
  <c r="BK20" i="114"/>
  <c r="BA31" i="114"/>
  <c r="BG19" i="114"/>
  <c r="BC54" i="114"/>
  <c r="BF11" i="114"/>
  <c r="BH48" i="114"/>
  <c r="BD19" i="114"/>
  <c r="BF44" i="114"/>
  <c r="AZ34" i="114"/>
  <c r="BK11" i="114"/>
  <c r="AZ46" i="114"/>
  <c r="BK37" i="114"/>
  <c r="BC4" i="114"/>
  <c r="BA48" i="114"/>
  <c r="BF64" i="114"/>
  <c r="BE55" i="114"/>
  <c r="BF61" i="114"/>
  <c r="BC26" i="114"/>
  <c r="BK69" i="114"/>
  <c r="BJ20" i="114"/>
  <c r="BJ18" i="114"/>
  <c r="BH71" i="114"/>
  <c r="BH70" i="114" s="1"/>
  <c r="BI28" i="114"/>
  <c r="BE17" i="114"/>
  <c r="BF67" i="114"/>
  <c r="BG11" i="114"/>
  <c r="BD28" i="114"/>
  <c r="BB9" i="114"/>
  <c r="AZ13" i="114"/>
  <c r="AZ30" i="114"/>
  <c r="BJ41" i="118"/>
  <c r="BC59" i="118"/>
  <c r="BI10" i="118"/>
  <c r="BE58" i="118"/>
  <c r="BG10" i="118"/>
  <c r="BG27" i="118"/>
  <c r="BA45" i="118"/>
  <c r="BD67" i="118"/>
  <c r="BG18" i="118"/>
  <c r="BJ40" i="118"/>
  <c r="BA58" i="118"/>
  <c r="BF45" i="118"/>
  <c r="BF66" i="118"/>
  <c r="AZ17" i="118"/>
  <c r="BG67" i="118"/>
  <c r="BB18" i="118"/>
  <c r="BJ32" i="118"/>
  <c r="BA51" i="118"/>
  <c r="BG24" i="118"/>
  <c r="BF18" i="118"/>
  <c r="BA14" i="118"/>
  <c r="AZ52" i="118"/>
  <c r="BI73" i="118"/>
  <c r="BI72" i="118" s="1"/>
  <c r="BK23" i="118"/>
  <c r="BE36" i="118"/>
  <c r="BB54" i="118"/>
  <c r="AZ3" i="118"/>
  <c r="BG53" i="118"/>
  <c r="BE4" i="118"/>
  <c r="AZ23" i="118"/>
  <c r="BK39" i="118"/>
  <c r="BF59" i="118"/>
  <c r="BB14" i="118"/>
  <c r="BA15" i="118"/>
  <c r="BE26" i="118"/>
  <c r="BB41" i="118"/>
  <c r="BG58" i="118"/>
  <c r="BA10" i="118"/>
  <c r="BI57" i="118"/>
  <c r="BJ9" i="118"/>
  <c r="BH26" i="118"/>
  <c r="BH44" i="118"/>
  <c r="BI66" i="118"/>
  <c r="BK17" i="118"/>
  <c r="BD37" i="118"/>
  <c r="BA56" i="118"/>
  <c r="BE44" i="118"/>
  <c r="BI64" i="118"/>
  <c r="BG66" i="118"/>
  <c r="BI3" i="118"/>
  <c r="AZ67" i="118"/>
  <c r="BH35" i="118"/>
  <c r="BD39" i="118"/>
  <c r="BF35" i="118"/>
  <c r="BD42" i="118"/>
  <c r="BA52" i="118"/>
  <c r="AZ38" i="118"/>
  <c r="BE24" i="118"/>
  <c r="AZ29" i="118"/>
  <c r="BE52" i="118"/>
  <c r="AZ57" i="118"/>
  <c r="BE64" i="118"/>
  <c r="BJ58" i="118"/>
  <c r="BK64" i="118"/>
  <c r="BI4" i="118"/>
  <c r="BI40" i="118"/>
  <c r="BD44" i="118"/>
  <c r="BF52" i="118"/>
  <c r="BG34" i="118"/>
  <c r="BE49" i="118"/>
  <c r="BE73" i="118"/>
  <c r="BE72" i="118" s="1"/>
  <c r="BB21" i="118"/>
  <c r="BK40" i="118"/>
  <c r="BD32" i="118"/>
  <c r="BE23" i="118"/>
  <c r="BK71" i="118"/>
  <c r="BK70" i="118" s="1"/>
  <c r="BG21" i="118"/>
  <c r="BH40" i="118"/>
  <c r="BF56" i="118"/>
  <c r="BD38" i="118"/>
  <c r="BD48" i="118"/>
  <c r="BF71" i="118"/>
  <c r="BF70" i="118" s="1"/>
  <c r="BI20" i="118"/>
  <c r="BC40" i="118"/>
  <c r="BF30" i="118"/>
  <c r="BK19" i="118"/>
  <c r="BC71" i="118"/>
  <c r="BC70" i="118" s="1"/>
  <c r="BF20" i="118"/>
  <c r="AZ40" i="118"/>
  <c r="BJ55" i="118"/>
  <c r="BK37" i="118"/>
  <c r="AZ55" i="118"/>
  <c r="BJ8" i="118"/>
  <c r="BH25" i="118"/>
  <c r="AZ45" i="118"/>
  <c r="BI52" i="118"/>
  <c r="BF36" i="118"/>
  <c r="BI48" i="118"/>
  <c r="BK27" i="118"/>
  <c r="BJ78" i="118"/>
  <c r="BE61" i="118"/>
  <c r="BH78" i="118"/>
  <c r="BH59" i="118"/>
  <c r="BK13" i="118"/>
  <c r="BB31" i="118"/>
  <c r="BK49" i="118"/>
  <c r="BK3" i="118"/>
  <c r="BI14" i="118"/>
  <c r="BG32" i="118"/>
  <c r="BG31" i="118"/>
  <c r="AZ49" i="118"/>
  <c r="BC69" i="118"/>
  <c r="BD46" i="118"/>
  <c r="BF67" i="118"/>
  <c r="BA19" i="118"/>
  <c r="BH36" i="118"/>
  <c r="BF55" i="118"/>
  <c r="BG9" i="118"/>
  <c r="BC34" i="118"/>
  <c r="BA4" i="118"/>
  <c r="BB45" i="118"/>
  <c r="BF11" i="118"/>
  <c r="BI56" i="118"/>
  <c r="BF26" i="118"/>
  <c r="BI45" i="118"/>
  <c r="BB53" i="118"/>
  <c r="BF46" i="118"/>
  <c r="BH53" i="118"/>
  <c r="BB24" i="118"/>
  <c r="BA18" i="118"/>
  <c r="BG23" i="118"/>
  <c r="BA31" i="118"/>
  <c r="BC28" i="118"/>
  <c r="BJ73" i="118"/>
  <c r="BJ72" i="118" s="1"/>
  <c r="BJ10" i="118"/>
  <c r="BH73" i="118"/>
  <c r="BH72" i="118" s="1"/>
  <c r="BF40" i="118"/>
  <c r="BA44" i="118"/>
  <c r="BC39" i="118"/>
  <c r="BI46" i="118"/>
  <c r="BI15" i="118"/>
  <c r="BH21" i="118"/>
  <c r="BA29" i="118"/>
  <c r="BB35" i="118"/>
  <c r="BG40" i="118"/>
  <c r="BA23" i="118"/>
  <c r="BC38" i="118"/>
  <c r="BC56" i="118"/>
  <c r="BB11" i="118"/>
  <c r="BB30" i="118"/>
  <c r="BC41" i="118"/>
  <c r="BH38" i="118"/>
  <c r="AZ56" i="118"/>
  <c r="BE9" i="118"/>
  <c r="BA28" i="118"/>
  <c r="BB43" i="118"/>
  <c r="BI26" i="118"/>
  <c r="BJ37" i="118"/>
  <c r="BG55" i="118"/>
  <c r="BE10" i="118"/>
  <c r="BK29" i="118"/>
  <c r="BG37" i="118"/>
  <c r="BC36" i="118"/>
  <c r="BD55" i="118"/>
  <c r="BF8" i="118"/>
  <c r="BJ27" i="118"/>
  <c r="BI78" i="118"/>
  <c r="BA26" i="118"/>
  <c r="BG78" i="118"/>
  <c r="BB61" i="118"/>
  <c r="BC15" i="118"/>
  <c r="BD34" i="118"/>
  <c r="BC67" i="118"/>
  <c r="BE59" i="118"/>
  <c r="BG61" i="118"/>
  <c r="BH14" i="118"/>
  <c r="BE32" i="118"/>
  <c r="BF48" i="118"/>
  <c r="BD31" i="118"/>
  <c r="BC46" i="118"/>
  <c r="AZ69" i="118"/>
  <c r="BH19" i="118"/>
  <c r="BB39" i="118"/>
  <c r="BF24" i="118"/>
  <c r="BF14" i="118"/>
  <c r="BJ67" i="118"/>
  <c r="BE18" i="118"/>
  <c r="BF38" i="118"/>
  <c r="BI54" i="118"/>
  <c r="BJ36" i="118"/>
  <c r="BF53" i="118"/>
  <c r="BH24" i="118"/>
  <c r="BF43" i="118"/>
  <c r="BA48" i="118"/>
  <c r="BE31" i="118"/>
  <c r="BB26" i="118"/>
  <c r="BH18" i="118"/>
  <c r="BB19" i="118"/>
  <c r="AZ38" i="112"/>
  <c r="BI13" i="112"/>
  <c r="AZ64" i="112"/>
  <c r="BD52" i="112"/>
  <c r="AZ54" i="112"/>
  <c r="BC55" i="112"/>
  <c r="BE54" i="112"/>
  <c r="BA38" i="112"/>
  <c r="BH14" i="112"/>
  <c r="AZ55" i="112"/>
  <c r="BA39" i="112"/>
  <c r="BC66" i="112"/>
  <c r="BK3" i="112"/>
  <c r="BA46" i="112"/>
  <c r="BI43" i="112"/>
  <c r="BI25" i="112"/>
  <c r="BG29" i="112"/>
  <c r="BG63" i="112"/>
  <c r="BH36" i="112"/>
  <c r="BI18" i="112"/>
  <c r="BF56" i="112"/>
  <c r="BI28" i="112"/>
  <c r="BJ66" i="112"/>
  <c r="BE27" i="112"/>
  <c r="BF32" i="112"/>
  <c r="BH13" i="112"/>
  <c r="BK69" i="112"/>
  <c r="BJ46" i="112"/>
  <c r="BD20" i="112"/>
  <c r="BA31" i="112"/>
  <c r="BH57" i="112"/>
  <c r="BG59" i="112"/>
  <c r="BC11" i="112"/>
  <c r="BJ17" i="112"/>
  <c r="BE52" i="112"/>
  <c r="BB52" i="112"/>
  <c r="BI36" i="112"/>
  <c r="BB20" i="112"/>
  <c r="BC44" i="112"/>
  <c r="BG64" i="112"/>
  <c r="BC30" i="112"/>
  <c r="BA36" i="112"/>
  <c r="AZ37" i="112"/>
  <c r="BB43" i="112"/>
  <c r="BH63" i="112"/>
  <c r="BK30" i="112"/>
  <c r="BI27" i="112"/>
  <c r="BJ71" i="112"/>
  <c r="BJ70" i="112" s="1"/>
  <c r="BJ44" i="112"/>
  <c r="BA61" i="112"/>
  <c r="BA16" i="112"/>
  <c r="BG51" i="112"/>
  <c r="BK16" i="112"/>
  <c r="BH69" i="115"/>
  <c r="BK51" i="115"/>
  <c r="BJ41" i="115"/>
  <c r="BD38" i="115"/>
  <c r="BF55" i="115"/>
  <c r="BG52" i="115"/>
  <c r="BF71" i="115"/>
  <c r="BF70" i="115" s="1"/>
  <c r="BK48" i="115"/>
  <c r="BI30" i="115"/>
  <c r="AZ21" i="115"/>
  <c r="AZ15" i="115"/>
  <c r="BB23" i="115"/>
  <c r="BA31" i="115"/>
  <c r="BK16" i="115"/>
  <c r="BI8" i="115"/>
  <c r="AZ78" i="115"/>
  <c r="BE21" i="115"/>
  <c r="BJ52" i="115"/>
  <c r="BA71" i="115"/>
  <c r="BA70" i="115" s="1"/>
  <c r="BE61" i="115"/>
  <c r="BE3" i="115"/>
  <c r="BD61" i="115"/>
  <c r="BH4" i="115"/>
  <c r="AZ17" i="115"/>
  <c r="AZ26" i="115"/>
  <c r="BH36" i="115"/>
  <c r="BK40" i="115"/>
  <c r="BB29" i="115"/>
  <c r="BK27" i="115"/>
  <c r="BE37" i="115"/>
  <c r="BC3" i="115"/>
  <c r="BE46" i="115"/>
  <c r="BE58" i="115"/>
  <c r="BJ61" i="115"/>
  <c r="BF4" i="115"/>
  <c r="BK71" i="115"/>
  <c r="BK70" i="115" s="1"/>
  <c r="BA56" i="115"/>
  <c r="BD59" i="115"/>
  <c r="BG9" i="115"/>
  <c r="BJ17" i="115"/>
  <c r="BK10" i="115"/>
  <c r="BC19" i="115"/>
  <c r="BB44" i="115"/>
  <c r="BG18" i="115"/>
  <c r="BI26" i="115"/>
  <c r="BF43" i="115"/>
  <c r="BH40" i="115"/>
  <c r="BI55" i="115"/>
  <c r="BG43" i="115"/>
  <c r="BF25" i="115"/>
  <c r="BF10" i="115"/>
  <c r="BF8" i="115"/>
  <c r="BG16" i="115"/>
  <c r="BA58" i="115"/>
  <c r="BI11" i="115"/>
  <c r="BK14" i="115"/>
  <c r="BJ36" i="115"/>
  <c r="BD8" i="115"/>
  <c r="BI46" i="115"/>
  <c r="AZ63" i="115"/>
  <c r="BC55" i="115"/>
  <c r="BF19" i="115"/>
  <c r="BB55" i="115"/>
  <c r="BF67" i="115"/>
  <c r="BA10" i="115"/>
  <c r="BD20" i="115"/>
  <c r="BK30" i="115"/>
  <c r="BG36" i="115"/>
  <c r="AZ18" i="115"/>
  <c r="BH20" i="115"/>
  <c r="BG30" i="115"/>
  <c r="BE4" i="115"/>
  <c r="BH42" i="115"/>
  <c r="BG53" i="115"/>
  <c r="BH55" i="115"/>
  <c r="BC58" i="115"/>
  <c r="BC64" i="115"/>
  <c r="BJ49" i="115"/>
  <c r="BC54" i="115"/>
  <c r="BH67" i="115"/>
  <c r="BA4" i="115"/>
  <c r="BH23" i="115"/>
  <c r="BI23" i="115"/>
  <c r="BF21" i="115"/>
  <c r="AZ8" i="115"/>
  <c r="BG14" i="115"/>
  <c r="AZ32" i="115"/>
  <c r="BA28" i="115"/>
  <c r="BF49" i="115"/>
  <c r="BB38" i="115"/>
  <c r="BA64" i="115"/>
  <c r="BE17" i="115"/>
  <c r="BI69" i="115"/>
  <c r="BC9" i="115"/>
  <c r="BI52" i="115"/>
  <c r="AZ71" i="115"/>
  <c r="AZ70" i="115" s="1"/>
  <c r="BK3" i="115"/>
  <c r="BB25" i="115"/>
  <c r="BE53" i="115"/>
  <c r="AZ37" i="115"/>
  <c r="BI49" i="115"/>
  <c r="AZ49" i="115"/>
  <c r="BI4" i="115"/>
  <c r="BF48" i="115"/>
  <c r="BA59" i="115"/>
  <c r="BD73" i="115"/>
  <c r="BD72" i="115" s="1"/>
  <c r="BF14" i="115"/>
  <c r="BJ24" i="115"/>
  <c r="BB64" i="115"/>
  <c r="BD69" i="115"/>
  <c r="BJ15" i="115"/>
  <c r="BC26" i="115"/>
  <c r="BD4" i="115"/>
  <c r="BK36" i="115"/>
  <c r="BC45" i="115"/>
  <c r="AZ43" i="115"/>
  <c r="BC52" i="115"/>
  <c r="BF57" i="115"/>
  <c r="BE43" i="115"/>
  <c r="BH48" i="115"/>
  <c r="BC59" i="115"/>
  <c r="BK11" i="115"/>
  <c r="AZ48" i="115"/>
  <c r="BH10" i="115"/>
  <c r="BB9" i="115"/>
  <c r="BE29" i="115"/>
  <c r="AZ38" i="115"/>
  <c r="BC11" i="115"/>
  <c r="BF13" i="115"/>
  <c r="AZ61" i="115"/>
  <c r="BI40" i="115"/>
  <c r="BA9" i="115"/>
  <c r="BD31" i="115"/>
  <c r="BI37" i="115"/>
  <c r="BA30" i="115"/>
  <c r="BG39" i="115"/>
  <c r="BI78" i="115"/>
  <c r="BI10" i="115"/>
  <c r="BJ46" i="115"/>
  <c r="BE57" i="115"/>
  <c r="BK78" i="115"/>
  <c r="BF31" i="115"/>
  <c r="BA78" i="115"/>
  <c r="AZ54" i="115"/>
  <c r="BD63" i="115"/>
  <c r="BB73" i="115"/>
  <c r="BB72" i="115" s="1"/>
  <c r="BI56" i="115"/>
  <c r="BF61" i="115"/>
  <c r="BD10" i="115"/>
  <c r="BC21" i="115"/>
  <c r="BB11" i="115"/>
  <c r="BF30" i="115"/>
  <c r="BH35" i="115"/>
  <c r="BJ37" i="115"/>
  <c r="BI45" i="115"/>
  <c r="BH51" i="115"/>
  <c r="BI39" i="115"/>
  <c r="BJ42" i="115"/>
  <c r="BB54" i="115"/>
  <c r="BJ11" i="115"/>
  <c r="BI53" i="115"/>
  <c r="BC39" i="115"/>
  <c r="BI24" i="115"/>
  <c r="BC18" i="115"/>
  <c r="BD57" i="115"/>
  <c r="BD58" i="115"/>
  <c r="BJ48" i="115"/>
  <c r="BF23" i="115"/>
  <c r="BC4" i="115"/>
  <c r="BD18" i="115"/>
  <c r="BH25" i="115"/>
  <c r="BI71" i="115"/>
  <c r="BI70" i="115" s="1"/>
  <c r="BB27" i="115"/>
  <c r="BD32" i="115"/>
  <c r="BE64" i="115"/>
  <c r="BE42" i="115"/>
  <c r="BG45" i="115"/>
  <c r="BH39" i="115"/>
  <c r="BK26" i="115"/>
  <c r="BD37" i="115"/>
  <c r="BK45" i="115"/>
  <c r="BD56" i="115"/>
  <c r="BK58" i="115"/>
  <c r="BK64" i="115"/>
  <c r="BG51" i="115"/>
  <c r="BK54" i="115"/>
  <c r="BC69" i="115"/>
  <c r="BA24" i="115"/>
  <c r="BI17" i="115"/>
  <c r="BG28" i="115"/>
  <c r="BK31" i="115"/>
  <c r="BD40" i="115"/>
  <c r="BH45" i="115"/>
  <c r="BC34" i="115"/>
  <c r="BG38" i="115"/>
  <c r="BA42" i="115"/>
  <c r="BB13" i="115"/>
  <c r="AZ29" i="115"/>
  <c r="BE34" i="115"/>
  <c r="AZ10" i="115"/>
  <c r="BH52" i="115"/>
  <c r="BB16" i="115"/>
  <c r="BD52" i="115"/>
  <c r="BE78" i="115"/>
  <c r="BA13" i="115"/>
  <c r="BI14" i="115"/>
  <c r="BF11" i="115"/>
  <c r="BC20" i="115"/>
  <c r="BH63" i="115"/>
  <c r="BG20" i="115"/>
  <c r="BJ26" i="115"/>
  <c r="BB51" i="115"/>
  <c r="BB31" i="115"/>
  <c r="BJ40" i="115"/>
  <c r="BA21" i="115"/>
  <c r="AZ23" i="115"/>
  <c r="BK13" i="115"/>
  <c r="BE31" i="115"/>
  <c r="BG42" i="115"/>
  <c r="BH43" i="115"/>
  <c r="BK52" i="115"/>
  <c r="BB58" i="115"/>
  <c r="BF44" i="115"/>
  <c r="BA49" i="115"/>
  <c r="BK59" i="115"/>
  <c r="BD13" i="115"/>
  <c r="BG71" i="115"/>
  <c r="BG70" i="115" s="1"/>
  <c r="BG13" i="115"/>
  <c r="BK23" i="115"/>
  <c r="BI25" i="115"/>
  <c r="AZ36" i="115"/>
  <c r="BC40" i="115"/>
  <c r="BK28" i="115"/>
  <c r="BC27" i="115"/>
  <c r="BD36" i="115"/>
  <c r="BG25" i="115"/>
  <c r="BI15" i="115"/>
  <c r="BG44" i="115"/>
  <c r="BC56" i="115"/>
  <c r="BF45" i="115"/>
  <c r="BB4" i="115"/>
  <c r="BE40" i="115"/>
  <c r="BA38" i="115"/>
  <c r="BH71" i="115"/>
  <c r="BH70" i="115" s="1"/>
  <c r="BG64" i="115"/>
  <c r="BH3" i="115"/>
  <c r="BH66" i="115"/>
  <c r="AZ56" i="115"/>
  <c r="BI9" i="115"/>
  <c r="BE19" i="115"/>
  <c r="BK38" i="115"/>
  <c r="BJ19" i="115"/>
  <c r="BD35" i="115"/>
  <c r="BC16" i="115"/>
  <c r="BB8" i="115"/>
  <c r="BC29" i="115"/>
  <c r="BB26" i="115"/>
  <c r="BF29" i="115"/>
  <c r="BC38" i="115"/>
  <c r="BB46" i="115"/>
  <c r="BB52" i="115"/>
  <c r="BB40" i="115"/>
  <c r="BC78" i="115"/>
  <c r="BJ54" i="115"/>
  <c r="BC13" i="115"/>
  <c r="BJ59" i="115"/>
  <c r="AZ4" i="115"/>
  <c r="BH16" i="115"/>
  <c r="BK19" i="115"/>
  <c r="BC30" i="115"/>
  <c r="BE35" i="115"/>
  <c r="BD17" i="115"/>
  <c r="AZ20" i="115"/>
  <c r="BH29" i="115"/>
  <c r="BB3" i="115"/>
  <c r="BE52" i="115"/>
  <c r="BK41" i="115"/>
  <c r="BJ32" i="115"/>
  <c r="BB32" i="115"/>
  <c r="BK66" i="115"/>
  <c r="BK29" i="115"/>
  <c r="BH38" i="115"/>
  <c r="AZ34" i="115"/>
  <c r="AZ24" i="115"/>
  <c r="BA46" i="115"/>
  <c r="BE13" i="115"/>
  <c r="BD21" i="115"/>
  <c r="BD42" i="115"/>
  <c r="BC14" i="115"/>
  <c r="AZ39" i="115"/>
  <c r="BI63" i="115"/>
  <c r="AZ46" i="118"/>
  <c r="BJ11" i="118"/>
  <c r="BE17" i="118"/>
  <c r="AZ35" i="118"/>
  <c r="BJ35" i="118"/>
  <c r="BH52" i="118"/>
  <c r="BB48" i="118"/>
  <c r="BB66" i="118"/>
  <c r="BJ18" i="118"/>
  <c r="BH17" i="118"/>
  <c r="BE25" i="118"/>
  <c r="BB17" i="114"/>
  <c r="BI42" i="115"/>
  <c r="BH54" i="115"/>
  <c r="BE63" i="115"/>
  <c r="BB56" i="114"/>
  <c r="BB15" i="115"/>
  <c r="BE41" i="115"/>
  <c r="BJ34" i="115"/>
  <c r="BB24" i="115"/>
  <c r="AZ14" i="115"/>
  <c r="AZ40" i="115"/>
  <c r="BG25" i="118"/>
  <c r="BI51" i="118"/>
  <c r="BH57" i="118"/>
  <c r="BK44" i="118"/>
  <c r="BG11" i="118"/>
  <c r="BE64" i="114"/>
  <c r="BI54" i="115"/>
  <c r="BA11" i="115"/>
  <c r="BG21" i="115"/>
  <c r="BF19" i="112"/>
  <c r="BH10" i="112"/>
  <c r="BG44" i="112"/>
  <c r="BG45" i="112"/>
  <c r="BE8" i="112"/>
  <c r="BD61" i="112"/>
  <c r="BK63" i="112"/>
  <c r="BH25" i="112"/>
  <c r="BC39" i="112"/>
  <c r="AZ29" i="112"/>
  <c r="BK37" i="112"/>
  <c r="AZ40" i="112"/>
  <c r="BE48" i="112"/>
  <c r="BD66" i="112"/>
  <c r="BG15" i="112"/>
  <c r="BI20" i="112"/>
  <c r="BF45" i="112"/>
  <c r="BK66" i="112"/>
  <c r="BJ31" i="112"/>
  <c r="BD44" i="112"/>
  <c r="BJ35" i="112"/>
  <c r="BG43" i="112"/>
  <c r="BA45" i="112"/>
  <c r="BF54" i="112"/>
  <c r="BJ3" i="112"/>
  <c r="BJ19" i="112"/>
  <c r="BD27" i="112"/>
  <c r="BC42" i="112"/>
  <c r="BG73" i="112"/>
  <c r="BG72" i="112" s="1"/>
  <c r="BC20" i="112"/>
  <c r="BE15" i="112"/>
  <c r="BB24" i="112"/>
  <c r="BI17" i="112"/>
  <c r="BG11" i="112"/>
  <c r="BB56" i="112"/>
  <c r="BE16" i="112"/>
  <c r="BE19" i="112"/>
  <c r="BA25" i="112"/>
  <c r="BI66" i="112"/>
  <c r="BC45" i="112"/>
  <c r="BJ64" i="112"/>
  <c r="BI38" i="112"/>
  <c r="BK21" i="112"/>
  <c r="BJ45" i="112"/>
  <c r="BJ40" i="112"/>
  <c r="BA17" i="112"/>
  <c r="BC63" i="112"/>
  <c r="BF23" i="112"/>
  <c r="BJ26" i="112"/>
  <c r="BC31" i="112"/>
  <c r="BG56" i="112"/>
  <c r="BG53" i="112"/>
  <c r="BA3" i="112"/>
  <c r="BF43" i="112"/>
  <c r="BJ78" i="112"/>
  <c r="BA64" i="112"/>
  <c r="BH8" i="112"/>
  <c r="BG32" i="112"/>
  <c r="BG21" i="112"/>
  <c r="BK15" i="112"/>
  <c r="BC59" i="112"/>
  <c r="BA49" i="112"/>
  <c r="BF3" i="112"/>
  <c r="BC10" i="112"/>
  <c r="BK11" i="112"/>
  <c r="AZ28" i="112"/>
  <c r="BH44" i="112"/>
  <c r="BI19" i="112"/>
  <c r="BD45" i="112"/>
  <c r="AZ41" i="112"/>
  <c r="BJ67" i="112"/>
  <c r="BH32" i="112"/>
  <c r="BJ9" i="112"/>
  <c r="BJ11" i="112"/>
  <c r="BA15" i="112"/>
  <c r="BG19" i="112"/>
  <c r="BA35" i="112"/>
  <c r="BI52" i="112"/>
  <c r="BK9" i="112"/>
  <c r="BK64" i="112"/>
  <c r="BI73" i="112"/>
  <c r="BI72" i="112" s="1"/>
  <c r="AZ15" i="112"/>
  <c r="BF24" i="112"/>
  <c r="BJ73" i="112"/>
  <c r="BJ72" i="112" s="1"/>
  <c r="BF63" i="112"/>
  <c r="AZ42" i="112"/>
  <c r="BD43" i="112"/>
  <c r="BB53" i="112"/>
  <c r="BG55" i="112"/>
  <c r="AZ57" i="112"/>
  <c r="BH66" i="112"/>
  <c r="BC14" i="112"/>
  <c r="BG28" i="112"/>
  <c r="BI45" i="112"/>
  <c r="BI40" i="112"/>
  <c r="BK19" i="112"/>
  <c r="AZ48" i="112"/>
  <c r="BH52" i="112"/>
  <c r="BK58" i="112"/>
  <c r="BJ63" i="112"/>
  <c r="BE66" i="112"/>
  <c r="BG20" i="112"/>
  <c r="BH35" i="112"/>
  <c r="BE44" i="112"/>
  <c r="O25" i="112"/>
  <c r="P25" i="112" s="1"/>
  <c r="BK44" i="112"/>
  <c r="BK13" i="112"/>
  <c r="BJ52" i="112"/>
  <c r="BC32" i="112"/>
  <c r="BE57" i="112"/>
  <c r="AZ61" i="112"/>
  <c r="BC61" i="112"/>
  <c r="BC25" i="112"/>
  <c r="BE29" i="112"/>
  <c r="BG71" i="112"/>
  <c r="BG70" i="112" s="1"/>
  <c r="BJ41" i="112"/>
  <c r="BH39" i="112"/>
  <c r="AZ49" i="112"/>
  <c r="BE67" i="112"/>
  <c r="BI11" i="112"/>
  <c r="BK29" i="112"/>
  <c r="BB28" i="112"/>
  <c r="BI78" i="112"/>
  <c r="AZ35" i="112"/>
  <c r="BF35" i="112"/>
  <c r="BA9" i="112"/>
  <c r="BF40" i="112"/>
  <c r="BH9" i="112"/>
  <c r="BA14" i="112"/>
  <c r="BA23" i="112"/>
  <c r="BJ29" i="112"/>
  <c r="BC26" i="112"/>
  <c r="BD67" i="112"/>
  <c r="BA51" i="112"/>
  <c r="BI63" i="112"/>
  <c r="BG36" i="112"/>
  <c r="BH59" i="112"/>
  <c r="BH16" i="112"/>
  <c r="BC15" i="112"/>
  <c r="BD18" i="112"/>
  <c r="BE28" i="112"/>
  <c r="BD35" i="112"/>
  <c r="BG30" i="112"/>
  <c r="BJ55" i="112"/>
  <c r="BC57" i="112"/>
  <c r="BF73" i="112"/>
  <c r="BF72" i="112" s="1"/>
  <c r="BF4" i="112"/>
  <c r="BB26" i="112"/>
  <c r="BA32" i="112"/>
  <c r="BG48" i="112"/>
  <c r="BE42" i="112"/>
  <c r="BG4" i="112"/>
  <c r="BD55" i="112"/>
  <c r="H7" i="418"/>
  <c r="J7" i="418"/>
  <c r="AZ45" i="115"/>
  <c r="BA19" i="115"/>
  <c r="BE8" i="115"/>
  <c r="BB39" i="115"/>
  <c r="BE66" i="115"/>
  <c r="BC44" i="115"/>
  <c r="BE67" i="115"/>
  <c r="AZ44" i="115"/>
  <c r="BE59" i="115"/>
  <c r="BB41" i="115"/>
  <c r="BH21" i="115"/>
  <c r="BJ43" i="115"/>
  <c r="BA43" i="115"/>
  <c r="BF28" i="115"/>
  <c r="BA32" i="115"/>
  <c r="BI58" i="115"/>
  <c r="BH56" i="115"/>
  <c r="AZ64" i="115"/>
  <c r="BF56" i="115"/>
  <c r="BC61" i="115"/>
  <c r="BB66" i="115"/>
  <c r="BF54" i="115"/>
  <c r="BF59" i="115"/>
  <c r="AZ46" i="115"/>
  <c r="BF51" i="115"/>
  <c r="BG63" i="115"/>
  <c r="BD15" i="115"/>
  <c r="BJ13" i="115"/>
  <c r="BH17" i="115"/>
  <c r="BH26" i="115"/>
  <c r="BA37" i="115"/>
  <c r="BD41" i="115"/>
  <c r="BJ29" i="115"/>
  <c r="BB34" i="115"/>
  <c r="BF38" i="115"/>
  <c r="BC36" i="115"/>
  <c r="BD34" i="115"/>
  <c r="BE27" i="115"/>
  <c r="BI36" i="115"/>
  <c r="BD54" i="115"/>
  <c r="BK57" i="115"/>
  <c r="BD23" i="115"/>
  <c r="AZ59" i="115"/>
  <c r="BI32" i="115"/>
  <c r="BA48" i="115"/>
  <c r="BK35" i="115"/>
  <c r="BH13" i="115"/>
  <c r="BG40" i="115"/>
  <c r="BA26" i="115"/>
  <c r="BJ23" i="115"/>
  <c r="BK20" i="115"/>
  <c r="BC53" i="115"/>
  <c r="AZ52" i="115"/>
  <c r="BG56" i="115"/>
  <c r="BJ4" i="115"/>
  <c r="BD51" i="115"/>
  <c r="BA55" i="115"/>
  <c r="BI44" i="115"/>
  <c r="BC48" i="115"/>
  <c r="BD53" i="115"/>
  <c r="BC41" i="115"/>
  <c r="BD43" i="115"/>
  <c r="BK55" i="115"/>
  <c r="BK4" i="115"/>
  <c r="BJ55" i="115"/>
  <c r="BA69" i="115"/>
  <c r="BC25" i="115"/>
  <c r="BA39" i="115"/>
  <c r="BK21" i="115"/>
  <c r="BK18" i="115"/>
  <c r="BK42" i="115"/>
  <c r="BB35" i="115"/>
  <c r="BB10" i="115"/>
  <c r="BF53" i="115"/>
  <c r="BF27" i="115"/>
  <c r="BC42" i="115"/>
  <c r="BG24" i="115"/>
  <c r="BA8" i="115"/>
  <c r="BI27" i="115"/>
  <c r="BD19" i="115"/>
  <c r="BK9" i="115"/>
  <c r="BC67" i="115"/>
  <c r="BH46" i="115"/>
  <c r="BE44" i="115"/>
  <c r="BE51" i="115"/>
  <c r="BK8" i="115"/>
  <c r="BB43" i="115"/>
  <c r="BH78" i="115"/>
  <c r="BD39" i="115"/>
  <c r="BF78" i="115"/>
  <c r="BB48" i="115"/>
  <c r="BF36" i="115"/>
  <c r="BA40" i="115"/>
  <c r="BH49" i="115"/>
  <c r="BD3" i="115"/>
  <c r="BG49" i="115"/>
  <c r="BI59" i="115"/>
  <c r="AZ3" i="115"/>
  <c r="BF15" i="115"/>
  <c r="AZ25" i="115"/>
  <c r="BI73" i="115"/>
  <c r="BI72" i="115" s="1"/>
  <c r="BF40" i="115"/>
  <c r="BF37" i="115"/>
  <c r="BA3" i="115"/>
  <c r="BA51" i="115"/>
  <c r="BH31" i="115"/>
  <c r="BJ16" i="115"/>
  <c r="BE56" i="115"/>
  <c r="BC24" i="115"/>
  <c r="BK67" i="115"/>
  <c r="AZ31" i="115"/>
  <c r="BC57" i="115"/>
  <c r="BF18" i="115"/>
  <c r="BE9" i="115"/>
  <c r="BJ66" i="115"/>
  <c r="BG55" i="115"/>
  <c r="BE54" i="115"/>
  <c r="BG37" i="115"/>
  <c r="BC35" i="115"/>
  <c r="BA34" i="115"/>
  <c r="BE16" i="115"/>
  <c r="BA27" i="115"/>
  <c r="BJ25" i="115"/>
  <c r="BG27" i="115"/>
  <c r="BJ31" i="115"/>
  <c r="BH37" i="115"/>
  <c r="BH24" i="115"/>
  <c r="BI21" i="115"/>
  <c r="BE32" i="115"/>
  <c r="BJ8" i="115"/>
  <c r="BE38" i="115"/>
  <c r="BD46" i="115"/>
  <c r="AZ57" i="115"/>
  <c r="BD67" i="115"/>
  <c r="AZ66" i="115"/>
  <c r="BA52" i="115"/>
  <c r="BD55" i="115"/>
  <c r="BK69" i="115"/>
  <c r="BA51" i="111"/>
  <c r="BK34" i="111"/>
  <c r="BE13" i="111"/>
  <c r="BA53" i="111"/>
  <c r="BI53" i="111"/>
  <c r="BB17" i="111"/>
  <c r="BI42" i="111"/>
  <c r="BF48" i="111"/>
  <c r="BC34" i="111"/>
  <c r="AZ46" i="111"/>
  <c r="BE32" i="111"/>
  <c r="BJ9" i="111"/>
  <c r="BG26" i="111"/>
  <c r="BJ56" i="111"/>
  <c r="AZ71" i="111"/>
  <c r="AZ70" i="111" s="1"/>
  <c r="BF78" i="111"/>
  <c r="AZ9" i="111"/>
  <c r="BE28" i="111"/>
  <c r="BJ58" i="111"/>
  <c r="BC39" i="111"/>
  <c r="BI49" i="111"/>
  <c r="BE41" i="111"/>
  <c r="BF51" i="111"/>
  <c r="BJ69" i="111"/>
  <c r="BD14" i="111"/>
  <c r="BB41" i="111"/>
  <c r="AZ49" i="111"/>
  <c r="BE42" i="111"/>
  <c r="BK29" i="111"/>
  <c r="BH30" i="111"/>
  <c r="AZ10" i="111"/>
  <c r="BF55" i="111"/>
  <c r="BK49" i="111"/>
  <c r="BA44" i="111"/>
  <c r="BG18" i="111"/>
  <c r="BH19" i="111"/>
  <c r="BD8" i="111"/>
  <c r="BD45" i="111"/>
  <c r="BG37" i="111"/>
  <c r="BJ63" i="111"/>
  <c r="BH25" i="111"/>
  <c r="BG46" i="111"/>
  <c r="BH15" i="111"/>
  <c r="BG48" i="111"/>
  <c r="BE17" i="111"/>
  <c r="BK19" i="111"/>
  <c r="BG71" i="111"/>
  <c r="BG70" i="111" s="1"/>
  <c r="BF49" i="111"/>
  <c r="BD32" i="111"/>
  <c r="BG78" i="111"/>
  <c r="O25" i="111"/>
  <c r="P25" i="111" s="1"/>
  <c r="BC15" i="111"/>
  <c r="BD53" i="111"/>
  <c r="BD16" i="111"/>
  <c r="BE54" i="111"/>
  <c r="BF46" i="111"/>
  <c r="BJ40" i="111"/>
  <c r="BG44" i="111"/>
  <c r="BB9" i="111"/>
  <c r="BC73" i="111"/>
  <c r="BC72" i="111" s="1"/>
  <c r="BK61" i="111"/>
  <c r="BG55" i="111"/>
  <c r="BJ17" i="111"/>
  <c r="BB54" i="111"/>
  <c r="BD10" i="111"/>
  <c r="BD39" i="111"/>
  <c r="BE40" i="111"/>
  <c r="BH21" i="111"/>
  <c r="BE44" i="111"/>
  <c r="BD30" i="111"/>
  <c r="BB8" i="111"/>
  <c r="AZ51" i="111"/>
  <c r="BA43" i="111"/>
  <c r="BB53" i="111"/>
  <c r="BJ8" i="111"/>
  <c r="BA8" i="111"/>
  <c r="BC9" i="111"/>
  <c r="BD71" i="111"/>
  <c r="BD70" i="111" s="1"/>
  <c r="BB57" i="111"/>
  <c r="BC23" i="111"/>
  <c r="BK23" i="111"/>
  <c r="BK8" i="111"/>
  <c r="BF69" i="111"/>
  <c r="BH13" i="111"/>
  <c r="BB37" i="111"/>
  <c r="BJ26" i="111"/>
  <c r="BC55" i="111"/>
  <c r="BI52" i="111"/>
  <c r="BE35" i="111"/>
  <c r="BK20" i="111"/>
  <c r="BA54" i="111"/>
  <c r="BJ25" i="111"/>
  <c r="BD18" i="114"/>
  <c r="BK48" i="114"/>
  <c r="BB10" i="114"/>
  <c r="BB36" i="114"/>
  <c r="BG3" i="114"/>
  <c r="BE67" i="114"/>
  <c r="BG24" i="114"/>
  <c r="AZ36" i="114"/>
  <c r="BK8" i="114"/>
  <c r="BE28" i="114"/>
  <c r="BD15" i="114"/>
  <c r="BF18" i="102"/>
  <c r="BE4" i="102"/>
  <c r="BG27" i="102"/>
  <c r="BG45" i="102"/>
  <c r="AZ19" i="102"/>
  <c r="BK46" i="102"/>
  <c r="BI14" i="102"/>
  <c r="BB11" i="102"/>
  <c r="AZ55" i="115"/>
  <c r="BC28" i="115"/>
  <c r="BE10" i="115"/>
  <c r="BA57" i="115"/>
  <c r="BK24" i="115"/>
  <c r="BK49" i="115"/>
  <c r="BB53" i="115"/>
  <c r="BE23" i="115"/>
  <c r="BJ57" i="115"/>
  <c r="BC51" i="115"/>
  <c r="BF41" i="115"/>
  <c r="BJ38" i="115"/>
  <c r="BI38" i="115"/>
  <c r="BH73" i="115"/>
  <c r="BH72" i="115" s="1"/>
  <c r="BG73" i="115"/>
  <c r="BG72" i="115" s="1"/>
  <c r="BJ20" i="115"/>
  <c r="BB57" i="115"/>
  <c r="BK61" i="115"/>
  <c r="BG4" i="115"/>
  <c r="BG17" i="115"/>
  <c r="BG26" i="115"/>
  <c r="BI31" i="115"/>
  <c r="AZ73" i="115"/>
  <c r="AZ72" i="115" s="1"/>
  <c r="BC17" i="115"/>
  <c r="BJ27" i="115"/>
  <c r="AZ9" i="115"/>
  <c r="BF39" i="115"/>
  <c r="BE48" i="115"/>
  <c r="BH57" i="115"/>
  <c r="BA61" i="115"/>
  <c r="BE14" i="115"/>
  <c r="BG66" i="115"/>
  <c r="AZ19" i="115"/>
  <c r="BJ28" i="115"/>
  <c r="BJ78" i="115"/>
  <c r="BC15" i="115"/>
  <c r="BF63" i="115"/>
  <c r="BH14" i="115"/>
  <c r="BE30" i="115"/>
  <c r="BA44" i="115"/>
  <c r="BG59" i="115"/>
  <c r="BJ73" i="115"/>
  <c r="BJ72" i="115" s="1"/>
  <c r="BJ64" i="115"/>
  <c r="BH18" i="115"/>
  <c r="BB28" i="115"/>
  <c r="BB78" i="115"/>
  <c r="BA14" i="115"/>
  <c r="BF73" i="115"/>
  <c r="BF72" i="115" s="1"/>
  <c r="BE18" i="115"/>
  <c r="BB36" i="115"/>
  <c r="BE49" i="115"/>
  <c r="BI66" i="115"/>
  <c r="BB19" i="115"/>
  <c r="BA73" i="115"/>
  <c r="BA72" i="115" s="1"/>
  <c r="BG23" i="115"/>
  <c r="BF32" i="115"/>
  <c r="BG48" i="115"/>
  <c r="BB30" i="115"/>
  <c r="BG10" i="115"/>
  <c r="BK25" i="115"/>
  <c r="BG41" i="115"/>
  <c r="BD48" i="115"/>
  <c r="BA66" i="115"/>
  <c r="BJ18" i="115"/>
  <c r="BJ71" i="115"/>
  <c r="BJ70" i="115" s="1"/>
  <c r="BJ21" i="115"/>
  <c r="BG31" i="115"/>
  <c r="BF46" i="115"/>
  <c r="BD28" i="115"/>
  <c r="BJ9" i="115"/>
  <c r="BI59" i="117"/>
  <c r="BB11" i="117"/>
  <c r="BG58" i="117"/>
  <c r="BD52" i="117"/>
  <c r="BH78" i="117"/>
  <c r="BH15" i="117"/>
  <c r="BB3" i="117"/>
  <c r="BH57" i="122"/>
  <c r="BG53" i="122"/>
  <c r="AZ51" i="122"/>
  <c r="BJ11" i="122"/>
  <c r="AZ69" i="122"/>
  <c r="BI17" i="122"/>
  <c r="BI41" i="122"/>
  <c r="BB24" i="122"/>
  <c r="BE8" i="122"/>
  <c r="BC39" i="122"/>
  <c r="BK53" i="122"/>
  <c r="BE64" i="122"/>
  <c r="BI11" i="122"/>
  <c r="BA11" i="122"/>
  <c r="BJ13" i="122"/>
  <c r="BH17" i="122"/>
  <c r="BG45" i="122"/>
  <c r="BK15" i="122"/>
  <c r="BF14" i="122"/>
  <c r="BE34" i="122"/>
  <c r="BG52" i="122"/>
  <c r="BD20" i="122"/>
  <c r="BK10" i="122"/>
  <c r="BB15" i="122"/>
  <c r="BA21" i="122"/>
  <c r="BK30" i="122"/>
  <c r="BE40" i="122"/>
  <c r="BH21" i="122"/>
  <c r="BH37" i="122"/>
  <c r="BI56" i="122"/>
  <c r="BE15" i="122"/>
  <c r="BG11" i="122"/>
  <c r="BJ16" i="122"/>
  <c r="AZ34" i="122"/>
  <c r="BA20" i="122"/>
  <c r="BE53" i="122"/>
  <c r="AZ67" i="122"/>
  <c r="BK66" i="122"/>
  <c r="BJ41" i="122"/>
  <c r="BD54" i="122"/>
  <c r="BA57" i="122"/>
  <c r="BG64" i="122"/>
  <c r="BF52" i="122"/>
  <c r="BD31" i="122"/>
  <c r="BJ27" i="122"/>
  <c r="BA8" i="122"/>
  <c r="BA55" i="122"/>
  <c r="BE45" i="122"/>
  <c r="BA41" i="122"/>
  <c r="BA64" i="122"/>
  <c r="BI64" i="122"/>
  <c r="BK48" i="122"/>
  <c r="BG73" i="122"/>
  <c r="BG72" i="122" s="1"/>
  <c r="BI48" i="122"/>
  <c r="AZ3" i="122"/>
  <c r="BJ3" i="122"/>
  <c r="BH38" i="122"/>
  <c r="BJ39" i="122"/>
  <c r="BI78" i="122"/>
  <c r="BA4" i="122"/>
  <c r="BH61" i="122"/>
  <c r="BF8" i="122"/>
  <c r="BJ59" i="122"/>
  <c r="BF63" i="122"/>
  <c r="BD23" i="122"/>
  <c r="BC3" i="122"/>
  <c r="BG35" i="115"/>
  <c r="BK37" i="115"/>
  <c r="BH34" i="115"/>
  <c r="BH64" i="115"/>
  <c r="BE26" i="115"/>
  <c r="BC49" i="115"/>
  <c r="BC73" i="115"/>
  <c r="BC72" i="115" s="1"/>
  <c r="BA35" i="115"/>
  <c r="BJ30" i="115"/>
  <c r="BG46" i="115"/>
  <c r="BB63" i="115"/>
  <c r="BH59" i="115"/>
  <c r="BH41" i="115"/>
  <c r="AZ67" i="115"/>
  <c r="BF35" i="115"/>
  <c r="BG13" i="102"/>
  <c r="BH4" i="122"/>
  <c r="AZ41" i="115"/>
  <c r="BD14" i="115"/>
  <c r="BF66" i="115"/>
  <c r="BE28" i="115"/>
  <c r="AZ69" i="115"/>
  <c r="BH53" i="115"/>
  <c r="BJ14" i="115"/>
  <c r="BG3" i="115"/>
  <c r="BK31" i="102"/>
  <c r="AZ21" i="122"/>
  <c r="BH78" i="122"/>
  <c r="BF15" i="117"/>
  <c r="AZ16" i="122"/>
  <c r="BC42" i="122"/>
  <c r="BH57" i="117"/>
  <c r="BI31" i="122"/>
  <c r="BB54" i="122"/>
  <c r="BG51" i="122"/>
  <c r="AZ67" i="124"/>
  <c r="BD66" i="124"/>
  <c r="BE63" i="124"/>
  <c r="BJ61" i="124"/>
  <c r="BA61" i="124"/>
  <c r="BI30" i="124"/>
  <c r="BD28" i="124"/>
  <c r="BK23" i="124"/>
  <c r="BB14" i="124"/>
  <c r="BG66" i="124"/>
  <c r="BE66" i="124"/>
  <c r="BG64" i="124"/>
  <c r="BK61" i="124"/>
  <c r="BB61" i="124"/>
  <c r="BF59" i="124"/>
  <c r="BA30" i="124"/>
  <c r="BC18" i="124"/>
  <c r="BD44" i="124"/>
  <c r="BD17" i="124"/>
  <c r="BF58" i="124"/>
  <c r="BA57" i="124"/>
  <c r="BD56" i="124"/>
  <c r="BG55" i="124"/>
  <c r="BE54" i="124"/>
  <c r="BB67" i="124"/>
  <c r="BK18" i="124"/>
  <c r="BH45" i="124"/>
  <c r="AZ18" i="124"/>
  <c r="AZ8" i="124"/>
  <c r="BI46" i="124"/>
  <c r="BJ57" i="124"/>
  <c r="BE56" i="124"/>
  <c r="BH55" i="124"/>
  <c r="BF54" i="124"/>
  <c r="BK73" i="124"/>
  <c r="BK72" i="124" s="1"/>
  <c r="BC55" i="124"/>
  <c r="AZ10" i="124"/>
  <c r="BF31" i="124"/>
  <c r="BJ11" i="124"/>
  <c r="AZ56" i="124"/>
  <c r="BJ30" i="124"/>
  <c r="BB57" i="124"/>
  <c r="BI55" i="124"/>
  <c r="AZ55" i="124"/>
  <c r="BE53" i="124"/>
  <c r="BC73" i="124"/>
  <c r="BC72" i="124" s="1"/>
  <c r="BI53" i="124"/>
  <c r="BG17" i="124"/>
  <c r="BK78" i="124"/>
  <c r="BD16" i="124"/>
  <c r="BB78" i="124"/>
  <c r="AZ64" i="124"/>
  <c r="BD61" i="124"/>
  <c r="BH59" i="124"/>
  <c r="BK58" i="124"/>
  <c r="BB58" i="124"/>
  <c r="BB29" i="124"/>
  <c r="BC23" i="124"/>
  <c r="AZ58" i="124"/>
  <c r="BI20" i="124"/>
  <c r="BI11" i="124"/>
  <c r="BJ53" i="124"/>
  <c r="BA71" i="124"/>
  <c r="BA70" i="124" s="1"/>
  <c r="AZ71" i="124"/>
  <c r="AZ70" i="124" s="1"/>
  <c r="BF67" i="124"/>
  <c r="BJ66" i="124"/>
  <c r="BD64" i="124"/>
  <c r="BC34" i="124"/>
  <c r="BB35" i="124"/>
  <c r="BK57" i="124"/>
  <c r="BH53" i="124"/>
  <c r="BK51" i="124"/>
  <c r="BE49" i="124"/>
  <c r="BK48" i="124"/>
  <c r="AZ66" i="124"/>
  <c r="BI41" i="124"/>
  <c r="BK44" i="124"/>
  <c r="BB44" i="124"/>
  <c r="BH43" i="124"/>
  <c r="BG43" i="124"/>
  <c r="BI58" i="124"/>
  <c r="BF25" i="124"/>
  <c r="BD59" i="124"/>
  <c r="BC21" i="124"/>
  <c r="BC78" i="124"/>
  <c r="BE23" i="124"/>
  <c r="BC44" i="124"/>
  <c r="BI43" i="124"/>
  <c r="AZ43" i="124"/>
  <c r="BF78" i="124"/>
  <c r="BA58" i="124"/>
  <c r="BD24" i="124"/>
  <c r="BB41" i="124"/>
  <c r="BD15" i="124"/>
  <c r="BB54" i="124"/>
  <c r="BF26" i="124"/>
  <c r="BH15" i="124"/>
  <c r="BJ43" i="124"/>
  <c r="BA43" i="124"/>
  <c r="BG78" i="124"/>
  <c r="BE42" i="124"/>
  <c r="BE57" i="124"/>
  <c r="BD23" i="124"/>
  <c r="BK54" i="124"/>
  <c r="BB20" i="124"/>
  <c r="BK4" i="124"/>
  <c r="AZ39" i="124"/>
  <c r="BF20" i="124"/>
  <c r="BD51" i="124"/>
  <c r="BE48" i="124"/>
  <c r="BC46" i="124"/>
  <c r="BB46" i="124"/>
  <c r="BJ63" i="124"/>
  <c r="BC35" i="124"/>
  <c r="BC9" i="124"/>
  <c r="AZ29" i="124"/>
  <c r="BE10" i="124"/>
  <c r="BG52" i="124"/>
  <c r="BJ28" i="124"/>
  <c r="BJ55" i="124"/>
  <c r="BH41" i="124"/>
  <c r="BE39" i="124"/>
  <c r="BC38" i="124"/>
  <c r="BB38" i="124"/>
  <c r="BC53" i="124"/>
  <c r="AZ17" i="124"/>
  <c r="BI42" i="124"/>
  <c r="BE16" i="124"/>
  <c r="BG56" i="124"/>
  <c r="BC27" i="124"/>
  <c r="BA16" i="124"/>
  <c r="AZ41" i="124"/>
  <c r="BD38" i="124"/>
  <c r="BJ37" i="124"/>
  <c r="BI37" i="124"/>
  <c r="BI52" i="124"/>
  <c r="BH16" i="124"/>
  <c r="BK27" i="124"/>
  <c r="BA9" i="124"/>
  <c r="BI40" i="124"/>
  <c r="BJ17" i="124"/>
  <c r="BE9" i="124"/>
  <c r="BG40" i="124"/>
  <c r="BK37" i="124"/>
  <c r="BB37" i="124"/>
  <c r="BA37" i="124"/>
  <c r="BA52" i="124"/>
  <c r="AZ16" i="124"/>
  <c r="BJ39" i="124"/>
  <c r="BD14" i="124"/>
  <c r="BH52" i="124"/>
  <c r="BF24" i="124"/>
  <c r="AZ15" i="124"/>
  <c r="BB43" i="124"/>
  <c r="BH78" i="124"/>
  <c r="BF42" i="124"/>
  <c r="BE41" i="124"/>
  <c r="BI56" i="124"/>
  <c r="BF21" i="124"/>
  <c r="BB53" i="124"/>
  <c r="BI19" i="124"/>
  <c r="BC4" i="124"/>
  <c r="BI38" i="124"/>
  <c r="BE19" i="124"/>
  <c r="BG49" i="124"/>
  <c r="BD46" i="124"/>
  <c r="BJ45" i="124"/>
  <c r="BI45" i="124"/>
  <c r="BB63" i="124"/>
  <c r="O63" i="124"/>
  <c r="BI35" i="124"/>
  <c r="BG34" i="124"/>
  <c r="BB32" i="124"/>
  <c r="BA32" i="124"/>
  <c r="BH46" i="124"/>
  <c r="BA10" i="124"/>
  <c r="BC28" i="124"/>
  <c r="BI9" i="124"/>
  <c r="BA42" i="124"/>
  <c r="BF18" i="124"/>
  <c r="BB10" i="124"/>
  <c r="BA35" i="124"/>
  <c r="BK32" i="124"/>
  <c r="BK31" i="124"/>
  <c r="BJ31" i="124"/>
  <c r="AZ46" i="124"/>
  <c r="BH58" i="124"/>
  <c r="BJ18" i="124"/>
  <c r="BH56" i="124"/>
  <c r="BG24" i="124"/>
  <c r="BH13" i="124"/>
  <c r="BI73" i="124"/>
  <c r="BI72" i="124" s="1"/>
  <c r="BH34" i="124"/>
  <c r="BC32" i="124"/>
  <c r="BC31" i="124"/>
  <c r="BB31" i="124"/>
  <c r="BG45" i="124"/>
  <c r="BD9" i="124"/>
  <c r="BD25" i="124"/>
  <c r="BJ8" i="124"/>
  <c r="BB39" i="124"/>
  <c r="BB17" i="124"/>
  <c r="BF8" i="124"/>
  <c r="BF39" i="124"/>
  <c r="BC37" i="124"/>
  <c r="BI36" i="124"/>
  <c r="BH36" i="124"/>
  <c r="BG51" i="124"/>
  <c r="BG15" i="124"/>
  <c r="BH37" i="124"/>
  <c r="BK13" i="124"/>
  <c r="BK49" i="124"/>
  <c r="BF23" i="124"/>
  <c r="BH14" i="124"/>
  <c r="BI78" i="124"/>
  <c r="AZ78" i="124"/>
  <c r="BF41" i="124"/>
  <c r="BD40" i="124"/>
  <c r="BA56" i="124"/>
  <c r="BA67" i="124"/>
  <c r="BH28" i="124"/>
  <c r="AZ27" i="124"/>
  <c r="AZ26" i="124"/>
  <c r="BG26" i="124"/>
  <c r="BK41" i="124"/>
  <c r="BC71" i="124"/>
  <c r="BC70" i="124" s="1"/>
  <c r="BB19" i="124"/>
  <c r="BD57" i="124"/>
  <c r="BK26" i="124"/>
  <c r="BA14" i="124"/>
  <c r="BF66" i="124"/>
  <c r="AZ28" i="124"/>
  <c r="BI26" i="124"/>
  <c r="BI25" i="124"/>
  <c r="BH25" i="124"/>
  <c r="BC41" i="124"/>
  <c r="AZ40" i="124"/>
  <c r="BG10" i="124"/>
  <c r="BG39" i="124"/>
  <c r="BK17" i="124"/>
  <c r="BI64" i="124"/>
  <c r="BI27" i="124"/>
  <c r="BA26" i="124"/>
  <c r="BA25" i="124"/>
  <c r="AZ25" i="124"/>
  <c r="BJ40" i="124"/>
  <c r="BD53" i="124"/>
  <c r="BB18" i="124"/>
  <c r="BC54" i="124"/>
  <c r="BJ23" i="124"/>
  <c r="AZ13" i="124"/>
  <c r="BA73" i="124"/>
  <c r="BA72" i="124" s="1"/>
  <c r="AZ34" i="124"/>
  <c r="BD31" i="124"/>
  <c r="BD30" i="124"/>
  <c r="BK30" i="124"/>
  <c r="BF44" i="124"/>
  <c r="BE8" i="124"/>
  <c r="BB23" i="124"/>
  <c r="BB8" i="124"/>
  <c r="AZ37" i="124"/>
  <c r="BJ16" i="124"/>
  <c r="BE38" i="124"/>
  <c r="BJ36" i="124"/>
  <c r="BA36" i="124"/>
  <c r="AZ36" i="124"/>
  <c r="BD78" i="112"/>
  <c r="BD15" i="112"/>
  <c r="BD9" i="112"/>
  <c r="BB21" i="112"/>
  <c r="BB11" i="112"/>
  <c r="BD19" i="112"/>
  <c r="BI23" i="112"/>
  <c r="BA30" i="112"/>
  <c r="BE43" i="112"/>
  <c r="BJ49" i="112"/>
  <c r="BC69" i="112"/>
  <c r="BC46" i="112"/>
  <c r="BG39" i="112"/>
  <c r="BF30" i="112"/>
  <c r="BB45" i="112"/>
  <c r="BF42" i="112"/>
  <c r="BJ53" i="112"/>
  <c r="BG58" i="112"/>
  <c r="BB64" i="112"/>
  <c r="BG66" i="112"/>
  <c r="BC16" i="112"/>
  <c r="BJ32" i="112"/>
  <c r="BH40" i="112"/>
  <c r="BC53" i="112"/>
  <c r="BD58" i="112"/>
  <c r="BI3" i="112"/>
  <c r="BK49" i="112"/>
  <c r="BI9" i="112"/>
  <c r="BJ14" i="112"/>
  <c r="BC19" i="112"/>
  <c r="BJ58" i="112"/>
  <c r="BB40" i="112"/>
  <c r="BH56" i="112"/>
  <c r="BH64" i="112"/>
  <c r="BK10" i="112"/>
  <c r="BD34" i="112"/>
  <c r="BG57" i="112"/>
  <c r="BB39" i="112"/>
  <c r="BA63" i="112"/>
  <c r="BE73" i="112"/>
  <c r="BE72" i="112" s="1"/>
  <c r="BF8" i="112"/>
  <c r="BI46" i="112"/>
  <c r="BH27" i="112"/>
  <c r="BG42" i="112"/>
  <c r="BB51" i="112"/>
  <c r="BG61" i="112"/>
  <c r="BC34" i="112"/>
  <c r="BF13" i="112"/>
  <c r="BF29" i="112"/>
  <c r="BI32" i="112"/>
  <c r="BB41" i="112"/>
  <c r="BB42" i="112"/>
  <c r="AZ44" i="112"/>
  <c r="BH49" i="112"/>
  <c r="BK71" i="112"/>
  <c r="BK70" i="112" s="1"/>
  <c r="BJ16" i="112"/>
  <c r="BB67" i="112"/>
  <c r="BA57" i="112"/>
  <c r="BF53" i="112"/>
  <c r="BG16" i="112"/>
  <c r="BE61" i="112"/>
  <c r="BA69" i="112"/>
  <c r="BC73" i="112"/>
  <c r="BC72" i="112" s="1"/>
  <c r="BD23" i="112"/>
  <c r="BF39" i="112"/>
  <c r="BI15" i="112"/>
  <c r="BA40" i="112"/>
  <c r="BG52" i="112"/>
  <c r="AZ46" i="112"/>
  <c r="BC52" i="112"/>
  <c r="AZ56" i="112"/>
  <c r="BB57" i="112"/>
  <c r="BA11" i="112"/>
  <c r="BH26" i="112"/>
  <c r="BE71" i="112"/>
  <c r="BE70" i="112" s="1"/>
  <c r="BG13" i="112"/>
  <c r="BD10" i="112"/>
  <c r="BA13" i="112"/>
  <c r="BC18" i="112"/>
  <c r="BF57" i="112"/>
  <c r="BI29" i="112"/>
  <c r="BA27" i="112"/>
  <c r="BG37" i="112"/>
  <c r="BI51" i="112"/>
  <c r="AZ69" i="112"/>
  <c r="BF15" i="112"/>
  <c r="AZ51" i="112"/>
  <c r="AZ36" i="112"/>
  <c r="BB36" i="112"/>
  <c r="BK38" i="112"/>
  <c r="BB46" i="112"/>
  <c r="BH46" i="112"/>
  <c r="BA52" i="112"/>
  <c r="BE56" i="112"/>
  <c r="BI8" i="112"/>
  <c r="BK23" i="112"/>
  <c r="BA53" i="112"/>
  <c r="BB71" i="112"/>
  <c r="BB70" i="112" s="1"/>
  <c r="BD24" i="112"/>
  <c r="BF27" i="112"/>
  <c r="BK34" i="112"/>
  <c r="BD36" i="112"/>
  <c r="BD38" i="112"/>
  <c r="BG78" i="112"/>
  <c r="AZ63" i="112"/>
  <c r="BH11" i="112"/>
  <c r="BE10" i="112"/>
  <c r="BJ18" i="112"/>
  <c r="BE64" i="112"/>
  <c r="AZ71" i="112"/>
  <c r="AZ70" i="112" s="1"/>
  <c r="BI10" i="112"/>
  <c r="BH18" i="112"/>
  <c r="BB13" i="112"/>
  <c r="BD53" i="112"/>
  <c r="BG38" i="112"/>
  <c r="BA48" i="112"/>
  <c r="BI24" i="112"/>
  <c r="BG35" i="112"/>
  <c r="BH34" i="112"/>
  <c r="BC17" i="112"/>
  <c r="BC24" i="112"/>
  <c r="BD64" i="112"/>
  <c r="BK35" i="112"/>
  <c r="AZ34" i="112"/>
  <c r="BH78" i="112"/>
  <c r="BK57" i="112"/>
  <c r="BJ4" i="112"/>
  <c r="BD8" i="112"/>
  <c r="BD51" i="112"/>
  <c r="BK52" i="112"/>
  <c r="AZ14" i="112"/>
  <c r="BH51" i="112"/>
  <c r="BG24" i="112"/>
  <c r="BF20" i="112"/>
  <c r="BI30" i="112"/>
  <c r="AZ43" i="112"/>
  <c r="BD59" i="112"/>
  <c r="BI53" i="112"/>
  <c r="BB44" i="112"/>
  <c r="BE49" i="112"/>
  <c r="BK59" i="112"/>
  <c r="BD69" i="112"/>
  <c r="BF64" i="112"/>
  <c r="BB19" i="112"/>
  <c r="BE26" i="112"/>
  <c r="BA34" i="112"/>
  <c r="BH23" i="112"/>
  <c r="BB35" i="112"/>
  <c r="BG34" i="112"/>
  <c r="BD3" i="112"/>
  <c r="BG8" i="112"/>
  <c r="BH17" i="112"/>
  <c r="AZ24" i="112"/>
  <c r="BF18" i="112"/>
  <c r="BF59" i="112"/>
  <c r="BA43" i="112"/>
  <c r="BE55" i="112"/>
  <c r="BE13" i="112"/>
  <c r="BF49" i="112"/>
  <c r="BA58" i="112"/>
  <c r="BC56" i="112"/>
  <c r="BJ61" i="112"/>
  <c r="AZ3" i="112"/>
  <c r="BG10" i="112"/>
  <c r="BB48" i="112"/>
  <c r="BG31" i="112"/>
  <c r="BA42" i="112"/>
  <c r="AZ4" i="112"/>
  <c r="BF21" i="112"/>
  <c r="BJ34" i="112"/>
  <c r="BB34" i="112"/>
  <c r="BE31" i="112"/>
  <c r="BH42" i="112"/>
  <c r="BE69" i="112"/>
  <c r="BD48" i="112"/>
  <c r="BK73" i="112"/>
  <c r="BK72" i="112" s="1"/>
  <c r="BE78" i="112"/>
  <c r="BH20" i="112"/>
  <c r="BA19" i="112"/>
  <c r="BA18" i="112"/>
  <c r="BE30" i="112"/>
  <c r="AZ53" i="112"/>
  <c r="BA56" i="112"/>
  <c r="BF69" i="112"/>
  <c r="BK40" i="112"/>
  <c r="BD4" i="112"/>
  <c r="BJ24" i="112"/>
  <c r="AZ31" i="112"/>
  <c r="BI39" i="112"/>
  <c r="BA73" i="112"/>
  <c r="BA72" i="112" s="1"/>
  <c r="BI57" i="112"/>
  <c r="BK45" i="112"/>
  <c r="BE40" i="112"/>
  <c r="BC78" i="112"/>
  <c r="BE53" i="112"/>
  <c r="AZ59" i="112"/>
  <c r="BD56" i="112"/>
  <c r="BG14" i="112"/>
  <c r="BA20" i="112"/>
  <c r="BJ27" i="112"/>
  <c r="BF14" i="112"/>
  <c r="BC4" i="112"/>
  <c r="BH73" i="112"/>
  <c r="BH72" i="112" s="1"/>
  <c r="AZ16" i="112"/>
  <c r="BC28" i="112"/>
  <c r="BD16" i="112"/>
  <c r="BA26" i="112"/>
  <c r="BD29" i="112"/>
  <c r="BF36" i="112"/>
  <c r="AZ52" i="112"/>
  <c r="BD28" i="112"/>
  <c r="BK8" i="112"/>
  <c r="AZ10" i="112"/>
  <c r="BF28" i="112"/>
  <c r="BI44" i="112"/>
  <c r="BF17" i="112"/>
  <c r="BK39" i="112"/>
  <c r="BD37" i="112"/>
  <c r="BH48" i="112"/>
  <c r="BC43" i="112"/>
  <c r="BH55" i="112"/>
  <c r="BB10" i="112"/>
  <c r="BJ48" i="112"/>
  <c r="BK27" i="112"/>
  <c r="AZ23" i="112"/>
  <c r="BE45" i="102"/>
  <c r="AZ73" i="102"/>
  <c r="AZ72" i="102" s="1"/>
  <c r="BE58" i="102"/>
  <c r="BE41" i="102"/>
  <c r="BI20" i="102"/>
  <c r="AZ32" i="102"/>
  <c r="BK51" i="114"/>
  <c r="BK73" i="114"/>
  <c r="BK72" i="114" s="1"/>
  <c r="BF10" i="114"/>
  <c r="BF30" i="114"/>
  <c r="BB51" i="114"/>
  <c r="BG16" i="114"/>
  <c r="BE21" i="114"/>
  <c r="BF42" i="114"/>
  <c r="BC23" i="114"/>
  <c r="BC14" i="114"/>
  <c r="BA36" i="114"/>
  <c r="BH20" i="114"/>
  <c r="BD30" i="114"/>
  <c r="AZ38" i="114"/>
  <c r="BC9" i="114"/>
  <c r="BD26" i="114"/>
  <c r="BI39" i="114"/>
  <c r="BI55" i="114"/>
  <c r="BK18" i="114"/>
  <c r="BG45" i="114"/>
  <c r="BF53" i="114"/>
  <c r="BB23" i="114"/>
  <c r="BC53" i="114"/>
  <c r="BK78" i="114"/>
  <c r="BG28" i="114"/>
  <c r="BI29" i="114"/>
  <c r="BA29" i="114"/>
  <c r="AZ67" i="114"/>
  <c r="BH35" i="114"/>
  <c r="BF59" i="114"/>
  <c r="BH31" i="114"/>
  <c r="BC19" i="114"/>
  <c r="AZ71" i="114"/>
  <c r="AZ70" i="114" s="1"/>
  <c r="BK42" i="114"/>
  <c r="BC39" i="114"/>
  <c r="BG69" i="114"/>
  <c r="BD54" i="114"/>
  <c r="BK43" i="114"/>
  <c r="BG52" i="114"/>
  <c r="AZ35" i="114"/>
  <c r="BD56" i="114"/>
  <c r="AZ43" i="114"/>
  <c r="BF19" i="114"/>
  <c r="AZ69" i="114"/>
  <c r="BB25" i="114"/>
  <c r="BI17" i="114"/>
  <c r="BI45" i="114"/>
  <c r="AZ41" i="114"/>
  <c r="BJ9" i="114"/>
  <c r="BJ34" i="114"/>
  <c r="BD44" i="114"/>
  <c r="BB20" i="114"/>
  <c r="BC17" i="114"/>
  <c r="BJ17" i="114"/>
  <c r="AZ59" i="114"/>
  <c r="BH17" i="114"/>
  <c r="BD29" i="114"/>
  <c r="BF38" i="114"/>
  <c r="BC15" i="114"/>
  <c r="BA28" i="114"/>
  <c r="BJ36" i="114"/>
  <c r="BA14" i="114"/>
  <c r="AZ27" i="114"/>
  <c r="AZ61" i="114"/>
  <c r="BH46" i="114"/>
  <c r="BB49" i="114"/>
  <c r="BI61" i="114"/>
  <c r="BD25" i="114"/>
  <c r="BB40" i="114"/>
  <c r="BH39" i="114"/>
  <c r="BB18" i="114"/>
  <c r="BC41" i="114"/>
  <c r="BH43" i="114"/>
  <c r="BE10" i="114"/>
  <c r="BC42" i="114"/>
  <c r="BJ10" i="114"/>
  <c r="BE16" i="114"/>
  <c r="AZ66" i="114"/>
  <c r="BD27" i="114"/>
  <c r="BD34" i="114"/>
  <c r="BG61" i="114"/>
  <c r="BB52" i="114"/>
  <c r="BD24" i="114"/>
  <c r="AZ64" i="114"/>
  <c r="BJ57" i="114"/>
  <c r="BA23" i="114"/>
  <c r="BE66" i="114"/>
  <c r="BK17" i="114"/>
  <c r="BF8" i="100"/>
  <c r="BI42" i="100"/>
  <c r="BK54" i="102"/>
  <c r="BE69" i="102"/>
  <c r="BK53" i="102"/>
  <c r="BD34" i="102"/>
  <c r="BE61" i="102"/>
  <c r="AZ41" i="102"/>
  <c r="BI27" i="102"/>
  <c r="BI64" i="102"/>
  <c r="BA69" i="102"/>
  <c r="BB27" i="102"/>
  <c r="BJ37" i="102"/>
  <c r="BI13" i="102"/>
  <c r="BK24" i="102"/>
  <c r="AZ63" i="102"/>
  <c r="BJ44" i="102"/>
  <c r="BC63" i="102"/>
  <c r="BH54" i="102"/>
  <c r="AZ30" i="102"/>
  <c r="AZ64" i="102"/>
  <c r="BB66" i="102"/>
  <c r="BA34" i="102"/>
  <c r="BE11" i="102"/>
  <c r="BD69" i="102"/>
  <c r="BB20" i="102"/>
  <c r="BD20" i="102"/>
  <c r="BD18" i="102"/>
  <c r="BH34" i="102"/>
  <c r="BE10" i="102"/>
  <c r="BG14" i="102"/>
  <c r="AZ28" i="102"/>
  <c r="BA14" i="102"/>
  <c r="BB8" i="102"/>
  <c r="AZ24" i="102"/>
  <c r="BB25" i="102"/>
  <c r="AZ9" i="102"/>
  <c r="BG38" i="102"/>
  <c r="BK44" i="102"/>
  <c r="BA54" i="102"/>
  <c r="BC26" i="102"/>
  <c r="BD45" i="102"/>
  <c r="AZ16" i="102"/>
  <c r="AZ43" i="102"/>
  <c r="BJ57" i="102"/>
  <c r="BB4" i="102"/>
  <c r="BB39" i="102"/>
  <c r="BD31" i="102"/>
  <c r="BE31" i="102"/>
  <c r="AZ4" i="102"/>
  <c r="BI61" i="102"/>
  <c r="BC13" i="102"/>
  <c r="BJ48" i="102"/>
  <c r="BC39" i="102"/>
  <c r="BK59" i="102"/>
  <c r="AZ36" i="102"/>
  <c r="BH21" i="102"/>
  <c r="BF61" i="102"/>
  <c r="BG52" i="102"/>
  <c r="BD53" i="102"/>
  <c r="BA9" i="102"/>
  <c r="BE24" i="102"/>
  <c r="BE27" i="102"/>
  <c r="BE23" i="102"/>
  <c r="BC59" i="102"/>
  <c r="BH45" i="102"/>
  <c r="BB24" i="102"/>
  <c r="BI53" i="102"/>
  <c r="BI55" i="102"/>
  <c r="BD61" i="102"/>
  <c r="BE32" i="102"/>
  <c r="BG61" i="102"/>
  <c r="AZ3" i="102"/>
  <c r="BD13" i="102"/>
  <c r="BJ71" i="102"/>
  <c r="BJ70" i="102" s="1"/>
  <c r="BE39" i="102"/>
  <c r="BG17" i="102"/>
  <c r="BK4" i="102"/>
  <c r="BK8" i="102"/>
  <c r="BB71" i="102"/>
  <c r="BB70" i="102" s="1"/>
  <c r="BH58" i="102"/>
  <c r="BJ66" i="102"/>
  <c r="BF39" i="102"/>
  <c r="BF8" i="102"/>
  <c r="BA31" i="102"/>
  <c r="BC48" i="102"/>
  <c r="BE3" i="102"/>
  <c r="BE34" i="102"/>
  <c r="BF4" i="102"/>
  <c r="BH51" i="102"/>
  <c r="BC53" i="102"/>
  <c r="BD32" i="102"/>
  <c r="BJ28" i="102"/>
  <c r="BJ32" i="102"/>
  <c r="BF54" i="102"/>
  <c r="BA19" i="102"/>
  <c r="BH10" i="102"/>
  <c r="BH28" i="102"/>
  <c r="BJ17" i="102"/>
  <c r="BF42" i="102"/>
  <c r="BD11" i="102"/>
  <c r="AZ34" i="102"/>
  <c r="BD3" i="102"/>
  <c r="BD40" i="102"/>
  <c r="BE46" i="102"/>
  <c r="BA10" i="102"/>
  <c r="BB54" i="102"/>
  <c r="BK34" i="102"/>
  <c r="BB63" i="102"/>
  <c r="BK61" i="102"/>
  <c r="BG29" i="115"/>
  <c r="BJ44" i="115"/>
  <c r="BB61" i="115"/>
  <c r="BE11" i="115"/>
  <c r="BD29" i="115"/>
  <c r="BJ39" i="115"/>
  <c r="BG32" i="115"/>
  <c r="BB42" i="115"/>
  <c r="BG58" i="115"/>
  <c r="BF3" i="115"/>
  <c r="BG8" i="115"/>
  <c r="BI35" i="115"/>
  <c r="BJ69" i="115"/>
  <c r="BA17" i="115"/>
  <c r="AZ35" i="115"/>
  <c r="BK46" i="115"/>
  <c r="BD64" i="115"/>
  <c r="BB18" i="115"/>
  <c r="BB71" i="115"/>
  <c r="BB70" i="115" s="1"/>
  <c r="BB21" i="115"/>
  <c r="BH30" i="115"/>
  <c r="BE45" i="115"/>
  <c r="BF26" i="115"/>
  <c r="BC8" i="115"/>
  <c r="BE24" i="115"/>
  <c r="BE39" i="115"/>
  <c r="BG54" i="115"/>
  <c r="BK73" i="115"/>
  <c r="BK72" i="115" s="1"/>
  <c r="BA23" i="115"/>
  <c r="BH32" i="115"/>
  <c r="BD27" i="115"/>
  <c r="BE36" i="115"/>
  <c r="BA53" i="115"/>
  <c r="BH9" i="115"/>
  <c r="BA18" i="115"/>
  <c r="AZ28" i="115"/>
  <c r="BI43" i="115"/>
  <c r="BB59" i="115"/>
  <c r="BG11" i="115"/>
  <c r="BH27" i="115"/>
  <c r="BG78" i="115"/>
  <c r="BG57" i="115"/>
  <c r="BC71" i="115"/>
  <c r="BC70" i="115" s="1"/>
  <c r="BA63" i="115"/>
  <c r="BD16" i="115"/>
  <c r="BD26" i="115"/>
  <c r="BI41" i="115"/>
  <c r="BC10" i="115"/>
  <c r="BB69" i="115"/>
  <c r="BI16" i="115"/>
  <c r="BG34" i="115"/>
  <c r="BC46" i="115"/>
  <c r="BK63" i="115"/>
  <c r="BF17" i="115"/>
  <c r="BE69" i="115"/>
  <c r="BI20" i="115"/>
  <c r="AZ30" i="115"/>
  <c r="BD44" i="115"/>
  <c r="BB20" i="115"/>
  <c r="BA54" i="115"/>
  <c r="BI3" i="115"/>
  <c r="BC23" i="115"/>
  <c r="BB37" i="115"/>
  <c r="BI51" i="115"/>
  <c r="BJ63" i="115"/>
  <c r="BE55" i="115"/>
  <c r="BA67" i="115"/>
  <c r="BG19" i="115"/>
  <c r="BJ35" i="115"/>
  <c r="BH11" i="115"/>
  <c r="BF58" i="115"/>
  <c r="BJ10" i="115"/>
  <c r="AZ27" i="115"/>
  <c r="BF42" i="115"/>
  <c r="BK56" i="115"/>
  <c r="BF69" i="115"/>
  <c r="BG61" i="115"/>
  <c r="BK15" i="115"/>
  <c r="BE25" i="115"/>
  <c r="BA41" i="115"/>
  <c r="BF9" i="115"/>
  <c r="BG67" i="115"/>
  <c r="BA16" i="115"/>
  <c r="BK32" i="115"/>
  <c r="BJ45" i="115"/>
  <c r="BC63" i="115"/>
  <c r="BF16" i="115"/>
  <c r="BJ67" i="115"/>
  <c r="BA20" i="115"/>
  <c r="BI29" i="115"/>
  <c r="BK43" i="115"/>
  <c r="BI19" i="115"/>
  <c r="BD66" i="115"/>
  <c r="BH15" i="115"/>
  <c r="BC32" i="115"/>
  <c r="BB45" i="115"/>
  <c r="BI61" i="115"/>
  <c r="BE15" i="115"/>
  <c r="BB67" i="115"/>
  <c r="BH19" i="115"/>
  <c r="BA29" i="115"/>
  <c r="BC43" i="115"/>
  <c r="BB17" i="115"/>
  <c r="BJ3" i="115"/>
  <c r="BF20" i="115"/>
  <c r="BC37" i="115"/>
  <c r="BJ51" i="115"/>
  <c r="BG69" i="115"/>
  <c r="BD45" i="115"/>
  <c r="BC66" i="115"/>
  <c r="AZ16" i="115"/>
  <c r="BC31" i="115"/>
  <c r="BA45" i="115"/>
  <c r="BJ56" i="115"/>
  <c r="BB49" i="115"/>
  <c r="BH58" i="115"/>
  <c r="AZ42" i="115"/>
  <c r="BI57" i="115"/>
  <c r="BD9" i="115"/>
  <c r="BA25" i="115"/>
  <c r="BK39" i="115"/>
  <c r="AZ51" i="115"/>
  <c r="BD78" i="115"/>
  <c r="BJ53" i="115"/>
  <c r="BH8" i="115"/>
  <c r="BF24" i="115"/>
  <c r="BI18" i="115"/>
  <c r="BK44" i="115"/>
  <c r="BF64" i="115"/>
  <c r="BG15" i="115"/>
  <c r="BD30" i="115"/>
  <c r="BH44" i="115"/>
  <c r="BB56" i="115"/>
  <c r="BI48" i="115"/>
  <c r="AZ58" i="115"/>
  <c r="BB14" i="115"/>
  <c r="BI28" i="115"/>
  <c r="AZ13" i="115"/>
  <c r="AZ53" i="115"/>
  <c r="BE73" i="115"/>
  <c r="BE72" i="115" s="1"/>
  <c r="BE20" i="115"/>
  <c r="BA36" i="115"/>
  <c r="BD49" i="115"/>
  <c r="BH61" i="115"/>
  <c r="BK53" i="115"/>
  <c r="BI64" i="115"/>
  <c r="BK17" i="115"/>
  <c r="BI34" i="115"/>
  <c r="BD11" i="115"/>
  <c r="BF52" i="115"/>
  <c r="BH26" i="117"/>
  <c r="BK52" i="117"/>
  <c r="BH29" i="117"/>
  <c r="BB17" i="117"/>
  <c r="AZ31" i="117"/>
  <c r="BJ23" i="117"/>
  <c r="BH4" i="117"/>
  <c r="BB66" i="117"/>
  <c r="BC36" i="117"/>
  <c r="BB48" i="117"/>
  <c r="BD63" i="117"/>
  <c r="BJ54" i="117"/>
  <c r="BF42" i="117"/>
  <c r="BI19" i="117"/>
  <c r="BG42" i="117"/>
  <c r="BD59" i="117"/>
  <c r="AZ46" i="117"/>
  <c r="AZ58" i="117"/>
  <c r="BB20" i="117"/>
  <c r="BG28" i="117"/>
  <c r="BC63" i="117"/>
  <c r="BC28" i="117"/>
  <c r="BC73" i="117"/>
  <c r="BC72" i="117" s="1"/>
  <c r="BG21" i="117"/>
  <c r="BG63" i="117"/>
  <c r="AZ32" i="117"/>
  <c r="BF56" i="117"/>
  <c r="BJ40" i="117"/>
  <c r="BB61" i="117"/>
  <c r="BB52" i="117"/>
  <c r="AZ30" i="117"/>
  <c r="AZ51" i="117"/>
  <c r="BE63" i="117"/>
  <c r="BD3" i="117"/>
  <c r="AZ78" i="117"/>
  <c r="BC67" i="117"/>
  <c r="BD24" i="117"/>
  <c r="BI34" i="117"/>
  <c r="BH11" i="117"/>
  <c r="BD18" i="117"/>
  <c r="BI26" i="117"/>
  <c r="AZ23" i="117"/>
  <c r="BD67" i="117"/>
  <c r="BH8" i="117"/>
  <c r="BK27" i="117"/>
  <c r="BG45" i="117"/>
  <c r="BA10" i="117"/>
  <c r="BG16" i="117"/>
  <c r="BG29" i="117"/>
  <c r="BE16" i="117"/>
  <c r="BI56" i="117"/>
  <c r="BF11" i="117"/>
  <c r="BI23" i="117"/>
  <c r="BA3" i="117"/>
  <c r="BC57" i="117"/>
  <c r="BE17" i="117"/>
  <c r="BE15" i="117"/>
  <c r="BI54" i="117"/>
  <c r="AZ14" i="117"/>
  <c r="BD29" i="117"/>
  <c r="BA41" i="117"/>
  <c r="BD31" i="117"/>
  <c r="BJ38" i="117"/>
  <c r="BK20" i="117"/>
  <c r="BI15" i="117"/>
  <c r="BE73" i="121"/>
  <c r="BE72" i="121" s="1"/>
  <c r="BI45" i="121"/>
  <c r="BI69" i="121"/>
  <c r="BA71" i="121"/>
  <c r="BA70" i="121" s="1"/>
  <c r="BD18" i="121"/>
  <c r="BF29" i="121"/>
  <c r="BG4" i="121"/>
  <c r="BJ11" i="121"/>
  <c r="BF27" i="121"/>
  <c r="V15" i="103"/>
  <c r="BH46" i="107"/>
  <c r="BF16" i="107"/>
  <c r="BH61" i="107"/>
  <c r="BF78" i="107"/>
  <c r="BJ25" i="107"/>
  <c r="BE9" i="107"/>
  <c r="BA55" i="107"/>
  <c r="BE37" i="107"/>
  <c r="BE18" i="107"/>
  <c r="BK69" i="107"/>
  <c r="AZ48" i="107"/>
  <c r="BG18" i="107"/>
  <c r="BB21" i="107"/>
  <c r="BK67" i="107"/>
  <c r="BC48" i="107"/>
  <c r="BD31" i="107"/>
  <c r="BH15" i="107"/>
  <c r="BC61" i="107"/>
  <c r="BA78" i="107"/>
  <c r="BC27" i="107"/>
  <c r="BJ53" i="107"/>
  <c r="BC13" i="107"/>
  <c r="BF27" i="107"/>
  <c r="BD8" i="107"/>
  <c r="BF54" i="107"/>
  <c r="BC37" i="107"/>
  <c r="BK19" i="107"/>
  <c r="BI69" i="107"/>
  <c r="BF48" i="107"/>
  <c r="BG31" i="107"/>
  <c r="BJ11" i="107"/>
  <c r="BG58" i="107"/>
  <c r="BH20" i="107"/>
  <c r="BA56" i="107"/>
  <c r="BI32" i="107"/>
  <c r="BF15" i="107"/>
  <c r="BA61" i="107"/>
  <c r="BG78" i="107"/>
  <c r="BK25" i="107"/>
  <c r="BG8" i="107"/>
  <c r="BB55" i="107"/>
  <c r="BF38" i="107"/>
  <c r="BD17" i="107"/>
  <c r="BF66" i="107"/>
  <c r="AZ32" i="107"/>
  <c r="AZ38" i="107"/>
  <c r="BI38" i="107"/>
  <c r="BJ20" i="107"/>
  <c r="BG69" i="107"/>
  <c r="BK46" i="107"/>
  <c r="BF30" i="107"/>
  <c r="BA14" i="107"/>
  <c r="BD61" i="107"/>
  <c r="BB78" i="107"/>
  <c r="BF25" i="107"/>
  <c r="BC11" i="107"/>
  <c r="BC71" i="107"/>
  <c r="BC70" i="107" s="1"/>
  <c r="BF43" i="107"/>
  <c r="BI25" i="107"/>
  <c r="BD9" i="107"/>
  <c r="AZ55" i="107"/>
  <c r="BK36" i="107"/>
  <c r="BD18" i="107"/>
  <c r="BH71" i="107"/>
  <c r="BH70" i="107" s="1"/>
  <c r="AZ49" i="107"/>
  <c r="BI30" i="107"/>
  <c r="BG45" i="107"/>
  <c r="BC49" i="107"/>
  <c r="BK31" i="107"/>
  <c r="AZ16" i="107"/>
  <c r="BJ61" i="107"/>
  <c r="BH78" i="107"/>
  <c r="BC26" i="107"/>
  <c r="AZ8" i="107"/>
  <c r="BC55" i="107"/>
  <c r="BG37" i="107"/>
  <c r="BG43" i="114"/>
  <c r="BI8" i="114"/>
  <c r="BG34" i="114"/>
  <c r="BD38" i="114"/>
  <c r="BH18" i="114"/>
  <c r="BK52" i="114"/>
  <c r="BE48" i="114"/>
  <c r="BF21" i="114"/>
  <c r="BE19" i="114"/>
  <c r="BH4" i="114"/>
  <c r="BD20" i="114"/>
  <c r="BB29" i="114"/>
  <c r="AZ45" i="114"/>
  <c r="BA38" i="114"/>
  <c r="BK16" i="114"/>
  <c r="BH36" i="114"/>
  <c r="BI64" i="114"/>
  <c r="BE51" i="114"/>
  <c r="BA21" i="114"/>
  <c r="BH27" i="114"/>
  <c r="BD8" i="114"/>
  <c r="BI30" i="114"/>
  <c r="BG42" i="114"/>
  <c r="BG40" i="114"/>
  <c r="BG31" i="114"/>
  <c r="BH54" i="114"/>
  <c r="BH11" i="114"/>
  <c r="BF39" i="114"/>
  <c r="BB73" i="114"/>
  <c r="BB72" i="114" s="1"/>
  <c r="BF17" i="114"/>
  <c r="BJ56" i="114"/>
  <c r="BG66" i="114"/>
  <c r="BI71" i="114"/>
  <c r="BI70" i="114" s="1"/>
  <c r="BB27" i="114"/>
  <c r="BA69" i="114"/>
  <c r="AZ53" i="114"/>
  <c r="BE30" i="114"/>
  <c r="BH26" i="114"/>
  <c r="BB26" i="114"/>
  <c r="AZ24" i="114"/>
  <c r="BD63" i="114"/>
  <c r="BA43" i="114"/>
  <c r="BI40" i="114"/>
  <c r="BF66" i="114"/>
  <c r="AZ56" i="114"/>
  <c r="BJ19" i="114"/>
  <c r="BA59" i="114"/>
  <c r="V15" i="118"/>
  <c r="BK27" i="100"/>
  <c r="BK15" i="100"/>
  <c r="BE57" i="100"/>
  <c r="BF57" i="100"/>
  <c r="BE67" i="100"/>
  <c r="BE66" i="100"/>
  <c r="BE69" i="100"/>
  <c r="BJ21" i="100"/>
  <c r="BD40" i="100"/>
  <c r="BJ73" i="100"/>
  <c r="BJ72" i="100" s="1"/>
  <c r="BH19" i="100"/>
  <c r="BD15" i="100"/>
  <c r="BD26" i="100"/>
  <c r="BB15" i="100"/>
  <c r="BK46" i="100"/>
  <c r="BF24" i="100"/>
  <c r="BK29" i="100"/>
  <c r="BF78" i="100"/>
  <c r="BA39" i="100"/>
  <c r="BB66" i="100"/>
  <c r="BC71" i="100"/>
  <c r="BC70" i="100" s="1"/>
  <c r="BH61" i="100"/>
  <c r="BG20" i="100"/>
  <c r="BG54" i="100"/>
  <c r="BB61" i="100"/>
  <c r="BH17" i="100"/>
  <c r="BB55" i="100"/>
  <c r="BD46" i="100"/>
  <c r="BG63" i="100"/>
  <c r="BF53" i="100"/>
  <c r="BC67" i="100"/>
  <c r="BH38" i="100"/>
  <c r="BC55" i="100"/>
  <c r="BE28" i="100"/>
  <c r="BC56" i="100"/>
  <c r="BH64" i="100"/>
  <c r="AZ26" i="100"/>
  <c r="BE19" i="100"/>
  <c r="BA17" i="100"/>
  <c r="BD4" i="100"/>
  <c r="BJ34" i="100"/>
  <c r="BE43" i="100"/>
  <c r="BA63" i="100"/>
  <c r="BD54" i="100"/>
  <c r="BH44" i="100"/>
  <c r="BC39" i="100"/>
  <c r="BA30" i="100"/>
  <c r="BH45" i="100"/>
  <c r="AZ42" i="100"/>
  <c r="BE71" i="100"/>
  <c r="BE70" i="100" s="1"/>
  <c r="BE17" i="100"/>
  <c r="BC18" i="100"/>
  <c r="BH57" i="100"/>
  <c r="BH32" i="100"/>
  <c r="BE37" i="100"/>
  <c r="BI35" i="100"/>
  <c r="BE10" i="100"/>
  <c r="BD10" i="100"/>
  <c r="BC16" i="100"/>
  <c r="BG8" i="100"/>
  <c r="BA16" i="100"/>
  <c r="BI61" i="100"/>
  <c r="BH40" i="100"/>
  <c r="BD9" i="100"/>
  <c r="BC25" i="100"/>
  <c r="AZ46" i="100"/>
  <c r="BI21" i="100"/>
  <c r="BA34" i="100"/>
  <c r="BB31" i="100"/>
  <c r="BE38" i="100"/>
  <c r="BA31" i="100"/>
  <c r="BD59" i="100"/>
  <c r="BG41" i="100"/>
  <c r="BK67" i="100"/>
  <c r="AZ41" i="100"/>
  <c r="BI16" i="100"/>
  <c r="BG49" i="100"/>
  <c r="BC54" i="100"/>
  <c r="BI53" i="100"/>
  <c r="BK13" i="100"/>
  <c r="BH46" i="100"/>
  <c r="AZ67" i="100"/>
  <c r="BD32" i="100"/>
  <c r="BH23" i="100"/>
  <c r="BJ25" i="100"/>
  <c r="BK44" i="100"/>
  <c r="BK39" i="100"/>
  <c r="BB71" i="100"/>
  <c r="BB70" i="100" s="1"/>
  <c r="BF20" i="100"/>
  <c r="BE15" i="100"/>
  <c r="BA53" i="100"/>
  <c r="BF4" i="100"/>
  <c r="BF9" i="100"/>
  <c r="BD61" i="100"/>
  <c r="BK71" i="100"/>
  <c r="BK70" i="100" s="1"/>
  <c r="BJ35" i="100"/>
  <c r="BH63" i="100"/>
  <c r="BA3" i="100"/>
  <c r="BE16" i="100"/>
  <c r="BE8" i="100"/>
  <c r="BJ48" i="100"/>
  <c r="BH49" i="100"/>
  <c r="BF56" i="100"/>
  <c r="BJ15" i="100"/>
  <c r="BG18" i="100"/>
  <c r="BH73" i="100"/>
  <c r="BH72" i="100" s="1"/>
  <c r="BI8" i="100"/>
  <c r="BJ51" i="100"/>
  <c r="BI11" i="100"/>
  <c r="BI38" i="100"/>
  <c r="BC37" i="100"/>
  <c r="BG31" i="100"/>
  <c r="BI59" i="100"/>
  <c r="BG30" i="100"/>
  <c r="BH30" i="100"/>
  <c r="AZ14" i="100"/>
  <c r="BC46" i="100"/>
  <c r="BC59" i="100"/>
  <c r="BJ37" i="100"/>
  <c r="BE18" i="100"/>
  <c r="BB16" i="100"/>
  <c r="BB69" i="100"/>
  <c r="BJ57" i="100"/>
  <c r="BD78" i="100"/>
  <c r="BK56" i="100"/>
  <c r="BC53" i="100"/>
  <c r="BF26" i="100"/>
  <c r="BG40" i="100"/>
  <c r="BG19" i="100"/>
  <c r="BK30" i="100"/>
  <c r="BH3" i="100"/>
  <c r="BG52" i="100"/>
  <c r="AZ61" i="100"/>
  <c r="BB20" i="100"/>
  <c r="BB10" i="100"/>
  <c r="BE78" i="100"/>
  <c r="BH59" i="100"/>
  <c r="BA28" i="100"/>
  <c r="AZ73" i="100"/>
  <c r="AZ72" i="100" s="1"/>
  <c r="BB34" i="100"/>
  <c r="BF55" i="100"/>
  <c r="AZ11" i="100"/>
  <c r="BD73" i="100"/>
  <c r="BD72" i="100" s="1"/>
  <c r="BH41" i="100"/>
  <c r="BB11" i="100"/>
  <c r="BF39" i="100"/>
  <c r="BC52" i="100"/>
  <c r="BE27" i="100"/>
  <c r="BA9" i="100"/>
  <c r="BJ56" i="100"/>
  <c r="BE49" i="100"/>
  <c r="BF43" i="100"/>
  <c r="BD13" i="100"/>
  <c r="BJ40" i="100"/>
  <c r="BD19" i="100"/>
  <c r="BB59" i="100"/>
  <c r="BF38" i="100"/>
  <c r="BJ14" i="100"/>
  <c r="BJ78" i="100"/>
  <c r="BK52" i="100"/>
  <c r="BC19" i="100"/>
  <c r="BB49" i="100"/>
  <c r="BF31" i="100"/>
  <c r="BC31" i="100"/>
  <c r="BJ36" i="100"/>
  <c r="BF25" i="100"/>
  <c r="BD66" i="100"/>
  <c r="BB41" i="100"/>
  <c r="BD39" i="100"/>
  <c r="BK42" i="100"/>
  <c r="BG45" i="100"/>
  <c r="BB18" i="100"/>
  <c r="BE42" i="100"/>
  <c r="BE64" i="100"/>
  <c r="BH55" i="100"/>
  <c r="BG56" i="100"/>
  <c r="BI57" i="100"/>
  <c r="BB30" i="100"/>
  <c r="AZ56" i="100"/>
  <c r="BF42" i="100"/>
  <c r="AZ58" i="100"/>
  <c r="BF3" i="100"/>
  <c r="BB29" i="100"/>
  <c r="BJ64" i="100"/>
  <c r="BK16" i="100"/>
  <c r="BB42" i="100"/>
  <c r="BE13" i="100"/>
  <c r="BB36" i="100"/>
  <c r="BJ58" i="100"/>
  <c r="BF49" i="100"/>
  <c r="BA15" i="100"/>
  <c r="BB45" i="100"/>
  <c r="BK28" i="100"/>
  <c r="BK18" i="100"/>
  <c r="BE23" i="100"/>
  <c r="BI34" i="100"/>
  <c r="AZ52" i="100"/>
  <c r="AZ49" i="100" a="1"/>
  <c r="AZ49" i="100" s="1"/>
  <c r="BG36" i="100"/>
  <c r="BI51" i="100"/>
  <c r="BB43" i="100"/>
  <c r="BH53" i="100"/>
  <c r="BH11" i="100"/>
  <c r="AZ25" i="100"/>
  <c r="BB58" i="100"/>
  <c r="BC34" i="100"/>
  <c r="BG4" i="100"/>
  <c r="BI46" i="100"/>
  <c r="BJ61" i="100"/>
  <c r="BA48" i="100"/>
  <c r="BC48" i="100"/>
  <c r="BJ24" i="100"/>
  <c r="BB48" i="100"/>
  <c r="BI25" i="100"/>
  <c r="BG37" i="100"/>
  <c r="BJ9" i="100"/>
  <c r="BD28" i="100"/>
  <c r="BK11" i="100"/>
  <c r="BB3" i="100"/>
  <c r="BB39" i="100"/>
  <c r="BA49" i="100"/>
  <c r="BG25" i="100"/>
  <c r="BE59" i="100"/>
  <c r="BD41" i="100"/>
  <c r="BC21" i="100"/>
  <c r="BI27" i="100"/>
  <c r="BB25" i="100"/>
  <c r="AZ43" i="100"/>
  <c r="BI41" i="100"/>
  <c r="BF35" i="100"/>
  <c r="BA43" i="100"/>
  <c r="AZ30" i="100"/>
  <c r="BI40" i="100"/>
  <c r="BK73" i="100"/>
  <c r="BK72" i="100" s="1"/>
  <c r="BD52" i="100"/>
  <c r="BG43" i="100"/>
  <c r="BK43" i="100"/>
  <c r="BG21" i="100"/>
  <c r="AZ28" i="100"/>
  <c r="BF10" i="100"/>
  <c r="BA4" i="100"/>
  <c r="BG51" i="100"/>
  <c r="AZ31" i="100"/>
  <c r="BF32" i="100"/>
  <c r="BK3" i="100"/>
  <c r="BB35" i="100"/>
  <c r="BG64" i="100"/>
  <c r="BE35" i="100"/>
  <c r="BJ45" i="100"/>
  <c r="BI23" i="100"/>
  <c r="BK17" i="100"/>
  <c r="BI69" i="100"/>
  <c r="BC23" i="100"/>
  <c r="BH16" i="100"/>
  <c r="BH66" i="100"/>
  <c r="BB28" i="100"/>
  <c r="BF66" i="100"/>
  <c r="AZ16" i="100"/>
  <c r="BA38" i="100"/>
  <c r="BK24" i="100"/>
  <c r="BI54" i="100"/>
  <c r="BK34" i="100"/>
  <c r="BF16" i="100"/>
  <c r="BF41" i="100"/>
  <c r="BI58" i="100"/>
  <c r="BA57" i="100"/>
  <c r="BK20" i="100"/>
  <c r="BI26" i="100"/>
  <c r="AZ53" i="100"/>
  <c r="BB54" i="100"/>
  <c r="AZ9" i="100"/>
  <c r="BF13" i="100"/>
  <c r="BI36" i="100"/>
  <c r="BA27" i="100"/>
  <c r="BD30" i="100"/>
  <c r="BI15" i="100"/>
  <c r="BD49" i="100"/>
  <c r="BH9" i="100"/>
  <c r="BH58" i="100"/>
  <c r="BF37" i="100"/>
  <c r="BI66" i="100"/>
  <c r="BC14" i="100"/>
  <c r="BG53" i="100"/>
  <c r="BC32" i="100"/>
  <c r="BE30" i="100"/>
  <c r="BJ71" i="100"/>
  <c r="BJ70" i="100" s="1"/>
  <c r="BK55" i="100"/>
  <c r="BK64" i="100"/>
  <c r="BI14" i="100"/>
  <c r="AZ39" i="100"/>
  <c r="BE54" i="100"/>
  <c r="BA25" i="100"/>
  <c r="BB64" i="100"/>
  <c r="BK54" i="100"/>
  <c r="BK32" i="100"/>
  <c r="BB24" i="100"/>
  <c r="BI30" i="100"/>
  <c r="AZ19" i="100"/>
  <c r="BD17" i="100"/>
  <c r="BJ4" i="100"/>
  <c r="BH24" i="100"/>
  <c r="BE32" i="100"/>
  <c r="BK36" i="100"/>
  <c r="BF36" i="100"/>
  <c r="AZ34" i="100"/>
  <c r="BK25" i="100"/>
  <c r="BJ59" i="100"/>
  <c r="BH42" i="100"/>
  <c r="BB52" i="100"/>
  <c r="BG39" i="100"/>
  <c r="BA26" i="100"/>
  <c r="BI67" i="100"/>
  <c r="BD63" i="100"/>
  <c r="BF59" i="100"/>
  <c r="BF54" i="100"/>
  <c r="BD57" i="100"/>
  <c r="AZ4" i="100"/>
  <c r="BG59" i="100"/>
  <c r="AZ54" i="100"/>
  <c r="AZ66" i="100"/>
  <c r="AZ48" i="100"/>
  <c r="BH43" i="100"/>
  <c r="BA42" i="100"/>
  <c r="BH4" i="100"/>
  <c r="BF15" i="100"/>
  <c r="BK53" i="100"/>
  <c r="BF14" i="100"/>
  <c r="BB21" i="100"/>
  <c r="BC11" i="100"/>
  <c r="BC38" i="100"/>
  <c r="BF40" i="100"/>
  <c r="BC42" i="100"/>
  <c r="AZ44" i="100"/>
  <c r="BE34" i="100"/>
  <c r="BH37" i="100"/>
  <c r="BG24" i="100"/>
  <c r="BF52" i="100"/>
  <c r="BA52" i="100"/>
  <c r="BH13" i="100"/>
  <c r="BB4" i="100"/>
  <c r="BH10" i="100"/>
  <c r="AZ63" i="100"/>
  <c r="BG16" i="100"/>
  <c r="BI13" i="100"/>
  <c r="BI55" i="100"/>
  <c r="BF46" i="100"/>
  <c r="AZ24" i="100"/>
  <c r="BH8" i="100"/>
  <c r="BF61" i="100"/>
  <c r="BE24" i="100"/>
  <c r="BK38" i="100"/>
  <c r="BD27" i="100"/>
  <c r="BA20" i="100"/>
  <c r="BC51" i="100"/>
  <c r="BC17" i="100"/>
  <c r="BE26" i="100"/>
  <c r="BA37" i="100"/>
  <c r="BI10" i="100"/>
  <c r="BE73" i="100"/>
  <c r="BE72" i="100" s="1"/>
  <c r="BK23" i="100"/>
  <c r="BI24" i="100"/>
  <c r="BI48" i="100"/>
  <c r="BA24" i="100"/>
  <c r="BH34" i="100"/>
  <c r="BE46" i="100"/>
  <c r="BK59" i="100"/>
  <c r="BJ18" i="100"/>
  <c r="BD36" i="100"/>
  <c r="BC4" i="100"/>
  <c r="BE63" i="100"/>
  <c r="BA67" i="100"/>
  <c r="BH48" i="100"/>
  <c r="BC36" i="100"/>
  <c r="BE55" i="100"/>
  <c r="BK63" i="100"/>
  <c r="BB53" i="100"/>
  <c r="BK31" i="100"/>
  <c r="BD42" i="100"/>
  <c r="BD18" i="100"/>
  <c r="BC69" i="100"/>
  <c r="BE48" i="100"/>
  <c r="BJ63" i="100"/>
  <c r="BB17" i="100"/>
  <c r="BE39" i="100"/>
  <c r="BA55" i="100"/>
  <c r="BC41" i="100"/>
  <c r="BJ28" i="100"/>
  <c r="AZ3" i="100"/>
  <c r="BB9" i="100"/>
  <c r="BC35" i="100"/>
  <c r="BG71" i="100"/>
  <c r="BG70" i="100" s="1"/>
  <c r="BI43" i="100"/>
  <c r="BG29" i="100"/>
  <c r="BI39" i="100"/>
  <c r="BG78" i="100"/>
  <c r="BE61" i="100"/>
  <c r="AZ27" i="100"/>
  <c r="BJ69" i="100"/>
  <c r="BD58" i="100"/>
  <c r="BG58" i="100"/>
  <c r="BF21" i="100"/>
  <c r="BK40" i="100"/>
  <c r="BC45" i="100"/>
  <c r="BA40" i="100"/>
  <c r="BG34" i="100"/>
  <c r="BH14" i="100"/>
  <c r="BH27" i="100"/>
  <c r="BJ10" i="100"/>
  <c r="BF28" i="100"/>
  <c r="BA64" i="100"/>
  <c r="BF23" i="100"/>
  <c r="BE45" i="100"/>
  <c r="BI73" i="100"/>
  <c r="BI72" i="100" s="1"/>
  <c r="AZ10" i="100"/>
  <c r="BK14" i="100"/>
  <c r="BK69" i="100"/>
  <c r="BD38" i="100"/>
  <c r="BG27" i="100"/>
  <c r="BC44" i="100"/>
  <c r="BB67" i="100"/>
  <c r="BB32" i="100"/>
  <c r="BD67" i="100"/>
  <c r="BB51" i="100"/>
  <c r="BG57" i="100"/>
  <c r="BK45" i="100"/>
  <c r="BH29" i="100"/>
  <c r="BF45" i="100"/>
  <c r="BA36" i="100"/>
  <c r="BF17" i="100"/>
  <c r="BH20" i="100"/>
  <c r="BB26" i="100"/>
  <c r="BF48" i="100"/>
  <c r="BE31" i="100"/>
  <c r="BC30" i="100"/>
  <c r="BF30" i="100"/>
  <c r="BE41" i="100"/>
  <c r="BA61" i="100"/>
  <c r="BB46" i="100"/>
  <c r="BE4" i="100"/>
  <c r="BJ52" i="100"/>
  <c r="AZ71" i="100"/>
  <c r="AZ70" i="100" s="1"/>
  <c r="BG67" i="100"/>
  <c r="BG38" i="100"/>
  <c r="BI71" i="100"/>
  <c r="BI70" i="100" s="1"/>
  <c r="BC64" i="100"/>
  <c r="BE40" i="100"/>
  <c r="AZ23" i="100"/>
  <c r="BA71" i="100"/>
  <c r="BA70" i="100" s="1"/>
  <c r="BK4" i="100"/>
  <c r="BK61" i="100"/>
  <c r="BF58" i="100"/>
  <c r="BA10" i="100"/>
  <c r="BG9" i="100"/>
  <c r="BA19" i="100"/>
  <c r="BD16" i="100"/>
  <c r="BD45" i="100"/>
  <c r="BD3" i="100"/>
  <c r="BI49" i="100"/>
  <c r="BG3" i="100"/>
  <c r="BB19" i="100"/>
  <c r="BH31" i="100"/>
  <c r="BI31" i="100"/>
  <c r="BF27" i="100"/>
  <c r="BD23" i="100"/>
  <c r="BG14" i="100"/>
  <c r="BI56" i="100"/>
  <c r="BH28" i="100"/>
  <c r="BC61" i="100"/>
  <c r="BG26" i="100"/>
  <c r="BH71" i="100"/>
  <c r="BH70" i="100" s="1"/>
  <c r="BA29" i="100"/>
  <c r="BD20" i="100"/>
  <c r="BH35" i="100"/>
  <c r="BK49" i="100"/>
  <c r="BC66" i="100"/>
  <c r="BC3" i="100"/>
  <c r="BB78" i="100"/>
  <c r="BG23" i="100"/>
  <c r="BK48" i="100"/>
  <c r="BE11" i="100"/>
  <c r="AZ36" i="100"/>
  <c r="BD55" i="100"/>
  <c r="BI17" i="100"/>
  <c r="BA8" i="100"/>
  <c r="BJ32" i="100"/>
  <c r="AZ69" i="100"/>
  <c r="BG10" i="100"/>
  <c r="AZ35" i="100"/>
  <c r="BK35" i="100"/>
  <c r="BB56" i="100"/>
  <c r="BJ26" i="100"/>
  <c r="BD31" i="100"/>
  <c r="BA13" i="100"/>
  <c r="BK19" i="100"/>
  <c r="BD64" i="100"/>
  <c r="BH69" i="100"/>
  <c r="BF71" i="100"/>
  <c r="BF70" i="100" s="1"/>
  <c r="BI29" i="100"/>
  <c r="BC15" i="100"/>
  <c r="BI3" i="100"/>
  <c r="BJ42" i="100"/>
  <c r="BJ13" i="100"/>
  <c r="BH78" i="100"/>
  <c r="BD11" i="100"/>
  <c r="BF29" i="100"/>
  <c r="BF69" i="100"/>
  <c r="BJ16" i="100"/>
  <c r="BG11" i="100"/>
  <c r="BF19" i="100"/>
  <c r="BJ44" i="100"/>
  <c r="BB57" i="100"/>
  <c r="BH15" i="100"/>
  <c r="BB40" i="100"/>
  <c r="BC26" i="100"/>
  <c r="BC57" i="100"/>
  <c r="BG42" i="100"/>
  <c r="BD48" i="100"/>
  <c r="BB14" i="100"/>
  <c r="BD44" i="100"/>
  <c r="BB13" i="100"/>
  <c r="AZ13" i="100"/>
  <c r="BD43" i="100"/>
  <c r="BD34" i="100"/>
  <c r="BH26" i="100"/>
  <c r="BA32" i="100"/>
  <c r="BG69" i="100"/>
  <c r="BJ39" i="100"/>
  <c r="BA51" i="100"/>
  <c r="AZ38" i="100"/>
  <c r="BJ27" i="100"/>
  <c r="BC43" i="100"/>
  <c r="BG17" i="100"/>
  <c r="BF64" i="100"/>
  <c r="BJ55" i="100"/>
  <c r="AZ40" i="100"/>
  <c r="BI4" i="100"/>
  <c r="BI19" i="100"/>
  <c r="AZ37" i="100"/>
  <c r="BC73" i="100"/>
  <c r="BC72" i="100" s="1"/>
  <c r="BK9" i="100"/>
  <c r="BG55" i="100"/>
  <c r="BB23" i="100"/>
  <c r="BI64" i="100"/>
  <c r="BK78" i="100"/>
  <c r="BC28" i="100"/>
  <c r="BE58" i="100"/>
  <c r="BC40" i="100"/>
  <c r="AZ17" i="100"/>
  <c r="BC8" i="100"/>
  <c r="AZ55" i="100"/>
  <c r="BC49" i="100"/>
  <c r="BK66" i="100"/>
  <c r="BE21" i="100"/>
  <c r="BG44" i="100"/>
  <c r="BD24" i="100"/>
  <c r="BH54" i="100"/>
  <c r="BH21" i="100"/>
  <c r="BA14" i="100"/>
  <c r="BF51" i="100"/>
  <c r="BG15" i="100"/>
  <c r="BK57" i="100"/>
  <c r="BG28" i="100"/>
  <c r="BD71" i="100"/>
  <c r="BD70" i="100" s="1"/>
  <c r="AZ64" i="100"/>
  <c r="BC78" i="100"/>
  <c r="BI32" i="100"/>
  <c r="BK21" i="100"/>
  <c r="BF73" i="100"/>
  <c r="BF72" i="100" s="1"/>
  <c r="BJ17" i="100"/>
  <c r="BC24" i="100"/>
  <c r="BB27" i="100"/>
  <c r="BJ46" i="100"/>
  <c r="BG35" i="100"/>
  <c r="BJ19" i="100"/>
  <c r="BH67" i="100"/>
  <c r="BI28" i="100"/>
  <c r="BI78" i="100"/>
  <c r="BC58" i="100"/>
  <c r="BK41" i="100"/>
  <c r="BB63" i="100"/>
  <c r="BD14" i="100"/>
  <c r="BJ30" i="100"/>
  <c r="BI9" i="100"/>
  <c r="BI45" i="100"/>
  <c r="BA44" i="100"/>
  <c r="BD8" i="100"/>
  <c r="AZ59" i="100"/>
  <c r="BD25" i="100"/>
  <c r="BJ54" i="100"/>
  <c r="BJ49" i="100"/>
  <c r="BF18" i="100"/>
  <c r="AZ78" i="100"/>
  <c r="BE29" i="100"/>
  <c r="BC10" i="100"/>
  <c r="BH52" i="100"/>
  <c r="BH51" i="100"/>
  <c r="BJ53" i="100"/>
  <c r="BE53" i="100"/>
  <c r="AZ45" i="100"/>
  <c r="BG48" i="100"/>
  <c r="BA46" i="100"/>
  <c r="BH56" i="100"/>
  <c r="BI63" i="100"/>
  <c r="BF11" i="100"/>
  <c r="BF67" i="100"/>
  <c r="BA56" i="100"/>
  <c r="BE36" i="100"/>
  <c r="AZ15" i="100"/>
  <c r="BJ20" i="100"/>
  <c r="BA73" i="100"/>
  <c r="BA72" i="100" s="1"/>
  <c r="BJ43" i="100"/>
  <c r="BB8" i="100"/>
  <c r="BH18" i="100"/>
  <c r="BC20" i="100"/>
  <c r="BD21" i="100"/>
  <c r="BA58" i="100"/>
  <c r="BB38" i="100"/>
  <c r="BD29" i="100"/>
  <c r="BD69" i="100"/>
  <c r="BK26" i="100"/>
  <c r="BJ8" i="100"/>
  <c r="BE52" i="100"/>
  <c r="BC13" i="100"/>
  <c r="AZ20" i="100"/>
  <c r="BI20" i="100"/>
  <c r="BD56" i="100"/>
  <c r="BJ41" i="100"/>
  <c r="BA23" i="100"/>
  <c r="BK37" i="100"/>
  <c r="BD51" i="100"/>
  <c r="BJ23" i="100"/>
  <c r="BA41" i="100"/>
  <c r="AZ21" i="100"/>
  <c r="BB44" i="100"/>
  <c r="BK10" i="100"/>
  <c r="BA21" i="100"/>
  <c r="BB37" i="100"/>
  <c r="BF63" i="100"/>
  <c r="BA78" i="100"/>
  <c r="BA11" i="100"/>
  <c r="BE14" i="100"/>
  <c r="BA35" i="100"/>
  <c r="BJ29" i="100"/>
  <c r="BK8" i="100"/>
  <c r="BK51" i="100"/>
  <c r="BJ3" i="100"/>
  <c r="BG66" i="100"/>
  <c r="BI18" i="100"/>
  <c r="BG13" i="100"/>
  <c r="BE20" i="100"/>
  <c r="BI44" i="100"/>
  <c r="BA66" i="100"/>
  <c r="AZ29" i="100"/>
  <c r="BG32" i="100"/>
  <c r="BJ66" i="100"/>
  <c r="AZ51" i="100"/>
  <c r="BE9" i="100"/>
  <c r="BE44" i="100"/>
  <c r="BH39" i="100"/>
  <c r="BJ31" i="100"/>
  <c r="BA59" i="100"/>
  <c r="BJ11" i="100"/>
  <c r="BC9" i="100"/>
  <c r="BE56" i="100"/>
  <c r="BF44" i="100"/>
  <c r="BJ67" i="100"/>
  <c r="AZ57" i="100"/>
  <c r="AZ18" i="100"/>
  <c r="BD53" i="100"/>
  <c r="BK58" i="100"/>
  <c r="BG73" i="100"/>
  <c r="BG72" i="100" s="1"/>
  <c r="BC27" i="100"/>
  <c r="BC63" i="100"/>
  <c r="BA54" i="100"/>
  <c r="BE25" i="100"/>
  <c r="BD35" i="100"/>
  <c r="BH36" i="100"/>
  <c r="BG46" i="100"/>
  <c r="BB73" i="100"/>
  <c r="BB72" i="100" s="1"/>
  <c r="BF34" i="100"/>
  <c r="AZ8" i="100"/>
  <c r="BA69" i="100"/>
  <c r="BG32" i="102"/>
  <c r="BE30" i="102"/>
  <c r="BF52" i="102"/>
  <c r="BB35" i="102"/>
  <c r="BC55" i="102"/>
  <c r="BH71" i="102"/>
  <c r="BH70" i="102" s="1"/>
  <c r="BB53" i="102"/>
  <c r="BI54" i="102"/>
  <c r="BI45" i="102"/>
  <c r="BG29" i="102"/>
  <c r="BB32" i="102"/>
  <c r="BG41" i="102"/>
  <c r="BA39" i="102"/>
  <c r="BC31" i="102"/>
  <c r="BH31" i="102"/>
  <c r="BE25" i="102"/>
  <c r="BI63" i="102"/>
  <c r="BB46" i="102"/>
  <c r="BB26" i="102"/>
  <c r="BB44" i="102"/>
  <c r="AZ15" i="102"/>
  <c r="AZ14" i="102"/>
  <c r="BG26" i="102"/>
  <c r="AZ21" i="102"/>
  <c r="BG9" i="102"/>
  <c r="BI51" i="102"/>
  <c r="BJ42" i="102"/>
  <c r="BH16" i="102"/>
  <c r="BJ36" i="102"/>
  <c r="BH18" i="102"/>
  <c r="BK39" i="102"/>
  <c r="BG54" i="102"/>
  <c r="BH14" i="102"/>
  <c r="BF16" i="102"/>
  <c r="BJ10" i="102"/>
  <c r="BD4" i="102"/>
  <c r="BK71" i="102"/>
  <c r="BK70" i="102" s="1"/>
  <c r="BH40" i="102"/>
  <c r="BC21" i="102"/>
  <c r="BG30" i="102"/>
  <c r="BD17" i="102"/>
  <c r="BI71" i="102"/>
  <c r="BI70" i="102" s="1"/>
  <c r="BG3" i="102"/>
  <c r="BC17" i="102"/>
  <c r="BE13" i="102"/>
  <c r="BB28" i="102"/>
  <c r="BG19" i="102"/>
  <c r="BC45" i="102"/>
  <c r="BI37" i="102"/>
  <c r="BE26" i="102"/>
  <c r="BD48" i="102"/>
  <c r="BC52" i="102"/>
  <c r="BH44" i="102"/>
  <c r="AZ40" i="102"/>
  <c r="BA46" i="102"/>
  <c r="BE8" i="102"/>
  <c r="BD16" i="102"/>
  <c r="BI67" i="102"/>
  <c r="BK25" i="102"/>
  <c r="BF46" i="102"/>
  <c r="BG58" i="102"/>
  <c r="BC9" i="102"/>
  <c r="BE59" i="102"/>
  <c r="BD41" i="102"/>
  <c r="BE21" i="102"/>
  <c r="BG42" i="102"/>
  <c r="BA71" i="102"/>
  <c r="BA70" i="102" s="1"/>
  <c r="BI69" i="102"/>
  <c r="BE55" i="102"/>
  <c r="AZ20" i="102"/>
  <c r="BA55" i="102"/>
  <c r="BE54" i="102"/>
  <c r="BE9" i="102"/>
  <c r="BC35" i="102"/>
  <c r="BA20" i="102"/>
  <c r="BC32" i="102"/>
  <c r="AZ48" i="102"/>
  <c r="BG36" i="102"/>
  <c r="BG11" i="102"/>
  <c r="AZ17" i="102"/>
  <c r="BJ15" i="102"/>
  <c r="BB61" i="102"/>
  <c r="BI29" i="102"/>
  <c r="BG67" i="102"/>
  <c r="BF28" i="102"/>
  <c r="AZ29" i="102"/>
  <c r="BC46" i="102"/>
  <c r="BI40" i="102"/>
  <c r="BA63" i="102"/>
  <c r="O53" i="117"/>
  <c r="P53" i="117" s="1"/>
  <c r="BA34" i="117"/>
  <c r="BD64" i="117"/>
  <c r="BG64" i="117"/>
  <c r="AZ59" i="117"/>
  <c r="BH43" i="117"/>
  <c r="BK53" i="117"/>
  <c r="BJ52" i="117"/>
  <c r="BK55" i="117"/>
  <c r="BG19" i="117"/>
  <c r="BK32" i="117"/>
  <c r="BG14" i="117"/>
  <c r="BG59" i="117"/>
  <c r="BE23" i="117"/>
  <c r="BG73" i="117"/>
  <c r="BG72" i="117" s="1"/>
  <c r="BJ27" i="117"/>
  <c r="BF57" i="117"/>
  <c r="BE56" i="117"/>
  <c r="BF53" i="117"/>
  <c r="BC38" i="117"/>
  <c r="BC48" i="117"/>
  <c r="BI46" i="117"/>
  <c r="BG51" i="117"/>
  <c r="BE11" i="117"/>
  <c r="BK23" i="117"/>
  <c r="BB8" i="117"/>
  <c r="BG34" i="117"/>
  <c r="BA69" i="117"/>
  <c r="BB51" i="117"/>
  <c r="BH49" i="117"/>
  <c r="BC44" i="117"/>
  <c r="BB32" i="117"/>
  <c r="BF78" i="117"/>
  <c r="BD41" i="117"/>
  <c r="BF44" i="117"/>
  <c r="AZ3" i="117"/>
  <c r="BD66" i="117"/>
  <c r="BH59" i="117"/>
  <c r="BA44" i="117"/>
  <c r="BJ78" i="117"/>
  <c r="AZ41" i="117"/>
  <c r="AZ26" i="117"/>
  <c r="BI37" i="117"/>
  <c r="BA57" i="117"/>
  <c r="BG54" i="117"/>
  <c r="BK38" i="117"/>
  <c r="BG39" i="117"/>
  <c r="BA35" i="117"/>
  <c r="BD20" i="117"/>
  <c r="BJ31" i="117"/>
  <c r="BJ30" i="117"/>
  <c r="BK34" i="117"/>
  <c r="BA23" i="117"/>
  <c r="BF3" i="117"/>
  <c r="BC27" i="117"/>
  <c r="AZ11" i="117"/>
  <c r="BF58" i="117"/>
  <c r="BB78" i="117"/>
  <c r="BG40" i="117"/>
  <c r="BI25" i="117"/>
  <c r="BE51" i="117"/>
  <c r="BK44" i="117"/>
  <c r="BJ32" i="117"/>
  <c r="BE32" i="117"/>
  <c r="BK63" i="117"/>
  <c r="BF14" i="117"/>
  <c r="BJ73" i="117"/>
  <c r="BJ72" i="117" s="1"/>
  <c r="BI24" i="117"/>
  <c r="BB29" i="117"/>
  <c r="BK15" i="117"/>
  <c r="BF49" i="117"/>
  <c r="BB19" i="117"/>
  <c r="BJ4" i="117"/>
  <c r="BI40" i="117"/>
  <c r="BF38" i="117"/>
  <c r="BD73" i="117"/>
  <c r="BD72" i="117" s="1"/>
  <c r="BE21" i="117"/>
  <c r="BD57" i="117"/>
  <c r="BC9" i="117"/>
  <c r="BC13" i="117"/>
  <c r="BH64" i="117"/>
  <c r="BK66" i="117"/>
  <c r="BJ37" i="117"/>
  <c r="BE42" i="117"/>
  <c r="BK40" i="117"/>
  <c r="BE43" i="117"/>
  <c r="BA71" i="117"/>
  <c r="BA70" i="117" s="1"/>
  <c r="BJ15" i="117"/>
  <c r="AZ39" i="117"/>
  <c r="BI16" i="117"/>
  <c r="AZ48" i="117"/>
  <c r="BG48" i="117"/>
  <c r="BB43" i="117"/>
  <c r="BC31" i="117"/>
  <c r="BE41" i="117"/>
  <c r="BC40" i="117"/>
  <c r="BD78" i="117"/>
  <c r="AZ64" i="117"/>
  <c r="BA15" i="117"/>
  <c r="BJ36" i="117"/>
  <c r="AZ16" i="117"/>
  <c r="BC78" i="117"/>
  <c r="BF46" i="117"/>
  <c r="BI78" i="117"/>
  <c r="BD30" i="117"/>
  <c r="BD40" i="117"/>
  <c r="BJ39" i="117"/>
  <c r="BK42" i="117"/>
  <c r="BG57" i="117"/>
  <c r="BH14" i="117"/>
  <c r="BC56" i="117"/>
  <c r="BF20" i="117"/>
  <c r="BI4" i="117"/>
  <c r="AZ54" i="117"/>
  <c r="BF48" i="117"/>
  <c r="BA36" i="117"/>
  <c r="BA45" i="117"/>
  <c r="BG44" i="117"/>
  <c r="BA48" i="117"/>
  <c r="BE8" i="117"/>
  <c r="BE19" i="117"/>
  <c r="BE3" i="117"/>
  <c r="BA27" i="117"/>
  <c r="BA13" i="117"/>
  <c r="BE58" i="117"/>
  <c r="BH55" i="117"/>
  <c r="BE40" i="117"/>
  <c r="BA51" i="117"/>
  <c r="BC49" i="117"/>
  <c r="BA53" i="117"/>
  <c r="BJ14" i="117"/>
  <c r="BJ26" i="117"/>
  <c r="BI9" i="117"/>
  <c r="BK78" i="117"/>
  <c r="BF18" i="117"/>
  <c r="BJ51" i="117"/>
  <c r="BG4" i="117"/>
  <c r="BI17" i="117"/>
  <c r="BG66" i="117"/>
  <c r="AZ53" i="117"/>
  <c r="AZ55" i="117"/>
  <c r="BF40" i="117"/>
  <c r="BB27" i="117"/>
  <c r="AZ37" i="117"/>
  <c r="BE53" i="117"/>
  <c r="BE73" i="117"/>
  <c r="BE72" i="117" s="1"/>
  <c r="BD58" i="117"/>
  <c r="BK31" i="117"/>
  <c r="BA37" i="117"/>
  <c r="BG36" i="117"/>
  <c r="BI39" i="117"/>
  <c r="BA40" i="117"/>
  <c r="BB9" i="117"/>
  <c r="BD26" i="117"/>
  <c r="BK10" i="117"/>
  <c r="BJ44" i="117"/>
  <c r="BI42" i="117"/>
  <c r="BF39" i="117"/>
  <c r="BA25" i="117"/>
  <c r="BH36" i="117"/>
  <c r="BE35" i="117"/>
  <c r="BA39" i="117"/>
  <c r="BF37" i="117"/>
  <c r="BK69" i="117"/>
  <c r="BJ25" i="117"/>
  <c r="BC10" i="117"/>
  <c r="BK35" i="117"/>
  <c r="BA42" i="117"/>
  <c r="BE38" i="117"/>
  <c r="BK24" i="117"/>
  <c r="AZ36" i="117"/>
  <c r="BD34" i="117"/>
  <c r="BH38" i="117"/>
  <c r="BC35" i="117"/>
  <c r="BK8" i="117"/>
  <c r="BH34" i="117"/>
  <c r="BG15" i="117"/>
  <c r="AZ24" i="117"/>
  <c r="BE45" i="117"/>
  <c r="BA78" i="117"/>
  <c r="BE29" i="117"/>
  <c r="BK39" i="117"/>
  <c r="BB39" i="117"/>
  <c r="BC42" i="117"/>
  <c r="BH53" i="117"/>
  <c r="BF13" i="117"/>
  <c r="BJ55" i="117"/>
  <c r="BJ19" i="117"/>
  <c r="BA4" i="117"/>
  <c r="BG53" i="117"/>
  <c r="BE46" i="117"/>
  <c r="BG35" i="117"/>
  <c r="BH44" i="117"/>
  <c r="BF43" i="117"/>
  <c r="BH46" i="117"/>
  <c r="BJ18" i="117"/>
  <c r="BH69" i="117"/>
  <c r="BB26" i="117"/>
  <c r="BG11" i="117"/>
  <c r="BK67" i="117"/>
  <c r="BG10" i="117"/>
  <c r="BI3" i="117"/>
  <c r="BD42" i="117"/>
  <c r="BJ8" i="117"/>
  <c r="BD39" i="117"/>
  <c r="BG46" i="117"/>
  <c r="BF67" i="117"/>
  <c r="BB71" i="117"/>
  <c r="BB70" i="117" s="1"/>
  <c r="BC16" i="117"/>
  <c r="BF23" i="117"/>
  <c r="BF54" i="117"/>
  <c r="BF52" i="117"/>
  <c r="BK19" i="117"/>
  <c r="BB31" i="117"/>
  <c r="BB30" i="117"/>
  <c r="BC34" i="117"/>
  <c r="BD21" i="117"/>
  <c r="BK45" i="117"/>
  <c r="BH18" i="117"/>
  <c r="BB4" i="117"/>
  <c r="BD38" i="117"/>
  <c r="BE37" i="117"/>
  <c r="BE71" i="117"/>
  <c r="BE70" i="117" s="1"/>
  <c r="BC19" i="117"/>
  <c r="BK30" i="117"/>
  <c r="BK29" i="117"/>
  <c r="BG32" i="117"/>
  <c r="BJ20" i="117"/>
  <c r="BD43" i="117"/>
  <c r="BK17" i="117"/>
  <c r="BK3" i="117"/>
  <c r="AZ34" i="117"/>
  <c r="BD36" i="117"/>
  <c r="BG69" i="117"/>
  <c r="BK18" i="117"/>
  <c r="BC30" i="117"/>
  <c r="BC29" i="117"/>
  <c r="BH31" i="117"/>
  <c r="BA20" i="117"/>
  <c r="BE67" i="117"/>
  <c r="BE24" i="117"/>
  <c r="BG9" i="117"/>
  <c r="BI13" i="117"/>
  <c r="BI41" i="117"/>
  <c r="BD37" i="117"/>
  <c r="BC24" i="117"/>
  <c r="BF35" i="117"/>
  <c r="BH32" i="117"/>
  <c r="AZ38" i="117"/>
  <c r="BE30" i="117"/>
  <c r="BC8" i="117"/>
  <c r="BD32" i="117"/>
  <c r="BD14" i="117"/>
  <c r="BD23" i="117"/>
  <c r="BD44" i="117"/>
  <c r="BH42" i="117"/>
  <c r="BF28" i="117"/>
  <c r="BC39" i="117"/>
  <c r="BI38" i="117"/>
  <c r="BK41" i="117"/>
  <c r="BC51" i="117"/>
  <c r="BK11" i="117"/>
  <c r="BH52" i="117"/>
  <c r="BA19" i="117"/>
  <c r="BJ3" i="117"/>
  <c r="AZ44" i="117"/>
  <c r="BA18" i="117"/>
  <c r="BK14" i="117"/>
  <c r="BJ71" i="117"/>
  <c r="BJ70" i="117" s="1"/>
  <c r="BG20" i="117"/>
  <c r="BH61" i="117"/>
  <c r="BB57" i="117"/>
  <c r="BB41" i="117"/>
  <c r="BH63" i="117"/>
  <c r="BE14" i="117"/>
  <c r="BE55" i="117"/>
  <c r="BC37" i="117"/>
  <c r="BH40" i="117"/>
  <c r="BD35" i="117"/>
  <c r="BJ17" i="117"/>
  <c r="BF27" i="117"/>
  <c r="BE4" i="117"/>
  <c r="BB58" i="117"/>
  <c r="BH13" i="117"/>
  <c r="BC43" i="117"/>
  <c r="BJ56" i="117"/>
  <c r="AZ63" i="117"/>
  <c r="BJ9" i="117"/>
  <c r="BA17" i="117"/>
  <c r="BF63" i="117"/>
  <c r="BJ43" i="117"/>
  <c r="BE13" i="117"/>
  <c r="BH41" i="117"/>
  <c r="BH66" i="117"/>
  <c r="BC58" i="117"/>
  <c r="BD19" i="117"/>
  <c r="BB36" i="117"/>
  <c r="AZ49" i="117"/>
  <c r="BB56" i="117"/>
  <c r="BI58" i="117"/>
  <c r="BH56" i="117"/>
  <c r="BF61" i="117"/>
  <c r="BF30" i="117"/>
  <c r="BI49" i="117"/>
  <c r="BD13" i="117"/>
  <c r="BG55" i="117"/>
  <c r="BH21" i="117"/>
  <c r="BH71" i="117"/>
  <c r="BH70" i="117" s="1"/>
  <c r="BC66" i="117"/>
  <c r="BK46" i="117"/>
  <c r="BA58" i="117"/>
  <c r="AZ56" i="117"/>
  <c r="BK59" i="117"/>
  <c r="BC25" i="117"/>
  <c r="BD46" i="117"/>
  <c r="BJ11" i="117"/>
  <c r="BE52" i="117"/>
  <c r="BE20" i="117"/>
  <c r="AZ71" i="117"/>
  <c r="AZ70" i="117" s="1"/>
  <c r="BF64" i="117"/>
  <c r="BC46" i="117"/>
  <c r="BE57" i="117"/>
  <c r="BD55" i="117"/>
  <c r="BC59" i="117"/>
  <c r="BJ24" i="117"/>
  <c r="BI43" i="117"/>
  <c r="BC17" i="117"/>
  <c r="BC4" i="117"/>
  <c r="AZ28" i="117"/>
  <c r="BD15" i="117"/>
  <c r="BF73" i="117"/>
  <c r="BF72" i="117" s="1"/>
  <c r="BD53" i="117"/>
  <c r="BJ63" i="117"/>
  <c r="BG61" i="117"/>
  <c r="BF66" i="117"/>
  <c r="BE44" i="117"/>
  <c r="BG3" i="117"/>
  <c r="BF24" i="117"/>
  <c r="BH9" i="117"/>
  <c r="BE48" i="117"/>
  <c r="BE18" i="117"/>
  <c r="BI28" i="117"/>
  <c r="BJ58" i="117"/>
  <c r="BF69" i="117"/>
  <c r="BJ67" i="117"/>
  <c r="BI73" i="117"/>
  <c r="BI72" i="117" s="1"/>
  <c r="AZ73" i="117"/>
  <c r="AZ72" i="117" s="1"/>
  <c r="BD11" i="117"/>
  <c r="BJ34" i="117"/>
  <c r="BA16" i="117"/>
  <c r="AZ69" i="117"/>
  <c r="BF16" i="117"/>
  <c r="BA73" i="117"/>
  <c r="BA72" i="117" s="1"/>
  <c r="BA21" i="117"/>
  <c r="BI44" i="117"/>
  <c r="BH3" i="117"/>
  <c r="AZ17" i="117"/>
  <c r="BA38" i="117"/>
  <c r="AZ67" i="117"/>
  <c r="BF34" i="117"/>
  <c r="BB44" i="117"/>
  <c r="BB10" i="117"/>
  <c r="BI31" i="117"/>
  <c r="BI8" i="117"/>
  <c r="BD54" i="117"/>
  <c r="AZ35" i="117"/>
  <c r="BF8" i="117"/>
  <c r="BI52" i="117"/>
  <c r="BE66" i="117"/>
  <c r="BG26" i="117"/>
  <c r="AZ15" i="117"/>
  <c r="V15" i="120"/>
  <c r="BG24" i="117"/>
  <c r="BA28" i="117"/>
  <c r="BA14" i="117"/>
  <c r="BB14" i="117"/>
  <c r="BG56" i="117"/>
  <c r="BG41" i="117"/>
  <c r="BJ53" i="117"/>
  <c r="BJ66" i="117"/>
  <c r="BB38" i="117"/>
  <c r="BF32" i="117"/>
  <c r="BC61" i="117"/>
  <c r="BE78" i="117"/>
  <c r="AZ8" i="117"/>
  <c r="BJ61" i="117"/>
  <c r="BI30" i="117"/>
  <c r="BE28" i="117"/>
  <c r="BI66" i="117"/>
  <c r="BH17" i="117"/>
  <c r="BJ16" i="117"/>
  <c r="BG13" i="117"/>
  <c r="BK21" i="117"/>
  <c r="BD71" i="117"/>
  <c r="BD70" i="117" s="1"/>
  <c r="AZ29" i="117"/>
  <c r="AZ52" i="117"/>
  <c r="BK25" i="117"/>
  <c r="BF51" i="117"/>
  <c r="BA63" i="117"/>
  <c r="BE54" i="117"/>
  <c r="BE25" i="117"/>
  <c r="BK4" i="117"/>
  <c r="BI67" i="117"/>
  <c r="BK64" i="117"/>
  <c r="BC26" i="117"/>
  <c r="BB34" i="117"/>
  <c r="BI18" i="117"/>
  <c r="BJ57" i="117"/>
  <c r="BB64" i="117"/>
  <c r="BK26" i="117"/>
  <c r="BH28" i="117"/>
  <c r="BI35" i="117"/>
  <c r="AZ32" i="100"/>
  <c r="BB58" i="114"/>
  <c r="BD16" i="117"/>
  <c r="BK51" i="117"/>
  <c r="BA30" i="117"/>
  <c r="BG38" i="117"/>
  <c r="BA31" i="117"/>
  <c r="BG18" i="117"/>
  <c r="BI32" i="117"/>
  <c r="BE31" i="117"/>
  <c r="AZ61" i="117"/>
  <c r="BC11" i="117"/>
  <c r="BE36" i="117"/>
  <c r="BG67" i="117"/>
  <c r="BB67" i="117"/>
  <c r="BK13" i="117"/>
  <c r="BG37" i="117"/>
  <c r="BE34" i="117"/>
  <c r="BK36" i="117"/>
  <c r="BI10" i="117"/>
  <c r="BG23" i="117"/>
  <c r="BF19" i="117"/>
  <c r="BD28" i="117"/>
  <c r="BC18" i="117"/>
  <c r="BJ35" i="117"/>
  <c r="BC3" i="117"/>
  <c r="BB42" i="117"/>
  <c r="BD27" i="117"/>
  <c r="BC71" i="117"/>
  <c r="BC70" i="117" s="1"/>
  <c r="BA61" i="117"/>
  <c r="BC20" i="117"/>
  <c r="BA11" i="117"/>
  <c r="BI14" i="117"/>
  <c r="BH23" i="117"/>
  <c r="BK73" i="117"/>
  <c r="BK72" i="117" s="1"/>
  <c r="BG30" i="117"/>
  <c r="BB55" i="117"/>
  <c r="BH27" i="117"/>
  <c r="BK28" i="117"/>
  <c r="BB73" i="117"/>
  <c r="BB72" i="117" s="1"/>
  <c r="BF31" i="117"/>
  <c r="BJ42" i="117"/>
  <c r="AZ40" i="117"/>
  <c r="BI52" i="100"/>
  <c r="BH25" i="100"/>
  <c r="BJ38" i="100"/>
  <c r="BD23" i="114"/>
  <c r="BI71" i="117"/>
  <c r="BI70" i="117" s="1"/>
  <c r="BJ29" i="117"/>
  <c r="BF25" i="117"/>
  <c r="BF26" i="117"/>
  <c r="BA8" i="117"/>
  <c r="BB53" i="117"/>
  <c r="BA49" i="117"/>
  <c r="BG27" i="117"/>
  <c r="BF10" i="117"/>
  <c r="BD45" i="117"/>
  <c r="BC41" i="117"/>
  <c r="BD17" i="117"/>
  <c r="BI69" i="117"/>
  <c r="BC69" i="117"/>
  <c r="BH39" i="117"/>
  <c r="BK57" i="117"/>
  <c r="BA56" i="117"/>
  <c r="BK61" i="117"/>
  <c r="AZ19" i="117"/>
  <c r="BE10" i="117"/>
  <c r="BC15" i="117"/>
  <c r="BK49" i="117"/>
  <c r="BF41" i="117"/>
  <c r="BA59" i="117"/>
  <c r="BB28" i="117"/>
  <c r="AZ20" i="117"/>
  <c r="BI48" i="117"/>
  <c r="BI45" i="117"/>
  <c r="BG49" i="117"/>
  <c r="BJ59" i="117"/>
  <c r="AZ10" i="117"/>
  <c r="BH45" i="117"/>
  <c r="BB37" i="117"/>
  <c r="BA55" i="117"/>
  <c r="BI21" i="117"/>
  <c r="BC21" i="117"/>
  <c r="BJ49" i="117"/>
  <c r="BJ46" i="117"/>
  <c r="BI55" i="117"/>
  <c r="BH35" i="117"/>
  <c r="BD37" i="100"/>
  <c r="BE51" i="100"/>
  <c r="BE3" i="100"/>
  <c r="BF54" i="114"/>
  <c r="BE9" i="117"/>
  <c r="BA52" i="117"/>
  <c r="BB13" i="117"/>
  <c r="BJ48" i="117"/>
  <c r="BF45" i="117"/>
  <c r="BA32" i="117"/>
  <c r="BB21" i="117"/>
  <c r="AZ42" i="117"/>
  <c r="BK56" i="117"/>
  <c r="BG52" i="117"/>
  <c r="BA64" i="117"/>
  <c r="BK9" i="117"/>
  <c r="BJ41" i="117"/>
  <c r="AZ9" i="117"/>
  <c r="BH67" i="117"/>
  <c r="BI64" i="117"/>
  <c r="BB63" i="117"/>
  <c r="BG71" i="117"/>
  <c r="BG70" i="117" s="1"/>
  <c r="AZ27" i="117"/>
  <c r="BK16" i="117"/>
  <c r="BC23" i="117"/>
  <c r="BK54" i="117"/>
  <c r="BJ45" i="117"/>
  <c r="BJ69" i="117"/>
  <c r="BH48" i="117"/>
  <c r="BJ28" i="117"/>
  <c r="BB54" i="117"/>
  <c r="BC52" i="117"/>
  <c r="AZ57" i="117"/>
  <c r="BC14" i="117"/>
  <c r="BF17" i="117"/>
  <c r="BH51" i="117"/>
  <c r="BG78" i="117"/>
  <c r="BD61" i="117"/>
  <c r="BC32" i="117"/>
  <c r="BG31" i="117"/>
  <c r="BC55" i="117"/>
  <c r="BC53" i="117"/>
  <c r="BF9" i="117"/>
  <c r="BB40" i="117"/>
  <c r="BC29" i="100"/>
  <c r="BB24" i="117"/>
  <c r="BG25" i="117"/>
  <c r="BI29" i="117"/>
  <c r="BD49" i="117"/>
  <c r="BH20" i="117"/>
  <c r="BB23" i="117"/>
  <c r="BB25" i="117"/>
  <c r="BK43" i="117"/>
  <c r="BK37" i="117"/>
  <c r="BJ10" i="117"/>
  <c r="BH58" i="117"/>
  <c r="BE64" i="117"/>
  <c r="BA9" i="117"/>
  <c r="AZ13" i="117"/>
  <c r="BJ21" i="117"/>
  <c r="BB18" i="117"/>
  <c r="BE27" i="117"/>
  <c r="BG17" i="117"/>
  <c r="BB35" i="117"/>
  <c r="BH73" i="117"/>
  <c r="BH72" i="117" s="1"/>
  <c r="BE39" i="117"/>
  <c r="BE26" i="117"/>
  <c r="BE69" i="117"/>
  <c r="BF59" i="117"/>
  <c r="BH19" i="117"/>
  <c r="BD10" i="117"/>
  <c r="BF4" i="117"/>
  <c r="BA67" i="117"/>
  <c r="BC64" i="117"/>
  <c r="BD25" i="117"/>
  <c r="BF29" i="117"/>
  <c r="AZ18" i="117"/>
  <c r="BA54" i="117"/>
  <c r="BI63" i="117"/>
  <c r="BF55" i="117"/>
  <c r="BA29" i="117"/>
  <c r="BD8" i="117"/>
  <c r="BD69" i="117"/>
  <c r="AZ66" i="117"/>
  <c r="BH16" i="117"/>
  <c r="BJ64" i="117"/>
  <c r="BA45" i="100"/>
  <c r="BA18" i="100"/>
  <c r="BK71" i="117"/>
  <c r="BK70" i="117" s="1"/>
  <c r="BI61" i="117"/>
  <c r="BH30" i="117"/>
  <c r="BI11" i="117"/>
  <c r="BB15" i="117"/>
  <c r="BA24" i="117"/>
  <c r="AZ43" i="117"/>
  <c r="BK58" i="117"/>
  <c r="BE59" i="117"/>
  <c r="BH42" i="102"/>
  <c r="BG73" i="102"/>
  <c r="BG72" i="102" s="1"/>
  <c r="BG61" i="100"/>
  <c r="BK48" i="117"/>
  <c r="AZ25" i="117"/>
  <c r="BA66" i="117"/>
  <c r="BH24" i="117"/>
  <c r="AZ4" i="117"/>
  <c r="BF36" i="117"/>
  <c r="BB59" i="117"/>
  <c r="BH37" i="117"/>
  <c r="BH25" i="117"/>
  <c r="BI57" i="117"/>
  <c r="BG43" i="117"/>
  <c r="BF71" i="117"/>
  <c r="BF70" i="117" s="1"/>
  <c r="BA26" i="117"/>
  <c r="BB16" i="117"/>
  <c r="BF21" i="117"/>
  <c r="BC54" i="117"/>
  <c r="BB45" i="117"/>
  <c r="BB69" i="117"/>
  <c r="BC45" i="117"/>
  <c r="BI27" i="117"/>
  <c r="BI53" i="117"/>
  <c r="BI51" i="117"/>
  <c r="BD56" i="117"/>
  <c r="BJ13" i="117"/>
  <c r="BD4" i="117"/>
  <c r="BD9" i="117"/>
  <c r="AZ45" i="117"/>
  <c r="BI36" i="117"/>
  <c r="BH54" i="117"/>
  <c r="AZ21" i="117"/>
  <c r="BI20" i="117"/>
  <c r="BB49" i="117"/>
  <c r="BB46" i="117"/>
  <c r="BD51" i="117"/>
  <c r="BG8" i="117"/>
  <c r="BE61" i="117"/>
  <c r="BH10" i="117"/>
  <c r="BA46" i="117"/>
  <c r="BD48" i="117"/>
  <c r="BA43" i="117"/>
  <c r="BE49" i="117"/>
  <c r="BI37" i="100"/>
  <c r="BB42" i="121"/>
  <c r="BA64" i="121"/>
  <c r="BC63" i="121"/>
  <c r="BI39" i="121"/>
  <c r="BB28" i="121"/>
  <c r="BD25" i="121"/>
  <c r="BG28" i="121"/>
  <c r="BD11" i="121"/>
  <c r="BE17" i="121"/>
  <c r="BC49" i="121"/>
  <c r="BF56" i="121"/>
  <c r="BG38" i="121"/>
  <c r="BG46" i="121"/>
  <c r="BA73" i="121"/>
  <c r="BA72" i="121" s="1"/>
  <c r="BB64" i="121"/>
  <c r="BJ64" i="121"/>
  <c r="BG21" i="121"/>
  <c r="BC25" i="121"/>
  <c r="BA30" i="121"/>
  <c r="BD64" i="121"/>
  <c r="BA32" i="121"/>
  <c r="BI53" i="121"/>
  <c r="BA61" i="121"/>
  <c r="BD35" i="121"/>
  <c r="BF11" i="121"/>
  <c r="BC37" i="121"/>
  <c r="BE8" i="121"/>
  <c r="BA25" i="121"/>
  <c r="AZ58" i="121"/>
  <c r="AZ71" i="121"/>
  <c r="AZ70" i="121" s="1"/>
  <c r="BK25" i="121"/>
  <c r="BD20" i="121"/>
  <c r="BF26" i="121"/>
  <c r="BD16" i="121"/>
  <c r="BJ23" i="121"/>
  <c r="BA17" i="121"/>
  <c r="BA16" i="121"/>
  <c r="BJ15" i="121"/>
  <c r="BJ44" i="121"/>
  <c r="BJ9" i="121"/>
  <c r="BE41" i="121"/>
  <c r="AZ64" i="121"/>
  <c r="BD19" i="121"/>
  <c r="AZ69" i="121"/>
  <c r="BK13" i="121"/>
  <c r="BD52" i="121"/>
  <c r="BG44" i="121"/>
  <c r="BE61" i="121"/>
  <c r="BK39" i="121"/>
  <c r="AZ48" i="121"/>
  <c r="BA4" i="121"/>
  <c r="AZ20" i="121"/>
  <c r="BJ20" i="121"/>
  <c r="BC53" i="121"/>
  <c r="BH64" i="121"/>
  <c r="BG71" i="121"/>
  <c r="BG70" i="121" s="1"/>
  <c r="BH11" i="121"/>
  <c r="BF20" i="121"/>
  <c r="BH34" i="121"/>
  <c r="BA35" i="121"/>
  <c r="BE39" i="121"/>
  <c r="BD73" i="121"/>
  <c r="BD72" i="121" s="1"/>
  <c r="BE16" i="121"/>
  <c r="BK53" i="121"/>
  <c r="BF63" i="121"/>
  <c r="BB61" i="121"/>
  <c r="AZ55" i="121"/>
  <c r="BD27" i="121"/>
  <c r="BI28" i="121"/>
  <c r="AZ29" i="121"/>
  <c r="BK37" i="121"/>
  <c r="BB29" i="121"/>
  <c r="BK63" i="121"/>
  <c r="BI37" i="121"/>
  <c r="BJ57" i="121"/>
  <c r="BE63" i="121"/>
  <c r="V15" i="100"/>
  <c r="BJ58" i="122"/>
  <c r="BD52" i="122"/>
  <c r="BK39" i="122"/>
  <c r="BJ44" i="122"/>
  <c r="BF58" i="122"/>
  <c r="BA59" i="122"/>
  <c r="BC52" i="122"/>
  <c r="BG16" i="122"/>
  <c r="BF17" i="122"/>
  <c r="BG25" i="122"/>
  <c r="BF36" i="122"/>
  <c r="AZ45" i="122"/>
  <c r="AZ61" i="122"/>
  <c r="BH51" i="122"/>
  <c r="BA44" i="122"/>
  <c r="BJ32" i="122"/>
  <c r="BI38" i="122"/>
  <c r="BH46" i="122"/>
  <c r="BJ67" i="122"/>
  <c r="BI13" i="122"/>
  <c r="BI21" i="122"/>
  <c r="BG30" i="122"/>
  <c r="BC36" i="122"/>
  <c r="BI57" i="122"/>
  <c r="BA51" i="122"/>
  <c r="BE14" i="122"/>
  <c r="BK20" i="122"/>
  <c r="BD69" i="122"/>
  <c r="BD63" i="122"/>
  <c r="BI25" i="122"/>
  <c r="BJ31" i="122"/>
  <c r="BB40" i="122"/>
  <c r="BE52" i="122"/>
  <c r="BJ4" i="122"/>
  <c r="BJ15" i="122"/>
  <c r="BF24" i="122"/>
  <c r="BF55" i="122"/>
  <c r="BK46" i="122"/>
  <c r="BB37" i="122"/>
  <c r="BD41" i="122"/>
  <c r="BI53" i="122"/>
  <c r="BD16" i="122"/>
  <c r="BC27" i="122"/>
  <c r="BB35" i="122"/>
  <c r="BH58" i="122"/>
  <c r="BD3" i="122"/>
  <c r="BG24" i="122"/>
  <c r="BG42" i="122"/>
  <c r="AZ43" i="122"/>
  <c r="BF67" i="122"/>
  <c r="BG36" i="122"/>
  <c r="AZ63" i="122"/>
  <c r="BJ17" i="122"/>
  <c r="BG4" i="122"/>
  <c r="BE11" i="122"/>
  <c r="BF3" i="122"/>
  <c r="BC78" i="122"/>
  <c r="BF9" i="122"/>
  <c r="BD32" i="122"/>
  <c r="BJ36" i="122"/>
  <c r="BG59" i="122"/>
  <c r="BC21" i="122"/>
  <c r="BA42" i="122"/>
  <c r="BK71" i="122"/>
  <c r="BK70" i="122" s="1"/>
  <c r="BI58" i="122"/>
  <c r="BA61" i="122"/>
  <c r="BH19" i="122"/>
  <c r="BF39" i="122"/>
  <c r="BI16" i="122"/>
  <c r="BK23" i="122"/>
  <c r="BC18" i="122"/>
  <c r="BH53" i="122"/>
  <c r="BC16" i="122"/>
  <c r="BD37" i="122"/>
  <c r="AZ35" i="122"/>
  <c r="BC48" i="122"/>
  <c r="BE17" i="122"/>
  <c r="BF37" i="122"/>
  <c r="BJ63" i="122"/>
  <c r="AZ53" i="122"/>
  <c r="BD53" i="122"/>
  <c r="BE20" i="122"/>
  <c r="AZ15" i="122"/>
  <c r="BA34" i="122"/>
  <c r="BC15" i="122"/>
  <c r="BE55" i="122"/>
  <c r="BD8" i="122"/>
  <c r="BD9" i="122"/>
  <c r="BI34" i="122"/>
  <c r="BD27" i="122"/>
  <c r="BD45" i="122"/>
  <c r="BC23" i="122"/>
  <c r="AZ28" i="122"/>
  <c r="BB28" i="122"/>
  <c r="BA19" i="122"/>
  <c r="BF53" i="122"/>
  <c r="BA46" i="122"/>
  <c r="BF69" i="122"/>
  <c r="BC55" i="122"/>
  <c r="BK42" i="122"/>
  <c r="AZ10" i="122"/>
  <c r="BI10" i="122"/>
  <c r="BG40" i="122"/>
  <c r="AZ31" i="122"/>
  <c r="BC57" i="122"/>
  <c r="BB25" i="122"/>
  <c r="BK25" i="122"/>
  <c r="BG19" i="122"/>
  <c r="BB11" i="122"/>
  <c r="BB61" i="122"/>
  <c r="BC37" i="122"/>
  <c r="BG41" i="122"/>
  <c r="BB34" i="122"/>
  <c r="BA24" i="122"/>
  <c r="BB71" i="122"/>
  <c r="BB70" i="122" s="1"/>
  <c r="BJ64" i="122"/>
  <c r="BG20" i="122"/>
  <c r="BJ14" i="122"/>
  <c r="BJ18" i="122"/>
  <c r="BE23" i="122"/>
  <c r="AZ20" i="122"/>
  <c r="BB21" i="122"/>
  <c r="BA18" i="122"/>
  <c r="BK13" i="122"/>
  <c r="BD11" i="122"/>
  <c r="BG55" i="122"/>
  <c r="BI67" i="122"/>
  <c r="BB17" i="122"/>
  <c r="BH20" i="122"/>
  <c r="BD17" i="122"/>
  <c r="BB13" i="122"/>
  <c r="BJ8" i="122"/>
  <c r="BD49" i="122"/>
  <c r="BD66" i="122"/>
  <c r="BG26" i="122"/>
  <c r="AZ26" i="122"/>
  <c r="BH43" i="122"/>
  <c r="BJ56" i="122"/>
  <c r="AZ14" i="122"/>
  <c r="BH11" i="122"/>
  <c r="BI8" i="122"/>
  <c r="BK67" i="122"/>
  <c r="BH64" i="122"/>
  <c r="BC69" i="122"/>
  <c r="BE58" i="122"/>
  <c r="BK51" i="122"/>
  <c r="BJ49" i="122"/>
  <c r="BC54" i="122"/>
  <c r="BK45" i="122"/>
  <c r="BK41" i="122"/>
  <c r="BB39" i="122"/>
  <c r="BK44" i="122"/>
  <c r="BC66" i="122"/>
  <c r="BC49" i="122"/>
  <c r="BJ54" i="122"/>
  <c r="BK55" i="122"/>
  <c r="BH54" i="122"/>
  <c r="BI26" i="122"/>
  <c r="BF20" i="122"/>
  <c r="BK43" i="122"/>
  <c r="BE26" i="122"/>
  <c r="BB19" i="122"/>
  <c r="BG15" i="122"/>
  <c r="BH15" i="122"/>
  <c r="BE44" i="122"/>
  <c r="AZ39" i="122"/>
  <c r="BG10" i="122"/>
  <c r="BH27" i="122"/>
  <c r="BD44" i="122"/>
  <c r="AZ40" i="122"/>
  <c r="BB30" i="122"/>
  <c r="BD61" i="122"/>
  <c r="BE57" i="122"/>
  <c r="BA15" i="122"/>
  <c r="BH8" i="122"/>
  <c r="BC30" i="122"/>
  <c r="AZ17" i="122"/>
  <c r="BA17" i="122"/>
  <c r="BB53" i="122"/>
  <c r="BJ42" i="122"/>
  <c r="BC24" i="122"/>
  <c r="BE30" i="122"/>
  <c r="BF40" i="122"/>
  <c r="BH30" i="122"/>
  <c r="BK21" i="122"/>
  <c r="BH59" i="122"/>
  <c r="BG78" i="122"/>
  <c r="BA54" i="122"/>
  <c r="BC43" i="122"/>
  <c r="BD51" i="122"/>
  <c r="BF4" i="122"/>
  <c r="BE32" i="122"/>
  <c r="BF25" i="122"/>
  <c r="BC40" i="122"/>
  <c r="BI28" i="122"/>
  <c r="BG31" i="122"/>
  <c r="BC28" i="122"/>
  <c r="AZ23" i="122"/>
  <c r="BJ19" i="122"/>
  <c r="BC19" i="122"/>
  <c r="BJ61" i="122"/>
  <c r="BA73" i="122"/>
  <c r="BA72" i="122" s="1"/>
  <c r="AZ29" i="122"/>
  <c r="BK27" i="122"/>
  <c r="BJ21" i="122"/>
  <c r="BI18" i="122"/>
  <c r="BD14" i="122"/>
  <c r="BD13" i="122"/>
  <c r="BC56" i="122"/>
  <c r="BI73" i="122"/>
  <c r="BI72" i="122" s="1"/>
  <c r="BA32" i="122"/>
  <c r="BB32" i="122"/>
  <c r="BE49" i="122"/>
  <c r="BK63" i="122"/>
  <c r="BF18" i="122"/>
  <c r="BK16" i="122"/>
  <c r="BH18" i="122"/>
  <c r="BC14" i="122"/>
  <c r="BI9" i="122"/>
  <c r="BK8" i="122"/>
  <c r="BI51" i="122"/>
  <c r="BB69" i="122"/>
  <c r="BH66" i="122"/>
  <c r="BI4" i="122"/>
  <c r="BH67" i="122"/>
  <c r="BD55" i="122"/>
  <c r="BG48" i="122"/>
  <c r="AZ44" i="122"/>
  <c r="BK54" i="122"/>
  <c r="AZ54" i="122"/>
  <c r="BD4" i="122"/>
  <c r="AZ71" i="122"/>
  <c r="AZ70" i="122" s="1"/>
  <c r="BB46" i="122"/>
  <c r="BI59" i="122"/>
  <c r="BK32" i="122"/>
  <c r="BA27" i="122"/>
  <c r="BC67" i="122"/>
  <c r="BG38" i="122"/>
  <c r="BK40" i="122"/>
  <c r="BF21" i="122"/>
  <c r="BG21" i="122"/>
  <c r="BK69" i="122"/>
  <c r="BB49" i="122"/>
  <c r="BI36" i="122"/>
  <c r="BD39" i="122"/>
  <c r="BB67" i="122"/>
  <c r="BA52" i="122"/>
  <c r="BJ40" i="122"/>
  <c r="BF59" i="122"/>
  <c r="BH71" i="122"/>
  <c r="BH70" i="122" s="1"/>
  <c r="BB27" i="122"/>
  <c r="BI30" i="122"/>
  <c r="BJ55" i="122"/>
  <c r="BD24" i="122"/>
  <c r="BC25" i="122"/>
  <c r="BG8" i="122"/>
  <c r="BA58" i="122"/>
  <c r="AZ46" i="122"/>
  <c r="BF42" i="122"/>
  <c r="BA53" i="122"/>
  <c r="BI42" i="122"/>
  <c r="BH32" i="122"/>
  <c r="BA67" i="122"/>
  <c r="BH49" i="122"/>
  <c r="AZ4" i="122"/>
  <c r="BA13" i="122"/>
  <c r="BC13" i="122"/>
  <c r="BE13" i="122"/>
  <c r="BG14" i="122"/>
  <c r="BB43" i="122"/>
  <c r="BG37" i="122"/>
  <c r="BD30" i="122"/>
  <c r="BH41" i="122"/>
  <c r="BF38" i="122"/>
  <c r="BG32" i="122"/>
  <c r="BC29" i="122"/>
  <c r="AZ25" i="122"/>
  <c r="BA25" i="122"/>
  <c r="BE71" i="122"/>
  <c r="BE70" i="122" s="1"/>
  <c r="BI61" i="122"/>
  <c r="BJ35" i="122"/>
  <c r="BF32" i="122"/>
  <c r="BK28" i="122"/>
  <c r="BH23" i="122"/>
  <c r="BC20" i="122"/>
  <c r="BK19" i="122"/>
  <c r="BD73" i="122"/>
  <c r="BD72" i="122" s="1"/>
  <c r="BB56" i="122"/>
  <c r="BA38" i="122"/>
  <c r="BB38" i="122"/>
  <c r="BD56" i="122"/>
  <c r="BK73" i="122"/>
  <c r="BK72" i="122" s="1"/>
  <c r="BC26" i="122"/>
  <c r="BJ28" i="122"/>
  <c r="AZ24" i="122"/>
  <c r="BI19" i="122"/>
  <c r="BF16" i="122"/>
  <c r="BF15" i="122"/>
  <c r="BG57" i="122"/>
  <c r="BI71" i="122"/>
  <c r="BI70" i="122" s="1"/>
  <c r="BH14" i="122"/>
  <c r="AZ13" i="122"/>
  <c r="AZ8" i="122"/>
  <c r="BJ73" i="122"/>
  <c r="BJ72" i="122" s="1"/>
  <c r="BB57" i="122"/>
  <c r="BJ53" i="122"/>
  <c r="BC71" i="122"/>
  <c r="BC70" i="122" s="1"/>
  <c r="BJ69" i="122"/>
  <c r="BC11" i="122"/>
  <c r="BB9" i="122"/>
  <c r="BK52" i="122"/>
  <c r="BG71" i="122"/>
  <c r="BG70" i="122" s="1"/>
  <c r="BC38" i="122"/>
  <c r="BA35" i="122"/>
  <c r="BA14" i="122"/>
  <c r="BF48" i="122"/>
  <c r="BJ9" i="122"/>
  <c r="AZ27" i="122"/>
  <c r="BI27" i="122"/>
  <c r="BI14" i="122"/>
  <c r="BK4" i="122"/>
  <c r="BC46" i="122"/>
  <c r="BF45" i="122"/>
  <c r="BG13" i="122"/>
  <c r="BG61" i="122"/>
  <c r="BK9" i="122"/>
  <c r="BA10" i="122"/>
  <c r="AZ52" i="122"/>
  <c r="BB42" i="122"/>
  <c r="BK18" i="122"/>
  <c r="BF29" i="122"/>
  <c r="BE31" i="122"/>
  <c r="BG18" i="122"/>
  <c r="BE10" i="122"/>
  <c r="AZ59" i="122"/>
  <c r="BJ48" i="122"/>
  <c r="BA3" i="122"/>
  <c r="AZ58" i="122"/>
  <c r="BC45" i="122"/>
  <c r="BG69" i="122"/>
  <c r="BI63" i="122"/>
  <c r="BH29" i="122"/>
  <c r="BG23" i="122"/>
  <c r="BH36" i="122"/>
  <c r="BD19" i="122"/>
  <c r="BE19" i="122"/>
  <c r="AZ64" i="122"/>
  <c r="BG46" i="122"/>
  <c r="BH69" i="122"/>
  <c r="BH45" i="122"/>
  <c r="BB78" i="122"/>
  <c r="BH39" i="122"/>
  <c r="BD34" i="122"/>
  <c r="BB31" i="122"/>
  <c r="BC31" i="122"/>
  <c r="AZ55" i="122"/>
  <c r="BD71" i="122"/>
  <c r="BD70" i="122" s="1"/>
  <c r="AZ42" i="122"/>
  <c r="BG39" i="122"/>
  <c r="BC34" i="122"/>
  <c r="BK29" i="122"/>
  <c r="BH25" i="122"/>
  <c r="BK31" i="122"/>
  <c r="BD48" i="122"/>
  <c r="BC63" i="122"/>
  <c r="BE78" i="122"/>
  <c r="BG43" i="122"/>
  <c r="BE63" i="122"/>
  <c r="BG29" i="122"/>
  <c r="BE37" i="122"/>
  <c r="BJ34" i="122"/>
  <c r="BJ29" i="122"/>
  <c r="BI24" i="122"/>
  <c r="BD21" i="122"/>
  <c r="BE21" i="122"/>
  <c r="BB66" i="122"/>
  <c r="BF57" i="122"/>
  <c r="BF19" i="122"/>
  <c r="BC17" i="122"/>
  <c r="BB14" i="122"/>
  <c r="AZ9" i="122"/>
  <c r="BE3" i="122"/>
  <c r="BE66" i="122"/>
  <c r="BC58" i="122"/>
  <c r="AZ73" i="122"/>
  <c r="AZ72" i="122" s="1"/>
  <c r="BB18" i="122"/>
  <c r="BG17" i="122"/>
  <c r="BK58" i="122"/>
  <c r="BH73" i="122"/>
  <c r="BH72" i="122" s="1"/>
  <c r="BI43" i="122"/>
  <c r="BA43" i="122"/>
  <c r="BE25" i="122"/>
  <c r="BC4" i="122"/>
  <c r="BA36" i="122"/>
  <c r="BG34" i="122"/>
  <c r="BI35" i="122"/>
  <c r="BD26" i="122"/>
  <c r="BD28" i="122"/>
  <c r="BI55" i="122"/>
  <c r="AZ56" i="122"/>
  <c r="BD25" i="122"/>
  <c r="AZ18" i="122"/>
  <c r="BJ24" i="122"/>
  <c r="BH16" i="122"/>
  <c r="BE24" i="122"/>
  <c r="BH56" i="122"/>
  <c r="BE41" i="122"/>
  <c r="BB36" i="122"/>
  <c r="BE39" i="122"/>
  <c r="AZ30" i="122"/>
  <c r="AZ32" i="122"/>
  <c r="BF73" i="122"/>
  <c r="BF72" i="122" s="1"/>
  <c r="BB59" i="122"/>
  <c r="BB16" i="122"/>
  <c r="BD10" i="122"/>
  <c r="BK11" i="122"/>
  <c r="BG3" i="122"/>
  <c r="BF13" i="122"/>
  <c r="BH42" i="122"/>
  <c r="BK34" i="122"/>
  <c r="BE4" i="122"/>
  <c r="BA26" i="122"/>
  <c r="BJ26" i="122"/>
  <c r="BH13" i="122"/>
  <c r="BD15" i="122"/>
  <c r="BA69" i="122"/>
  <c r="BB55" i="122"/>
  <c r="BA49" i="122"/>
  <c r="BK78" i="122"/>
  <c r="BI39" i="122"/>
  <c r="BA37" i="122"/>
  <c r="BE42" i="122"/>
  <c r="BC61" i="122"/>
  <c r="BD46" i="122"/>
  <c r="BE46" i="122"/>
  <c r="BJ78" i="122"/>
  <c r="BA40" i="122"/>
  <c r="BE35" i="122"/>
  <c r="BI37" i="122"/>
  <c r="BJ37" i="122"/>
  <c r="BH55" i="122"/>
  <c r="BC73" i="122"/>
  <c r="BC72" i="122" s="1"/>
  <c r="BE51" i="122"/>
  <c r="BH52" i="122"/>
  <c r="BE73" i="122"/>
  <c r="BE72" i="122" s="1"/>
  <c r="AZ78" i="122"/>
  <c r="BA78" i="122"/>
  <c r="BH40" i="122"/>
  <c r="BD35" i="122"/>
  <c r="BJ30" i="122"/>
  <c r="BF27" i="122"/>
  <c r="BH26" i="122"/>
  <c r="BB51" i="122"/>
  <c r="BD64" i="122"/>
  <c r="BK26" i="122"/>
  <c r="BF23" i="122"/>
  <c r="AZ19" i="122"/>
  <c r="BK14" i="122"/>
  <c r="BF10" i="122"/>
  <c r="BB23" i="122"/>
  <c r="BJ66" i="122"/>
  <c r="BB52" i="122"/>
  <c r="BI23" i="122"/>
  <c r="BJ23" i="122"/>
  <c r="BE67" i="122"/>
  <c r="BJ52" i="122"/>
  <c r="BI52" i="122"/>
  <c r="BJ57" i="122"/>
  <c r="BE36" i="122"/>
  <c r="BE16" i="122"/>
  <c r="BJ46" i="122"/>
  <c r="BK38" i="122"/>
  <c r="BJ43" i="122"/>
  <c r="BE48" i="122"/>
  <c r="BA39" i="122"/>
  <c r="BE54" i="122"/>
  <c r="BE69" i="122"/>
  <c r="BD36" i="122"/>
  <c r="BB29" i="122"/>
  <c r="BI46" i="122"/>
  <c r="BG28" i="122"/>
  <c r="BH28" i="122"/>
  <c r="BK17" i="122"/>
  <c r="BH9" i="122"/>
  <c r="BF54" i="122"/>
  <c r="BF41" i="122"/>
  <c r="BA48" i="122"/>
  <c r="BG56" i="122"/>
  <c r="BD78" i="122"/>
  <c r="BD67" i="122"/>
  <c r="BH3" i="122"/>
  <c r="BA28" i="122"/>
  <c r="BI20" i="122"/>
  <c r="AZ36" i="122"/>
  <c r="BD18" i="122"/>
  <c r="BE18" i="122"/>
  <c r="BK57" i="122"/>
  <c r="BG44" i="122"/>
  <c r="BE29" i="122"/>
  <c r="BC32" i="122"/>
  <c r="BH34" i="122"/>
  <c r="BK35" i="122"/>
  <c r="BF26" i="122"/>
  <c r="BJ71" i="122"/>
  <c r="BJ70" i="122" s="1"/>
  <c r="BB73" i="122"/>
  <c r="BB72" i="122" s="1"/>
  <c r="BE59" i="122"/>
  <c r="BC51" i="122"/>
  <c r="BE43" i="122"/>
  <c r="BH48" i="122"/>
  <c r="BG49" i="122"/>
  <c r="BI69" i="122"/>
  <c r="BC59" i="122"/>
  <c r="BF56" i="122"/>
  <c r="BK49" i="122"/>
  <c r="BD43" i="122"/>
  <c r="BH44" i="122"/>
  <c r="BD42" i="122"/>
  <c r="BF78" i="122"/>
  <c r="BK61" i="122"/>
  <c r="AZ66" i="122"/>
  <c r="BG63" i="122"/>
  <c r="BF66" i="122"/>
  <c r="BG67" i="122"/>
  <c r="BI49" i="122"/>
  <c r="AZ49" i="122"/>
  <c r="BF44" i="122"/>
  <c r="BB41" i="122"/>
  <c r="AZ37" i="122"/>
  <c r="BI32" i="122"/>
  <c r="BJ38" i="122"/>
  <c r="AZ57" i="122"/>
  <c r="BF30" i="122"/>
  <c r="BF31" i="122"/>
  <c r="BA29" i="122"/>
  <c r="BH24" i="122"/>
  <c r="BB20" i="122"/>
  <c r="BA23" i="122"/>
  <c r="BG27" i="122"/>
  <c r="BI44" i="122"/>
  <c r="BB58" i="122"/>
  <c r="BD29" i="122"/>
  <c r="BF28" i="122"/>
  <c r="BB45" i="122"/>
  <c r="BI66" i="122"/>
  <c r="BG66" i="122"/>
  <c r="BE9" i="122"/>
  <c r="BF46" i="122"/>
  <c r="BE27" i="122"/>
  <c r="BJ45" i="122"/>
  <c r="BC44" i="122"/>
  <c r="BB10" i="122"/>
  <c r="BK3" i="122"/>
  <c r="BK59" i="122"/>
  <c r="BC9" i="122"/>
  <c r="BA16" i="122"/>
  <c r="BB48" i="122"/>
  <c r="BI40" i="122"/>
  <c r="BD40" i="122"/>
  <c r="BH35" i="122"/>
  <c r="BD38" i="122"/>
  <c r="BI29" i="122"/>
  <c r="BJ20" i="122"/>
  <c r="BG54" i="122"/>
  <c r="AZ48" i="122"/>
  <c r="BI15" i="122"/>
  <c r="BG9" i="122"/>
  <c r="BH10" i="122"/>
  <c r="BF11" i="122"/>
  <c r="AZ41" i="122"/>
  <c r="BH31" i="122"/>
  <c r="BK24" i="122"/>
  <c r="BJ25" i="122"/>
  <c r="BB26" i="122"/>
  <c r="AZ11" i="122"/>
  <c r="BB64" i="122"/>
  <c r="BD57" i="122"/>
  <c r="BK37" i="122"/>
  <c r="BA56" i="122"/>
  <c r="BI45" i="122"/>
  <c r="AZ38" i="122"/>
  <c r="BJ10" i="122"/>
  <c r="BC10" i="122"/>
  <c r="BB4" i="122"/>
  <c r="BF61" i="122"/>
  <c r="BB63" i="122"/>
  <c r="BG58" i="122"/>
  <c r="BH63" i="122"/>
  <c r="BE56" i="122"/>
  <c r="BI3" i="122"/>
  <c r="BB3" i="122"/>
  <c r="BE61" i="122"/>
  <c r="BA63" i="122"/>
  <c r="BI54" i="122"/>
  <c r="BF49" i="122"/>
  <c r="BF51" i="122"/>
  <c r="BF71" i="122"/>
  <c r="BF70" i="122" s="1"/>
  <c r="BA9" i="122"/>
  <c r="BC8" i="122"/>
  <c r="BK56" i="122"/>
  <c r="BA71" i="122"/>
  <c r="BA70" i="122" s="1"/>
  <c r="BK64" i="122"/>
  <c r="BD59" i="122"/>
  <c r="BC53" i="122"/>
  <c r="BA45" i="122"/>
  <c r="BC41" i="122"/>
  <c r="BF43" i="122"/>
  <c r="BB44" i="122"/>
  <c r="BF64" i="122"/>
  <c r="BK36" i="122"/>
  <c r="BE38" i="122"/>
  <c r="BC35" i="122"/>
  <c r="BA30" i="122"/>
  <c r="BA31" i="122"/>
  <c r="BE28" i="122"/>
  <c r="BF34" i="122"/>
  <c r="BJ51" i="122"/>
  <c r="BA66" i="122"/>
  <c r="BF35" i="122"/>
  <c r="BG35" i="122"/>
  <c r="BD58" i="122"/>
  <c r="H10" i="418"/>
  <c r="J19" i="418"/>
  <c r="BC29" i="112"/>
  <c r="H12" i="418"/>
  <c r="BI34" i="121"/>
  <c r="BB21" i="121"/>
  <c r="BF13" i="121"/>
  <c r="BG59" i="121"/>
  <c r="BB57" i="121"/>
  <c r="BE10" i="121"/>
  <c r="BC18" i="121"/>
  <c r="BH17" i="121"/>
  <c r="BD57" i="121"/>
  <c r="BG69" i="121"/>
  <c r="BG34" i="121"/>
  <c r="AZ21" i="121"/>
  <c r="AZ16" i="121"/>
  <c r="AZ3" i="121"/>
  <c r="BH48" i="121"/>
  <c r="AZ52" i="121"/>
  <c r="BI54" i="121"/>
  <c r="BJ24" i="121"/>
  <c r="BH49" i="121"/>
  <c r="AZ4" i="121"/>
  <c r="AZ36" i="121"/>
  <c r="BF67" i="121"/>
  <c r="BJ45" i="121"/>
  <c r="BD8" i="121"/>
  <c r="BK27" i="121"/>
  <c r="BJ63" i="121"/>
  <c r="AZ51" i="121"/>
  <c r="BC59" i="121"/>
  <c r="BJ51" i="121"/>
  <c r="BG10" i="121"/>
  <c r="BD61" i="121"/>
  <c r="BB31" i="121"/>
  <c r="BI46" i="121"/>
  <c r="BK24" i="121"/>
  <c r="BK69" i="121"/>
  <c r="BI19" i="121"/>
  <c r="BE35" i="121"/>
  <c r="BB66" i="121"/>
  <c r="BC61" i="121"/>
  <c r="BH9" i="121"/>
  <c r="BK30" i="121"/>
  <c r="BF36" i="121"/>
  <c r="BG67" i="121"/>
  <c r="BH25" i="121"/>
  <c r="BB63" i="121"/>
  <c r="BK40" i="121"/>
  <c r="BB52" i="121"/>
  <c r="BE51" i="121"/>
  <c r="BG26" i="121"/>
  <c r="BB25" i="121"/>
  <c r="BE67" i="121"/>
  <c r="BG56" i="121"/>
  <c r="BD15" i="121"/>
  <c r="BC28" i="121"/>
  <c r="BD24" i="121"/>
  <c r="BI56" i="121"/>
  <c r="BC54" i="121"/>
  <c r="BC14" i="121"/>
  <c r="BG52" i="121"/>
  <c r="BC56" i="121"/>
  <c r="AZ17" i="121"/>
  <c r="BC24" i="121"/>
  <c r="BK4" i="121"/>
  <c r="BC58" i="121"/>
  <c r="BI55" i="121"/>
  <c r="AZ38" i="121"/>
  <c r="BE23" i="121"/>
  <c r="AZ57" i="121"/>
  <c r="BJ36" i="121"/>
  <c r="AZ34" i="121"/>
  <c r="BE56" i="121"/>
  <c r="BF66" i="121"/>
  <c r="BF57" i="121"/>
  <c r="BG18" i="121"/>
  <c r="BI59" i="121"/>
  <c r="BH36" i="121"/>
  <c r="BA10" i="121"/>
  <c r="AZ28" i="121"/>
  <c r="BC69" i="121"/>
  <c r="BA31" i="121"/>
  <c r="BI44" i="121"/>
  <c r="BF24" i="121"/>
  <c r="BA28" i="121"/>
  <c r="BG16" i="121"/>
  <c r="BC43" i="121"/>
  <c r="BH51" i="121"/>
  <c r="BG49" i="121"/>
  <c r="BJ59" i="121"/>
  <c r="BC10" i="121"/>
  <c r="BK55" i="121"/>
  <c r="BI64" i="121"/>
  <c r="BB3" i="121"/>
  <c r="BF53" i="121"/>
  <c r="BF39" i="121"/>
  <c r="BA67" i="121"/>
  <c r="BB58" i="121"/>
  <c r="BG19" i="121"/>
  <c r="BH71" i="121"/>
  <c r="BH70" i="121" s="1"/>
  <c r="BA37" i="121"/>
  <c r="BK10" i="121"/>
  <c r="BH28" i="121"/>
  <c r="BB40" i="121"/>
  <c r="BI24" i="121"/>
  <c r="BJ3" i="121"/>
  <c r="BG54" i="121"/>
  <c r="BA53" i="121"/>
  <c r="BB11" i="121"/>
  <c r="BC19" i="121"/>
  <c r="BA69" i="121"/>
  <c r="BJ52" i="121"/>
  <c r="BE71" i="121"/>
  <c r="BE70" i="121" s="1"/>
  <c r="BB36" i="121"/>
  <c r="BE19" i="121"/>
  <c r="BF41" i="121"/>
  <c r="BH78" i="121"/>
  <c r="BI11" i="121"/>
  <c r="BB69" i="121"/>
  <c r="BI20" i="121"/>
  <c r="BJ21" i="121"/>
  <c r="BG58" i="121"/>
  <c r="BD71" i="121"/>
  <c r="BD70" i="121" s="1"/>
  <c r="BH59" i="121"/>
  <c r="BK14" i="121"/>
  <c r="BE49" i="121"/>
  <c r="BH52" i="121"/>
  <c r="BI38" i="121"/>
  <c r="BB45" i="121"/>
  <c r="BH45" i="121"/>
  <c r="BJ55" i="121"/>
  <c r="BJ31" i="121"/>
  <c r="BG3" i="121"/>
  <c r="BJ66" i="121"/>
  <c r="BG63" i="121"/>
  <c r="BB20" i="121"/>
  <c r="BG37" i="121"/>
  <c r="BK23" i="121"/>
  <c r="BB55" i="121"/>
  <c r="BF35" i="121"/>
  <c r="BC11" i="121"/>
  <c r="BB51" i="121"/>
  <c r="BJ71" i="121"/>
  <c r="BJ70" i="121" s="1"/>
  <c r="BE40" i="121"/>
  <c r="BJ25" i="121"/>
  <c r="BC8" i="121"/>
  <c r="BC4" i="121"/>
  <c r="BC23" i="121"/>
  <c r="BB49" i="121"/>
  <c r="BF69" i="121"/>
  <c r="BI3" i="121"/>
  <c r="BK61" i="121"/>
  <c r="BI73" i="121"/>
  <c r="BI72" i="121" s="1"/>
  <c r="BK56" i="121"/>
  <c r="BC17" i="121"/>
  <c r="BJ69" i="121"/>
  <c r="BD40" i="121"/>
  <c r="BK17" i="121"/>
  <c r="BI27" i="121"/>
  <c r="AZ25" i="121"/>
  <c r="BG31" i="121"/>
  <c r="BK67" i="121"/>
  <c r="BB9" i="121"/>
  <c r="BK58" i="121"/>
  <c r="BF9" i="121"/>
  <c r="BI61" i="121"/>
  <c r="BB30" i="121"/>
  <c r="BH16" i="121"/>
  <c r="BA59" i="121"/>
  <c r="BD9" i="121"/>
  <c r="BE57" i="114"/>
  <c r="BA54" i="114"/>
  <c r="BH64" i="114"/>
  <c r="BI53" i="114"/>
  <c r="BC67" i="114"/>
  <c r="BB13" i="114"/>
  <c r="BH56" i="114"/>
  <c r="BB59" i="114"/>
  <c r="BC20" i="114"/>
  <c r="BC49" i="114"/>
  <c r="BA41" i="114"/>
  <c r="BF23" i="114"/>
  <c r="BD42" i="114"/>
  <c r="BB55" i="114"/>
  <c r="BF51" i="114"/>
  <c r="BC73" i="114"/>
  <c r="BC72" i="114" s="1"/>
  <c r="BG41" i="114"/>
  <c r="BA53" i="114"/>
  <c r="BK10" i="114"/>
  <c r="BD49" i="114"/>
  <c r="BC45" i="114"/>
  <c r="BI11" i="114"/>
  <c r="BH59" i="114"/>
  <c r="BE41" i="114"/>
  <c r="BF4" i="114"/>
  <c r="BI41" i="114"/>
  <c r="BE31" i="114"/>
  <c r="BH14" i="114"/>
  <c r="BE18" i="114"/>
  <c r="BA66" i="114"/>
  <c r="BE54" i="114"/>
  <c r="BD39" i="114"/>
  <c r="BD43" i="114"/>
  <c r="BA13" i="114"/>
  <c r="BH10" i="114"/>
  <c r="BK4" i="114"/>
  <c r="BK36" i="114"/>
  <c r="BE35" i="114"/>
  <c r="BK23" i="114"/>
  <c r="BD17" i="114"/>
  <c r="BH32" i="114"/>
  <c r="BA39" i="114"/>
  <c r="BF31" i="114"/>
  <c r="BC32" i="114"/>
  <c r="BJ39" i="114"/>
  <c r="BI32" i="114"/>
  <c r="BJ37" i="114"/>
  <c r="AZ20" i="114"/>
  <c r="BG55" i="114"/>
  <c r="BF69" i="114"/>
  <c r="BD21" i="114"/>
  <c r="BB34" i="114"/>
  <c r="BD40" i="114"/>
  <c r="BB41" i="114"/>
  <c r="AZ58" i="114"/>
  <c r="BK41" i="114"/>
  <c r="BD36" i="114"/>
  <c r="BI49" i="114"/>
  <c r="BB66" i="114"/>
  <c r="BG37" i="114"/>
  <c r="BG78" i="114"/>
  <c r="BF14" i="114"/>
  <c r="BJ29" i="114"/>
  <c r="BH44" i="114"/>
  <c r="BG21" i="114"/>
  <c r="BJ21" i="114"/>
  <c r="BG46" i="114"/>
  <c r="BI78" i="114"/>
  <c r="BK59" i="114"/>
  <c r="BI56" i="114"/>
  <c r="BB53" i="114"/>
  <c r="BA61" i="114"/>
  <c r="AZ9" i="114"/>
  <c r="BD45" i="114"/>
  <c r="BD4" i="114"/>
  <c r="BK35" i="114"/>
  <c r="BE14" i="114"/>
  <c r="BJ40" i="114"/>
  <c r="BF34" i="114"/>
  <c r="BI69" i="114"/>
  <c r="BI67" i="114"/>
  <c r="BH67" i="114"/>
  <c r="BA18" i="114"/>
  <c r="BJ30" i="114"/>
  <c r="BJ16" i="114"/>
  <c r="BC58" i="114"/>
  <c r="BE25" i="114"/>
  <c r="BD57" i="114"/>
  <c r="BB64" i="114"/>
  <c r="AZ54" i="114"/>
  <c r="BC30" i="114"/>
  <c r="BB19" i="114"/>
  <c r="BI21" i="114"/>
  <c r="BD11" i="114"/>
  <c r="BG26" i="114"/>
  <c r="BH49" i="114"/>
  <c r="AZ48" i="114"/>
  <c r="BI34" i="114"/>
  <c r="BH25" i="114"/>
  <c r="BF8" i="114"/>
  <c r="BE32" i="114"/>
  <c r="AZ25" i="114"/>
  <c r="BB57" i="114"/>
  <c r="BB30" i="114"/>
  <c r="BI20" i="114"/>
  <c r="BE36" i="114"/>
  <c r="AZ55" i="114"/>
  <c r="BI27" i="114"/>
  <c r="BB38" i="114"/>
  <c r="BJ42" i="114"/>
  <c r="BJ61" i="114"/>
  <c r="BC35" i="114"/>
  <c r="BC43" i="114"/>
  <c r="BB3" i="114"/>
  <c r="AZ78" i="114"/>
  <c r="BE39" i="114"/>
  <c r="BA4" i="114"/>
  <c r="BF52" i="114"/>
  <c r="BA35" i="114"/>
  <c r="BB4" i="114"/>
  <c r="BA78" i="114"/>
  <c r="BG71" i="114"/>
  <c r="BG70" i="114" s="1"/>
  <c r="AZ52" i="114"/>
  <c r="BI19" i="114"/>
  <c r="BB69" i="114"/>
  <c r="BB61" i="114"/>
  <c r="BG15" i="114"/>
  <c r="BD66" i="114"/>
  <c r="BA64" i="114"/>
  <c r="BB28" i="114"/>
  <c r="BI46" i="114"/>
  <c r="BF57" i="114"/>
  <c r="BD48" i="114"/>
  <c r="BC34" i="114"/>
  <c r="BC31" i="114"/>
  <c r="BB16" i="114"/>
  <c r="BG39" i="114"/>
  <c r="BK49" i="114"/>
  <c r="BF58" i="114"/>
  <c r="BC51" i="114"/>
  <c r="BH8" i="114"/>
  <c r="BA57" i="114"/>
  <c r="BC18" i="114"/>
  <c r="BG18" i="114"/>
  <c r="BA37" i="114"/>
  <c r="BG58" i="114"/>
  <c r="BG63" i="114"/>
  <c r="BJ38" i="114"/>
  <c r="BA10" i="114"/>
  <c r="BD14" i="114"/>
  <c r="AZ10" i="114"/>
  <c r="BB14" i="114"/>
  <c r="BA51" i="114"/>
  <c r="BF24" i="114"/>
  <c r="BG49" i="114"/>
  <c r="BI48" i="114"/>
  <c r="BD31" i="114"/>
  <c r="BA15" i="114"/>
  <c r="BK34" i="114"/>
  <c r="BD78" i="114"/>
  <c r="BC29" i="114"/>
  <c r="BE40" i="114"/>
  <c r="BE20" i="114"/>
  <c r="AZ37" i="114"/>
  <c r="BJ45" i="114"/>
  <c r="BJ64" i="114"/>
  <c r="AZ44" i="114"/>
  <c r="BA55" i="114"/>
  <c r="BJ15" i="114"/>
  <c r="AZ40" i="114"/>
  <c r="BF56" i="114"/>
  <c r="BF27" i="114"/>
  <c r="AZ28" i="114"/>
  <c r="BF35" i="114"/>
  <c r="BA20" i="114"/>
  <c r="BI42" i="114"/>
  <c r="BC13" i="114"/>
  <c r="AZ19" i="114"/>
  <c r="BB43" i="114"/>
  <c r="BH15" i="114"/>
  <c r="AZ18" i="114"/>
  <c r="BJ53" i="114"/>
  <c r="BA34" i="114"/>
  <c r="BC28" i="114"/>
  <c r="BA19" i="114"/>
  <c r="BF49" i="114"/>
  <c r="BG57" i="114"/>
  <c r="BC27" i="114"/>
  <c r="BI54" i="114"/>
  <c r="BH42" i="114"/>
  <c r="BD71" i="114"/>
  <c r="BD70" i="114" s="1"/>
  <c r="BB32" i="114"/>
  <c r="BJ48" i="114"/>
  <c r="BC61" i="114"/>
  <c r="BE56" i="114"/>
  <c r="BF28" i="114"/>
  <c r="BD41" i="114"/>
  <c r="BF25" i="114"/>
  <c r="BF45" i="114"/>
  <c r="BF9" i="114"/>
  <c r="BK57" i="114"/>
  <c r="BD53" i="114"/>
  <c r="BG4" i="114"/>
  <c r="BJ41" i="114"/>
  <c r="BA16" i="114"/>
  <c r="BB21" i="114"/>
  <c r="BE59" i="114"/>
  <c r="BG67" i="114"/>
  <c r="BF26" i="114"/>
  <c r="BC3" i="114"/>
  <c r="BG27" i="114"/>
  <c r="BJ4" i="114"/>
  <c r="BF71" i="114"/>
  <c r="BF70" i="114" s="1"/>
  <c r="BH34" i="114"/>
  <c r="BC21" i="114"/>
  <c r="BJ55" i="114"/>
  <c r="BG30" i="114"/>
  <c r="BH51" i="114"/>
  <c r="BI38" i="114"/>
  <c r="BK44" i="114"/>
  <c r="BI36" i="114"/>
  <c r="BH45" i="114"/>
  <c r="BE44" i="114"/>
  <c r="BK13" i="114"/>
  <c r="BG44" i="114"/>
  <c r="BK45" i="114"/>
  <c r="BA63" i="114"/>
  <c r="BE78" i="114"/>
  <c r="BG54" i="114"/>
  <c r="BA24" i="114"/>
  <c r="BJ52" i="114"/>
  <c r="BH21" i="114"/>
  <c r="BK54" i="114"/>
  <c r="BH78" i="114"/>
  <c r="BC16" i="114"/>
  <c r="BC56" i="114"/>
  <c r="BI44" i="114"/>
  <c r="BC66" i="114"/>
  <c r="BI58" i="114"/>
  <c r="BJ46" i="114"/>
  <c r="BK19" i="114"/>
  <c r="BA44" i="114"/>
  <c r="BE61" i="114"/>
  <c r="BE24" i="114"/>
  <c r="BI4" i="114"/>
  <c r="BK63" i="114"/>
  <c r="BD35" i="114"/>
  <c r="BA56" i="114"/>
  <c r="BE8" i="114"/>
  <c r="BA26" i="114"/>
  <c r="BJ43" i="114"/>
  <c r="BD58" i="114"/>
  <c r="BH73" i="114"/>
  <c r="BH72" i="114" s="1"/>
  <c r="BA58" i="114"/>
  <c r="BG53" i="114"/>
  <c r="BD67" i="114"/>
  <c r="BK61" i="114"/>
  <c r="BB46" i="114"/>
  <c r="BB54" i="114"/>
  <c r="BH69" i="114"/>
  <c r="BC52" i="114"/>
  <c r="BC78" i="114"/>
  <c r="BC55" i="114"/>
  <c r="BE58" i="114"/>
  <c r="BB39" i="114"/>
  <c r="BG56" i="114"/>
  <c r="BA67" i="114"/>
  <c r="BH53" i="114"/>
  <c r="BG14" i="114"/>
  <c r="BH16" i="114"/>
  <c r="BE46" i="114"/>
  <c r="BK24" i="114"/>
  <c r="AZ31" i="114"/>
  <c r="AZ29" i="114"/>
  <c r="BJ58" i="114"/>
  <c r="AZ3" i="114"/>
  <c r="BF29" i="114"/>
  <c r="BE26" i="114"/>
  <c r="BI35" i="114"/>
  <c r="BJ67" i="114"/>
  <c r="BH24" i="114"/>
  <c r="BF37" i="114"/>
  <c r="BE71" i="114"/>
  <c r="BE70" i="114" s="1"/>
  <c r="BG23" i="114"/>
  <c r="BB45" i="114"/>
  <c r="BK27" i="114"/>
  <c r="BG32" i="114"/>
  <c r="BG9" i="114"/>
  <c r="BE34" i="114"/>
  <c r="BI37" i="114"/>
  <c r="BA11" i="114"/>
  <c r="BH63" i="114"/>
  <c r="BJ44" i="114"/>
  <c r="BK55" i="114"/>
  <c r="BC11" i="114"/>
  <c r="BK46" i="114"/>
  <c r="AZ8" i="114"/>
  <c r="BB15" i="114"/>
  <c r="BB42" i="114"/>
  <c r="BJ54" i="114"/>
  <c r="BD32" i="114"/>
  <c r="BD52" i="114"/>
  <c r="BH38" i="114"/>
  <c r="BK28" i="114"/>
  <c r="BF40" i="114"/>
  <c r="BJ32" i="114"/>
  <c r="BE53" i="114"/>
  <c r="BH9" i="114"/>
  <c r="BF32" i="114"/>
  <c r="BA8" i="114"/>
  <c r="BE4" i="114"/>
  <c r="BF36" i="114"/>
  <c r="BD61" i="114"/>
  <c r="BC25" i="114"/>
  <c r="BH23" i="114"/>
  <c r="BI51" i="114"/>
  <c r="BF55" i="114"/>
  <c r="BC59" i="114"/>
  <c r="BF3" i="114"/>
  <c r="AZ26" i="114"/>
  <c r="BB78" i="114"/>
  <c r="BC36" i="114"/>
  <c r="BK26" i="114"/>
  <c r="BD51" i="114"/>
  <c r="BE15" i="114"/>
  <c r="BG73" i="114"/>
  <c r="BG72" i="114" s="1"/>
  <c r="BA45" i="114"/>
  <c r="BG8" i="114"/>
  <c r="BK40" i="114"/>
  <c r="BK29" i="114"/>
  <c r="BC63" i="114"/>
  <c r="AZ15" i="114"/>
  <c r="BE45" i="114"/>
  <c r="BH37" i="114"/>
  <c r="BC10" i="114"/>
  <c r="BG48" i="114"/>
  <c r="BK38" i="114"/>
  <c r="BC57" i="114"/>
  <c r="BJ51" i="114"/>
  <c r="BH40" i="114"/>
  <c r="BE13" i="114"/>
  <c r="BD3" i="114"/>
  <c r="BF18" i="114"/>
  <c r="AZ51" i="114"/>
  <c r="BJ71" i="114"/>
  <c r="BJ70" i="114" s="1"/>
  <c r="BI26" i="114"/>
  <c r="BF43" i="114"/>
  <c r="BF46" i="114"/>
  <c r="BJ27" i="114"/>
  <c r="BG64" i="114"/>
  <c r="BK64" i="114"/>
  <c r="BK9" i="114"/>
  <c r="BI59" i="114"/>
  <c r="BJ78" i="114"/>
  <c r="BF41" i="114"/>
  <c r="BI23" i="114"/>
  <c r="BJ3" i="114"/>
  <c r="BA40" i="114"/>
  <c r="BD16" i="114"/>
  <c r="BG25" i="114"/>
  <c r="BC48" i="114"/>
  <c r="BI25" i="114"/>
  <c r="BJ28" i="114"/>
  <c r="BB35" i="114"/>
  <c r="AZ42" i="114"/>
  <c r="BA30" i="114"/>
  <c r="BD55" i="114"/>
  <c r="BF78" i="114"/>
  <c r="BB67" i="114"/>
  <c r="BJ59" i="114"/>
  <c r="BB48" i="114"/>
  <c r="BC38" i="114"/>
  <c r="BE63" i="114"/>
  <c r="BK67" i="114"/>
  <c r="O21" i="125"/>
  <c r="P21" i="125" s="1"/>
  <c r="O21" i="475"/>
  <c r="P21" i="475" s="1"/>
  <c r="AJ33" i="125"/>
  <c r="AJ12" i="125"/>
  <c r="V15" i="104"/>
  <c r="BE43" i="104"/>
  <c r="BC55" i="104"/>
  <c r="BK24" i="104"/>
  <c r="BF67" i="104"/>
  <c r="BF51" i="104"/>
  <c r="BF38" i="104"/>
  <c r="BC13" i="104"/>
  <c r="BG49" i="104"/>
  <c r="BI16" i="104"/>
  <c r="BC16" i="104"/>
  <c r="BE54" i="104"/>
  <c r="AZ37" i="104"/>
  <c r="BF3" i="104"/>
  <c r="BD24" i="104"/>
  <c r="BH48" i="104"/>
  <c r="BG10" i="104"/>
  <c r="BF69" i="104"/>
  <c r="BF44" i="104"/>
  <c r="BG29" i="104"/>
  <c r="BB25" i="104"/>
  <c r="BE10" i="104"/>
  <c r="BF24" i="104"/>
  <c r="AZ9" i="104"/>
  <c r="BB44" i="104"/>
  <c r="BB67" i="104"/>
  <c r="BF73" i="104"/>
  <c r="BF72" i="104" s="1"/>
  <c r="BE58" i="104"/>
  <c r="BF27" i="104"/>
  <c r="BA51" i="104"/>
  <c r="AZ42" i="104"/>
  <c r="BF16" i="104"/>
  <c r="BC26" i="104"/>
  <c r="BD31" i="104"/>
  <c r="BD42" i="104"/>
  <c r="BJ43" i="104"/>
  <c r="BD71" i="104"/>
  <c r="BD70" i="104" s="1"/>
  <c r="BI38" i="104"/>
  <c r="BF13" i="104"/>
  <c r="BG3" i="104"/>
  <c r="AZ4" i="104"/>
  <c r="BE59" i="104"/>
  <c r="BA20" i="104"/>
  <c r="BD51" i="104"/>
  <c r="BG55" i="104"/>
  <c r="BH37" i="104"/>
  <c r="AZ16" i="104"/>
  <c r="BA8" i="104"/>
  <c r="BK19" i="104"/>
  <c r="BC28" i="104"/>
  <c r="BE61" i="104"/>
  <c r="BG64" i="104"/>
  <c r="BH42" i="104"/>
  <c r="BA16" i="104"/>
  <c r="BI78" i="104"/>
  <c r="BG71" i="104"/>
  <c r="BG70" i="104" s="1"/>
  <c r="BI61" i="104"/>
  <c r="BE45" i="104"/>
  <c r="BJ16" i="104"/>
  <c r="BB52" i="104"/>
  <c r="BF63" i="104"/>
  <c r="BD28" i="104"/>
  <c r="BK10" i="104"/>
  <c r="BE34" i="104"/>
  <c r="BE20" i="104"/>
  <c r="BC8" i="104"/>
  <c r="BI56" i="104"/>
  <c r="BC35" i="104"/>
  <c r="BF31" i="104"/>
  <c r="BE15" i="104"/>
  <c r="BC59" i="104"/>
  <c r="BG18" i="104"/>
  <c r="BA66" i="104"/>
  <c r="BA67" i="104"/>
  <c r="BC3" i="104"/>
  <c r="BB8" i="104"/>
  <c r="BA18" i="104"/>
  <c r="BD39" i="104"/>
  <c r="BI17" i="104"/>
  <c r="BI25" i="104"/>
  <c r="BD73" i="104"/>
  <c r="BD72" i="104" s="1"/>
  <c r="BF61" i="104"/>
  <c r="BG30" i="104"/>
  <c r="BD44" i="104"/>
  <c r="BA39" i="104"/>
  <c r="BE8" i="104"/>
  <c r="AZ49" i="104"/>
  <c r="BA69" i="104"/>
  <c r="BG42" i="104"/>
  <c r="BF54" i="104"/>
  <c r="BB34" i="104"/>
  <c r="BB38" i="104"/>
  <c r="BA13" i="104"/>
  <c r="AZ35" i="104"/>
  <c r="BI36" i="104"/>
  <c r="BJ3" i="104"/>
  <c r="BF26" i="104"/>
  <c r="BE21" i="104"/>
  <c r="BH64" i="104"/>
  <c r="BG56" i="104"/>
  <c r="BG19" i="104"/>
  <c r="AZ18" i="104"/>
  <c r="AZ57" i="104"/>
  <c r="BB63" i="104"/>
  <c r="BD57" i="104"/>
  <c r="AZ43" i="104"/>
  <c r="BI40" i="104"/>
  <c r="BG9" i="104"/>
  <c r="AZ8" i="104"/>
  <c r="AZ34" i="104"/>
  <c r="BG4" i="104"/>
  <c r="BJ71" i="104"/>
  <c r="BJ70" i="104" s="1"/>
  <c r="BG44" i="104"/>
  <c r="BH73" i="104"/>
  <c r="BH72" i="104" s="1"/>
  <c r="BC38" i="104"/>
  <c r="BK48" i="104"/>
  <c r="BI71" i="104"/>
  <c r="BI70" i="104" s="1"/>
  <c r="BG78" i="104"/>
  <c r="BA24" i="104"/>
  <c r="BD16" i="104"/>
  <c r="BC25" i="104"/>
  <c r="BJ20" i="104"/>
  <c r="BB26" i="104"/>
  <c r="BB49" i="104"/>
  <c r="BH25" i="104"/>
  <c r="BB37" i="104"/>
  <c r="AZ64" i="104"/>
  <c r="BE28" i="104"/>
  <c r="BG54" i="104"/>
  <c r="BI9" i="104"/>
  <c r="AZ17" i="104"/>
  <c r="BI21" i="104"/>
  <c r="BI30" i="104"/>
  <c r="BK49" i="104"/>
  <c r="BK20" i="104"/>
  <c r="BF29" i="104"/>
  <c r="BG57" i="104"/>
  <c r="BB32" i="104"/>
  <c r="BK59" i="104"/>
  <c r="BJ40" i="104"/>
  <c r="BH11" i="104"/>
  <c r="BJ11" i="104"/>
  <c r="BE25" i="104"/>
  <c r="BI32" i="104"/>
  <c r="BH44" i="104"/>
  <c r="BA23" i="104"/>
  <c r="BH31" i="104"/>
  <c r="BJ52" i="104"/>
  <c r="BH10" i="104"/>
  <c r="BG38" i="104"/>
  <c r="BA9" i="104"/>
  <c r="BC17" i="104"/>
  <c r="BK16" i="104"/>
  <c r="BF55" i="104"/>
  <c r="AZ44" i="104"/>
  <c r="BJ48" i="104"/>
  <c r="BI42" i="104"/>
  <c r="BH39" i="104"/>
  <c r="AZ41" i="104"/>
  <c r="BB31" i="104"/>
  <c r="BI54" i="104"/>
  <c r="BD9" i="104"/>
  <c r="AZ13" i="104"/>
  <c r="BA41" i="104"/>
  <c r="BJ18" i="104"/>
  <c r="BI26" i="104"/>
  <c r="BA46" i="104"/>
  <c r="BI63" i="104"/>
  <c r="BH28" i="104"/>
  <c r="BE32" i="104"/>
  <c r="BI20" i="104"/>
  <c r="BE71" i="104"/>
  <c r="BE70" i="104" s="1"/>
  <c r="BC67" i="104"/>
  <c r="BG51" i="104"/>
  <c r="BG52" i="104"/>
  <c r="BC61" i="104"/>
  <c r="BK32" i="104"/>
  <c r="BF18" i="104"/>
  <c r="BK11" i="104"/>
  <c r="BD11" i="104"/>
  <c r="BJ51" i="104"/>
  <c r="BE46" i="104"/>
  <c r="BA44" i="104"/>
  <c r="BH56" i="104"/>
  <c r="BB41" i="104"/>
  <c r="BK14" i="104"/>
  <c r="BF53" i="104"/>
  <c r="BA36" i="104"/>
  <c r="BC34" i="104"/>
  <c r="BK31" i="104"/>
  <c r="BC42" i="104"/>
  <c r="BD64" i="104"/>
  <c r="BG32" i="104"/>
  <c r="BD78" i="104"/>
  <c r="BE73" i="104"/>
  <c r="BE72" i="104" s="1"/>
  <c r="BA11" i="104"/>
  <c r="BG31" i="104"/>
  <c r="BB27" i="104"/>
  <c r="BD35" i="104"/>
  <c r="BC32" i="104"/>
  <c r="BF40" i="104"/>
  <c r="BA57" i="104"/>
  <c r="BH26" i="104"/>
  <c r="BK37" i="104"/>
  <c r="BI64" i="104"/>
  <c r="BJ4" i="104"/>
  <c r="AZ29" i="104"/>
  <c r="BH52" i="104"/>
  <c r="BD19" i="104"/>
  <c r="BE37" i="104"/>
  <c r="BF35" i="104"/>
  <c r="BG67" i="104"/>
  <c r="BH58" i="104"/>
  <c r="BI27" i="104"/>
  <c r="BG39" i="104"/>
  <c r="BA59" i="104"/>
  <c r="BE55" i="104"/>
  <c r="BB20" i="104"/>
  <c r="BJ15" i="104"/>
  <c r="BK26" i="104"/>
  <c r="BE30" i="104"/>
  <c r="BC64" i="104"/>
  <c r="BF59" i="104"/>
  <c r="BF64" i="104"/>
  <c r="BC48" i="104"/>
  <c r="BI49" i="104"/>
  <c r="AZ67" i="104"/>
  <c r="BG14" i="104"/>
  <c r="BD17" i="104"/>
  <c r="BI35" i="104"/>
  <c r="BK45" i="104"/>
  <c r="BB24" i="104"/>
  <c r="BG34" i="104"/>
  <c r="BH54" i="104"/>
  <c r="BB61" i="104"/>
  <c r="BI37" i="104"/>
  <c r="BB4" i="104"/>
  <c r="BH35" i="104"/>
  <c r="BF8" i="104"/>
  <c r="BB17" i="104"/>
  <c r="BF57" i="104"/>
  <c r="BC57" i="104"/>
  <c r="BJ38" i="104"/>
  <c r="BJ32" i="104"/>
  <c r="BD27" i="104"/>
  <c r="BH20" i="104"/>
  <c r="BK21" i="104"/>
  <c r="AZ69" i="104"/>
  <c r="BH55" i="104"/>
  <c r="BF52" i="104"/>
  <c r="AZ52" i="104"/>
  <c r="BF45" i="104"/>
  <c r="BK66" i="104"/>
  <c r="BE23" i="104"/>
  <c r="BI45" i="104"/>
  <c r="BB43" i="104"/>
  <c r="BC52" i="104"/>
  <c r="BF42" i="104"/>
  <c r="BF39" i="104"/>
  <c r="BE57" i="104"/>
  <c r="AZ30" i="104"/>
  <c r="BB15" i="104"/>
  <c r="BA28" i="104"/>
  <c r="BB46" i="104"/>
  <c r="BI51" i="104"/>
  <c r="BJ45" i="104"/>
  <c r="BD66" i="104"/>
  <c r="BF34" i="104"/>
  <c r="BE51" i="104"/>
  <c r="BH30" i="104"/>
  <c r="BA31" i="104"/>
  <c r="BF21" i="104"/>
  <c r="BA52" i="104"/>
  <c r="BJ8" i="104"/>
  <c r="BB56" i="104"/>
  <c r="BH57" i="104"/>
  <c r="BI41" i="104"/>
  <c r="BI67" i="104"/>
  <c r="BJ35" i="104"/>
  <c r="BK44" i="104"/>
  <c r="BF32" i="104"/>
  <c r="BJ14" i="104"/>
  <c r="AZ36" i="104"/>
  <c r="BA34" i="104"/>
  <c r="BE35" i="104"/>
  <c r="BA42" i="104"/>
  <c r="BH19" i="104"/>
  <c r="BH4" i="104"/>
  <c r="BB16" i="104"/>
  <c r="AZ56" i="104"/>
  <c r="BK55" i="104"/>
  <c r="BA17" i="104"/>
  <c r="BK13" i="104"/>
  <c r="BA30" i="104"/>
  <c r="BE39" i="104"/>
  <c r="BG37" i="104"/>
  <c r="BD61" i="104"/>
  <c r="BE29" i="104"/>
  <c r="BK40" i="104"/>
  <c r="BA61" i="104"/>
  <c r="BB9" i="104"/>
  <c r="BD10" i="104"/>
  <c r="BI13" i="104"/>
  <c r="BK41" i="104"/>
  <c r="AZ15" i="104"/>
  <c r="BB23" i="104"/>
  <c r="BJ46" i="104"/>
  <c r="BB64" i="104"/>
  <c r="BA35" i="104"/>
  <c r="BK42" i="104"/>
  <c r="BD37" i="104"/>
  <c r="BH29" i="104"/>
  <c r="BI34" i="104"/>
  <c r="BB21" i="104"/>
  <c r="BK63" i="104"/>
  <c r="BC69" i="104"/>
  <c r="BC58" i="104"/>
  <c r="BA53" i="104"/>
  <c r="BD30" i="104"/>
  <c r="BB36" i="104"/>
  <c r="AZ11" i="104"/>
  <c r="AZ23" i="104"/>
  <c r="BF58" i="104"/>
  <c r="BI48" i="104"/>
  <c r="BJ44" i="104"/>
  <c r="BD67" i="104"/>
  <c r="BE36" i="104"/>
  <c r="BH34" i="104"/>
  <c r="BG26" i="104"/>
  <c r="BI11" i="104"/>
  <c r="BB14" i="104"/>
  <c r="BG53" i="104"/>
  <c r="BA78" i="104"/>
  <c r="AZ40" i="104"/>
  <c r="BD69" i="104"/>
  <c r="BF37" i="104"/>
  <c r="AZ24" i="104"/>
  <c r="BF36" i="104"/>
  <c r="BD14" i="104"/>
  <c r="BF14" i="104"/>
  <c r="BC9" i="104"/>
  <c r="BK54" i="104"/>
  <c r="BF43" i="104"/>
  <c r="BD41" i="104"/>
  <c r="BC73" i="104"/>
  <c r="BC72" i="104" s="1"/>
  <c r="AZ39" i="104"/>
  <c r="BB66" i="104"/>
  <c r="BK3" i="104"/>
  <c r="AZ45" i="104"/>
  <c r="BK46" i="104"/>
  <c r="AZ3" i="104"/>
  <c r="BG40" i="104"/>
  <c r="AZ14" i="104"/>
  <c r="BD20" i="104"/>
  <c r="BH45" i="104"/>
  <c r="BA63" i="104"/>
  <c r="BG61" i="104"/>
  <c r="BC21" i="104"/>
  <c r="BG63" i="104"/>
  <c r="BB59" i="104"/>
  <c r="BH78" i="104"/>
  <c r="BJ69" i="104"/>
  <c r="BA37" i="104"/>
  <c r="BH46" i="104"/>
  <c r="BJ28" i="104"/>
  <c r="BH23" i="104"/>
  <c r="BI18" i="104"/>
  <c r="BE38" i="104"/>
  <c r="BD46" i="104"/>
  <c r="BB19" i="104"/>
  <c r="BA27" i="104"/>
  <c r="BD55" i="104"/>
  <c r="BA25" i="104"/>
  <c r="BA19" i="104"/>
  <c r="BE3" i="104"/>
  <c r="BB39" i="104"/>
  <c r="BK4" i="104"/>
  <c r="AZ28" i="104"/>
  <c r="BE9" i="104"/>
  <c r="BJ23" i="104"/>
  <c r="BI66" i="104"/>
  <c r="BK57" i="104"/>
  <c r="BC51" i="104"/>
  <c r="BC4" i="104"/>
  <c r="BE19" i="104"/>
  <c r="BH21" i="104"/>
  <c r="BG35" i="104"/>
  <c r="BI69" i="104"/>
  <c r="BE56" i="104"/>
  <c r="BJ58" i="104"/>
  <c r="BC44" i="104"/>
  <c r="BJ41" i="104"/>
  <c r="BB51" i="104"/>
  <c r="BH8" i="104"/>
  <c r="BF20" i="104"/>
  <c r="BI14" i="104"/>
  <c r="BG25" i="104"/>
  <c r="BD59" i="104"/>
  <c r="BC49" i="104"/>
  <c r="BG59" i="104"/>
  <c r="BG45" i="104"/>
  <c r="BB42" i="104"/>
  <c r="BJ78" i="104"/>
  <c r="BA26" i="104"/>
  <c r="BG17" i="104"/>
  <c r="BF23" i="104"/>
  <c r="BG16" i="104"/>
  <c r="BD15" i="104"/>
  <c r="BH63" i="104"/>
  <c r="BE52" i="104"/>
  <c r="AZ55" i="104"/>
  <c r="BI46" i="104"/>
  <c r="BC78" i="104"/>
  <c r="BC46" i="104"/>
  <c r="BD4" i="104"/>
  <c r="BK8" i="104"/>
  <c r="BD8" i="104"/>
  <c r="BK34" i="104"/>
  <c r="BB45" i="104"/>
  <c r="BB18" i="104"/>
  <c r="AZ26" i="104"/>
  <c r="BE53" i="104"/>
  <c r="BC71" i="104"/>
  <c r="BC70" i="104" s="1"/>
  <c r="BD38" i="104"/>
  <c r="BJ9" i="104"/>
  <c r="BC10" i="104"/>
  <c r="BF9" i="104"/>
  <c r="BC56" i="104"/>
  <c r="BI44" i="104"/>
  <c r="BB78" i="104"/>
  <c r="BA55" i="104"/>
  <c r="BA40" i="104"/>
  <c r="BI31" i="104"/>
  <c r="BJ29" i="104"/>
  <c r="AZ38" i="104"/>
  <c r="BC54" i="104"/>
  <c r="BJ24" i="104"/>
  <c r="BE41" i="104"/>
  <c r="AZ71" i="104"/>
  <c r="AZ70" i="104" s="1"/>
  <c r="BH38" i="104"/>
  <c r="BC27" i="104"/>
  <c r="BI8" i="104"/>
  <c r="BK9" i="104"/>
  <c r="BH69" i="104"/>
  <c r="BC14" i="104"/>
  <c r="BE42" i="104"/>
  <c r="BH15" i="104"/>
  <c r="BJ27" i="104"/>
  <c r="BD48" i="104"/>
  <c r="BJ64" i="104"/>
  <c r="BC19" i="104"/>
  <c r="BB3" i="104"/>
  <c r="BK38" i="104"/>
  <c r="BE40" i="104"/>
  <c r="BK52" i="104"/>
  <c r="BJ21" i="104"/>
  <c r="BE64" i="104"/>
  <c r="BF71" i="104"/>
  <c r="BF70" i="104" s="1"/>
  <c r="BI52" i="104"/>
  <c r="BI53" i="104"/>
  <c r="BI3" i="104"/>
  <c r="BF15" i="104"/>
  <c r="BD29" i="104"/>
  <c r="BJ31" i="104"/>
  <c r="BK36" i="104"/>
  <c r="BB71" i="104"/>
  <c r="BB70" i="104" s="1"/>
  <c r="BA3" i="104"/>
  <c r="BA73" i="104"/>
  <c r="BA72" i="104" s="1"/>
  <c r="BD53" i="104"/>
  <c r="AZ48" i="104"/>
  <c r="BK73" i="104"/>
  <c r="BK72" i="104" s="1"/>
  <c r="BG73" i="104"/>
  <c r="BG72" i="104" s="1"/>
  <c r="BJ30" i="104"/>
  <c r="AZ32" i="104"/>
  <c r="BD25" i="104"/>
  <c r="BI39" i="104"/>
  <c r="AZ19" i="104"/>
  <c r="BK67" i="104"/>
  <c r="BI15" i="104"/>
  <c r="BB55" i="104"/>
  <c r="BA49" i="104"/>
  <c r="BJ57" i="104"/>
  <c r="BB13" i="104"/>
  <c r="BD13" i="104"/>
  <c r="BH27" i="104"/>
  <c r="BC36" i="104"/>
  <c r="BD52" i="104"/>
  <c r="BI23" i="104"/>
  <c r="BB40" i="104"/>
  <c r="BJ59" i="104"/>
  <c r="BE18" i="104"/>
  <c r="BA21" i="104"/>
  <c r="BE16" i="104"/>
  <c r="BH18" i="104"/>
  <c r="BE17" i="104"/>
  <c r="BC66" i="104"/>
  <c r="BJ53" i="104"/>
  <c r="BD49" i="104"/>
  <c r="BF49" i="104"/>
  <c r="BD43" i="104"/>
  <c r="BG41" i="104"/>
  <c r="BA64" i="104"/>
  <c r="BC43" i="104"/>
  <c r="AZ63" i="104"/>
  <c r="BF30" i="104"/>
  <c r="BJ55" i="104"/>
  <c r="BA29" i="104"/>
  <c r="BJ67" i="104"/>
  <c r="BG15" i="104"/>
  <c r="BK15" i="104"/>
  <c r="BI19" i="104"/>
  <c r="BJ39" i="104"/>
  <c r="BG48" i="104"/>
  <c r="AZ25" i="104"/>
  <c r="BH36" i="104"/>
  <c r="BA56" i="104"/>
  <c r="BJ73" i="104"/>
  <c r="BJ72" i="104" s="1"/>
  <c r="BK58" i="104"/>
  <c r="BD23" i="104"/>
  <c r="BF4" i="104"/>
  <c r="BA71" i="104"/>
  <c r="BA70" i="104" s="1"/>
  <c r="BI28" i="104"/>
  <c r="BB10" i="104"/>
  <c r="BC18" i="104"/>
  <c r="BE67" i="104"/>
  <c r="BG66" i="104"/>
  <c r="BF46" i="104"/>
  <c r="BH9" i="104"/>
  <c r="BC40" i="104"/>
  <c r="BH41" i="104"/>
  <c r="BK64" i="104"/>
  <c r="BC29" i="104"/>
  <c r="BJ10" i="104"/>
  <c r="BK18" i="104"/>
  <c r="BI59" i="104"/>
  <c r="BD26" i="104"/>
  <c r="BK25" i="104"/>
  <c r="BD21" i="104"/>
  <c r="BI4" i="104"/>
  <c r="BJ54" i="104"/>
  <c r="BB29" i="104"/>
  <c r="BG28" i="104"/>
  <c r="BC15" i="104"/>
  <c r="BF10" i="104"/>
  <c r="BH24" i="104"/>
  <c r="BI58" i="104"/>
  <c r="BA48" i="104"/>
  <c r="BC53" i="104"/>
  <c r="BK27" i="104"/>
  <c r="BF41" i="104"/>
  <c r="BH71" i="104"/>
  <c r="BH70" i="104" s="1"/>
  <c r="BK30" i="104"/>
  <c r="BG20" i="104"/>
  <c r="BH16" i="104"/>
  <c r="BE11" i="104"/>
  <c r="BD32" i="104"/>
  <c r="BB69" i="104"/>
  <c r="BI55" i="104"/>
  <c r="BH61" i="104"/>
  <c r="BB28" i="104"/>
  <c r="BE31" i="104"/>
  <c r="AZ61" i="104"/>
  <c r="AZ54" i="104"/>
  <c r="BD40" i="104"/>
  <c r="BK28" i="104"/>
  <c r="AZ21" i="104"/>
  <c r="BD34" i="104"/>
  <c r="BK69" i="104"/>
  <c r="BF56" i="104"/>
  <c r="BE78" i="104"/>
  <c r="BJ34" i="104"/>
  <c r="BA15" i="104"/>
  <c r="BK56" i="104"/>
  <c r="BE48" i="104"/>
  <c r="BH67" i="104"/>
  <c r="BC45" i="104"/>
  <c r="BG43" i="104"/>
  <c r="BB48" i="104"/>
  <c r="BJ61" i="104"/>
  <c r="BB73" i="104"/>
  <c r="BB72" i="104" s="1"/>
  <c r="AZ58" i="104"/>
  <c r="BK17" i="104"/>
  <c r="BE4" i="104"/>
  <c r="BF78" i="104"/>
  <c r="BC30" i="104"/>
  <c r="BJ25" i="104"/>
  <c r="BD36" i="104"/>
  <c r="AZ73" i="104"/>
  <c r="AZ72" i="104" s="1"/>
  <c r="BA58" i="104"/>
  <c r="BH66" i="104"/>
  <c r="BK35" i="104"/>
  <c r="BE27" i="104"/>
  <c r="BD58" i="104"/>
  <c r="BJ13" i="104"/>
  <c r="BF28" i="104"/>
  <c r="BE13" i="104"/>
  <c r="BH3" i="104"/>
  <c r="BA45" i="104"/>
  <c r="BD56" i="104"/>
  <c r="BC20" i="104"/>
  <c r="BC24" i="104"/>
  <c r="AZ59" i="104"/>
  <c r="BG46" i="104"/>
  <c r="BF17" i="104"/>
  <c r="BD3" i="104"/>
  <c r="BC37" i="104"/>
  <c r="BJ26" i="104"/>
  <c r="BA14" i="104"/>
  <c r="BG8" i="104"/>
  <c r="BG23" i="104"/>
  <c r="BB57" i="104"/>
  <c r="BK53" i="104"/>
  <c r="BB58" i="104"/>
  <c r="H8" i="418"/>
  <c r="BB54" i="104"/>
  <c r="BH51" i="104"/>
  <c r="BH43" i="104"/>
  <c r="BD45" i="104"/>
  <c r="BE66" i="104"/>
  <c r="BA38" i="104"/>
  <c r="BK43" i="104"/>
  <c r="BA4" i="104"/>
  <c r="BK23" i="104"/>
  <c r="BH17" i="104"/>
  <c r="BE14" i="104"/>
  <c r="BA54" i="104"/>
  <c r="BG58" i="104"/>
  <c r="BJ56" i="104"/>
  <c r="BE49" i="104"/>
  <c r="BB53" i="104"/>
  <c r="BI73" i="104"/>
  <c r="BI72" i="104" s="1"/>
  <c r="AZ78" i="104"/>
  <c r="BC39" i="104"/>
  <c r="BH13" i="104"/>
  <c r="BB30" i="104"/>
  <c r="BA10" i="104"/>
  <c r="BE26" i="104"/>
  <c r="AZ10" i="104"/>
  <c r="AZ27" i="104"/>
  <c r="BF11" i="104"/>
  <c r="BI29" i="104"/>
  <c r="BI43" i="104"/>
  <c r="BJ17" i="104"/>
  <c r="BJ19" i="104"/>
  <c r="BJ63" i="104"/>
  <c r="BI57" i="104"/>
  <c r="BH49" i="104"/>
  <c r="BC11" i="104"/>
  <c r="BA32" i="104"/>
  <c r="BI10" i="104"/>
  <c r="BK39" i="104"/>
  <c r="AZ46" i="104"/>
  <c r="BG24" i="104"/>
  <c r="BE44" i="104"/>
  <c r="AZ66" i="104"/>
  <c r="BB35" i="104"/>
  <c r="BJ37" i="104"/>
  <c r="BD54" i="104"/>
  <c r="BG27" i="104"/>
  <c r="BC23" i="104"/>
  <c r="BH40" i="104"/>
  <c r="BB11" i="104"/>
  <c r="BK71" i="104"/>
  <c r="BK70" i="104" s="1"/>
  <c r="BG69" i="104"/>
  <c r="BD63" i="104"/>
  <c r="BF66" i="104"/>
  <c r="BH14" i="104"/>
  <c r="BH53" i="104"/>
  <c r="BJ49" i="104"/>
  <c r="AZ31" i="104"/>
  <c r="AZ51" i="104"/>
  <c r="BG21" i="104"/>
  <c r="BC31" i="104"/>
  <c r="BJ42" i="104"/>
  <c r="BI24" i="104"/>
  <c r="BK78" i="104"/>
  <c r="BE63" i="104"/>
  <c r="BH32" i="104"/>
  <c r="BG36" i="104"/>
  <c r="AZ53" i="104"/>
  <c r="BF25" i="104"/>
  <c r="AZ20" i="104"/>
  <c r="BJ36" i="104"/>
  <c r="BK61" i="104"/>
  <c r="BE24" i="104"/>
  <c r="BD18" i="104"/>
  <c r="BG11" i="104"/>
  <c r="BE69" i="104"/>
  <c r="BJ66" i="104"/>
  <c r="BH59" i="104"/>
  <c r="BC63" i="104"/>
  <c r="BG13" i="104"/>
  <c r="BK51" i="104"/>
  <c r="BF48" i="104"/>
  <c r="BK29" i="104"/>
  <c r="BA43" i="104"/>
  <c r="BF19" i="104"/>
  <c r="BC41" i="104"/>
  <c r="O25" i="104"/>
  <c r="P25" i="104" s="1"/>
  <c r="A10" i="54"/>
  <c r="A9" i="418"/>
  <c r="K5" i="418"/>
  <c r="F9" i="680" s="1"/>
  <c r="W19" i="105"/>
  <c r="W19" i="472"/>
  <c r="D11" i="749" l="1"/>
  <c r="D12" i="749" s="1"/>
  <c r="E62" i="683"/>
  <c r="E93" i="683" s="1"/>
  <c r="C93" i="683"/>
  <c r="D23" i="680"/>
  <c r="D48" i="680"/>
  <c r="D46" i="680" s="1"/>
  <c r="F22" i="676"/>
  <c r="G8" i="741"/>
  <c r="J23" i="753"/>
  <c r="E5" i="741"/>
  <c r="AZ2" i="472"/>
  <c r="G28" i="680"/>
  <c r="G30" i="680"/>
  <c r="G15" i="680"/>
  <c r="G10" i="680"/>
  <c r="G35" i="680"/>
  <c r="E33" i="680"/>
  <c r="G26" i="680"/>
  <c r="G32" i="680"/>
  <c r="G9" i="680"/>
  <c r="G17" i="680"/>
  <c r="G16" i="680"/>
  <c r="G44" i="680" s="1"/>
  <c r="G31" i="680"/>
  <c r="G21" i="680"/>
  <c r="G12" i="680"/>
  <c r="E22" i="680"/>
  <c r="E13" i="680"/>
  <c r="E25" i="680"/>
  <c r="G18" i="680"/>
  <c r="G45" i="680" s="1"/>
  <c r="E29" i="680"/>
  <c r="E48" i="680" s="1"/>
  <c r="E19" i="680"/>
  <c r="E8" i="680"/>
  <c r="E11" i="680"/>
  <c r="E27" i="680"/>
  <c r="E47" i="680" s="1"/>
  <c r="G34" i="680"/>
  <c r="F12" i="772"/>
  <c r="F6" i="772" s="1"/>
  <c r="F20" i="676"/>
  <c r="F14" i="676"/>
  <c r="H12" i="676"/>
  <c r="P25" i="115"/>
  <c r="BB65" i="472"/>
  <c r="E24" i="680"/>
  <c r="BB68" i="119"/>
  <c r="I30" i="418"/>
  <c r="D36" i="680" s="1"/>
  <c r="D7" i="680"/>
  <c r="C9" i="679"/>
  <c r="C65" i="683"/>
  <c r="E8" i="679"/>
  <c r="M33" i="674"/>
  <c r="K35" i="674" s="1"/>
  <c r="S7" i="674"/>
  <c r="T7" i="674" s="1"/>
  <c r="Q33" i="674"/>
  <c r="G9" i="674"/>
  <c r="S9" i="674" s="1"/>
  <c r="T9" i="674" s="1"/>
  <c r="BK68" i="123"/>
  <c r="F33" i="680"/>
  <c r="K7" i="418"/>
  <c r="F11" i="680" s="1"/>
  <c r="K22" i="418"/>
  <c r="F27" i="680" s="1"/>
  <c r="F47" i="680" s="1"/>
  <c r="K9" i="418"/>
  <c r="F13" i="680" s="1"/>
  <c r="K18" i="418"/>
  <c r="F22" i="680" s="1"/>
  <c r="K20" i="418"/>
  <c r="F25" i="680" s="1"/>
  <c r="K24" i="418"/>
  <c r="F29" i="680" s="1"/>
  <c r="F48" i="680" s="1"/>
  <c r="K15" i="418"/>
  <c r="F19" i="680" s="1"/>
  <c r="K4" i="418"/>
  <c r="F8" i="680" s="1"/>
  <c r="B7" i="677"/>
  <c r="K19" i="418"/>
  <c r="F24" i="680" s="1"/>
  <c r="BI65" i="472"/>
  <c r="BE65" i="119"/>
  <c r="BG68" i="472"/>
  <c r="BF68" i="119"/>
  <c r="BJ65" i="119"/>
  <c r="BB2" i="119"/>
  <c r="BG65" i="472"/>
  <c r="BB65" i="119"/>
  <c r="AZ65" i="119"/>
  <c r="BF65" i="472"/>
  <c r="BH68" i="119"/>
  <c r="BG2" i="472"/>
  <c r="AZ68" i="119"/>
  <c r="BF60" i="472"/>
  <c r="BC65" i="472"/>
  <c r="BA2" i="472"/>
  <c r="BA60" i="119"/>
  <c r="BC2" i="472"/>
  <c r="BC68" i="119"/>
  <c r="BK65" i="472"/>
  <c r="BE2" i="119"/>
  <c r="BD2" i="472"/>
  <c r="BF2" i="111"/>
  <c r="BJ65" i="472"/>
  <c r="BJ12" i="119"/>
  <c r="BD60" i="119"/>
  <c r="BI2" i="472"/>
  <c r="BG65" i="119"/>
  <c r="BE65" i="472"/>
  <c r="BC68" i="472"/>
  <c r="BE2" i="472"/>
  <c r="BA2" i="119"/>
  <c r="BH60" i="119"/>
  <c r="BC50" i="472"/>
  <c r="BI60" i="472"/>
  <c r="BG60" i="119"/>
  <c r="BD65" i="119"/>
  <c r="BH68" i="472"/>
  <c r="AZ65" i="472"/>
  <c r="BB2" i="472"/>
  <c r="BA60" i="472"/>
  <c r="BF2" i="472"/>
  <c r="BK22" i="119"/>
  <c r="BK2" i="119"/>
  <c r="BG12" i="119"/>
  <c r="BA65" i="119"/>
  <c r="BD22" i="119"/>
  <c r="BK2" i="472"/>
  <c r="BE68" i="472"/>
  <c r="BK60" i="472"/>
  <c r="BE60" i="472"/>
  <c r="BF68" i="472"/>
  <c r="BC2" i="119"/>
  <c r="BF22" i="119"/>
  <c r="BB33" i="472"/>
  <c r="BD12" i="472"/>
  <c r="BD65" i="472"/>
  <c r="BD60" i="472"/>
  <c r="BH60" i="472"/>
  <c r="BI60" i="119"/>
  <c r="BK60" i="119"/>
  <c r="BJ2" i="472"/>
  <c r="BJ68" i="119"/>
  <c r="AZ60" i="472"/>
  <c r="BF60" i="119"/>
  <c r="BG33" i="119"/>
  <c r="BH12" i="119"/>
  <c r="BK65" i="119"/>
  <c r="BE50" i="119"/>
  <c r="BA12" i="119"/>
  <c r="BF50" i="119"/>
  <c r="BA68" i="119"/>
  <c r="BA22" i="119"/>
  <c r="BG22" i="472"/>
  <c r="BE50" i="472"/>
  <c r="BC60" i="472"/>
  <c r="BF22" i="472"/>
  <c r="BF50" i="472"/>
  <c r="BJ60" i="472"/>
  <c r="BI50" i="472"/>
  <c r="BJ68" i="472"/>
  <c r="BK12" i="472"/>
  <c r="BA65" i="472"/>
  <c r="BG68" i="119"/>
  <c r="BK12" i="119"/>
  <c r="BB60" i="119"/>
  <c r="BJ50" i="472"/>
  <c r="BK50" i="472"/>
  <c r="BC22" i="472"/>
  <c r="BH12" i="472"/>
  <c r="BA22" i="472"/>
  <c r="BH2" i="472"/>
  <c r="BJ2" i="119"/>
  <c r="BI2" i="119"/>
  <c r="BI65" i="119"/>
  <c r="BA68" i="472"/>
  <c r="BD2" i="119"/>
  <c r="BE60" i="119"/>
  <c r="BC12" i="472"/>
  <c r="AZ50" i="119"/>
  <c r="BJ33" i="119"/>
  <c r="BF33" i="119"/>
  <c r="BJ60" i="119"/>
  <c r="BI50" i="119"/>
  <c r="BK33" i="119"/>
  <c r="AZ60" i="119"/>
  <c r="BC22" i="119"/>
  <c r="BF2" i="119"/>
  <c r="BF12" i="119"/>
  <c r="BD33" i="119"/>
  <c r="BC60" i="119"/>
  <c r="BI68" i="119"/>
  <c r="BK50" i="119"/>
  <c r="BI12" i="119"/>
  <c r="AZ12" i="119"/>
  <c r="BB33" i="119"/>
  <c r="BE12" i="119"/>
  <c r="AZ22" i="119"/>
  <c r="BG22" i="119"/>
  <c r="BA50" i="119"/>
  <c r="BB12" i="119"/>
  <c r="BJ50" i="119"/>
  <c r="BK68" i="119"/>
  <c r="BH65" i="119"/>
  <c r="BE33" i="119"/>
  <c r="BD50" i="119"/>
  <c r="BC50" i="119"/>
  <c r="BH33" i="119"/>
  <c r="BK22" i="472"/>
  <c r="BG50" i="472"/>
  <c r="BH22" i="472"/>
  <c r="AZ22" i="472"/>
  <c r="BH33" i="472"/>
  <c r="BJ12" i="472"/>
  <c r="BJ22" i="472"/>
  <c r="BA33" i="472"/>
  <c r="BG33" i="472"/>
  <c r="BD33" i="472"/>
  <c r="BD68" i="472"/>
  <c r="BB22" i="472"/>
  <c r="BJ33" i="472"/>
  <c r="BI33" i="472"/>
  <c r="BE12" i="472"/>
  <c r="BA50" i="472"/>
  <c r="AZ33" i="472"/>
  <c r="BC33" i="472"/>
  <c r="BH65" i="472"/>
  <c r="AZ50" i="472"/>
  <c r="BH50" i="472"/>
  <c r="BG12" i="472"/>
  <c r="BA12" i="472"/>
  <c r="BD50" i="472"/>
  <c r="AZ68" i="472"/>
  <c r="BF12" i="472"/>
  <c r="BB12" i="472"/>
  <c r="BB50" i="472"/>
  <c r="BK33" i="472"/>
  <c r="BI68" i="472"/>
  <c r="BD22" i="472"/>
  <c r="BI22" i="472"/>
  <c r="BE33" i="472"/>
  <c r="BG60" i="472"/>
  <c r="BF33" i="472"/>
  <c r="BE22" i="472"/>
  <c r="BI12" i="472"/>
  <c r="BB60" i="472"/>
  <c r="BC68" i="120"/>
  <c r="BF6" i="112"/>
  <c r="BB68" i="472"/>
  <c r="BJ2" i="110"/>
  <c r="BF6" i="105"/>
  <c r="BH65" i="105"/>
  <c r="BA68" i="103"/>
  <c r="BE68" i="112"/>
  <c r="BE6" i="114"/>
  <c r="BA65" i="103"/>
  <c r="BG65" i="100"/>
  <c r="AZ65" i="120"/>
  <c r="BE68" i="122"/>
  <c r="BI65" i="105"/>
  <c r="BH65" i="123"/>
  <c r="BF6" i="110"/>
  <c r="AZ6" i="106"/>
  <c r="BK68" i="472"/>
  <c r="BA6" i="121"/>
  <c r="BE6" i="108"/>
  <c r="BI6" i="107"/>
  <c r="BF65" i="102"/>
  <c r="BH6" i="117"/>
  <c r="BB6" i="101"/>
  <c r="BE6" i="118"/>
  <c r="BG50" i="119"/>
  <c r="BG6" i="101"/>
  <c r="BD6" i="105"/>
  <c r="BJ6" i="118"/>
  <c r="BD6" i="124"/>
  <c r="BJ6" i="124"/>
  <c r="BB6" i="118"/>
  <c r="BE6" i="100"/>
  <c r="BB6" i="124"/>
  <c r="BC6" i="102"/>
  <c r="BI6" i="118"/>
  <c r="BC6" i="472"/>
  <c r="BH6" i="122"/>
  <c r="AZ6" i="122"/>
  <c r="AZ6" i="111"/>
  <c r="BA6" i="111"/>
  <c r="BC6" i="118"/>
  <c r="BJ6" i="114"/>
  <c r="BH6" i="107"/>
  <c r="AZ6" i="472"/>
  <c r="AZ6" i="121"/>
  <c r="BJ6" i="107"/>
  <c r="BG6" i="108"/>
  <c r="BK6" i="121"/>
  <c r="BI6" i="115"/>
  <c r="BK6" i="116"/>
  <c r="BA6" i="117"/>
  <c r="BC6" i="120"/>
  <c r="BA6" i="100"/>
  <c r="BG6" i="102"/>
  <c r="BD6" i="103"/>
  <c r="BG6" i="123"/>
  <c r="BB6" i="123"/>
  <c r="BB6" i="119"/>
  <c r="AZ6" i="100"/>
  <c r="BG6" i="120"/>
  <c r="BE6" i="121"/>
  <c r="BJ6" i="115"/>
  <c r="BK6" i="122"/>
  <c r="BH6" i="101"/>
  <c r="BG6" i="121"/>
  <c r="AZ6" i="115"/>
  <c r="BI6" i="120"/>
  <c r="BI6" i="100"/>
  <c r="BF6" i="124"/>
  <c r="BJ6" i="104"/>
  <c r="BC6" i="111"/>
  <c r="BJ6" i="111"/>
  <c r="BI6" i="101"/>
  <c r="BJ6" i="121"/>
  <c r="BH6" i="115"/>
  <c r="BH6" i="472"/>
  <c r="AZ6" i="101"/>
  <c r="BH6" i="105"/>
  <c r="BA6" i="115"/>
  <c r="BC6" i="100"/>
  <c r="BI6" i="108"/>
  <c r="BE6" i="105"/>
  <c r="BE6" i="124"/>
  <c r="BF6" i="100"/>
  <c r="BI6" i="116"/>
  <c r="BG6" i="472"/>
  <c r="AZ6" i="119"/>
  <c r="BD6" i="107"/>
  <c r="AZ6" i="103"/>
  <c r="BA6" i="123"/>
  <c r="BD6" i="123"/>
  <c r="BD68" i="103"/>
  <c r="BB68" i="118"/>
  <c r="AZ12" i="472"/>
  <c r="BK6" i="120"/>
  <c r="BE6" i="115"/>
  <c r="BD6" i="117"/>
  <c r="BC6" i="119"/>
  <c r="BI6" i="121"/>
  <c r="BG6" i="124"/>
  <c r="BC6" i="101"/>
  <c r="BF6" i="118"/>
  <c r="BB6" i="121"/>
  <c r="BF6" i="115"/>
  <c r="BG6" i="122"/>
  <c r="BI6" i="110"/>
  <c r="BF6" i="121"/>
  <c r="AZ6" i="107"/>
  <c r="AZ6" i="112"/>
  <c r="BE6" i="111"/>
  <c r="BH6" i="111"/>
  <c r="BE6" i="472"/>
  <c r="BC6" i="121"/>
  <c r="BG6" i="115"/>
  <c r="BF6" i="119"/>
  <c r="BD6" i="472"/>
  <c r="BG6" i="105"/>
  <c r="BD6" i="115"/>
  <c r="BG6" i="114"/>
  <c r="BI6" i="472"/>
  <c r="BK6" i="105"/>
  <c r="BH6" i="104"/>
  <c r="BF6" i="116"/>
  <c r="BB6" i="108"/>
  <c r="BE6" i="119"/>
  <c r="BF6" i="122"/>
  <c r="BK6" i="103"/>
  <c r="BK6" i="123"/>
  <c r="BC6" i="123"/>
  <c r="AZ7" i="125"/>
  <c r="BA7" i="125"/>
  <c r="BD7" i="125"/>
  <c r="BF7" i="125"/>
  <c r="BI7" i="125"/>
  <c r="BC7" i="125"/>
  <c r="BE7" i="125"/>
  <c r="BH7" i="125"/>
  <c r="BJ7" i="125"/>
  <c r="BB7" i="125"/>
  <c r="BK7" i="125"/>
  <c r="BG7" i="125"/>
  <c r="BF6" i="117"/>
  <c r="BB6" i="122"/>
  <c r="BD6" i="114"/>
  <c r="BF6" i="120"/>
  <c r="BI6" i="105"/>
  <c r="BB6" i="104"/>
  <c r="BC6" i="108"/>
  <c r="BJ6" i="117"/>
  <c r="BB6" i="105"/>
  <c r="AZ6" i="124"/>
  <c r="BF6" i="114"/>
  <c r="BD6" i="121"/>
  <c r="BK6" i="107"/>
  <c r="BJ6" i="112"/>
  <c r="BB6" i="111"/>
  <c r="BA6" i="120"/>
  <c r="BC6" i="114"/>
  <c r="BC6" i="105"/>
  <c r="BF6" i="104"/>
  <c r="BB6" i="114"/>
  <c r="BD6" i="108"/>
  <c r="BI6" i="106"/>
  <c r="BC6" i="104"/>
  <c r="BK6" i="119"/>
  <c r="BF6" i="108"/>
  <c r="BC6" i="122"/>
  <c r="BG6" i="104"/>
  <c r="BJ6" i="116"/>
  <c r="BA6" i="116"/>
  <c r="BB6" i="472"/>
  <c r="BH6" i="121"/>
  <c r="BB6" i="115"/>
  <c r="BJ6" i="103"/>
  <c r="BE6" i="103"/>
  <c r="BH6" i="123"/>
  <c r="BI6" i="123"/>
  <c r="AJ5" i="125"/>
  <c r="BI7" i="475"/>
  <c r="BG7" i="475"/>
  <c r="AZ7" i="475"/>
  <c r="BB7" i="475"/>
  <c r="BD7" i="475"/>
  <c r="BJ7" i="475"/>
  <c r="BH7" i="475"/>
  <c r="BC7" i="475"/>
  <c r="BE7" i="475"/>
  <c r="BK7" i="475"/>
  <c r="BA7" i="475"/>
  <c r="BF7" i="475"/>
  <c r="BE6" i="120"/>
  <c r="BI6" i="104"/>
  <c r="BJ6" i="110"/>
  <c r="BH6" i="119"/>
  <c r="BA6" i="124"/>
  <c r="BD6" i="104"/>
  <c r="BJ6" i="472"/>
  <c r="BI6" i="119"/>
  <c r="BJ6" i="100"/>
  <c r="BI6" i="122"/>
  <c r="BA6" i="110"/>
  <c r="BK6" i="118"/>
  <c r="BJ6" i="105"/>
  <c r="BD6" i="100"/>
  <c r="BF6" i="102"/>
  <c r="BD6" i="111"/>
  <c r="BI6" i="117"/>
  <c r="BK6" i="110"/>
  <c r="BF6" i="106"/>
  <c r="BD6" i="112"/>
  <c r="BE6" i="110"/>
  <c r="BH6" i="110"/>
  <c r="BD6" i="106"/>
  <c r="BH6" i="112"/>
  <c r="BJ6" i="108"/>
  <c r="BK6" i="472"/>
  <c r="BG6" i="106"/>
  <c r="BE6" i="112"/>
  <c r="BD6" i="116"/>
  <c r="BE6" i="116"/>
  <c r="BB6" i="117"/>
  <c r="BA6" i="105"/>
  <c r="BG6" i="100"/>
  <c r="BA6" i="103"/>
  <c r="BI6" i="103"/>
  <c r="BF6" i="123"/>
  <c r="BD6" i="101"/>
  <c r="AZ6" i="104"/>
  <c r="BK6" i="117"/>
  <c r="AZ6" i="114"/>
  <c r="BJ6" i="106"/>
  <c r="BI6" i="112"/>
  <c r="BJ6" i="119"/>
  <c r="AZ6" i="108"/>
  <c r="BH6" i="106"/>
  <c r="BE6" i="104"/>
  <c r="BH6" i="108"/>
  <c r="BI6" i="114"/>
  <c r="BK6" i="100"/>
  <c r="BK6" i="115"/>
  <c r="BK6" i="102"/>
  <c r="BK6" i="111"/>
  <c r="AZ6" i="120"/>
  <c r="BH6" i="114"/>
  <c r="BK6" i="106"/>
  <c r="BC6" i="112"/>
  <c r="BK6" i="114"/>
  <c r="BE6" i="117"/>
  <c r="BK6" i="124"/>
  <c r="BG6" i="112"/>
  <c r="BF6" i="472"/>
  <c r="BG6" i="119"/>
  <c r="BE6" i="106"/>
  <c r="BK6" i="112"/>
  <c r="BB6" i="116"/>
  <c r="BC6" i="116"/>
  <c r="BE6" i="101"/>
  <c r="AZ6" i="105"/>
  <c r="BA6" i="104"/>
  <c r="BB6" i="103"/>
  <c r="BH6" i="103"/>
  <c r="AZ6" i="123"/>
  <c r="BA6" i="119"/>
  <c r="AZ6" i="102"/>
  <c r="AZ6" i="117"/>
  <c r="BB6" i="110"/>
  <c r="BJ6" i="122"/>
  <c r="BD6" i="102"/>
  <c r="BD6" i="119"/>
  <c r="BC6" i="110"/>
  <c r="BF6" i="107"/>
  <c r="BB6" i="112"/>
  <c r="BA6" i="118"/>
  <c r="BH6" i="118"/>
  <c r="BA6" i="106"/>
  <c r="BC6" i="115"/>
  <c r="BI6" i="111"/>
  <c r="BG6" i="118"/>
  <c r="AZ6" i="110"/>
  <c r="BH6" i="124"/>
  <c r="BA6" i="102"/>
  <c r="BD6" i="110"/>
  <c r="BK6" i="108"/>
  <c r="BB6" i="100"/>
  <c r="BE6" i="102"/>
  <c r="BC6" i="117"/>
  <c r="BG6" i="117"/>
  <c r="BC6" i="124"/>
  <c r="BI6" i="102"/>
  <c r="AZ6" i="116"/>
  <c r="BH6" i="116"/>
  <c r="BF6" i="101"/>
  <c r="BD6" i="122"/>
  <c r="BK6" i="104"/>
  <c r="BC6" i="103"/>
  <c r="BF6" i="103"/>
  <c r="BJ6" i="123"/>
  <c r="BJ6" i="120"/>
  <c r="BI6" i="124"/>
  <c r="BB6" i="102"/>
  <c r="BK6" i="101"/>
  <c r="AZ6" i="118"/>
  <c r="BE6" i="107"/>
  <c r="BJ6" i="102"/>
  <c r="BH6" i="120"/>
  <c r="BG6" i="110"/>
  <c r="BC6" i="107"/>
  <c r="BH6" i="102"/>
  <c r="BD6" i="120"/>
  <c r="BA6" i="108"/>
  <c r="BC6" i="106"/>
  <c r="BH6" i="100"/>
  <c r="BF6" i="111"/>
  <c r="BG6" i="111"/>
  <c r="BB6" i="120"/>
  <c r="BA6" i="101"/>
  <c r="BG6" i="107"/>
  <c r="BA6" i="114"/>
  <c r="BA6" i="122"/>
  <c r="BB6" i="107"/>
  <c r="BA6" i="472"/>
  <c r="BE6" i="122"/>
  <c r="BA6" i="107"/>
  <c r="BG6" i="116"/>
  <c r="BD6" i="118"/>
  <c r="BJ6" i="101"/>
  <c r="BB6" i="106"/>
  <c r="BA6" i="112"/>
  <c r="BG6" i="103"/>
  <c r="BE6" i="123"/>
  <c r="BI2" i="103"/>
  <c r="BB2" i="110"/>
  <c r="BK2" i="103"/>
  <c r="BG2" i="100"/>
  <c r="BB2" i="101"/>
  <c r="BC2" i="101"/>
  <c r="AZ2" i="103"/>
  <c r="BC2" i="102"/>
  <c r="BH2" i="103"/>
  <c r="AZ2" i="119"/>
  <c r="BG2" i="119"/>
  <c r="BH2" i="119"/>
  <c r="BF65" i="119"/>
  <c r="BD68" i="119"/>
  <c r="BE68" i="119"/>
  <c r="BH22" i="119"/>
  <c r="BC12" i="119"/>
  <c r="BI22" i="119"/>
  <c r="BC33" i="119"/>
  <c r="BD12" i="119"/>
  <c r="BI33" i="119"/>
  <c r="BC65" i="119"/>
  <c r="BB50" i="119"/>
  <c r="BB22" i="119"/>
  <c r="BJ22" i="119"/>
  <c r="BE22" i="119"/>
  <c r="BH50" i="119"/>
  <c r="BA33" i="119"/>
  <c r="AZ33" i="119"/>
  <c r="BD2" i="104"/>
  <c r="BI68" i="116"/>
  <c r="BJ65" i="106"/>
  <c r="BK65" i="105"/>
  <c r="AZ68" i="110"/>
  <c r="BH2" i="108"/>
  <c r="BF65" i="117"/>
  <c r="BC65" i="121"/>
  <c r="BC68" i="110"/>
  <c r="BC68" i="114"/>
  <c r="BE2" i="116"/>
  <c r="BF65" i="105"/>
  <c r="BH65" i="112"/>
  <c r="BC65" i="112"/>
  <c r="BG2" i="112"/>
  <c r="BE2" i="118"/>
  <c r="BK68" i="102"/>
  <c r="BD68" i="102"/>
  <c r="BA68" i="112"/>
  <c r="BC60" i="106"/>
  <c r="BK2" i="106"/>
  <c r="BG60" i="116"/>
  <c r="BF60" i="116"/>
  <c r="BK68" i="116"/>
  <c r="AZ65" i="105"/>
  <c r="BD2" i="105"/>
  <c r="BH2" i="123"/>
  <c r="BJ2" i="107"/>
  <c r="BE2" i="121"/>
  <c r="BF2" i="100"/>
  <c r="BH65" i="111"/>
  <c r="BG65" i="108"/>
  <c r="BB65" i="120"/>
  <c r="BE2" i="123"/>
  <c r="BC65" i="100"/>
  <c r="BK2" i="105"/>
  <c r="AZ60" i="105"/>
  <c r="BK65" i="121"/>
  <c r="BJ68" i="100"/>
  <c r="BF2" i="110"/>
  <c r="BI60" i="110"/>
  <c r="BJ2" i="101"/>
  <c r="BF68" i="105"/>
  <c r="BA60" i="116"/>
  <c r="BA65" i="116"/>
  <c r="BB68" i="114"/>
  <c r="BD65" i="110"/>
  <c r="BH68" i="118"/>
  <c r="BC2" i="116"/>
  <c r="BG68" i="102"/>
  <c r="BK2" i="114"/>
  <c r="BE65" i="105"/>
  <c r="W19" i="111"/>
  <c r="BA60" i="105"/>
  <c r="BF68" i="124"/>
  <c r="BH2" i="114"/>
  <c r="AZ65" i="102"/>
  <c r="BH2" i="124"/>
  <c r="BG2" i="105"/>
  <c r="BH68" i="116"/>
  <c r="BH2" i="112"/>
  <c r="BA68" i="114"/>
  <c r="BD68" i="110"/>
  <c r="AZ68" i="117"/>
  <c r="BA65" i="105"/>
  <c r="BH68" i="102"/>
  <c r="BF2" i="118"/>
  <c r="BA60" i="111"/>
  <c r="BA2" i="124"/>
  <c r="AZ68" i="102"/>
  <c r="BF65" i="101"/>
  <c r="BI68" i="106"/>
  <c r="BK68" i="114"/>
  <c r="BA65" i="118"/>
  <c r="AZ65" i="121"/>
  <c r="BF60" i="106"/>
  <c r="BD2" i="107"/>
  <c r="BH2" i="106"/>
  <c r="BC68" i="116"/>
  <c r="BC2" i="105"/>
  <c r="BF2" i="106"/>
  <c r="W19" i="123"/>
  <c r="BH68" i="108"/>
  <c r="BD65" i="102"/>
  <c r="BJ60" i="106"/>
  <c r="BB2" i="108"/>
  <c r="BD2" i="110"/>
  <c r="BI68" i="110"/>
  <c r="BF2" i="103"/>
  <c r="BK2" i="116"/>
  <c r="BE68" i="116"/>
  <c r="BJ60" i="105"/>
  <c r="BK65" i="103"/>
  <c r="AZ65" i="112"/>
  <c r="BF65" i="112"/>
  <c r="AZ65" i="107"/>
  <c r="BF65" i="106"/>
  <c r="BI60" i="106"/>
  <c r="BB50" i="106"/>
  <c r="BJ68" i="106"/>
  <c r="BG65" i="106"/>
  <c r="BG68" i="116"/>
  <c r="BD65" i="116"/>
  <c r="BG2" i="110"/>
  <c r="BD68" i="101"/>
  <c r="BB60" i="116"/>
  <c r="BB2" i="116"/>
  <c r="BH65" i="121"/>
  <c r="BJ65" i="105"/>
  <c r="BE2" i="105"/>
  <c r="BG68" i="110"/>
  <c r="BI65" i="114"/>
  <c r="BD68" i="114"/>
  <c r="BH60" i="121"/>
  <c r="BJ68" i="124"/>
  <c r="BD65" i="106"/>
  <c r="AZ65" i="110"/>
  <c r="BD60" i="118"/>
  <c r="BK60" i="116"/>
  <c r="BJ68" i="103"/>
  <c r="BG2" i="106"/>
  <c r="AZ65" i="103"/>
  <c r="BD65" i="111"/>
  <c r="BC2" i="118"/>
  <c r="BH65" i="106"/>
  <c r="BI2" i="106"/>
  <c r="BF65" i="116"/>
  <c r="BG65" i="116"/>
  <c r="BC68" i="102"/>
  <c r="BK2" i="111"/>
  <c r="BA2" i="110"/>
  <c r="BA65" i="110"/>
  <c r="BG65" i="110"/>
  <c r="BC60" i="110"/>
  <c r="BF2" i="121"/>
  <c r="BJ2" i="102"/>
  <c r="BH65" i="118"/>
  <c r="BD2" i="118"/>
  <c r="BG60" i="110"/>
  <c r="BK68" i="110"/>
  <c r="BK65" i="102"/>
  <c r="BF68" i="106"/>
  <c r="BF68" i="116"/>
  <c r="BI60" i="116"/>
  <c r="AZ65" i="116"/>
  <c r="BD22" i="110"/>
  <c r="BC2" i="111"/>
  <c r="BK68" i="111"/>
  <c r="BF68" i="108"/>
  <c r="BJ60" i="118"/>
  <c r="AZ60" i="118"/>
  <c r="BI33" i="106"/>
  <c r="BH50" i="106"/>
  <c r="BD68" i="116"/>
  <c r="AZ2" i="116"/>
  <c r="BJ68" i="105"/>
  <c r="BF22" i="116"/>
  <c r="BC65" i="106"/>
  <c r="BC22" i="116"/>
  <c r="BA22" i="116"/>
  <c r="BD12" i="106"/>
  <c r="BB68" i="121"/>
  <c r="BK68" i="121"/>
  <c r="BE68" i="114"/>
  <c r="BB2" i="121"/>
  <c r="AZ65" i="108"/>
  <c r="BB22" i="110"/>
  <c r="BA60" i="108"/>
  <c r="AZ2" i="118"/>
  <c r="BD60" i="106"/>
  <c r="BJ22" i="106"/>
  <c r="BG68" i="105"/>
  <c r="BE2" i="103"/>
  <c r="BJ68" i="118"/>
  <c r="BE60" i="110"/>
  <c r="BD60" i="110"/>
  <c r="BA2" i="102"/>
  <c r="BG68" i="118"/>
  <c r="BJ65" i="116"/>
  <c r="BC65" i="110"/>
  <c r="BK65" i="110"/>
  <c r="BH65" i="110"/>
  <c r="BE50" i="116"/>
  <c r="AZ60" i="106"/>
  <c r="AZ60" i="116"/>
  <c r="BE2" i="110"/>
  <c r="BF68" i="102"/>
  <c r="AZ68" i="107"/>
  <c r="BG2" i="118"/>
  <c r="BH60" i="118"/>
  <c r="BG68" i="106"/>
  <c r="AZ68" i="116"/>
  <c r="BD2" i="116"/>
  <c r="BG2" i="116"/>
  <c r="BI2" i="116"/>
  <c r="BA68" i="116"/>
  <c r="AZ2" i="106"/>
  <c r="AZ60" i="107"/>
  <c r="BA12" i="116"/>
  <c r="BE60" i="116"/>
  <c r="BJ68" i="116"/>
  <c r="BI65" i="118"/>
  <c r="BB2" i="105"/>
  <c r="BK65" i="114"/>
  <c r="BI2" i="121"/>
  <c r="AZ2" i="114"/>
  <c r="BF68" i="101"/>
  <c r="BI65" i="121"/>
  <c r="BA60" i="101"/>
  <c r="BH2" i="105"/>
  <c r="BD12" i="110"/>
  <c r="BI60" i="107"/>
  <c r="BE65" i="107"/>
  <c r="BB12" i="105"/>
  <c r="BB68" i="107"/>
  <c r="BC68" i="105"/>
  <c r="AZ2" i="123"/>
  <c r="AZ65" i="118"/>
  <c r="BJ65" i="118"/>
  <c r="BG60" i="105"/>
  <c r="BI68" i="105"/>
  <c r="BF68" i="112"/>
  <c r="BK68" i="105"/>
  <c r="BB65" i="111"/>
  <c r="BB60" i="111"/>
  <c r="BB65" i="118"/>
  <c r="BG60" i="107"/>
  <c r="BB2" i="102"/>
  <c r="BG68" i="111"/>
  <c r="BB2" i="107"/>
  <c r="BF2" i="116"/>
  <c r="BI65" i="112"/>
  <c r="BK65" i="107"/>
  <c r="BF2" i="102"/>
  <c r="BJ2" i="111"/>
  <c r="AZ68" i="103"/>
  <c r="BE50" i="106"/>
  <c r="BD2" i="111"/>
  <c r="BF60" i="105"/>
  <c r="BD12" i="105"/>
  <c r="BC60" i="105"/>
  <c r="BD2" i="108"/>
  <c r="BB65" i="123"/>
  <c r="BA68" i="111"/>
  <c r="BC60" i="124"/>
  <c r="BK68" i="124"/>
  <c r="BB68" i="123"/>
  <c r="BD65" i="123"/>
  <c r="BA2" i="103"/>
  <c r="BE2" i="102"/>
  <c r="BC65" i="101"/>
  <c r="BE68" i="105"/>
  <c r="BA2" i="105"/>
  <c r="BD68" i="112"/>
  <c r="BJ2" i="105"/>
  <c r="BK68" i="101"/>
  <c r="BE65" i="110"/>
  <c r="BI65" i="116"/>
  <c r="BC65" i="116"/>
  <c r="BE68" i="107"/>
  <c r="AZ2" i="110"/>
  <c r="AZ68" i="111"/>
  <c r="BB65" i="105"/>
  <c r="BE65" i="123"/>
  <c r="BH60" i="124"/>
  <c r="AZ2" i="105"/>
  <c r="AZ60" i="124"/>
  <c r="BA65" i="121"/>
  <c r="AZ65" i="123"/>
  <c r="BF2" i="105"/>
  <c r="BF68" i="121"/>
  <c r="BD2" i="106"/>
  <c r="BA2" i="107"/>
  <c r="BD2" i="124"/>
  <c r="BH60" i="103"/>
  <c r="BI65" i="107"/>
  <c r="BA68" i="106"/>
  <c r="BJ60" i="124"/>
  <c r="BB65" i="116"/>
  <c r="BD60" i="116"/>
  <c r="BH60" i="105"/>
  <c r="BA65" i="107"/>
  <c r="BJ65" i="107"/>
  <c r="BJ50" i="116"/>
  <c r="BE60" i="123"/>
  <c r="BE60" i="105"/>
  <c r="BB50" i="110"/>
  <c r="BH2" i="121"/>
  <c r="BF65" i="123"/>
  <c r="BI65" i="103"/>
  <c r="BH68" i="111"/>
  <c r="BB68" i="103"/>
  <c r="BD65" i="103"/>
  <c r="BB68" i="111"/>
  <c r="BJ2" i="124"/>
  <c r="BI2" i="105"/>
  <c r="BI65" i="111"/>
  <c r="BH2" i="111"/>
  <c r="BG60" i="111"/>
  <c r="BI60" i="111"/>
  <c r="BG65" i="111"/>
  <c r="BH68" i="112"/>
  <c r="BC2" i="107"/>
  <c r="BF2" i="108"/>
  <c r="BK2" i="108"/>
  <c r="BF60" i="118"/>
  <c r="BC60" i="118"/>
  <c r="BE65" i="118"/>
  <c r="BJ2" i="118"/>
  <c r="BA68" i="118"/>
  <c r="BI50" i="106"/>
  <c r="BH68" i="106"/>
  <c r="BJ50" i="106"/>
  <c r="BH12" i="106"/>
  <c r="BB60" i="106"/>
  <c r="BE33" i="106"/>
  <c r="BD50" i="106"/>
  <c r="BA22" i="106"/>
  <c r="BA65" i="106"/>
  <c r="BB12" i="106"/>
  <c r="BA50" i="106"/>
  <c r="AZ65" i="106"/>
  <c r="AZ22" i="106"/>
  <c r="BC2" i="106"/>
  <c r="BF22" i="106"/>
  <c r="BE12" i="106"/>
  <c r="BH33" i="106"/>
  <c r="BH60" i="106"/>
  <c r="BE2" i="106"/>
  <c r="BC22" i="106"/>
  <c r="BE60" i="106"/>
  <c r="BF50" i="106"/>
  <c r="BK50" i="116"/>
  <c r="BK12" i="116"/>
  <c r="BK33" i="116"/>
  <c r="BI33" i="116"/>
  <c r="BJ22" i="116"/>
  <c r="BJ60" i="116"/>
  <c r="AZ22" i="116"/>
  <c r="BH12" i="116"/>
  <c r="BB12" i="116"/>
  <c r="BG22" i="116"/>
  <c r="BH33" i="116"/>
  <c r="BI12" i="116"/>
  <c r="BI22" i="116"/>
  <c r="BH22" i="116"/>
  <c r="BD50" i="116"/>
  <c r="BC50" i="116"/>
  <c r="BA33" i="116"/>
  <c r="AZ33" i="116"/>
  <c r="BE50" i="105"/>
  <c r="BH68" i="105"/>
  <c r="BE68" i="110"/>
  <c r="BB68" i="110"/>
  <c r="BB65" i="110"/>
  <c r="BG50" i="116"/>
  <c r="BD33" i="116"/>
  <c r="BG12" i="116"/>
  <c r="BB50" i="116"/>
  <c r="BG22" i="105"/>
  <c r="AZ68" i="105"/>
  <c r="BK12" i="105"/>
  <c r="BH68" i="110"/>
  <c r="AZ68" i="121"/>
  <c r="BK2" i="121"/>
  <c r="BC2" i="121"/>
  <c r="BH65" i="114"/>
  <c r="BJ12" i="102"/>
  <c r="AZ60" i="110"/>
  <c r="BI65" i="110"/>
  <c r="BF68" i="118"/>
  <c r="BB65" i="112"/>
  <c r="BG65" i="105"/>
  <c r="BB65" i="124"/>
  <c r="AZ2" i="108"/>
  <c r="W19" i="121"/>
  <c r="W19" i="106"/>
  <c r="BD60" i="102"/>
  <c r="BI68" i="120"/>
  <c r="BE2" i="107"/>
  <c r="BA2" i="114"/>
  <c r="BJ68" i="114"/>
  <c r="BE68" i="121"/>
  <c r="BK68" i="107"/>
  <c r="BJ68" i="101"/>
  <c r="BB60" i="105"/>
  <c r="AZ68" i="101"/>
  <c r="BD68" i="124"/>
  <c r="BG2" i="124"/>
  <c r="BE65" i="116"/>
  <c r="BI65" i="106"/>
  <c r="BE60" i="111"/>
  <c r="BA68" i="105"/>
  <c r="BC65" i="103"/>
  <c r="BI60" i="105"/>
  <c r="BI22" i="110"/>
  <c r="AZ2" i="101"/>
  <c r="BA68" i="123"/>
  <c r="BB2" i="111"/>
  <c r="BJ60" i="103"/>
  <c r="BC68" i="103"/>
  <c r="BC60" i="103"/>
  <c r="BF65" i="103"/>
  <c r="BD60" i="111"/>
  <c r="BG68" i="124"/>
  <c r="BI65" i="124"/>
  <c r="BB68" i="124"/>
  <c r="BA50" i="105"/>
  <c r="BD68" i="105"/>
  <c r="BH65" i="116"/>
  <c r="AZ68" i="106"/>
  <c r="BK68" i="103"/>
  <c r="BA65" i="112"/>
  <c r="BK65" i="116"/>
  <c r="BA22" i="105"/>
  <c r="BC65" i="124"/>
  <c r="BJ22" i="105"/>
  <c r="AZ50" i="102"/>
  <c r="BH2" i="118"/>
  <c r="BD12" i="118"/>
  <c r="BB2" i="118"/>
  <c r="BK2" i="118"/>
  <c r="BC33" i="106"/>
  <c r="BA12" i="106"/>
  <c r="BB33" i="106"/>
  <c r="BC50" i="106"/>
  <c r="BJ33" i="106"/>
  <c r="BI22" i="106"/>
  <c r="AZ12" i="106"/>
  <c r="BE68" i="106"/>
  <c r="BK22" i="106"/>
  <c r="BD33" i="106"/>
  <c r="BK33" i="106"/>
  <c r="BK60" i="106"/>
  <c r="BG33" i="116"/>
  <c r="BC33" i="116"/>
  <c r="BF12" i="116"/>
  <c r="BJ12" i="116"/>
  <c r="BE22" i="116"/>
  <c r="BI50" i="116"/>
  <c r="BD22" i="116"/>
  <c r="BC12" i="110"/>
  <c r="BI12" i="110"/>
  <c r="BI2" i="114"/>
  <c r="BD68" i="121"/>
  <c r="BC68" i="121"/>
  <c r="BF65" i="110"/>
  <c r="BA2" i="123"/>
  <c r="BE2" i="101"/>
  <c r="BG68" i="101"/>
  <c r="BH50" i="103"/>
  <c r="BC2" i="103"/>
  <c r="BI12" i="106"/>
  <c r="BH22" i="106"/>
  <c r="BK12" i="106"/>
  <c r="BG12" i="106"/>
  <c r="BK50" i="106"/>
  <c r="AZ50" i="106"/>
  <c r="AZ50" i="116"/>
  <c r="BE12" i="116"/>
  <c r="BF50" i="116"/>
  <c r="BJ2" i="116"/>
  <c r="BA2" i="118"/>
  <c r="BH68" i="107"/>
  <c r="AZ12" i="118"/>
  <c r="AZ68" i="108"/>
  <c r="BB65" i="102"/>
  <c r="AZ65" i="101"/>
  <c r="BC2" i="112"/>
  <c r="BF60" i="110"/>
  <c r="BH2" i="110"/>
  <c r="BF65" i="108"/>
  <c r="AZ50" i="110"/>
  <c r="BH60" i="101"/>
  <c r="BE68" i="124"/>
  <c r="BJ2" i="103"/>
  <c r="BJ22" i="103"/>
  <c r="BB2" i="124"/>
  <c r="BK65" i="124"/>
  <c r="BI68" i="124"/>
  <c r="BB68" i="105"/>
  <c r="BJ50" i="105"/>
  <c r="BF50" i="105"/>
  <c r="BG2" i="111"/>
  <c r="BE68" i="111"/>
  <c r="BE50" i="107"/>
  <c r="BK12" i="102"/>
  <c r="BH65" i="102"/>
  <c r="BD68" i="111"/>
  <c r="W19" i="107"/>
  <c r="BI65" i="102"/>
  <c r="BG2" i="102"/>
  <c r="BD65" i="107"/>
  <c r="BK22" i="105"/>
  <c r="BH2" i="107"/>
  <c r="BI68" i="112"/>
  <c r="AZ50" i="101"/>
  <c r="BH12" i="110"/>
  <c r="BA2" i="101"/>
  <c r="BE60" i="101"/>
  <c r="BB68" i="101"/>
  <c r="BA65" i="123"/>
  <c r="BH65" i="103"/>
  <c r="BH68" i="103"/>
  <c r="BB22" i="103"/>
  <c r="BB60" i="107"/>
  <c r="BJ12" i="105"/>
  <c r="AZ22" i="105"/>
  <c r="BF12" i="105"/>
  <c r="BH50" i="105"/>
  <c r="BK60" i="105"/>
  <c r="BD60" i="105"/>
  <c r="W19" i="101"/>
  <c r="BC68" i="112"/>
  <c r="BI2" i="112"/>
  <c r="AZ60" i="121"/>
  <c r="BG65" i="102"/>
  <c r="BA68" i="110"/>
  <c r="BJ2" i="123"/>
  <c r="BE12" i="103"/>
  <c r="BB2" i="103"/>
  <c r="BD2" i="103"/>
  <c r="BI68" i="111"/>
  <c r="BA65" i="111"/>
  <c r="BC68" i="111"/>
  <c r="BH68" i="124"/>
  <c r="BH12" i="105"/>
  <c r="BD68" i="108"/>
  <c r="AZ65" i="111"/>
  <c r="BC65" i="102"/>
  <c r="BH2" i="102"/>
  <c r="BK65" i="118"/>
  <c r="BD22" i="106"/>
  <c r="BA60" i="106"/>
  <c r="BJ12" i="106"/>
  <c r="BE22" i="101"/>
  <c r="AZ33" i="103"/>
  <c r="BE68" i="103"/>
  <c r="BD50" i="105"/>
  <c r="BH22" i="105"/>
  <c r="BA2" i="111"/>
  <c r="BI2" i="111"/>
  <c r="BB60" i="112"/>
  <c r="BC12" i="106"/>
  <c r="BK68" i="106"/>
  <c r="BC65" i="118"/>
  <c r="BC65" i="105"/>
  <c r="BA12" i="110"/>
  <c r="BD2" i="121"/>
  <c r="BJ65" i="102"/>
  <c r="BK60" i="124"/>
  <c r="BG60" i="124"/>
  <c r="BI65" i="115"/>
  <c r="BB60" i="118"/>
  <c r="AZ12" i="105"/>
  <c r="BB50" i="105"/>
  <c r="BI68" i="107"/>
  <c r="BB65" i="121"/>
  <c r="BA65" i="124"/>
  <c r="BD65" i="124"/>
  <c r="BF68" i="111"/>
  <c r="BD22" i="105"/>
  <c r="BC68" i="107"/>
  <c r="BC2" i="108"/>
  <c r="BH68" i="101"/>
  <c r="BK2" i="102"/>
  <c r="BB60" i="110"/>
  <c r="BF2" i="107"/>
  <c r="BA22" i="108"/>
  <c r="BH2" i="101"/>
  <c r="BJ68" i="123"/>
  <c r="BB12" i="110"/>
  <c r="BK68" i="115"/>
  <c r="BI60" i="108"/>
  <c r="W19" i="112"/>
  <c r="BJ60" i="107"/>
  <c r="BG65" i="112"/>
  <c r="BE65" i="108"/>
  <c r="BJ65" i="123"/>
  <c r="BE68" i="101"/>
  <c r="BK65" i="111"/>
  <c r="BD68" i="107"/>
  <c r="BJ65" i="124"/>
  <c r="BJ68" i="111"/>
  <c r="BK60" i="108"/>
  <c r="BK50" i="105"/>
  <c r="BC68" i="101"/>
  <c r="BB68" i="102"/>
  <c r="BA2" i="112"/>
  <c r="BK60" i="118"/>
  <c r="BK2" i="110"/>
  <c r="BJ65" i="110"/>
  <c r="BI2" i="107"/>
  <c r="BA2" i="116"/>
  <c r="AZ68" i="124"/>
  <c r="BE60" i="124"/>
  <c r="BI60" i="118"/>
  <c r="BA68" i="107"/>
  <c r="BE12" i="105"/>
  <c r="BG68" i="107"/>
  <c r="BI60" i="124"/>
  <c r="BK65" i="112"/>
  <c r="BH68" i="121"/>
  <c r="BJ50" i="124"/>
  <c r="BH68" i="115"/>
  <c r="BH60" i="120"/>
  <c r="BJ2" i="120"/>
  <c r="BI65" i="108"/>
  <c r="BF60" i="108"/>
  <c r="BI65" i="101"/>
  <c r="AZ22" i="111"/>
  <c r="BC60" i="111"/>
  <c r="BH50" i="101"/>
  <c r="BG2" i="123"/>
  <c r="BI60" i="123"/>
  <c r="BB2" i="123"/>
  <c r="AZ2" i="107"/>
  <c r="BD50" i="107"/>
  <c r="BF60" i="124"/>
  <c r="BG65" i="103"/>
  <c r="BG50" i="103"/>
  <c r="BG60" i="103"/>
  <c r="BA12" i="103"/>
  <c r="AZ60" i="103"/>
  <c r="BI68" i="103"/>
  <c r="BE2" i="111"/>
  <c r="BF22" i="105"/>
  <c r="BB68" i="108"/>
  <c r="BG60" i="108"/>
  <c r="BJ65" i="112"/>
  <c r="BD60" i="123"/>
  <c r="BJ60" i="123"/>
  <c r="BK33" i="105"/>
  <c r="BD2" i="101"/>
  <c r="BI33" i="110"/>
  <c r="BJ22" i="101"/>
  <c r="BK60" i="101"/>
  <c r="BD60" i="101"/>
  <c r="AZ60" i="123"/>
  <c r="BH33" i="111"/>
  <c r="BD50" i="103"/>
  <c r="BF68" i="103"/>
  <c r="BE33" i="103"/>
  <c r="BH22" i="103"/>
  <c r="BI22" i="111"/>
  <c r="BA22" i="111"/>
  <c r="BI2" i="124"/>
  <c r="BF33" i="105"/>
  <c r="BE12" i="110"/>
  <c r="BK60" i="102"/>
  <c r="BC60" i="102"/>
  <c r="AZ68" i="118"/>
  <c r="BD22" i="107"/>
  <c r="BJ68" i="102"/>
  <c r="BD50" i="102"/>
  <c r="BE60" i="102"/>
  <c r="BE65" i="124"/>
  <c r="BE65" i="111"/>
  <c r="BG68" i="112"/>
  <c r="BK2" i="112"/>
  <c r="BG65" i="123"/>
  <c r="BK2" i="107"/>
  <c r="BH60" i="108"/>
  <c r="BC68" i="124"/>
  <c r="BK60" i="111"/>
  <c r="BJ68" i="112"/>
  <c r="BK68" i="118"/>
  <c r="BC65" i="108"/>
  <c r="AZ60" i="111"/>
  <c r="BB12" i="111"/>
  <c r="BC65" i="107"/>
  <c r="BA68" i="101"/>
  <c r="BC50" i="110"/>
  <c r="BG2" i="103"/>
  <c r="AZ65" i="122"/>
  <c r="BB22" i="105"/>
  <c r="BF12" i="111"/>
  <c r="BJ65" i="111"/>
  <c r="BH60" i="102"/>
  <c r="BI60" i="120"/>
  <c r="BI65" i="123"/>
  <c r="BA68" i="115"/>
  <c r="BE50" i="110"/>
  <c r="BE65" i="101"/>
  <c r="BA2" i="115"/>
  <c r="BE60" i="107"/>
  <c r="BJ65" i="101"/>
  <c r="BE2" i="124"/>
  <c r="BI2" i="102"/>
  <c r="BH65" i="101"/>
  <c r="BD60" i="103"/>
  <c r="BA65" i="102"/>
  <c r="BJ60" i="102"/>
  <c r="BG50" i="106"/>
  <c r="BH68" i="120"/>
  <c r="BB60" i="120"/>
  <c r="BA2" i="108"/>
  <c r="BB50" i="123"/>
  <c r="BF60" i="123"/>
  <c r="BC33" i="110"/>
  <c r="BC50" i="101"/>
  <c r="AZ33" i="110"/>
  <c r="BJ12" i="110"/>
  <c r="BA65" i="101"/>
  <c r="BB50" i="103"/>
  <c r="BE33" i="116"/>
  <c r="AZ12" i="116"/>
  <c r="BB22" i="116"/>
  <c r="BD60" i="108"/>
  <c r="BJ12" i="107"/>
  <c r="BE33" i="110"/>
  <c r="BI2" i="110"/>
  <c r="BJ22" i="110"/>
  <c r="BH33" i="110"/>
  <c r="BG50" i="110"/>
  <c r="BH60" i="110"/>
  <c r="BH22" i="110"/>
  <c r="BF68" i="110"/>
  <c r="BF22" i="110"/>
  <c r="BA12" i="101"/>
  <c r="BD50" i="101"/>
  <c r="BG50" i="101"/>
  <c r="BC60" i="101"/>
  <c r="BI68" i="101"/>
  <c r="BI33" i="101"/>
  <c r="BD2" i="123"/>
  <c r="BI50" i="107"/>
  <c r="BA12" i="107"/>
  <c r="BG65" i="121"/>
  <c r="W19" i="110"/>
  <c r="W19" i="102"/>
  <c r="BE33" i="123"/>
  <c r="BB12" i="123"/>
  <c r="BD12" i="101"/>
  <c r="W19" i="108"/>
  <c r="BC50" i="107"/>
  <c r="BE22" i="124"/>
  <c r="BG65" i="124"/>
  <c r="BC50" i="105"/>
  <c r="BG33" i="105"/>
  <c r="BA60" i="110"/>
  <c r="BI60" i="101"/>
  <c r="BH50" i="111"/>
  <c r="BJ60" i="110"/>
  <c r="BH50" i="110"/>
  <c r="BJ33" i="101"/>
  <c r="BK33" i="101"/>
  <c r="BF12" i="101"/>
  <c r="BG12" i="101"/>
  <c r="BA50" i="101"/>
  <c r="BF33" i="101"/>
  <c r="BK12" i="101"/>
  <c r="BC68" i="123"/>
  <c r="BJ50" i="123"/>
  <c r="BJ33" i="111"/>
  <c r="BF60" i="107"/>
  <c r="BI12" i="107"/>
  <c r="BH12" i="103"/>
  <c r="BK50" i="103"/>
  <c r="BJ65" i="103"/>
  <c r="BI22" i="103"/>
  <c r="BE60" i="103"/>
  <c r="BI60" i="103"/>
  <c r="BF12" i="103"/>
  <c r="BH60" i="111"/>
  <c r="BC60" i="123"/>
  <c r="BJ33" i="107"/>
  <c r="AZ2" i="124"/>
  <c r="BC22" i="105"/>
  <c r="BJ33" i="105"/>
  <c r="BD65" i="105"/>
  <c r="BA12" i="105"/>
  <c r="AZ60" i="108"/>
  <c r="AZ33" i="105"/>
  <c r="BA33" i="105"/>
  <c r="AZ50" i="111"/>
  <c r="AZ2" i="111"/>
  <c r="BA12" i="111"/>
  <c r="BI60" i="112"/>
  <c r="BK50" i="107"/>
  <c r="BC60" i="108"/>
  <c r="BI68" i="118"/>
  <c r="BA60" i="118"/>
  <c r="BF12" i="106"/>
  <c r="BA2" i="106"/>
  <c r="BG33" i="106"/>
  <c r="BF33" i="106"/>
  <c r="BG60" i="106"/>
  <c r="BE65" i="106"/>
  <c r="BJ33" i="116"/>
  <c r="BH2" i="116"/>
  <c r="BH60" i="107"/>
  <c r="BA68" i="124"/>
  <c r="BC2" i="124"/>
  <c r="BJ22" i="107"/>
  <c r="BI22" i="102"/>
  <c r="BA60" i="102"/>
  <c r="BB68" i="112"/>
  <c r="BD50" i="118"/>
  <c r="BA60" i="107"/>
  <c r="BF22" i="102"/>
  <c r="BG12" i="107"/>
  <c r="BB12" i="102"/>
  <c r="BJ68" i="108"/>
  <c r="BC2" i="110"/>
  <c r="BF68" i="123"/>
  <c r="BB33" i="105"/>
  <c r="AZ68" i="123"/>
  <c r="BB65" i="101"/>
  <c r="BB65" i="107"/>
  <c r="BG65" i="107"/>
  <c r="BD65" i="120"/>
  <c r="BD68" i="123"/>
  <c r="BK65" i="101"/>
  <c r="BC65" i="111"/>
  <c r="BB65" i="103"/>
  <c r="BD68" i="118"/>
  <c r="BE68" i="108"/>
  <c r="BJ68" i="110"/>
  <c r="BJ50" i="110"/>
  <c r="BC22" i="110"/>
  <c r="BK50" i="110"/>
  <c r="BH22" i="101"/>
  <c r="BK50" i="101"/>
  <c r="BG2" i="101"/>
  <c r="BB60" i="101"/>
  <c r="AZ60" i="101"/>
  <c r="BG65" i="101"/>
  <c r="BD65" i="101"/>
  <c r="BD22" i="101"/>
  <c r="BJ50" i="101"/>
  <c r="BI50" i="101"/>
  <c r="BK2" i="101"/>
  <c r="BH12" i="101"/>
  <c r="BB33" i="101"/>
  <c r="BC12" i="101"/>
  <c r="AZ12" i="101"/>
  <c r="BJ60" i="101"/>
  <c r="BI12" i="101"/>
  <c r="BF2" i="123"/>
  <c r="BJ12" i="123"/>
  <c r="BI2" i="123"/>
  <c r="BI12" i="111"/>
  <c r="BI50" i="103"/>
  <c r="BF22" i="111"/>
  <c r="BH65" i="124"/>
  <c r="BB60" i="103"/>
  <c r="AZ12" i="111"/>
  <c r="AZ50" i="103"/>
  <c r="BD33" i="103"/>
  <c r="BG22" i="103"/>
  <c r="BC33" i="103"/>
  <c r="BB12" i="103"/>
  <c r="BG68" i="103"/>
  <c r="BA33" i="103"/>
  <c r="BD12" i="103"/>
  <c r="BA22" i="103"/>
  <c r="AZ22" i="103"/>
  <c r="BB33" i="103"/>
  <c r="BK22" i="103"/>
  <c r="BK12" i="103"/>
  <c r="BF60" i="103"/>
  <c r="BD22" i="103"/>
  <c r="BF22" i="103"/>
  <c r="BJ12" i="103"/>
  <c r="BI33" i="103"/>
  <c r="BJ50" i="103"/>
  <c r="BE65" i="103"/>
  <c r="BA50" i="103"/>
  <c r="BE22" i="103"/>
  <c r="BE50" i="103"/>
  <c r="BA60" i="103"/>
  <c r="BK60" i="103"/>
  <c r="BF50" i="103"/>
  <c r="BF2" i="124"/>
  <c r="BE33" i="105"/>
  <c r="BI50" i="105"/>
  <c r="BI68" i="108"/>
  <c r="BG12" i="105"/>
  <c r="BF60" i="111"/>
  <c r="BB2" i="112"/>
  <c r="BE2" i="112"/>
  <c r="BE65" i="102"/>
  <c r="BH65" i="107"/>
  <c r="BG2" i="107"/>
  <c r="BJ68" i="107"/>
  <c r="BE68" i="118"/>
  <c r="BE22" i="106"/>
  <c r="BK65" i="106"/>
  <c r="AZ33" i="106"/>
  <c r="BG22" i="106"/>
  <c r="BA50" i="116"/>
  <c r="BB33" i="116"/>
  <c r="BC12" i="116"/>
  <c r="BK22" i="116"/>
  <c r="BH60" i="116"/>
  <c r="BD12" i="116"/>
  <c r="BK2" i="123"/>
  <c r="BC22" i="120"/>
  <c r="BA22" i="110"/>
  <c r="AZ12" i="110"/>
  <c r="BF2" i="101"/>
  <c r="BB50" i="101"/>
  <c r="BB12" i="101"/>
  <c r="BK33" i="110"/>
  <c r="BE33" i="101"/>
  <c r="AZ22" i="101"/>
  <c r="BC22" i="101"/>
  <c r="BG22" i="101"/>
  <c r="BE50" i="101"/>
  <c r="BG68" i="123"/>
  <c r="BK65" i="123"/>
  <c r="BA22" i="107"/>
  <c r="BG12" i="103"/>
  <c r="BJ33" i="103"/>
  <c r="BG33" i="103"/>
  <c r="BK33" i="103"/>
  <c r="BF33" i="103"/>
  <c r="BC12" i="103"/>
  <c r="BH33" i="103"/>
  <c r="BC22" i="111"/>
  <c r="BG22" i="111"/>
  <c r="BF12" i="123"/>
  <c r="BH68" i="123"/>
  <c r="BB22" i="107"/>
  <c r="BI33" i="105"/>
  <c r="BG50" i="105"/>
  <c r="BE22" i="105"/>
  <c r="BC12" i="105"/>
  <c r="BH33" i="105"/>
  <c r="BK50" i="111"/>
  <c r="BH50" i="107"/>
  <c r="BJ50" i="107"/>
  <c r="BD22" i="118"/>
  <c r="BI22" i="118"/>
  <c r="BA12" i="118"/>
  <c r="BC12" i="118"/>
  <c r="BA33" i="106"/>
  <c r="BB22" i="106"/>
  <c r="BF33" i="116"/>
  <c r="BI22" i="105"/>
  <c r="BF12" i="110"/>
  <c r="BK12" i="110"/>
  <c r="BK60" i="110"/>
  <c r="BH50" i="116"/>
  <c r="BC60" i="116"/>
  <c r="BI12" i="103"/>
  <c r="AZ12" i="103"/>
  <c r="BF65" i="111"/>
  <c r="BK50" i="118"/>
  <c r="BJ12" i="111"/>
  <c r="BI22" i="101"/>
  <c r="BG33" i="101"/>
  <c r="BJ60" i="108"/>
  <c r="BH22" i="107"/>
  <c r="BC50" i="103"/>
  <c r="AZ12" i="107"/>
  <c r="BC22" i="103"/>
  <c r="BF65" i="107"/>
  <c r="BG60" i="102"/>
  <c r="BE68" i="102"/>
  <c r="BC60" i="107"/>
  <c r="BA22" i="102"/>
  <c r="BG12" i="111"/>
  <c r="BG60" i="118"/>
  <c r="BD65" i="118"/>
  <c r="BG2" i="108"/>
  <c r="BF68" i="107"/>
  <c r="BG50" i="111"/>
  <c r="BE65" i="121"/>
  <c r="BG50" i="107"/>
  <c r="BD50" i="111"/>
  <c r="BJ12" i="118"/>
  <c r="BE2" i="108"/>
  <c r="BG68" i="108"/>
  <c r="BJ50" i="102"/>
  <c r="BC22" i="118"/>
  <c r="BF60" i="102"/>
  <c r="AZ68" i="122"/>
  <c r="BE33" i="107"/>
  <c r="BI12" i="105"/>
  <c r="BJ12" i="101"/>
  <c r="BC65" i="123"/>
  <c r="AZ50" i="107"/>
  <c r="BC65" i="115"/>
  <c r="BI2" i="101"/>
  <c r="BG60" i="101"/>
  <c r="BB68" i="106"/>
  <c r="BJ2" i="106"/>
  <c r="BB68" i="116"/>
  <c r="BB2" i="106"/>
  <c r="BF68" i="120"/>
  <c r="BC68" i="106"/>
  <c r="BD2" i="115"/>
  <c r="BD68" i="115"/>
  <c r="BD65" i="108"/>
  <c r="BD68" i="106"/>
  <c r="BB65" i="106"/>
  <c r="BK68" i="120"/>
  <c r="BJ68" i="120"/>
  <c r="BB68" i="120"/>
  <c r="BG22" i="123"/>
  <c r="BI68" i="123"/>
  <c r="BK22" i="110"/>
  <c r="BF60" i="101"/>
  <c r="BH33" i="101"/>
  <c r="BB22" i="111"/>
  <c r="BK60" i="107"/>
  <c r="BJ22" i="111"/>
  <c r="BH22" i="111"/>
  <c r="BI2" i="118"/>
  <c r="BK65" i="120"/>
  <c r="BE22" i="108"/>
  <c r="BK12" i="108"/>
  <c r="BB65" i="108"/>
  <c r="BI12" i="108"/>
  <c r="BE22" i="107"/>
  <c r="BD33" i="105"/>
  <c r="BF50" i="110"/>
  <c r="BI50" i="110"/>
  <c r="BG22" i="110"/>
  <c r="BF50" i="101"/>
  <c r="BA22" i="101"/>
  <c r="BA33" i="101"/>
  <c r="AZ22" i="110"/>
  <c r="BA50" i="110"/>
  <c r="BB33" i="110"/>
  <c r="BK22" i="101"/>
  <c r="BD33" i="110"/>
  <c r="BF22" i="101"/>
  <c r="BD33" i="101"/>
  <c r="BC33" i="101"/>
  <c r="BA12" i="124"/>
  <c r="BD22" i="111"/>
  <c r="BJ50" i="118"/>
  <c r="BH60" i="112"/>
  <c r="BK12" i="120"/>
  <c r="BA60" i="120"/>
  <c r="BC50" i="108"/>
  <c r="BC50" i="123"/>
  <c r="BK33" i="123"/>
  <c r="BH50" i="123"/>
  <c r="BB33" i="123"/>
  <c r="BE68" i="123"/>
  <c r="BB60" i="123"/>
  <c r="BF50" i="123"/>
  <c r="BJ2" i="108"/>
  <c r="BG33" i="110"/>
  <c r="BD50" i="110"/>
  <c r="BE22" i="110"/>
  <c r="BE12" i="101"/>
  <c r="AZ33" i="101"/>
  <c r="BB22" i="101"/>
  <c r="BD65" i="121"/>
  <c r="BF33" i="110"/>
  <c r="BG12" i="110"/>
  <c r="BD12" i="111"/>
  <c r="AZ65" i="115"/>
  <c r="BE60" i="108"/>
  <c r="BC2" i="120"/>
  <c r="BI22" i="123"/>
  <c r="BE50" i="123"/>
  <c r="BJ33" i="110"/>
  <c r="BA33" i="110"/>
  <c r="BC50" i="111"/>
  <c r="BB50" i="107"/>
  <c r="BE68" i="115"/>
  <c r="BH22" i="124"/>
  <c r="BE12" i="118"/>
  <c r="BK33" i="118"/>
  <c r="BF60" i="114"/>
  <c r="BA2" i="120"/>
  <c r="BC60" i="120"/>
  <c r="BG50" i="120"/>
  <c r="AZ60" i="120"/>
  <c r="BB50" i="108"/>
  <c r="BI50" i="108"/>
  <c r="AZ50" i="108"/>
  <c r="BB60" i="108"/>
  <c r="BJ33" i="108"/>
  <c r="BJ65" i="108"/>
  <c r="BK68" i="108"/>
  <c r="BG33" i="123"/>
  <c r="BH60" i="123"/>
  <c r="BA50" i="123"/>
  <c r="BC33" i="123"/>
  <c r="BG50" i="123"/>
  <c r="BA33" i="123"/>
  <c r="BD50" i="123"/>
  <c r="BI12" i="123"/>
  <c r="BC22" i="123"/>
  <c r="BG60" i="121"/>
  <c r="BF60" i="121"/>
  <c r="BE12" i="107"/>
  <c r="BG2" i="114"/>
  <c r="BJ65" i="121"/>
  <c r="BI12" i="124"/>
  <c r="BK2" i="124"/>
  <c r="BJ60" i="111"/>
  <c r="BE22" i="111"/>
  <c r="BJ2" i="121"/>
  <c r="BA2" i="121"/>
  <c r="BG22" i="107"/>
  <c r="BE22" i="121"/>
  <c r="BA60" i="124"/>
  <c r="BK12" i="107"/>
  <c r="BD60" i="115"/>
  <c r="BA33" i="107"/>
  <c r="BE50" i="111"/>
  <c r="BJ60" i="115"/>
  <c r="BB68" i="115"/>
  <c r="BC50" i="112"/>
  <c r="BD12" i="124"/>
  <c r="BC2" i="122"/>
  <c r="BA2" i="122"/>
  <c r="BF50" i="107"/>
  <c r="BI2" i="115"/>
  <c r="BF60" i="112"/>
  <c r="BD60" i="112"/>
  <c r="BD2" i="117"/>
  <c r="BJ2" i="115"/>
  <c r="BE12" i="124"/>
  <c r="BF22" i="123"/>
  <c r="BC2" i="123"/>
  <c r="BB68" i="100"/>
  <c r="BI60" i="114"/>
  <c r="BD12" i="107"/>
  <c r="BF22" i="107"/>
  <c r="BI33" i="107"/>
  <c r="BK60" i="115"/>
  <c r="BK60" i="112"/>
  <c r="BI12" i="118"/>
  <c r="BI33" i="118"/>
  <c r="BG33" i="118"/>
  <c r="BK60" i="120"/>
  <c r="AZ2" i="120"/>
  <c r="BK22" i="120"/>
  <c r="BF22" i="120"/>
  <c r="BK60" i="123"/>
  <c r="BF65" i="114"/>
  <c r="AZ2" i="112"/>
  <c r="AZ68" i="112"/>
  <c r="AZ68" i="115"/>
  <c r="BI33" i="111"/>
  <c r="BH65" i="115"/>
  <c r="BE60" i="120"/>
  <c r="BG68" i="120"/>
  <c r="BG2" i="120"/>
  <c r="BI2" i="108"/>
  <c r="BG60" i="123"/>
  <c r="BD33" i="107"/>
  <c r="AZ50" i="105"/>
  <c r="BH33" i="107"/>
  <c r="BI68" i="121"/>
  <c r="BG68" i="115"/>
  <c r="BI68" i="114"/>
  <c r="BB12" i="107"/>
  <c r="BJ22" i="102"/>
  <c r="BF12" i="112"/>
  <c r="BB22" i="124"/>
  <c r="BA22" i="124"/>
  <c r="BG12" i="124"/>
  <c r="BJ68" i="115"/>
  <c r="BE65" i="114"/>
  <c r="BH12" i="111"/>
  <c r="BK2" i="115"/>
  <c r="AZ60" i="115"/>
  <c r="BB22" i="112"/>
  <c r="BB22" i="115"/>
  <c r="BC68" i="115"/>
  <c r="BC2" i="115"/>
  <c r="BH2" i="115"/>
  <c r="BD60" i="114"/>
  <c r="BH50" i="118"/>
  <c r="BI50" i="118"/>
  <c r="BB12" i="118"/>
  <c r="BK22" i="118"/>
  <c r="BG12" i="118"/>
  <c r="BJ65" i="120"/>
  <c r="BF2" i="120"/>
  <c r="BH65" i="120"/>
  <c r="BD2" i="120"/>
  <c r="BG60" i="120"/>
  <c r="BI65" i="120"/>
  <c r="BK33" i="120"/>
  <c r="BE50" i="120"/>
  <c r="BE22" i="120"/>
  <c r="BF60" i="120"/>
  <c r="BG65" i="120"/>
  <c r="BC65" i="120"/>
  <c r="BB22" i="108"/>
  <c r="BH50" i="108"/>
  <c r="BG22" i="108"/>
  <c r="BE50" i="108"/>
  <c r="AZ12" i="108"/>
  <c r="BA33" i="108"/>
  <c r="BK33" i="108"/>
  <c r="BD12" i="108"/>
  <c r="BH12" i="108"/>
  <c r="BA68" i="108"/>
  <c r="BA50" i="108"/>
  <c r="BC12" i="108"/>
  <c r="BK50" i="108"/>
  <c r="BB12" i="108"/>
  <c r="BK65" i="108"/>
  <c r="BC22" i="108"/>
  <c r="BJ50" i="120"/>
  <c r="BH33" i="123"/>
  <c r="BK50" i="123"/>
  <c r="BH22" i="123"/>
  <c r="BD33" i="123"/>
  <c r="BE22" i="123"/>
  <c r="BI33" i="123"/>
  <c r="BF33" i="123"/>
  <c r="BD22" i="123"/>
  <c r="AZ22" i="123"/>
  <c r="AZ33" i="123"/>
  <c r="BB22" i="123"/>
  <c r="BJ22" i="123"/>
  <c r="BK12" i="123"/>
  <c r="BC12" i="123"/>
  <c r="BA12" i="123"/>
  <c r="BH12" i="123"/>
  <c r="BJ33" i="123"/>
  <c r="BE12" i="123"/>
  <c r="AZ50" i="123"/>
  <c r="BI50" i="123"/>
  <c r="BA60" i="123"/>
  <c r="BG12" i="123"/>
  <c r="BA22" i="123"/>
  <c r="AZ12" i="123"/>
  <c r="BK22" i="123"/>
  <c r="BD12" i="123"/>
  <c r="AZ22" i="107"/>
  <c r="BF12" i="108"/>
  <c r="BC33" i="105"/>
  <c r="BC12" i="111"/>
  <c r="BF12" i="102"/>
  <c r="BB33" i="107"/>
  <c r="BC12" i="107"/>
  <c r="W19" i="120"/>
  <c r="BA68" i="102"/>
  <c r="BD2" i="102"/>
  <c r="BG2" i="121"/>
  <c r="BF50" i="102"/>
  <c r="BE60" i="117"/>
  <c r="BA68" i="121"/>
  <c r="BH2" i="117"/>
  <c r="BF65" i="115"/>
  <c r="BD68" i="120"/>
  <c r="BF12" i="121"/>
  <c r="BB33" i="121"/>
  <c r="BC33" i="121"/>
  <c r="BJ68" i="122"/>
  <c r="BA68" i="117"/>
  <c r="BA50" i="102"/>
  <c r="BD65" i="117"/>
  <c r="BB60" i="102"/>
  <c r="BB2" i="120"/>
  <c r="BF33" i="121"/>
  <c r="BE50" i="121"/>
  <c r="BH2" i="120"/>
  <c r="AZ33" i="107"/>
  <c r="BD33" i="124"/>
  <c r="BE33" i="111"/>
  <c r="BF33" i="111"/>
  <c r="BK65" i="115"/>
  <c r="BB2" i="117"/>
  <c r="BF2" i="115"/>
  <c r="BF2" i="114"/>
  <c r="BD22" i="102"/>
  <c r="BC50" i="124"/>
  <c r="BC12" i="124"/>
  <c r="BD60" i="124"/>
  <c r="BF50" i="124"/>
  <c r="BK22" i="111"/>
  <c r="BB50" i="111"/>
  <c r="BJ50" i="111"/>
  <c r="BJ12" i="120"/>
  <c r="BA65" i="120"/>
  <c r="BE2" i="120"/>
  <c r="BE68" i="120"/>
  <c r="BE2" i="122"/>
  <c r="BC2" i="117"/>
  <c r="BK65" i="117"/>
  <c r="BE68" i="100"/>
  <c r="BH12" i="107"/>
  <c r="BG12" i="102"/>
  <c r="AZ60" i="102"/>
  <c r="AZ50" i="112"/>
  <c r="BE60" i="112"/>
  <c r="BJ12" i="112"/>
  <c r="BA33" i="124"/>
  <c r="BE22" i="115"/>
  <c r="BD65" i="115"/>
  <c r="BJ50" i="112"/>
  <c r="AZ22" i="112"/>
  <c r="BG12" i="115"/>
  <c r="BA22" i="115"/>
  <c r="BE12" i="120"/>
  <c r="BF33" i="120"/>
  <c r="AZ50" i="120"/>
  <c r="BA50" i="120"/>
  <c r="BB65" i="117"/>
  <c r="BA65" i="122"/>
  <c r="BF68" i="117"/>
  <c r="BB33" i="102"/>
  <c r="BD60" i="107"/>
  <c r="BF65" i="124"/>
  <c r="W19" i="124"/>
  <c r="BE2" i="114"/>
  <c r="BC50" i="118"/>
  <c r="BD2" i="122"/>
  <c r="BJ22" i="121"/>
  <c r="BF60" i="100"/>
  <c r="AZ68" i="100"/>
  <c r="BH68" i="117"/>
  <c r="BK60" i="121"/>
  <c r="BH65" i="117"/>
  <c r="BK60" i="117"/>
  <c r="BF68" i="100"/>
  <c r="BG60" i="100"/>
  <c r="AZ68" i="120"/>
  <c r="BA65" i="108"/>
  <c r="BG22" i="124"/>
  <c r="BE60" i="115"/>
  <c r="BI2" i="120"/>
  <c r="BA65" i="115"/>
  <c r="BG2" i="115"/>
  <c r="BB50" i="118"/>
  <c r="BB50" i="124"/>
  <c r="BK60" i="100"/>
  <c r="AZ12" i="112"/>
  <c r="BD2" i="112"/>
  <c r="BI22" i="112"/>
  <c r="BK12" i="124"/>
  <c r="AZ33" i="124"/>
  <c r="AZ65" i="124"/>
  <c r="AZ50" i="124"/>
  <c r="BK22" i="102"/>
  <c r="BF60" i="115"/>
  <c r="BK12" i="111"/>
  <c r="AZ33" i="111"/>
  <c r="BK33" i="111"/>
  <c r="BD50" i="115"/>
  <c r="BB65" i="115"/>
  <c r="BK22" i="107"/>
  <c r="BC65" i="117"/>
  <c r="BK50" i="102"/>
  <c r="BC68" i="100"/>
  <c r="BI60" i="102"/>
  <c r="AZ2" i="122"/>
  <c r="BA12" i="121"/>
  <c r="BI65" i="117"/>
  <c r="AZ2" i="100"/>
  <c r="BC2" i="114"/>
  <c r="BE33" i="118"/>
  <c r="BF22" i="108"/>
  <c r="BE65" i="122"/>
  <c r="BI12" i="100"/>
  <c r="BK2" i="100"/>
  <c r="BC68" i="118"/>
  <c r="BJ2" i="100"/>
  <c r="BK2" i="117"/>
  <c r="BF68" i="115"/>
  <c r="BH50" i="112"/>
  <c r="BI50" i="111"/>
  <c r="BJ22" i="118"/>
  <c r="BA50" i="118"/>
  <c r="BC50" i="120"/>
  <c r="BF50" i="120"/>
  <c r="BB50" i="120"/>
  <c r="BA68" i="120"/>
  <c r="BD60" i="120"/>
  <c r="AZ33" i="108"/>
  <c r="W19" i="118"/>
  <c r="BA2" i="117"/>
  <c r="BG65" i="115"/>
  <c r="AZ65" i="117"/>
  <c r="BD60" i="117"/>
  <c r="BE2" i="117"/>
  <c r="BD65" i="100"/>
  <c r="BE68" i="117"/>
  <c r="BF33" i="102"/>
  <c r="BI68" i="100"/>
  <c r="BB50" i="102"/>
  <c r="BH68" i="100"/>
  <c r="BE33" i="124"/>
  <c r="BH33" i="124"/>
  <c r="BA33" i="111"/>
  <c r="BF60" i="122"/>
  <c r="BK50" i="122"/>
  <c r="BD65" i="122"/>
  <c r="BF50" i="121"/>
  <c r="BD68" i="117"/>
  <c r="BJ68" i="117"/>
  <c r="BE50" i="102"/>
  <c r="BE60" i="100"/>
  <c r="BA2" i="100"/>
  <c r="AZ65" i="100"/>
  <c r="BK65" i="100"/>
  <c r="BB65" i="100"/>
  <c r="BG65" i="114"/>
  <c r="BK33" i="107"/>
  <c r="BA50" i="107"/>
  <c r="BB60" i="117"/>
  <c r="BH22" i="102"/>
  <c r="BH50" i="102"/>
  <c r="AZ33" i="102"/>
  <c r="BD50" i="112"/>
  <c r="BK33" i="112"/>
  <c r="BH22" i="112"/>
  <c r="BD33" i="112"/>
  <c r="BB12" i="112"/>
  <c r="BB12" i="124"/>
  <c r="BI22" i="124"/>
  <c r="BF33" i="124"/>
  <c r="BJ22" i="124"/>
  <c r="BC22" i="124"/>
  <c r="AZ12" i="124"/>
  <c r="BG50" i="124"/>
  <c r="BD50" i="124"/>
  <c r="BI33" i="124"/>
  <c r="BC33" i="124"/>
  <c r="BE50" i="124"/>
  <c r="BA50" i="124"/>
  <c r="BB60" i="124"/>
  <c r="BD12" i="115"/>
  <c r="BB60" i="115"/>
  <c r="BH60" i="115"/>
  <c r="BK33" i="102"/>
  <c r="BB33" i="111"/>
  <c r="BE12" i="111"/>
  <c r="BA33" i="115"/>
  <c r="BG22" i="115"/>
  <c r="BF50" i="115"/>
  <c r="BE33" i="112"/>
  <c r="BE65" i="112"/>
  <c r="AZ60" i="112"/>
  <c r="BK12" i="112"/>
  <c r="BJ60" i="112"/>
  <c r="BJ2" i="112"/>
  <c r="BC33" i="112"/>
  <c r="AZ33" i="118"/>
  <c r="BB50" i="115"/>
  <c r="BG60" i="115"/>
  <c r="AZ60" i="117"/>
  <c r="BI2" i="117"/>
  <c r="BG33" i="115"/>
  <c r="BI22" i="115"/>
  <c r="BD22" i="115"/>
  <c r="BC50" i="115"/>
  <c r="BI68" i="115"/>
  <c r="BC60" i="115"/>
  <c r="BE2" i="115"/>
  <c r="BA60" i="112"/>
  <c r="BK68" i="112"/>
  <c r="BH12" i="118"/>
  <c r="BB22" i="118"/>
  <c r="BG22" i="118"/>
  <c r="BH22" i="118"/>
  <c r="BE60" i="118"/>
  <c r="AZ22" i="118"/>
  <c r="BG65" i="118"/>
  <c r="BA33" i="118"/>
  <c r="BH22" i="115"/>
  <c r="BJ22" i="120"/>
  <c r="BI50" i="120"/>
  <c r="BG12" i="120"/>
  <c r="BE65" i="120"/>
  <c r="BD22" i="120"/>
  <c r="BK50" i="120"/>
  <c r="AZ33" i="120"/>
  <c r="BC33" i="120"/>
  <c r="BG33" i="120"/>
  <c r="BH22" i="120"/>
  <c r="BJ33" i="120"/>
  <c r="BH12" i="120"/>
  <c r="BI22" i="120"/>
  <c r="BA12" i="120"/>
  <c r="BA33" i="120"/>
  <c r="BC12" i="120"/>
  <c r="BD50" i="120"/>
  <c r="BF12" i="120"/>
  <c r="BJ60" i="120"/>
  <c r="BG22" i="120"/>
  <c r="AZ12" i="120"/>
  <c r="BI33" i="120"/>
  <c r="AZ22" i="120"/>
  <c r="BI12" i="120"/>
  <c r="BA22" i="120"/>
  <c r="BF65" i="120"/>
  <c r="BD33" i="120"/>
  <c r="BB22" i="120"/>
  <c r="BD12" i="120"/>
  <c r="BB12" i="120"/>
  <c r="BH33" i="120"/>
  <c r="BE33" i="120"/>
  <c r="BB33" i="120"/>
  <c r="BH50" i="120"/>
  <c r="BD22" i="108"/>
  <c r="BF50" i="108"/>
  <c r="AZ22" i="108"/>
  <c r="BE12" i="108"/>
  <c r="BJ50" i="108"/>
  <c r="BH33" i="108"/>
  <c r="BE33" i="108"/>
  <c r="BH65" i="108"/>
  <c r="BJ12" i="108"/>
  <c r="BA12" i="108"/>
  <c r="BB33" i="108"/>
  <c r="BC68" i="108"/>
  <c r="BG33" i="108"/>
  <c r="BC33" i="108"/>
  <c r="BG50" i="108"/>
  <c r="BD50" i="108"/>
  <c r="BH22" i="108"/>
  <c r="BI22" i="108"/>
  <c r="BD33" i="108"/>
  <c r="BG12" i="108"/>
  <c r="BK22" i="108"/>
  <c r="BF33" i="108"/>
  <c r="BI33" i="108"/>
  <c r="BJ22" i="108"/>
  <c r="BH60" i="100"/>
  <c r="BI65" i="122"/>
  <c r="BB50" i="112"/>
  <c r="BD65" i="112"/>
  <c r="BD33" i="118"/>
  <c r="W19" i="103"/>
  <c r="BA68" i="100"/>
  <c r="BI60" i="100"/>
  <c r="BH68" i="114"/>
  <c r="BJ2" i="122"/>
  <c r="W19" i="117"/>
  <c r="BC60" i="121"/>
  <c r="BK2" i="120"/>
  <c r="BK33" i="121"/>
  <c r="BG68" i="121"/>
  <c r="BI33" i="102"/>
  <c r="BF12" i="107"/>
  <c r="AZ12" i="115"/>
  <c r="BE50" i="112"/>
  <c r="BJ12" i="124"/>
  <c r="BJ65" i="100"/>
  <c r="BD60" i="122"/>
  <c r="BC33" i="100"/>
  <c r="BC33" i="107"/>
  <c r="BG33" i="112"/>
  <c r="BC12" i="112"/>
  <c r="BG33" i="124"/>
  <c r="BF50" i="111"/>
  <c r="BB60" i="122"/>
  <c r="BB2" i="122"/>
  <c r="BC12" i="102"/>
  <c r="BJ50" i="115"/>
  <c r="BC33" i="115"/>
  <c r="BG50" i="115"/>
  <c r="BE33" i="102"/>
  <c r="AZ2" i="102"/>
  <c r="AZ60" i="114"/>
  <c r="AZ68" i="114"/>
  <c r="BD22" i="112"/>
  <c r="BB33" i="112"/>
  <c r="BK50" i="112"/>
  <c r="BK50" i="124"/>
  <c r="BG33" i="111"/>
  <c r="BB2" i="115"/>
  <c r="BG65" i="122"/>
  <c r="BG2" i="122"/>
  <c r="BA65" i="117"/>
  <c r="BC68" i="117"/>
  <c r="AZ60" i="122"/>
  <c r="BK68" i="117"/>
  <c r="AZ50" i="115"/>
  <c r="BE12" i="115"/>
  <c r="BD33" i="115"/>
  <c r="BI12" i="115"/>
  <c r="BB12" i="115"/>
  <c r="AZ22" i="102"/>
  <c r="BB22" i="102"/>
  <c r="AZ65" i="114"/>
  <c r="BI12" i="102"/>
  <c r="BJ22" i="112"/>
  <c r="BA12" i="112"/>
  <c r="BK22" i="112"/>
  <c r="AZ33" i="112"/>
  <c r="BF50" i="112"/>
  <c r="BA50" i="112"/>
  <c r="BG50" i="112"/>
  <c r="BD12" i="112"/>
  <c r="BJ33" i="124"/>
  <c r="AZ22" i="124"/>
  <c r="BH12" i="124"/>
  <c r="BK22" i="124"/>
  <c r="BF12" i="124"/>
  <c r="BH50" i="124"/>
  <c r="BB33" i="124"/>
  <c r="BF22" i="124"/>
  <c r="BK33" i="124"/>
  <c r="BH33" i="115"/>
  <c r="BH12" i="115"/>
  <c r="BC12" i="115"/>
  <c r="BA50" i="115"/>
  <c r="BD33" i="111"/>
  <c r="BC33" i="111"/>
  <c r="BA50" i="111"/>
  <c r="BJ65" i="115"/>
  <c r="BC22" i="115"/>
  <c r="BK12" i="115"/>
  <c r="BE65" i="115"/>
  <c r="BA22" i="112"/>
  <c r="BE22" i="112"/>
  <c r="BI50" i="112"/>
  <c r="BF2" i="112"/>
  <c r="BC60" i="112"/>
  <c r="BE12" i="112"/>
  <c r="BA33" i="112"/>
  <c r="BG12" i="112"/>
  <c r="BH50" i="115"/>
  <c r="AZ33" i="115"/>
  <c r="AZ2" i="115"/>
  <c r="BK33" i="115"/>
  <c r="BK50" i="115"/>
  <c r="BA12" i="115"/>
  <c r="AZ22" i="115"/>
  <c r="BI50" i="115"/>
  <c r="BI33" i="115"/>
  <c r="BA60" i="115"/>
  <c r="BG60" i="112"/>
  <c r="BF22" i="112"/>
  <c r="BG22" i="112"/>
  <c r="BI12" i="112"/>
  <c r="BE22" i="118"/>
  <c r="BF33" i="118"/>
  <c r="BA22" i="118"/>
  <c r="BF22" i="118"/>
  <c r="BJ33" i="118"/>
  <c r="AZ50" i="118"/>
  <c r="BF50" i="118"/>
  <c r="BE50" i="118"/>
  <c r="BK12" i="118"/>
  <c r="BG50" i="118"/>
  <c r="BF12" i="118"/>
  <c r="BF65" i="118"/>
  <c r="BH60" i="117"/>
  <c r="BD33" i="102"/>
  <c r="BD12" i="102"/>
  <c r="BD22" i="124"/>
  <c r="BI50" i="124"/>
  <c r="BK65" i="122"/>
  <c r="BJ33" i="115"/>
  <c r="BE33" i="115"/>
  <c r="BJ22" i="115"/>
  <c r="BF33" i="115"/>
  <c r="BJ12" i="115"/>
  <c r="BF33" i="112"/>
  <c r="BH33" i="112"/>
  <c r="BI33" i="112"/>
  <c r="BJ33" i="112"/>
  <c r="BI60" i="115"/>
  <c r="BK22" i="115"/>
  <c r="BF22" i="115"/>
  <c r="BF12" i="115"/>
  <c r="BE50" i="115"/>
  <c r="BB33" i="115"/>
  <c r="BH12" i="112"/>
  <c r="BC33" i="118"/>
  <c r="BH33" i="118"/>
  <c r="BB33" i="118"/>
  <c r="BG12" i="114"/>
  <c r="BA60" i="122"/>
  <c r="BJ60" i="121"/>
  <c r="BB50" i="117"/>
  <c r="BC60" i="117"/>
  <c r="BE50" i="117"/>
  <c r="BG50" i="117"/>
  <c r="BF60" i="117"/>
  <c r="AZ2" i="117"/>
  <c r="BI68" i="102"/>
  <c r="BH33" i="102"/>
  <c r="BH12" i="102"/>
  <c r="BC22" i="102"/>
  <c r="BH22" i="100"/>
  <c r="BH12" i="100"/>
  <c r="BH65" i="100"/>
  <c r="BK12" i="100"/>
  <c r="BF50" i="100"/>
  <c r="BB60" i="100"/>
  <c r="BK22" i="100"/>
  <c r="W19" i="122"/>
  <c r="BG2" i="117"/>
  <c r="BJ2" i="117"/>
  <c r="BC12" i="121"/>
  <c r="BI12" i="121"/>
  <c r="BA22" i="121"/>
  <c r="BD60" i="121"/>
  <c r="BD68" i="122"/>
  <c r="BJ60" i="117"/>
  <c r="BA50" i="121"/>
  <c r="BC22" i="100"/>
  <c r="BA12" i="102"/>
  <c r="BC50" i="102"/>
  <c r="BH50" i="121"/>
  <c r="BF22" i="121"/>
  <c r="BH33" i="121"/>
  <c r="BC22" i="112"/>
  <c r="BC68" i="122"/>
  <c r="BK68" i="122"/>
  <c r="BJ65" i="114"/>
  <c r="BG68" i="114"/>
  <c r="BH2" i="122"/>
  <c r="W19" i="114"/>
  <c r="BJ50" i="100"/>
  <c r="BG68" i="100"/>
  <c r="BK68" i="100"/>
  <c r="BJ33" i="121"/>
  <c r="BE12" i="121"/>
  <c r="BD50" i="121"/>
  <c r="BD12" i="121"/>
  <c r="BD33" i="121"/>
  <c r="BI60" i="121"/>
  <c r="BG68" i="122"/>
  <c r="BC65" i="122"/>
  <c r="BE12" i="122"/>
  <c r="BK50" i="121"/>
  <c r="BB12" i="121"/>
  <c r="BJ12" i="121"/>
  <c r="BI2" i="122"/>
  <c r="BJ60" i="122"/>
  <c r="BH68" i="122"/>
  <c r="BI60" i="122"/>
  <c r="BB68" i="122"/>
  <c r="BE65" i="117"/>
  <c r="BA50" i="122"/>
  <c r="BF2" i="122"/>
  <c r="BI12" i="117"/>
  <c r="BB22" i="117"/>
  <c r="BJ22" i="117"/>
  <c r="BG68" i="117"/>
  <c r="BA60" i="117"/>
  <c r="BE12" i="102"/>
  <c r="BJ33" i="102"/>
  <c r="BE12" i="100"/>
  <c r="BH50" i="100"/>
  <c r="BJ60" i="100"/>
  <c r="BG33" i="107"/>
  <c r="BI22" i="107"/>
  <c r="BC22" i="107"/>
  <c r="BF33" i="107"/>
  <c r="BA65" i="100"/>
  <c r="BA22" i="100"/>
  <c r="AZ50" i="121"/>
  <c r="BF65" i="121"/>
  <c r="BC60" i="122"/>
  <c r="BJ22" i="122"/>
  <c r="BI12" i="122"/>
  <c r="BH60" i="122"/>
  <c r="BG22" i="122"/>
  <c r="BI50" i="122"/>
  <c r="BD22" i="121"/>
  <c r="BK12" i="121"/>
  <c r="BB60" i="121"/>
  <c r="BH22" i="117"/>
  <c r="BB12" i="117"/>
  <c r="BI68" i="117"/>
  <c r="BI22" i="117"/>
  <c r="BC22" i="117"/>
  <c r="BA12" i="117"/>
  <c r="BJ65" i="117"/>
  <c r="BD33" i="117"/>
  <c r="BC12" i="117"/>
  <c r="BF12" i="117"/>
  <c r="BK22" i="117"/>
  <c r="BG65" i="117"/>
  <c r="BJ33" i="117"/>
  <c r="BF33" i="117"/>
  <c r="BG60" i="117"/>
  <c r="BG12" i="100"/>
  <c r="BD50" i="100"/>
  <c r="BD68" i="100"/>
  <c r="BD22" i="100"/>
  <c r="BI2" i="100"/>
  <c r="BC60" i="100"/>
  <c r="BF12" i="100"/>
  <c r="AZ60" i="100"/>
  <c r="BE33" i="100"/>
  <c r="BK50" i="100"/>
  <c r="BB33" i="100"/>
  <c r="BA33" i="100"/>
  <c r="BH2" i="100"/>
  <c r="BD2" i="100"/>
  <c r="BA33" i="121"/>
  <c r="BB22" i="122"/>
  <c r="BB65" i="122"/>
  <c r="BD50" i="117"/>
  <c r="BA33" i="102"/>
  <c r="AZ12" i="100"/>
  <c r="BB68" i="117"/>
  <c r="AZ22" i="117"/>
  <c r="BG12" i="117"/>
  <c r="BG22" i="117"/>
  <c r="AZ50" i="117"/>
  <c r="BE50" i="100"/>
  <c r="BD12" i="117"/>
  <c r="BJ68" i="121"/>
  <c r="BG50" i="121"/>
  <c r="BG12" i="121"/>
  <c r="AZ22" i="121"/>
  <c r="AZ33" i="121"/>
  <c r="BC50" i="121"/>
  <c r="BK22" i="121"/>
  <c r="BG33" i="121"/>
  <c r="BA22" i="122"/>
  <c r="BD33" i="122"/>
  <c r="BH22" i="122"/>
  <c r="BB33" i="122"/>
  <c r="BI68" i="122"/>
  <c r="BK22" i="122"/>
  <c r="BE60" i="122"/>
  <c r="BC33" i="122"/>
  <c r="BK2" i="122"/>
  <c r="BF12" i="122"/>
  <c r="BJ33" i="122"/>
  <c r="BF50" i="122"/>
  <c r="BH65" i="122"/>
  <c r="BH12" i="122"/>
  <c r="BC50" i="122"/>
  <c r="BF22" i="122"/>
  <c r="AZ33" i="122"/>
  <c r="BB12" i="122"/>
  <c r="AZ12" i="122"/>
  <c r="BC12" i="122"/>
  <c r="BF65" i="122"/>
  <c r="BD12" i="122"/>
  <c r="BJ12" i="122"/>
  <c r="BJ65" i="122"/>
  <c r="BE60" i="121"/>
  <c r="BC22" i="121"/>
  <c r="BA60" i="121"/>
  <c r="BI50" i="117"/>
  <c r="BA22" i="117"/>
  <c r="BI60" i="117"/>
  <c r="BA50" i="117"/>
  <c r="AZ12" i="117"/>
  <c r="BF22" i="117"/>
  <c r="AZ33" i="117"/>
  <c r="BB33" i="117"/>
  <c r="BK33" i="117"/>
  <c r="BK50" i="117"/>
  <c r="BJ50" i="117"/>
  <c r="BE22" i="117"/>
  <c r="BG33" i="117"/>
  <c r="BC50" i="117"/>
  <c r="BE12" i="117"/>
  <c r="BH12" i="117"/>
  <c r="BK12" i="117"/>
  <c r="BD22" i="117"/>
  <c r="BI33" i="117"/>
  <c r="BF50" i="117"/>
  <c r="BJ12" i="117"/>
  <c r="BH33" i="117"/>
  <c r="BA33" i="117"/>
  <c r="BH50" i="117"/>
  <c r="BC33" i="117"/>
  <c r="BE33" i="117"/>
  <c r="BF2" i="117"/>
  <c r="BG33" i="102"/>
  <c r="AZ12" i="102"/>
  <c r="BC33" i="102"/>
  <c r="BG22" i="102"/>
  <c r="BG50" i="102"/>
  <c r="BE22" i="102"/>
  <c r="BI50" i="102"/>
  <c r="BD33" i="100"/>
  <c r="BJ22" i="100"/>
  <c r="BJ12" i="100"/>
  <c r="BI22" i="100"/>
  <c r="BA12" i="100"/>
  <c r="AZ50" i="100"/>
  <c r="BB22" i="100"/>
  <c r="BB12" i="100"/>
  <c r="BJ33" i="100"/>
  <c r="BH33" i="100"/>
  <c r="BK33" i="100"/>
  <c r="BF22" i="100"/>
  <c r="BD12" i="100"/>
  <c r="AZ22" i="100"/>
  <c r="BE2" i="100"/>
  <c r="BG22" i="100"/>
  <c r="BA50" i="100"/>
  <c r="BC2" i="100"/>
  <c r="BI50" i="100"/>
  <c r="BD60" i="100"/>
  <c r="AZ33" i="100"/>
  <c r="BI65" i="100"/>
  <c r="BI33" i="100"/>
  <c r="BF65" i="100"/>
  <c r="BG50" i="100"/>
  <c r="BB2" i="100"/>
  <c r="BE22" i="100"/>
  <c r="BF33" i="100"/>
  <c r="BC50" i="100"/>
  <c r="BG33" i="100"/>
  <c r="BC12" i="100"/>
  <c r="BA60" i="100"/>
  <c r="BB50" i="100"/>
  <c r="BE65" i="100"/>
  <c r="BB22" i="121"/>
  <c r="W19" i="100"/>
  <c r="W19" i="115"/>
  <c r="BA12" i="122"/>
  <c r="BD65" i="114"/>
  <c r="AZ12" i="121"/>
  <c r="AZ2" i="121"/>
  <c r="BC22" i="122"/>
  <c r="BI50" i="121"/>
  <c r="BB22" i="114"/>
  <c r="BB50" i="121"/>
  <c r="BG22" i="121"/>
  <c r="BH22" i="121"/>
  <c r="BE33" i="121"/>
  <c r="BJ50" i="121"/>
  <c r="BH12" i="121"/>
  <c r="BI33" i="121"/>
  <c r="BF33" i="122"/>
  <c r="BE33" i="122"/>
  <c r="BD50" i="122"/>
  <c r="BG50" i="122"/>
  <c r="BB50" i="122"/>
  <c r="BI33" i="122"/>
  <c r="BH33" i="122"/>
  <c r="BE50" i="122"/>
  <c r="BJ50" i="122"/>
  <c r="BH50" i="122"/>
  <c r="BA33" i="122"/>
  <c r="BK33" i="122"/>
  <c r="BE22" i="122"/>
  <c r="BI22" i="122"/>
  <c r="BG12" i="122"/>
  <c r="BG60" i="122"/>
  <c r="AZ22" i="122"/>
  <c r="BK12" i="122"/>
  <c r="BD22" i="122"/>
  <c r="BG33" i="122"/>
  <c r="AZ50" i="122"/>
  <c r="BK60" i="122"/>
  <c r="BK12" i="114"/>
  <c r="AZ33" i="114"/>
  <c r="BF68" i="122"/>
  <c r="BB65" i="114"/>
  <c r="BC60" i="114"/>
  <c r="BG60" i="114"/>
  <c r="BD2" i="114"/>
  <c r="BA68" i="122"/>
  <c r="BH60" i="114"/>
  <c r="BF68" i="114"/>
  <c r="BI22" i="121"/>
  <c r="BB60" i="114"/>
  <c r="BA33" i="114"/>
  <c r="BK50" i="114"/>
  <c r="BC65" i="114"/>
  <c r="BH50" i="114"/>
  <c r="BK60" i="114"/>
  <c r="BA22" i="114"/>
  <c r="BB2" i="114"/>
  <c r="BH22" i="114"/>
  <c r="BG33" i="114"/>
  <c r="BE60" i="114"/>
  <c r="BC12" i="114"/>
  <c r="BA65" i="114"/>
  <c r="BI33" i="114"/>
  <c r="BH12" i="114"/>
  <c r="BD22" i="114"/>
  <c r="BD33" i="114"/>
  <c r="BI12" i="114"/>
  <c r="BJ12" i="114"/>
  <c r="BF12" i="114"/>
  <c r="BE22" i="114"/>
  <c r="BJ60" i="114"/>
  <c r="BH33" i="114"/>
  <c r="AZ12" i="114"/>
  <c r="BI22" i="114"/>
  <c r="BD50" i="114"/>
  <c r="BI50" i="114"/>
  <c r="BC50" i="114"/>
  <c r="BE33" i="114"/>
  <c r="BA12" i="114"/>
  <c r="BA50" i="114"/>
  <c r="BC33" i="114"/>
  <c r="AZ22" i="114"/>
  <c r="AZ50" i="114"/>
  <c r="BK22" i="114"/>
  <c r="BE50" i="114"/>
  <c r="BF50" i="114"/>
  <c r="BJ2" i="114"/>
  <c r="BE12" i="114"/>
  <c r="BB33" i="114"/>
  <c r="BJ22" i="114"/>
  <c r="BJ33" i="114"/>
  <c r="BG50" i="114"/>
  <c r="BB12" i="114"/>
  <c r="BF22" i="114"/>
  <c r="BJ50" i="114"/>
  <c r="BK33" i="114"/>
  <c r="BC22" i="114"/>
  <c r="BB50" i="114"/>
  <c r="BG22" i="114"/>
  <c r="BF33" i="114"/>
  <c r="BA60" i="114"/>
  <c r="BD12" i="114"/>
  <c r="BA2" i="104"/>
  <c r="BC18" i="125"/>
  <c r="BJ55" i="125"/>
  <c r="BD61" i="125"/>
  <c r="BD43" i="125"/>
  <c r="BB18" i="125"/>
  <c r="BC26" i="125"/>
  <c r="BA40" i="125"/>
  <c r="BE43" i="125"/>
  <c r="BG30" i="125"/>
  <c r="BE20" i="125"/>
  <c r="BG34" i="125"/>
  <c r="BA71" i="125"/>
  <c r="BA70" i="125" s="1"/>
  <c r="BG61" i="125"/>
  <c r="BE23" i="125"/>
  <c r="AZ78" i="125"/>
  <c r="BH23" i="125"/>
  <c r="BC55" i="125"/>
  <c r="BF46" i="125"/>
  <c r="AZ69" i="125"/>
  <c r="BA25" i="125"/>
  <c r="BD27" i="125"/>
  <c r="BJ44" i="125"/>
  <c r="AZ13" i="125"/>
  <c r="BG25" i="125"/>
  <c r="BJ19" i="125"/>
  <c r="BC38" i="125"/>
  <c r="BE45" i="125"/>
  <c r="BJ29" i="125"/>
  <c r="BF78" i="125"/>
  <c r="BC25" i="125"/>
  <c r="BA20" i="125"/>
  <c r="BH67" i="125"/>
  <c r="BD31" i="125"/>
  <c r="BA29" i="125"/>
  <c r="BF73" i="125"/>
  <c r="BF72" i="125" s="1"/>
  <c r="BJ52" i="125"/>
  <c r="BB23" i="125"/>
  <c r="BC29" i="125"/>
  <c r="BI36" i="125"/>
  <c r="BJ27" i="125"/>
  <c r="BB21" i="125"/>
  <c r="AZ53" i="125"/>
  <c r="BC63" i="125"/>
  <c r="BG35" i="125"/>
  <c r="BH51" i="125"/>
  <c r="BK53" i="125"/>
  <c r="BF57" i="125"/>
  <c r="BJ10" i="125"/>
  <c r="AZ34" i="125"/>
  <c r="BD53" i="125"/>
  <c r="BF34" i="125"/>
  <c r="BB36" i="125"/>
  <c r="BJ35" i="125"/>
  <c r="BA45" i="125"/>
  <c r="BJ17" i="125"/>
  <c r="BB30" i="125"/>
  <c r="BH25" i="125"/>
  <c r="BI32" i="125"/>
  <c r="BE9" i="125"/>
  <c r="BF66" i="125"/>
  <c r="BA21" i="125"/>
  <c r="BC73" i="125"/>
  <c r="BC72" i="125" s="1"/>
  <c r="BG24" i="125"/>
  <c r="BD35" i="125"/>
  <c r="BJ39" i="125"/>
  <c r="BA32" i="125"/>
  <c r="BK66" i="125"/>
  <c r="BE37" i="125"/>
  <c r="BF25" i="125"/>
  <c r="AZ44" i="125"/>
  <c r="BF48" i="125"/>
  <c r="BH39" i="125"/>
  <c r="BC66" i="125"/>
  <c r="BK32" i="125"/>
  <c r="BC20" i="125"/>
  <c r="BG16" i="125"/>
  <c r="BB45" i="125"/>
  <c r="AZ58" i="125"/>
  <c r="BG36" i="125"/>
  <c r="BD64" i="125"/>
  <c r="BD58" i="125"/>
  <c r="BC34" i="125"/>
  <c r="BJ46" i="125"/>
  <c r="BH28" i="125"/>
  <c r="BH30" i="125"/>
  <c r="BB66" i="125"/>
  <c r="AZ21" i="125"/>
  <c r="BF16" i="125"/>
  <c r="BI45" i="125"/>
  <c r="BD59" i="125"/>
  <c r="BD78" i="125"/>
  <c r="BD48" i="125"/>
  <c r="BA30" i="125"/>
  <c r="BK57" i="125"/>
  <c r="BF40" i="125"/>
  <c r="BD38" i="125"/>
  <c r="BD51" i="125"/>
  <c r="BB16" i="125"/>
  <c r="BF20" i="125"/>
  <c r="BG19" i="125"/>
  <c r="BE17" i="125"/>
  <c r="BB29" i="125"/>
  <c r="BK41" i="125"/>
  <c r="BH57" i="125"/>
  <c r="BA57" i="125"/>
  <c r="BH35" i="125"/>
  <c r="AZ55" i="125"/>
  <c r="BH18" i="125"/>
  <c r="BA27" i="125"/>
  <c r="BE14" i="125"/>
  <c r="BF32" i="125"/>
  <c r="BK56" i="125"/>
  <c r="BI27" i="125"/>
  <c r="BB43" i="125"/>
  <c r="BC35" i="125"/>
  <c r="BE63" i="125"/>
  <c r="BK58" i="125"/>
  <c r="AZ52" i="125"/>
  <c r="BD34" i="125"/>
  <c r="BF42" i="125"/>
  <c r="BA34" i="125"/>
  <c r="BC28" i="125"/>
  <c r="BI58" i="125"/>
  <c r="BG54" i="125"/>
  <c r="BG45" i="125"/>
  <c r="BG14" i="125"/>
  <c r="BK63" i="125"/>
  <c r="BC78" i="125"/>
  <c r="BE73" i="125"/>
  <c r="BE72" i="125" s="1"/>
  <c r="BK37" i="125"/>
  <c r="BI67" i="125"/>
  <c r="BJ48" i="125"/>
  <c r="AZ10" i="125"/>
  <c r="BA24" i="125"/>
  <c r="BB52" i="125"/>
  <c r="BE21" i="125"/>
  <c r="BD30" i="125"/>
  <c r="BI55" i="125"/>
  <c r="BI24" i="125"/>
  <c r="AZ16" i="125"/>
  <c r="BJ57" i="125"/>
  <c r="BG58" i="125"/>
  <c r="BB61" i="125"/>
  <c r="BB39" i="125"/>
  <c r="BF29" i="125"/>
  <c r="AZ29" i="125"/>
  <c r="BE26" i="125"/>
  <c r="BF39" i="125"/>
  <c r="BH34" i="125"/>
  <c r="BA56" i="125"/>
  <c r="BF27" i="125"/>
  <c r="BG78" i="125"/>
  <c r="BF15" i="125"/>
  <c r="BA44" i="125"/>
  <c r="BC71" i="125"/>
  <c r="BC70" i="125" s="1"/>
  <c r="BG29" i="125"/>
  <c r="BF35" i="125"/>
  <c r="BJ24" i="125"/>
  <c r="BK45" i="125"/>
  <c r="BI44" i="125"/>
  <c r="BK40" i="125"/>
  <c r="BB10" i="125"/>
  <c r="BE71" i="125"/>
  <c r="BE70" i="125" s="1"/>
  <c r="BI39" i="125"/>
  <c r="BC54" i="125"/>
  <c r="BI35" i="125"/>
  <c r="BF37" i="125"/>
  <c r="BE11" i="125"/>
  <c r="BD9" i="125"/>
  <c r="BA67" i="125"/>
  <c r="BA51" i="125"/>
  <c r="BD20" i="125"/>
  <c r="BH13" i="125"/>
  <c r="BG13" i="125"/>
  <c r="BG44" i="125"/>
  <c r="BA53" i="125"/>
  <c r="AZ56" i="125"/>
  <c r="AZ61" i="125"/>
  <c r="BB64" i="125"/>
  <c r="BH53" i="125"/>
  <c r="BI3" i="125"/>
  <c r="BF51" i="125"/>
  <c r="BG18" i="125"/>
  <c r="BK78" i="125"/>
  <c r="AZ18" i="125"/>
  <c r="BK34" i="125"/>
  <c r="AZ71" i="125"/>
  <c r="AZ70" i="125" s="1"/>
  <c r="BB25" i="125"/>
  <c r="BI18" i="125"/>
  <c r="BF45" i="125"/>
  <c r="BE28" i="125"/>
  <c r="BG55" i="125"/>
  <c r="BC46" i="125"/>
  <c r="BC57" i="125"/>
  <c r="BD37" i="125"/>
  <c r="BA28" i="125"/>
  <c r="BJ40" i="125"/>
  <c r="BD66" i="125"/>
  <c r="BK54" i="125"/>
  <c r="BD56" i="125"/>
  <c r="BF14" i="125"/>
  <c r="BK25" i="125"/>
  <c r="AZ28" i="125"/>
  <c r="BJ67" i="125"/>
  <c r="BI61" i="125"/>
  <c r="BK51" i="125"/>
  <c r="BD19" i="125"/>
  <c r="BD16" i="125"/>
  <c r="BA49" i="125"/>
  <c r="BD63" i="125"/>
  <c r="BA43" i="125"/>
  <c r="BC69" i="125"/>
  <c r="BC56" i="125"/>
  <c r="AZ17" i="125"/>
  <c r="BI14" i="125"/>
  <c r="BK55" i="125"/>
  <c r="BF59" i="125"/>
  <c r="BF21" i="125"/>
  <c r="BF69" i="125"/>
  <c r="BB49" i="125"/>
  <c r="BJ59" i="125"/>
  <c r="BH73" i="125"/>
  <c r="BH72" i="125" s="1"/>
  <c r="BE15" i="125"/>
  <c r="BD44" i="125"/>
  <c r="BF23" i="125"/>
  <c r="BI69" i="125"/>
  <c r="BI30" i="125"/>
  <c r="BH41" i="125"/>
  <c r="BH56" i="125"/>
  <c r="BH54" i="125"/>
  <c r="BB69" i="125"/>
  <c r="BG49" i="125"/>
  <c r="BI29" i="125"/>
  <c r="BC21" i="125"/>
  <c r="BE52" i="125"/>
  <c r="BE56" i="125"/>
  <c r="BA64" i="125"/>
  <c r="BE67" i="125"/>
  <c r="BI25" i="125"/>
  <c r="BE61" i="125"/>
  <c r="BK39" i="125"/>
  <c r="AZ39" i="125"/>
  <c r="BI40" i="125"/>
  <c r="BD67" i="125"/>
  <c r="BC27" i="125"/>
  <c r="BD18" i="125"/>
  <c r="BE36" i="125"/>
  <c r="BH15" i="125"/>
  <c r="BA13" i="125"/>
  <c r="BG57" i="125"/>
  <c r="BG26" i="125"/>
  <c r="BK17" i="125"/>
  <c r="BE54" i="125"/>
  <c r="BC51" i="125"/>
  <c r="BK59" i="125"/>
  <c r="AZ66" i="125"/>
  <c r="AZ73" i="125"/>
  <c r="AZ72" i="125" s="1"/>
  <c r="BG63" i="125"/>
  <c r="BK23" i="125"/>
  <c r="BE55" i="125"/>
  <c r="BG10" i="125"/>
  <c r="BC31" i="125"/>
  <c r="BK15" i="125"/>
  <c r="BK64" i="125"/>
  <c r="BE13" i="125"/>
  <c r="BC16" i="125"/>
  <c r="BE25" i="125"/>
  <c r="BI46" i="125"/>
  <c r="BI42" i="125"/>
  <c r="BG69" i="125"/>
  <c r="BB14" i="125"/>
  <c r="BG23" i="125"/>
  <c r="BH43" i="125"/>
  <c r="BD69" i="125"/>
  <c r="BC37" i="125"/>
  <c r="BG42" i="125"/>
  <c r="AZ26" i="125"/>
  <c r="BB58" i="125"/>
  <c r="BI52" i="125"/>
  <c r="BH17" i="125"/>
  <c r="BK11" i="125"/>
  <c r="AZ40" i="125"/>
  <c r="BK13" i="125"/>
  <c r="BH45" i="125"/>
  <c r="BF17" i="125"/>
  <c r="BE31" i="125"/>
  <c r="AZ63" i="125"/>
  <c r="BA42" i="125"/>
  <c r="BE30" i="125"/>
  <c r="BA17" i="125"/>
  <c r="AZ23" i="125"/>
  <c r="BA23" i="125"/>
  <c r="BF19" i="125"/>
  <c r="BA73" i="125"/>
  <c r="BA72" i="125" s="1"/>
  <c r="BG64" i="125"/>
  <c r="AZ27" i="125"/>
  <c r="BB41" i="125"/>
  <c r="BD55" i="125"/>
  <c r="BI10" i="125"/>
  <c r="BJ14" i="125"/>
  <c r="BJ20" i="125"/>
  <c r="BD13" i="125"/>
  <c r="BB32" i="125"/>
  <c r="BI41" i="125"/>
  <c r="AZ24" i="125"/>
  <c r="BI37" i="125"/>
  <c r="BC17" i="125"/>
  <c r="BK26" i="125"/>
  <c r="AZ57" i="125"/>
  <c r="BJ25" i="125"/>
  <c r="BE64" i="125"/>
  <c r="AZ11" i="125"/>
  <c r="BG46" i="125"/>
  <c r="BD49" i="125"/>
  <c r="BI71" i="125"/>
  <c r="BI70" i="125" s="1"/>
  <c r="BB42" i="125"/>
  <c r="BI15" i="125"/>
  <c r="BF71" i="125"/>
  <c r="BF70" i="125" s="1"/>
  <c r="BD73" i="125"/>
  <c r="BD72" i="125" s="1"/>
  <c r="BF63" i="125"/>
  <c r="BC48" i="125"/>
  <c r="BH64" i="125"/>
  <c r="BA46" i="125"/>
  <c r="BJ31" i="125"/>
  <c r="BJ26" i="125"/>
  <c r="BC52" i="125"/>
  <c r="BH31" i="125"/>
  <c r="BK35" i="125"/>
  <c r="BB28" i="125"/>
  <c r="BF49" i="125"/>
  <c r="BC64" i="125"/>
  <c r="BE42" i="125"/>
  <c r="BJ16" i="125"/>
  <c r="BE46" i="125"/>
  <c r="BH20" i="125"/>
  <c r="BJ43" i="125"/>
  <c r="BF38" i="125"/>
  <c r="BH71" i="125"/>
  <c r="BH70" i="125" s="1"/>
  <c r="BG28" i="125"/>
  <c r="BC61" i="125"/>
  <c r="BJ18" i="125"/>
  <c r="BB37" i="125"/>
  <c r="BH21" i="125"/>
  <c r="BF10" i="125"/>
  <c r="BK18" i="125"/>
  <c r="BD23" i="125"/>
  <c r="AZ30" i="125"/>
  <c r="BI19" i="125"/>
  <c r="BJ38" i="125"/>
  <c r="BA78" i="125"/>
  <c r="BB34" i="125"/>
  <c r="BE51" i="125"/>
  <c r="BI26" i="125"/>
  <c r="BG37" i="125"/>
  <c r="BK73" i="125"/>
  <c r="BK72" i="125" s="1"/>
  <c r="BE40" i="125"/>
  <c r="BC49" i="125"/>
  <c r="BE18" i="125"/>
  <c r="BD26" i="125"/>
  <c r="AZ19" i="125"/>
  <c r="BA37" i="125"/>
  <c r="BI9" i="125"/>
  <c r="BD40" i="125"/>
  <c r="BB67" i="125"/>
  <c r="BA63" i="125"/>
  <c r="AZ46" i="125"/>
  <c r="AZ15" i="125"/>
  <c r="BF24" i="125"/>
  <c r="BC67" i="125"/>
  <c r="BK19" i="125"/>
  <c r="BD57" i="125"/>
  <c r="BA58" i="125"/>
  <c r="BI38" i="125"/>
  <c r="BH4" i="125"/>
  <c r="BH32" i="125"/>
  <c r="BC39" i="125"/>
  <c r="BE38" i="125"/>
  <c r="BJ28" i="125"/>
  <c r="BF64" i="125"/>
  <c r="BB44" i="125"/>
  <c r="BB48" i="125"/>
  <c r="BK21" i="125"/>
  <c r="BE29" i="125"/>
  <c r="BE32" i="125"/>
  <c r="AZ38" i="125"/>
  <c r="BD29" i="125"/>
  <c r="BA39" i="125"/>
  <c r="BH19" i="125"/>
  <c r="BA69" i="125"/>
  <c r="BK16" i="125"/>
  <c r="BI13" i="125"/>
  <c r="BF58" i="125"/>
  <c r="BD21" i="125"/>
  <c r="BB26" i="125"/>
  <c r="AZ49" i="125"/>
  <c r="BH58" i="125"/>
  <c r="BF8" i="125"/>
  <c r="BI56" i="125"/>
  <c r="BI48" i="125"/>
  <c r="BJ23" i="125"/>
  <c r="BG71" i="125"/>
  <c r="BG70" i="125" s="1"/>
  <c r="BC45" i="125"/>
  <c r="AZ4" i="125"/>
  <c r="BE35" i="125"/>
  <c r="BD54" i="125"/>
  <c r="BH40" i="125"/>
  <c r="BK28" i="125"/>
  <c r="BH36" i="125"/>
  <c r="AZ41" i="125"/>
  <c r="BI49" i="125"/>
  <c r="BJ36" i="125"/>
  <c r="BI59" i="125"/>
  <c r="BA38" i="125"/>
  <c r="BF41" i="125"/>
  <c r="BG20" i="125"/>
  <c r="BB78" i="125"/>
  <c r="BG73" i="125"/>
  <c r="BG72" i="125" s="1"/>
  <c r="AZ35" i="125"/>
  <c r="BH37" i="125"/>
  <c r="BE66" i="125"/>
  <c r="BI17" i="125"/>
  <c r="BH61" i="125"/>
  <c r="AZ64" i="125"/>
  <c r="AZ36" i="125"/>
  <c r="BH52" i="125"/>
  <c r="AZ37" i="125"/>
  <c r="BF56" i="125"/>
  <c r="BI73" i="125"/>
  <c r="BI72" i="125" s="1"/>
  <c r="BF44" i="125"/>
  <c r="BH63" i="125"/>
  <c r="AZ42" i="125"/>
  <c r="BG38" i="125"/>
  <c r="BG53" i="125"/>
  <c r="BE48" i="125"/>
  <c r="BB59" i="125"/>
  <c r="BC15" i="125"/>
  <c r="BJ78" i="125"/>
  <c r="BA48" i="125"/>
  <c r="AZ59" i="125"/>
  <c r="BD24" i="125"/>
  <c r="BD42" i="125"/>
  <c r="BB19" i="125"/>
  <c r="AZ43" i="125"/>
  <c r="BA41" i="125"/>
  <c r="BA18" i="125"/>
  <c r="BB31" i="125"/>
  <c r="BH11" i="125"/>
  <c r="BJ64" i="125"/>
  <c r="AZ54" i="125"/>
  <c r="BB55" i="125"/>
  <c r="BC41" i="125"/>
  <c r="BG66" i="125"/>
  <c r="BD17" i="125"/>
  <c r="BJ56" i="125"/>
  <c r="BG15" i="125"/>
  <c r="BG51" i="125"/>
  <c r="BA16" i="125"/>
  <c r="AZ32" i="125"/>
  <c r="BB71" i="125"/>
  <c r="BB70" i="125" s="1"/>
  <c r="BJ8" i="125"/>
  <c r="BB8" i="125"/>
  <c r="BD4" i="125"/>
  <c r="BE3" i="125"/>
  <c r="BE4" i="125"/>
  <c r="BJ9" i="125"/>
  <c r="BH10" i="125"/>
  <c r="BJ30" i="125"/>
  <c r="BE49" i="125"/>
  <c r="BC59" i="125"/>
  <c r="BE24" i="125"/>
  <c r="BH59" i="125"/>
  <c r="BA26" i="125"/>
  <c r="BK52" i="125"/>
  <c r="BB63" i="125"/>
  <c r="BF54" i="125"/>
  <c r="BK38" i="125"/>
  <c r="BD36" i="125"/>
  <c r="BH24" i="125"/>
  <c r="BK48" i="125"/>
  <c r="BH42" i="125"/>
  <c r="BK27" i="125"/>
  <c r="BI57" i="125"/>
  <c r="BE19" i="125"/>
  <c r="BA31" i="125"/>
  <c r="BI31" i="125"/>
  <c r="BE69" i="125"/>
  <c r="BJ51" i="125"/>
  <c r="BH16" i="125"/>
  <c r="BF18" i="125"/>
  <c r="BD71" i="125"/>
  <c r="BD70" i="125" s="1"/>
  <c r="BF52" i="125"/>
  <c r="BF61" i="125"/>
  <c r="AZ51" i="125"/>
  <c r="BK42" i="125"/>
  <c r="BI16" i="125"/>
  <c r="BC32" i="125"/>
  <c r="BE78" i="125"/>
  <c r="BB46" i="125"/>
  <c r="BI66" i="125"/>
  <c r="BK24" i="125"/>
  <c r="BH44" i="125"/>
  <c r="BI78" i="125"/>
  <c r="BJ34" i="125"/>
  <c r="BH69" i="125"/>
  <c r="BA52" i="125"/>
  <c r="BJ66" i="125"/>
  <c r="BD28" i="125"/>
  <c r="BA36" i="125"/>
  <c r="BG39" i="125"/>
  <c r="BC42" i="125"/>
  <c r="BB15" i="125"/>
  <c r="BC58" i="125"/>
  <c r="BA61" i="125"/>
  <c r="BH27" i="125"/>
  <c r="BF53" i="125"/>
  <c r="BB56" i="125"/>
  <c r="BF11" i="125"/>
  <c r="BC53" i="125"/>
  <c r="BI54" i="125"/>
  <c r="BC30" i="125"/>
  <c r="BJ45" i="125"/>
  <c r="BA54" i="125"/>
  <c r="BF43" i="125"/>
  <c r="AZ14" i="125"/>
  <c r="BG52" i="125"/>
  <c r="BK61" i="125"/>
  <c r="BB53" i="125"/>
  <c r="BD46" i="125"/>
  <c r="BC40" i="125"/>
  <c r="BI63" i="125"/>
  <c r="BK43" i="125"/>
  <c r="BG32" i="125"/>
  <c r="BE41" i="125"/>
  <c r="BC44" i="125"/>
  <c r="BE53" i="125"/>
  <c r="BI51" i="125"/>
  <c r="BB17" i="125"/>
  <c r="BE59" i="125"/>
  <c r="BD11" i="125"/>
  <c r="BJ37" i="125"/>
  <c r="BB35" i="125"/>
  <c r="BC11" i="125"/>
  <c r="AZ25" i="125"/>
  <c r="AZ67" i="125"/>
  <c r="AZ20" i="125"/>
  <c r="BA59" i="125"/>
  <c r="BI53" i="125"/>
  <c r="BA9" i="125"/>
  <c r="BK67" i="125"/>
  <c r="BJ54" i="125"/>
  <c r="BF28" i="125"/>
  <c r="BH48" i="125"/>
  <c r="BD39" i="125"/>
  <c r="BD41" i="125"/>
  <c r="BH66" i="125"/>
  <c r="BD52" i="125"/>
  <c r="BB51" i="125"/>
  <c r="BF13" i="125"/>
  <c r="BD45" i="125"/>
  <c r="BJ42" i="125"/>
  <c r="BF67" i="125"/>
  <c r="BH55" i="125"/>
  <c r="BA15" i="125"/>
  <c r="BJ32" i="125"/>
  <c r="BH29" i="125"/>
  <c r="BA19" i="125"/>
  <c r="BG43" i="125"/>
  <c r="BK36" i="125"/>
  <c r="BI20" i="125"/>
  <c r="BG67" i="125"/>
  <c r="BH14" i="125"/>
  <c r="BH46" i="125"/>
  <c r="BF26" i="125"/>
  <c r="BD10" i="125"/>
  <c r="BB3" i="125"/>
  <c r="BD8" i="125"/>
  <c r="BB11" i="125"/>
  <c r="BE10" i="125"/>
  <c r="BH9" i="125"/>
  <c r="BG11" i="125"/>
  <c r="BD25" i="125"/>
  <c r="BI21" i="125"/>
  <c r="BK29" i="125"/>
  <c r="BK46" i="125"/>
  <c r="BI34" i="125"/>
  <c r="BJ21" i="125"/>
  <c r="BK30" i="125"/>
  <c r="BA35" i="125"/>
  <c r="BJ41" i="125"/>
  <c r="BA4" i="125"/>
  <c r="BJ3" i="125"/>
  <c r="BK8" i="125"/>
  <c r="BB13" i="125"/>
  <c r="BD3" i="125"/>
  <c r="BI11" i="125"/>
  <c r="BA11" i="125"/>
  <c r="BE34" i="125"/>
  <c r="BG41" i="125"/>
  <c r="BI64" i="125"/>
  <c r="BJ49" i="125"/>
  <c r="BJ61" i="125"/>
  <c r="BI43" i="125"/>
  <c r="BI23" i="125"/>
  <c r="BE27" i="125"/>
  <c r="BJ58" i="125"/>
  <c r="AZ3" i="125"/>
  <c r="BK9" i="125"/>
  <c r="BJ13" i="125"/>
  <c r="BI8" i="125"/>
  <c r="BK14" i="125"/>
  <c r="BH8" i="125"/>
  <c r="BF9" i="125"/>
  <c r="BG4" i="125"/>
  <c r="BH3" i="125"/>
  <c r="BG48" i="125"/>
  <c r="BE44" i="125"/>
  <c r="BB54" i="125"/>
  <c r="BK31" i="125"/>
  <c r="BI28" i="125"/>
  <c r="BA66" i="125"/>
  <c r="BC19" i="125"/>
  <c r="BG56" i="125"/>
  <c r="BG40" i="125"/>
  <c r="BJ69" i="125"/>
  <c r="AZ9" i="125"/>
  <c r="BG9" i="125"/>
  <c r="BC10" i="125"/>
  <c r="BE8" i="125"/>
  <c r="BF4" i="125"/>
  <c r="BG3" i="125"/>
  <c r="BF3" i="125"/>
  <c r="BE57" i="125"/>
  <c r="BJ15" i="125"/>
  <c r="BK69" i="125"/>
  <c r="BB38" i="125"/>
  <c r="BF30" i="125"/>
  <c r="BF31" i="125"/>
  <c r="BK71" i="125"/>
  <c r="BK70" i="125" s="1"/>
  <c r="BD14" i="125"/>
  <c r="BK20" i="125"/>
  <c r="BB4" i="125"/>
  <c r="BA3" i="125"/>
  <c r="BD32" i="125"/>
  <c r="BB40" i="125"/>
  <c r="BC36" i="125"/>
  <c r="BE58" i="125"/>
  <c r="BB9" i="125"/>
  <c r="BC8" i="125"/>
  <c r="BB57" i="125"/>
  <c r="BG21" i="125"/>
  <c r="BJ53" i="125"/>
  <c r="BH38" i="125"/>
  <c r="BC4" i="125"/>
  <c r="AZ8" i="125"/>
  <c r="BE16" i="125"/>
  <c r="BG59" i="125"/>
  <c r="BJ73" i="125"/>
  <c r="BJ72" i="125" s="1"/>
  <c r="BB73" i="125"/>
  <c r="BB72" i="125" s="1"/>
  <c r="AZ48" i="125"/>
  <c r="BK3" i="125"/>
  <c r="BK4" i="125"/>
  <c r="BJ63" i="125"/>
  <c r="BC13" i="125"/>
  <c r="BE39" i="125"/>
  <c r="BG17" i="125"/>
  <c r="BB27" i="125"/>
  <c r="BC14" i="125"/>
  <c r="BJ11" i="125"/>
  <c r="BJ4" i="125"/>
  <c r="BH26" i="125"/>
  <c r="BG27" i="125"/>
  <c r="BF55" i="125"/>
  <c r="BG31" i="125"/>
  <c r="BH78" i="125"/>
  <c r="BK10" i="125"/>
  <c r="BG8" i="125"/>
  <c r="BI4" i="125"/>
  <c r="BA55" i="125"/>
  <c r="BA14" i="125"/>
  <c r="AZ45" i="125"/>
  <c r="BC43" i="125"/>
  <c r="BA10" i="125"/>
  <c r="BC9" i="125"/>
  <c r="BD15" i="125"/>
  <c r="BF36" i="125"/>
  <c r="BC23" i="125"/>
  <c r="BK49" i="125"/>
  <c r="BK44" i="125"/>
  <c r="BB24" i="125"/>
  <c r="BA8" i="125"/>
  <c r="BC3" i="125"/>
  <c r="BB20" i="125"/>
  <c r="BH49" i="125"/>
  <c r="BJ71" i="125"/>
  <c r="BJ70" i="125" s="1"/>
  <c r="BC24" i="125"/>
  <c r="AZ31" i="125"/>
  <c r="F80" i="125"/>
  <c r="T17" i="125"/>
  <c r="BI4" i="475"/>
  <c r="AZ51" i="475"/>
  <c r="BF41" i="475"/>
  <c r="BD31" i="475"/>
  <c r="BA27" i="475"/>
  <c r="BC15" i="475"/>
  <c r="BE69" i="475"/>
  <c r="BI52" i="475"/>
  <c r="BF44" i="475"/>
  <c r="BH32" i="475"/>
  <c r="BG53" i="475"/>
  <c r="BB4" i="475"/>
  <c r="BJ38" i="475"/>
  <c r="BD30" i="475"/>
  <c r="BE19" i="475"/>
  <c r="BJ15" i="475"/>
  <c r="BD69" i="475"/>
  <c r="BH52" i="475"/>
  <c r="BJ41" i="475"/>
  <c r="BD35" i="475"/>
  <c r="AZ23" i="475"/>
  <c r="BE73" i="475"/>
  <c r="BE72" i="475" s="1"/>
  <c r="BC9" i="475"/>
  <c r="BB58" i="475"/>
  <c r="BJ45" i="475"/>
  <c r="BC37" i="475"/>
  <c r="AZ34" i="475"/>
  <c r="AZ21" i="475"/>
  <c r="BB13" i="475"/>
  <c r="BG59" i="475"/>
  <c r="BJ52" i="475"/>
  <c r="BB39" i="475"/>
  <c r="BE58" i="475"/>
  <c r="BF10" i="475"/>
  <c r="AZ44" i="475"/>
  <c r="BI36" i="475"/>
  <c r="BA26" i="475"/>
  <c r="BG21" i="475"/>
  <c r="BD10" i="475"/>
  <c r="BF59" i="475"/>
  <c r="AZ46" i="475"/>
  <c r="BJ40" i="475"/>
  <c r="BC29" i="475"/>
  <c r="BF73" i="475"/>
  <c r="BF72" i="475" s="1"/>
  <c r="AZ73" i="475"/>
  <c r="AZ72" i="475" s="1"/>
  <c r="AZ16" i="475"/>
  <c r="AZ3" i="475"/>
  <c r="BE53" i="475"/>
  <c r="BH78" i="475"/>
  <c r="BF39" i="475"/>
  <c r="BJ27" i="475"/>
  <c r="BH18" i="475"/>
  <c r="BJ73" i="475"/>
  <c r="BJ72" i="475" s="1"/>
  <c r="AZ58" i="475"/>
  <c r="BG44" i="475"/>
  <c r="BB69" i="475"/>
  <c r="BD20" i="475"/>
  <c r="BI10" i="475"/>
  <c r="BC63" i="475"/>
  <c r="BH48" i="475"/>
  <c r="BB43" i="475"/>
  <c r="BA34" i="475"/>
  <c r="BG24" i="475"/>
  <c r="BA18" i="475"/>
  <c r="BG69" i="475"/>
  <c r="BB52" i="475"/>
  <c r="BJ57" i="475"/>
  <c r="BG26" i="475"/>
  <c r="BA17" i="475"/>
  <c r="BH4" i="475"/>
  <c r="BJ54" i="475"/>
  <c r="BC49" i="475"/>
  <c r="AZ40" i="475"/>
  <c r="BI29" i="475"/>
  <c r="BG23" i="475"/>
  <c r="BB9" i="475"/>
  <c r="BK57" i="475"/>
  <c r="BE66" i="475"/>
  <c r="BH16" i="475"/>
  <c r="BH3" i="475"/>
  <c r="BI54" i="475"/>
  <c r="BA43" i="475"/>
  <c r="BG40" i="475"/>
  <c r="BA28" i="475"/>
  <c r="AZ19" i="475"/>
  <c r="BK11" i="475"/>
  <c r="BJ58" i="475"/>
  <c r="AZ45" i="475"/>
  <c r="BJ69" i="475"/>
  <c r="BE3" i="475"/>
  <c r="BA32" i="475"/>
  <c r="BC24" i="475"/>
  <c r="AZ14" i="475"/>
  <c r="BK64" i="475"/>
  <c r="BE57" i="475"/>
  <c r="BC43" i="475"/>
  <c r="BK35" i="475"/>
  <c r="BB29" i="475"/>
  <c r="BG17" i="475"/>
  <c r="BI66" i="475"/>
  <c r="BH73" i="475"/>
  <c r="BH72" i="475" s="1"/>
  <c r="BJ3" i="475"/>
  <c r="BB38" i="475"/>
  <c r="BE29" i="475"/>
  <c r="BE18" i="475"/>
  <c r="BB15" i="475"/>
  <c r="BI67" i="475"/>
  <c r="BD51" i="475"/>
  <c r="BB41" i="475"/>
  <c r="BK34" i="475"/>
  <c r="BK21" i="475"/>
  <c r="BF71" i="475"/>
  <c r="BF70" i="475" s="1"/>
  <c r="BF27" i="475"/>
  <c r="BI17" i="475"/>
  <c r="BD55" i="475"/>
  <c r="BC51" i="475"/>
  <c r="BH40" i="475"/>
  <c r="AZ30" i="475"/>
  <c r="AZ24" i="475"/>
  <c r="BJ9" i="475"/>
  <c r="BA58" i="475"/>
  <c r="AZ67" i="475"/>
  <c r="BD4" i="475"/>
  <c r="BG43" i="475"/>
  <c r="BA36" i="475"/>
  <c r="BJ25" i="475"/>
  <c r="BG20" i="475"/>
  <c r="BG9" i="475"/>
  <c r="BH58" i="475"/>
  <c r="BF45" i="475"/>
  <c r="BB40" i="475"/>
  <c r="BD28" i="475"/>
  <c r="BG71" i="475"/>
  <c r="BG70" i="475" s="1"/>
  <c r="BI32" i="475"/>
  <c r="BK24" i="475"/>
  <c r="BH14" i="475"/>
  <c r="AZ66" i="475"/>
  <c r="BG58" i="475"/>
  <c r="BK43" i="475"/>
  <c r="BE36" i="475"/>
  <c r="BJ29" i="475"/>
  <c r="BB18" i="475"/>
  <c r="BA67" i="475"/>
  <c r="BD46" i="475"/>
  <c r="BK15" i="475"/>
  <c r="BI18" i="475"/>
  <c r="BA59" i="475"/>
  <c r="BC39" i="475"/>
  <c r="BC31" i="475"/>
  <c r="BF20" i="475"/>
  <c r="BC16" i="475"/>
  <c r="BD73" i="475"/>
  <c r="BD72" i="475" s="1"/>
  <c r="AZ53" i="475"/>
  <c r="BB42" i="475"/>
  <c r="BF36" i="475"/>
  <c r="BH23" i="475"/>
  <c r="BF64" i="475"/>
  <c r="BI23" i="475"/>
  <c r="BG14" i="475"/>
  <c r="BJ71" i="475"/>
  <c r="BJ70" i="475" s="1"/>
  <c r="BB51" i="475"/>
  <c r="BK44" i="475"/>
  <c r="BJ35" i="475"/>
  <c r="BC27" i="475"/>
  <c r="BI19" i="475"/>
  <c r="BF54" i="475"/>
  <c r="BJ59" i="475"/>
  <c r="BA4" i="475"/>
  <c r="AZ36" i="475"/>
  <c r="AZ26" i="475"/>
  <c r="BB16" i="475"/>
  <c r="BC73" i="475"/>
  <c r="BC72" i="475" s="1"/>
  <c r="BJ61" i="475"/>
  <c r="BH46" i="475"/>
  <c r="AZ39" i="475"/>
  <c r="AZ31" i="475"/>
  <c r="BJ19" i="475"/>
  <c r="BJ66" i="475"/>
  <c r="BJ64" i="475"/>
  <c r="BH21" i="475"/>
  <c r="BG45" i="475"/>
  <c r="BF58" i="475"/>
  <c r="BH11" i="475"/>
  <c r="BH44" i="475"/>
  <c r="BB37" i="475"/>
  <c r="BI26" i="475"/>
  <c r="BD23" i="475"/>
  <c r="BA11" i="475"/>
  <c r="BA61" i="475"/>
  <c r="BI46" i="475"/>
  <c r="BC41" i="475"/>
  <c r="BK29" i="475"/>
  <c r="BF46" i="475"/>
  <c r="BD3" i="475"/>
  <c r="BD29" i="475"/>
  <c r="BD19" i="475"/>
  <c r="BE9" i="475"/>
  <c r="BD57" i="475"/>
  <c r="BH53" i="475"/>
  <c r="BI41" i="475"/>
  <c r="BG31" i="475"/>
  <c r="BF25" i="475"/>
  <c r="BD11" i="475"/>
  <c r="BK59" i="475"/>
  <c r="BC69" i="475"/>
  <c r="BK3" i="475"/>
  <c r="BD40" i="475"/>
  <c r="BB32" i="475"/>
  <c r="BC23" i="475"/>
  <c r="BC17" i="475"/>
  <c r="BC54" i="475"/>
  <c r="BC78" i="475"/>
  <c r="AZ38" i="475"/>
  <c r="BI24" i="475"/>
  <c r="BK66" i="475"/>
  <c r="BK9" i="475"/>
  <c r="BC32" i="475"/>
  <c r="BI34" i="475"/>
  <c r="BB53" i="475"/>
  <c r="BA8" i="475"/>
  <c r="BC52" i="475"/>
  <c r="BG78" i="475"/>
  <c r="BK32" i="475"/>
  <c r="AZ28" i="475"/>
  <c r="BD16" i="475"/>
  <c r="BI8" i="475"/>
  <c r="BJ53" i="475"/>
  <c r="BA46" i="475"/>
  <c r="BE35" i="475"/>
  <c r="BH54" i="475"/>
  <c r="BF3" i="475"/>
  <c r="BF35" i="475"/>
  <c r="BI25" i="475"/>
  <c r="BI15" i="475"/>
  <c r="BK71" i="475"/>
  <c r="BK70" i="475" s="1"/>
  <c r="AZ61" i="475"/>
  <c r="BE45" i="475"/>
  <c r="BG38" i="475"/>
  <c r="BI30" i="475"/>
  <c r="BB19" i="475"/>
  <c r="BB66" i="475"/>
  <c r="BE4" i="475"/>
  <c r="BI45" i="475"/>
  <c r="BC38" i="475"/>
  <c r="BH27" i="475"/>
  <c r="BC25" i="475"/>
  <c r="BA13" i="475"/>
  <c r="BH63" i="475"/>
  <c r="BK48" i="475"/>
  <c r="BC42" i="475"/>
  <c r="BJ30" i="475"/>
  <c r="AZ49" i="475"/>
  <c r="BD21" i="475"/>
  <c r="BK37" i="475"/>
  <c r="BI73" i="475"/>
  <c r="BI72" i="475" s="1"/>
  <c r="BC71" i="475"/>
  <c r="BC70" i="475" s="1"/>
  <c r="AZ10" i="475"/>
  <c r="BG61" i="475"/>
  <c r="BF48" i="475"/>
  <c r="BD38" i="475"/>
  <c r="BA35" i="475"/>
  <c r="BE23" i="475"/>
  <c r="BC14" i="475"/>
  <c r="BI63" i="475"/>
  <c r="BK53" i="475"/>
  <c r="BC40" i="475"/>
  <c r="BI59" i="475"/>
  <c r="AZ11" i="475"/>
  <c r="BK39" i="475"/>
  <c r="BK31" i="475"/>
  <c r="BF21" i="475"/>
  <c r="BK16" i="475"/>
  <c r="BJ4" i="475"/>
  <c r="BI53" i="475"/>
  <c r="BJ42" i="475"/>
  <c r="BG37" i="475"/>
  <c r="BA24" i="475"/>
  <c r="BC66" i="475"/>
  <c r="BG3" i="475"/>
  <c r="BG54" i="475"/>
  <c r="BH43" i="475"/>
  <c r="AZ35" i="475"/>
  <c r="BG29" i="475"/>
  <c r="BG18" i="475"/>
  <c r="BH9" i="475"/>
  <c r="BG55" i="475"/>
  <c r="BC48" i="475"/>
  <c r="AZ37" i="475"/>
  <c r="BI55" i="475"/>
  <c r="BF4" i="475"/>
  <c r="BB55" i="475"/>
  <c r="BA44" i="475"/>
  <c r="BH35" i="475"/>
  <c r="BF30" i="475"/>
  <c r="BG19" i="475"/>
  <c r="BE10" i="475"/>
  <c r="BI56" i="475"/>
  <c r="BF49" i="475"/>
  <c r="BH37" i="475"/>
  <c r="BE56" i="475"/>
  <c r="BI51" i="475"/>
  <c r="BB49" i="475"/>
  <c r="BJ13" i="475"/>
  <c r="BD34" i="475"/>
  <c r="AZ17" i="475"/>
  <c r="BG4" i="475"/>
  <c r="BC55" i="475"/>
  <c r="BI43" i="475"/>
  <c r="AZ41" i="475"/>
  <c r="BI28" i="475"/>
  <c r="BH19" i="475"/>
  <c r="BC13" i="475"/>
  <c r="BH59" i="475"/>
  <c r="BH45" i="475"/>
  <c r="AZ71" i="475"/>
  <c r="AZ70" i="475" s="1"/>
  <c r="BB3" i="475"/>
  <c r="BA45" i="475"/>
  <c r="BJ37" i="475"/>
  <c r="AZ27" i="475"/>
  <c r="BE24" i="475"/>
  <c r="BI11" i="475"/>
  <c r="BK61" i="475"/>
  <c r="BB48" i="475"/>
  <c r="BK41" i="475"/>
  <c r="BB30" i="475"/>
  <c r="BG48" i="475"/>
  <c r="BE11" i="475"/>
  <c r="BI64" i="475"/>
  <c r="BJ49" i="475"/>
  <c r="BF40" i="475"/>
  <c r="BC36" i="475"/>
  <c r="BD25" i="475"/>
  <c r="BD15" i="475"/>
  <c r="BG66" i="475"/>
  <c r="BH55" i="475"/>
  <c r="BD41" i="475"/>
  <c r="BF63" i="475"/>
  <c r="AZ59" i="475"/>
  <c r="BI27" i="475"/>
  <c r="BE25" i="475"/>
  <c r="BJ39" i="475"/>
  <c r="BA23" i="475"/>
  <c r="BF13" i="475"/>
  <c r="BC67" i="475"/>
  <c r="BK49" i="475"/>
  <c r="BC44" i="475"/>
  <c r="BB35" i="475"/>
  <c r="BD26" i="475"/>
  <c r="BA19" i="475"/>
  <c r="BK73" i="475"/>
  <c r="BK72" i="475" s="1"/>
  <c r="BC53" i="475"/>
  <c r="BB59" i="475"/>
  <c r="BF9" i="475"/>
  <c r="BD53" i="475"/>
  <c r="AZ43" i="475"/>
  <c r="BG34" i="475"/>
  <c r="BH28" i="475"/>
  <c r="BD17" i="475"/>
  <c r="AZ9" i="475"/>
  <c r="BD54" i="475"/>
  <c r="BJ46" i="475"/>
  <c r="BG36" i="475"/>
  <c r="BA55" i="475"/>
  <c r="BC18" i="475"/>
  <c r="BE8" i="475"/>
  <c r="BC57" i="475"/>
  <c r="BJ44" i="475"/>
  <c r="AZ42" i="475"/>
  <c r="BH29" i="475"/>
  <c r="BI20" i="475"/>
  <c r="BD14" i="475"/>
  <c r="AZ63" i="475"/>
  <c r="BK46" i="475"/>
  <c r="BG73" i="475"/>
  <c r="BG72" i="475" s="1"/>
  <c r="BF11" i="475"/>
  <c r="BH34" i="475"/>
  <c r="BA53" i="475"/>
  <c r="BK52" i="475"/>
  <c r="BE28" i="475"/>
  <c r="BD18" i="475"/>
  <c r="BF8" i="475"/>
  <c r="BD56" i="475"/>
  <c r="BF52" i="475"/>
  <c r="BA41" i="475"/>
  <c r="BH30" i="475"/>
  <c r="BH24" i="475"/>
  <c r="BG10" i="475"/>
  <c r="BK58" i="475"/>
  <c r="BH67" i="475"/>
  <c r="BH10" i="475"/>
  <c r="BB63" i="475"/>
  <c r="BA49" i="475"/>
  <c r="BE39" i="475"/>
  <c r="BI35" i="475"/>
  <c r="BF24" i="475"/>
  <c r="BK14" i="475"/>
  <c r="BC64" i="475"/>
  <c r="BE54" i="475"/>
  <c r="BK40" i="475"/>
  <c r="BD61" i="475"/>
  <c r="BB24" i="475"/>
  <c r="AZ15" i="475"/>
  <c r="BB73" i="475"/>
  <c r="BB72" i="475" s="1"/>
  <c r="BK51" i="475"/>
  <c r="BD45" i="475"/>
  <c r="BD36" i="475"/>
  <c r="BK27" i="475"/>
  <c r="BB20" i="475"/>
  <c r="AZ55" i="475"/>
  <c r="BE61" i="475"/>
  <c r="BF42" i="475"/>
  <c r="BJ43" i="475"/>
  <c r="BB61" i="475"/>
  <c r="AZ54" i="475"/>
  <c r="BG8" i="475"/>
  <c r="BE34" i="475"/>
  <c r="BA25" i="475"/>
  <c r="BA15" i="475"/>
  <c r="BD67" i="475"/>
  <c r="BE59" i="475"/>
  <c r="BD44" i="475"/>
  <c r="BF37" i="475"/>
  <c r="BA30" i="475"/>
  <c r="BJ18" i="475"/>
  <c r="BD71" i="475"/>
  <c r="BD70" i="475" s="1"/>
  <c r="BH17" i="475"/>
  <c r="BC56" i="475"/>
  <c r="BB44" i="475"/>
  <c r="BH41" i="475"/>
  <c r="AZ29" i="475"/>
  <c r="BA20" i="475"/>
  <c r="BK13" i="475"/>
  <c r="BC61" i="475"/>
  <c r="BB46" i="475"/>
  <c r="BH71" i="475"/>
  <c r="BH70" i="475" s="1"/>
  <c r="BK4" i="475"/>
  <c r="BC30" i="475"/>
  <c r="BE20" i="475"/>
  <c r="BB10" i="475"/>
  <c r="BD58" i="475"/>
  <c r="BB54" i="475"/>
  <c r="BA42" i="475"/>
  <c r="BF32" i="475"/>
  <c r="BE26" i="475"/>
  <c r="BD13" i="475"/>
  <c r="BF61" i="475"/>
  <c r="BK69" i="475"/>
  <c r="BE13" i="475"/>
  <c r="BD9" i="475"/>
  <c r="BA3" i="475"/>
  <c r="BD59" i="475"/>
  <c r="BE63" i="475"/>
  <c r="BF55" i="475"/>
  <c r="BE49" i="475"/>
  <c r="AZ56" i="475"/>
  <c r="BD48" i="475"/>
  <c r="BG63" i="475"/>
  <c r="BK10" i="475"/>
  <c r="BE48" i="475"/>
  <c r="BI44" i="475"/>
  <c r="BB36" i="475"/>
  <c r="BE31" i="475"/>
  <c r="AZ20" i="475"/>
  <c r="BB11" i="475"/>
  <c r="BG57" i="475"/>
  <c r="BG51" i="475"/>
  <c r="BA38" i="475"/>
  <c r="BA57" i="475"/>
  <c r="BK18" i="475"/>
  <c r="BH15" i="475"/>
  <c r="BJ10" i="475"/>
  <c r="BH13" i="475"/>
  <c r="BB64" i="475"/>
  <c r="BK67" i="475"/>
  <c r="BJ63" i="475"/>
  <c r="BK55" i="475"/>
  <c r="BA71" i="475"/>
  <c r="BA70" i="475" s="1"/>
  <c r="BJ24" i="475"/>
  <c r="BE21" i="475"/>
  <c r="BJ16" i="475"/>
  <c r="BK17" i="475"/>
  <c r="BI13" i="475"/>
  <c r="BE16" i="475"/>
  <c r="BE15" i="475"/>
  <c r="BC8" i="475"/>
  <c r="BA63" i="475"/>
  <c r="BK30" i="475"/>
  <c r="BH26" i="475"/>
  <c r="BK23" i="475"/>
  <c r="BK25" i="475"/>
  <c r="BC26" i="475"/>
  <c r="BA21" i="475"/>
  <c r="BJ20" i="475"/>
  <c r="BE14" i="475"/>
  <c r="BE67" i="475"/>
  <c r="BE41" i="475"/>
  <c r="BK38" i="475"/>
  <c r="BG41" i="475"/>
  <c r="BH42" i="475"/>
  <c r="BE37" i="475"/>
  <c r="BB34" i="475"/>
  <c r="BH31" i="475"/>
  <c r="BG25" i="475"/>
  <c r="BH49" i="475"/>
  <c r="BC4" i="475"/>
  <c r="BC46" i="475"/>
  <c r="BA51" i="475"/>
  <c r="BC45" i="475"/>
  <c r="BG46" i="475"/>
  <c r="BI42" i="475"/>
  <c r="BH39" i="475"/>
  <c r="BH38" i="475"/>
  <c r="BA31" i="475"/>
  <c r="BG64" i="475"/>
  <c r="BJ8" i="475"/>
  <c r="BA37" i="475"/>
  <c r="BF34" i="475"/>
  <c r="BD24" i="475"/>
  <c r="BF18" i="475"/>
  <c r="AZ8" i="475"/>
  <c r="BH56" i="475"/>
  <c r="BD43" i="475"/>
  <c r="BA39" i="475"/>
  <c r="BF26" i="475"/>
  <c r="BA69" i="475"/>
  <c r="BB67" i="475"/>
  <c r="BA48" i="475"/>
  <c r="BJ55" i="475"/>
  <c r="BJ32" i="475"/>
  <c r="BB28" i="475"/>
  <c r="AZ25" i="475"/>
  <c r="BD39" i="475"/>
  <c r="BK45" i="475"/>
  <c r="BE55" i="475"/>
  <c r="BF66" i="475"/>
  <c r="BF16" i="475"/>
  <c r="BF15" i="475"/>
  <c r="BE51" i="475"/>
  <c r="BC58" i="475"/>
  <c r="BK78" i="475"/>
  <c r="BB31" i="475"/>
  <c r="BJ51" i="475"/>
  <c r="BF53" i="475"/>
  <c r="BA64" i="475"/>
  <c r="BE17" i="475"/>
  <c r="BB21" i="475"/>
  <c r="BK20" i="475"/>
  <c r="BD66" i="475"/>
  <c r="BG28" i="475"/>
  <c r="BD27" i="475"/>
  <c r="BE42" i="475"/>
  <c r="BC59" i="475"/>
  <c r="BI61" i="475"/>
  <c r="BB14" i="475"/>
  <c r="BI21" i="475"/>
  <c r="BC28" i="475"/>
  <c r="BI31" i="475"/>
  <c r="BF56" i="475"/>
  <c r="BE52" i="475"/>
  <c r="BK42" i="475"/>
  <c r="BB8" i="475"/>
  <c r="BB56" i="475"/>
  <c r="BI3" i="475"/>
  <c r="BA14" i="475"/>
  <c r="BK26" i="475"/>
  <c r="BJ28" i="475"/>
  <c r="BG32" i="475"/>
  <c r="BE78" i="475"/>
  <c r="AZ64" i="475"/>
  <c r="BK36" i="475"/>
  <c r="BC20" i="475"/>
  <c r="BC10" i="475"/>
  <c r="BE71" i="475"/>
  <c r="BE70" i="475" s="1"/>
  <c r="BG11" i="475"/>
  <c r="BB26" i="475"/>
  <c r="BF31" i="475"/>
  <c r="BJ34" i="475"/>
  <c r="BD78" i="475"/>
  <c r="BG49" i="475"/>
  <c r="BI71" i="475"/>
  <c r="BI70" i="475" s="1"/>
  <c r="BA9" i="475"/>
  <c r="BK54" i="475"/>
  <c r="BD42" i="475"/>
  <c r="BA16" i="475"/>
  <c r="BB17" i="475"/>
  <c r="BD37" i="475"/>
  <c r="BF38" i="475"/>
  <c r="BA40" i="475"/>
  <c r="BJ56" i="475"/>
  <c r="BA56" i="475"/>
  <c r="BH36" i="475"/>
  <c r="BG30" i="475"/>
  <c r="BF67" i="475"/>
  <c r="BF14" i="475"/>
  <c r="BB23" i="475"/>
  <c r="BF29" i="475"/>
  <c r="BA78" i="475"/>
  <c r="BB78" i="475"/>
  <c r="BF51" i="475"/>
  <c r="BD64" i="475"/>
  <c r="BK63" i="475"/>
  <c r="BC3" i="475"/>
  <c r="BI49" i="475"/>
  <c r="BE40" i="475"/>
  <c r="BE30" i="475"/>
  <c r="BJ26" i="475"/>
  <c r="BJ14" i="475"/>
  <c r="BJ67" i="475"/>
  <c r="AZ52" i="475"/>
  <c r="BE43" i="475"/>
  <c r="AZ32" i="475"/>
  <c r="BG52" i="475"/>
  <c r="BF69" i="475"/>
  <c r="BK19" i="475"/>
  <c r="BI16" i="475"/>
  <c r="BG13" i="475"/>
  <c r="BI14" i="475"/>
  <c r="BH8" i="475"/>
  <c r="BJ11" i="475"/>
  <c r="BB71" i="475"/>
  <c r="BB70" i="475" s="1"/>
  <c r="BH66" i="475"/>
  <c r="BK56" i="475"/>
  <c r="BK8" i="475"/>
  <c r="BH25" i="475"/>
  <c r="BJ23" i="475"/>
  <c r="BJ17" i="475"/>
  <c r="BF19" i="475"/>
  <c r="BH20" i="475"/>
  <c r="AZ18" i="475"/>
  <c r="BF17" i="475"/>
  <c r="BE64" i="475"/>
  <c r="BE32" i="475"/>
  <c r="BC21" i="475"/>
  <c r="BI40" i="475"/>
  <c r="BG15" i="475"/>
  <c r="BH57" i="475"/>
  <c r="AZ69" i="475"/>
  <c r="BJ31" i="475"/>
  <c r="BF28" i="475"/>
  <c r="BB25" i="475"/>
  <c r="BD32" i="475"/>
  <c r="BB27" i="475"/>
  <c r="BF23" i="475"/>
  <c r="BJ21" i="475"/>
  <c r="BG16" i="475"/>
  <c r="BH69" i="475"/>
  <c r="BE38" i="475"/>
  <c r="BK28" i="475"/>
  <c r="BJ78" i="475"/>
  <c r="BI58" i="475"/>
  <c r="BC19" i="475"/>
  <c r="BI9" i="475"/>
  <c r="BI37" i="475"/>
  <c r="BG35" i="475"/>
  <c r="BJ36" i="475"/>
  <c r="BA29" i="475"/>
  <c r="BI69" i="475"/>
  <c r="BG67" i="475"/>
  <c r="BF57" i="475"/>
  <c r="BG27" i="475"/>
  <c r="AZ13" i="475"/>
  <c r="BF78" i="475"/>
  <c r="BB45" i="475"/>
  <c r="AZ78" i="475"/>
  <c r="BI78" i="475"/>
  <c r="BG39" i="475"/>
  <c r="BC35" i="475"/>
  <c r="BC34" i="475"/>
  <c r="BE27" i="475"/>
  <c r="BI57" i="475"/>
  <c r="BC11" i="475"/>
  <c r="BD52" i="475"/>
  <c r="BI48" i="475"/>
  <c r="BI38" i="475"/>
  <c r="BD63" i="475"/>
  <c r="BG42" i="475"/>
  <c r="AZ57" i="475"/>
  <c r="BE46" i="475"/>
  <c r="BI39" i="475"/>
  <c r="BA10" i="475"/>
  <c r="BH51" i="475"/>
  <c r="AZ48" i="475"/>
  <c r="BD8" i="475"/>
  <c r="BA73" i="475"/>
  <c r="BA72" i="475" s="1"/>
  <c r="BH61" i="475"/>
  <c r="BA54" i="475"/>
  <c r="BG56" i="475"/>
  <c r="BD49" i="475"/>
  <c r="BE44" i="475"/>
  <c r="BA52" i="475"/>
  <c r="BF43" i="475"/>
  <c r="BB57" i="475"/>
  <c r="BA66" i="475"/>
  <c r="BJ48" i="475"/>
  <c r="AZ4" i="475"/>
  <c r="BH64" i="475"/>
  <c r="W19" i="104"/>
  <c r="BI2" i="104"/>
  <c r="BD68" i="104"/>
  <c r="BI68" i="104"/>
  <c r="BJ2" i="104"/>
  <c r="BF2" i="104"/>
  <c r="BI65" i="104"/>
  <c r="BG2" i="104"/>
  <c r="BG60" i="104"/>
  <c r="AZ2" i="104"/>
  <c r="BB60" i="104"/>
  <c r="BB65" i="104"/>
  <c r="BH68" i="104"/>
  <c r="BG65" i="104"/>
  <c r="BF68" i="104"/>
  <c r="BH2" i="104"/>
  <c r="AZ60" i="104"/>
  <c r="BA68" i="104"/>
  <c r="BA65" i="104"/>
  <c r="BE2" i="104"/>
  <c r="BB68" i="104"/>
  <c r="BE65" i="104"/>
  <c r="BF60" i="104"/>
  <c r="BC68" i="104"/>
  <c r="BI60" i="104"/>
  <c r="BC65" i="104"/>
  <c r="BJ68" i="104"/>
  <c r="BD60" i="104"/>
  <c r="BK65" i="104"/>
  <c r="BB2" i="104"/>
  <c r="BA12" i="104"/>
  <c r="BA60" i="104"/>
  <c r="BK50" i="104"/>
  <c r="BD65" i="104"/>
  <c r="BK60" i="104"/>
  <c r="BC60" i="104"/>
  <c r="BJ60" i="104"/>
  <c r="BB50" i="104"/>
  <c r="BK12" i="104"/>
  <c r="AZ68" i="104"/>
  <c r="BC2" i="104"/>
  <c r="BJ22" i="104"/>
  <c r="BH65" i="104"/>
  <c r="BE50" i="104"/>
  <c r="BF50" i="104"/>
  <c r="BB12" i="104"/>
  <c r="BK2" i="104"/>
  <c r="BC12" i="104"/>
  <c r="BI12" i="104"/>
  <c r="BD22" i="104"/>
  <c r="BC50" i="104"/>
  <c r="BH60" i="104"/>
  <c r="BD50" i="104"/>
  <c r="BF12" i="104"/>
  <c r="BA22" i="104"/>
  <c r="BD33" i="104"/>
  <c r="BK22" i="104"/>
  <c r="BK68" i="104"/>
  <c r="BE22" i="104"/>
  <c r="AZ65" i="104"/>
  <c r="AZ22" i="104"/>
  <c r="AZ50" i="104"/>
  <c r="BG68" i="104"/>
  <c r="BB33" i="104"/>
  <c r="BI33" i="104"/>
  <c r="BF65" i="104"/>
  <c r="AZ12" i="104"/>
  <c r="BA50" i="104"/>
  <c r="BA33" i="104"/>
  <c r="BE12" i="104"/>
  <c r="BC33" i="104"/>
  <c r="BI22" i="104"/>
  <c r="BH12" i="104"/>
  <c r="BJ65" i="104"/>
  <c r="BF22" i="104"/>
  <c r="BB22" i="104"/>
  <c r="BG50" i="104"/>
  <c r="BI50" i="104"/>
  <c r="BF33" i="104"/>
  <c r="BH22" i="104"/>
  <c r="BD12" i="104"/>
  <c r="BG12" i="104"/>
  <c r="BC22" i="104"/>
  <c r="BK33" i="104"/>
  <c r="BE68" i="104"/>
  <c r="AZ33" i="104"/>
  <c r="BJ12" i="104"/>
  <c r="BJ50" i="104"/>
  <c r="BH50" i="104"/>
  <c r="BE60" i="104"/>
  <c r="BE33" i="104"/>
  <c r="BH33" i="104"/>
  <c r="BG33" i="104"/>
  <c r="BJ33" i="104"/>
  <c r="BG22" i="104"/>
  <c r="A11" i="54"/>
  <c r="A10" i="418"/>
  <c r="E11" i="749" l="1"/>
  <c r="F11" i="749" s="1"/>
  <c r="F46" i="680"/>
  <c r="E46" i="680"/>
  <c r="D6" i="680"/>
  <c r="D43" i="680"/>
  <c r="D42" i="680" s="1"/>
  <c r="H20" i="676"/>
  <c r="H14" i="676"/>
  <c r="H22" i="676"/>
  <c r="J24" i="753"/>
  <c r="N23" i="753"/>
  <c r="B83" i="755"/>
  <c r="G13" i="680"/>
  <c r="E9" i="749"/>
  <c r="F9" i="749" s="1"/>
  <c r="D10" i="749"/>
  <c r="E10" i="749" s="1"/>
  <c r="E12" i="749"/>
  <c r="G33" i="680"/>
  <c r="G25" i="680"/>
  <c r="G27" i="680"/>
  <c r="G47" i="680" s="1"/>
  <c r="G11" i="680"/>
  <c r="E23" i="680"/>
  <c r="G8" i="680"/>
  <c r="G29" i="680"/>
  <c r="G48" i="680" s="1"/>
  <c r="C64" i="683"/>
  <c r="G24" i="680"/>
  <c r="D38" i="680"/>
  <c r="E6" i="679"/>
  <c r="G33" i="674"/>
  <c r="F23" i="680"/>
  <c r="BI5" i="472"/>
  <c r="BJ5" i="472"/>
  <c r="BA5" i="472"/>
  <c r="BG5" i="472"/>
  <c r="BD5" i="472"/>
  <c r="BH5" i="472"/>
  <c r="BC5" i="472"/>
  <c r="BF5" i="472"/>
  <c r="BK5" i="119"/>
  <c r="BE5" i="472"/>
  <c r="BB5" i="472"/>
  <c r="BA5" i="119"/>
  <c r="BG5" i="119"/>
  <c r="BF5" i="119"/>
  <c r="AZ5" i="472"/>
  <c r="AZ5" i="119"/>
  <c r="BH5" i="119"/>
  <c r="BK5" i="472"/>
  <c r="BD5" i="116"/>
  <c r="BJ5" i="119"/>
  <c r="BI5" i="119"/>
  <c r="BJ6" i="475"/>
  <c r="BE6" i="125"/>
  <c r="BD6" i="475"/>
  <c r="BC6" i="125"/>
  <c r="BF6" i="475"/>
  <c r="BB6" i="475"/>
  <c r="BI6" i="125"/>
  <c r="BA6" i="475"/>
  <c r="AZ6" i="475"/>
  <c r="BG6" i="125"/>
  <c r="BF6" i="125"/>
  <c r="AZ5" i="120"/>
  <c r="BK6" i="475"/>
  <c r="BG6" i="475"/>
  <c r="BK6" i="125"/>
  <c r="BD6" i="125"/>
  <c r="BE6" i="475"/>
  <c r="BI6" i="475"/>
  <c r="BB6" i="125"/>
  <c r="BA6" i="125"/>
  <c r="BC6" i="475"/>
  <c r="BJ6" i="125"/>
  <c r="AZ6" i="125"/>
  <c r="BD5" i="119"/>
  <c r="BH6" i="475"/>
  <c r="BH6" i="125"/>
  <c r="BJ5" i="103"/>
  <c r="BB5" i="119"/>
  <c r="BH5" i="111"/>
  <c r="BE5" i="100"/>
  <c r="BF5" i="106"/>
  <c r="BH5" i="114"/>
  <c r="BF5" i="124"/>
  <c r="BB5" i="122"/>
  <c r="BG5" i="104"/>
  <c r="AZ5" i="104"/>
  <c r="BF5" i="104"/>
  <c r="BA5" i="122"/>
  <c r="BC5" i="100"/>
  <c r="BK5" i="117"/>
  <c r="BF5" i="117"/>
  <c r="BB5" i="117"/>
  <c r="BK5" i="100"/>
  <c r="BJ5" i="124"/>
  <c r="BA5" i="108"/>
  <c r="BH5" i="120"/>
  <c r="BB5" i="112"/>
  <c r="BK5" i="124"/>
  <c r="BD5" i="123"/>
  <c r="BE5" i="123"/>
  <c r="BD5" i="107"/>
  <c r="BI5" i="124"/>
  <c r="BJ5" i="123"/>
  <c r="BH5" i="101"/>
  <c r="BE5" i="110"/>
  <c r="BC5" i="106"/>
  <c r="BC5" i="110"/>
  <c r="BB5" i="106"/>
  <c r="BF5" i="121"/>
  <c r="BC5" i="111"/>
  <c r="BB5" i="118"/>
  <c r="BK5" i="107"/>
  <c r="BD5" i="103"/>
  <c r="BE5" i="119"/>
  <c r="BC5" i="120"/>
  <c r="BC5" i="104"/>
  <c r="BI5" i="114"/>
  <c r="BC5" i="114"/>
  <c r="BF5" i="122"/>
  <c r="BG5" i="121"/>
  <c r="BI5" i="117"/>
  <c r="BD5" i="112"/>
  <c r="BI5" i="102"/>
  <c r="BG5" i="108"/>
  <c r="BE5" i="108"/>
  <c r="BB5" i="120"/>
  <c r="BA5" i="120"/>
  <c r="BK5" i="112"/>
  <c r="BI5" i="100"/>
  <c r="BA5" i="121"/>
  <c r="AZ5" i="108"/>
  <c r="BE5" i="107"/>
  <c r="BI5" i="123"/>
  <c r="BA5" i="124"/>
  <c r="AZ5" i="107"/>
  <c r="BI5" i="111"/>
  <c r="BC5" i="101"/>
  <c r="BF5" i="103"/>
  <c r="BF5" i="101"/>
  <c r="BD5" i="118"/>
  <c r="BK5" i="105"/>
  <c r="BB5" i="116"/>
  <c r="BE5" i="104"/>
  <c r="BK5" i="104"/>
  <c r="BA5" i="104"/>
  <c r="BK5" i="122"/>
  <c r="BB5" i="100"/>
  <c r="AZ5" i="100"/>
  <c r="BE5" i="121"/>
  <c r="BC5" i="112"/>
  <c r="BD5" i="120"/>
  <c r="BB5" i="124"/>
  <c r="BC5" i="124"/>
  <c r="BF5" i="102"/>
  <c r="BC5" i="108"/>
  <c r="BG5" i="118"/>
  <c r="BD5" i="124"/>
  <c r="BK5" i="108"/>
  <c r="BG5" i="111"/>
  <c r="BJ5" i="111"/>
  <c r="BC5" i="103"/>
  <c r="BJ5" i="107"/>
  <c r="BJ5" i="110"/>
  <c r="BB5" i="111"/>
  <c r="BA5" i="103"/>
  <c r="BE5" i="105"/>
  <c r="BK5" i="102"/>
  <c r="AZ5" i="118"/>
  <c r="BG5" i="106"/>
  <c r="BI5" i="110"/>
  <c r="BH5" i="116"/>
  <c r="BH5" i="106"/>
  <c r="BD5" i="105"/>
  <c r="BA5" i="116"/>
  <c r="BJ5" i="121"/>
  <c r="BA5" i="102"/>
  <c r="BK5" i="106"/>
  <c r="BB5" i="105"/>
  <c r="BK5" i="114"/>
  <c r="BH5" i="117"/>
  <c r="BJ5" i="122"/>
  <c r="BD5" i="117"/>
  <c r="BC5" i="117"/>
  <c r="BE5" i="102"/>
  <c r="BB5" i="121"/>
  <c r="BH5" i="112"/>
  <c r="BF5" i="118"/>
  <c r="BJ5" i="108"/>
  <c r="BG5" i="120"/>
  <c r="BE5" i="120"/>
  <c r="BJ5" i="112"/>
  <c r="BH5" i="107"/>
  <c r="BJ5" i="120"/>
  <c r="BG5" i="124"/>
  <c r="BJ5" i="101"/>
  <c r="BK5" i="110"/>
  <c r="BC5" i="118"/>
  <c r="BB5" i="101"/>
  <c r="AZ5" i="111"/>
  <c r="BB5" i="102"/>
  <c r="AZ5" i="105"/>
  <c r="BB5" i="104"/>
  <c r="BH5" i="104"/>
  <c r="BG5" i="122"/>
  <c r="BH5" i="121"/>
  <c r="BD5" i="100"/>
  <c r="BA5" i="100"/>
  <c r="BE5" i="117"/>
  <c r="BD5" i="122"/>
  <c r="BH5" i="122"/>
  <c r="BG5" i="100"/>
  <c r="BI5" i="122"/>
  <c r="BI5" i="121"/>
  <c r="BH5" i="100"/>
  <c r="BG5" i="112"/>
  <c r="BC5" i="115"/>
  <c r="BB5" i="115"/>
  <c r="BC5" i="102"/>
  <c r="AZ5" i="115"/>
  <c r="BF5" i="120"/>
  <c r="BD5" i="115"/>
  <c r="AZ5" i="124"/>
  <c r="BK5" i="111"/>
  <c r="AZ5" i="123"/>
  <c r="BH5" i="123"/>
  <c r="BH5" i="108"/>
  <c r="BK5" i="120"/>
  <c r="AZ5" i="103"/>
  <c r="BF5" i="110"/>
  <c r="BA5" i="118"/>
  <c r="BC5" i="105"/>
  <c r="BG5" i="105"/>
  <c r="BG5" i="107"/>
  <c r="BK5" i="101"/>
  <c r="BD5" i="101"/>
  <c r="AZ5" i="116"/>
  <c r="BB5" i="110"/>
  <c r="BF5" i="105"/>
  <c r="BI5" i="106"/>
  <c r="BA5" i="106"/>
  <c r="BE5" i="106"/>
  <c r="BD5" i="114"/>
  <c r="BE5" i="114"/>
  <c r="BC5" i="121"/>
  <c r="BK5" i="118"/>
  <c r="BK5" i="115"/>
  <c r="BH5" i="115"/>
  <c r="BH5" i="124"/>
  <c r="BI5" i="115"/>
  <c r="BF5" i="107"/>
  <c r="AZ5" i="112"/>
  <c r="BG5" i="115"/>
  <c r="BA5" i="123"/>
  <c r="BD5" i="108"/>
  <c r="BI5" i="118"/>
  <c r="BE5" i="118"/>
  <c r="BD5" i="111"/>
  <c r="BE5" i="101"/>
  <c r="BI5" i="105"/>
  <c r="BJ5" i="118"/>
  <c r="BI5" i="103"/>
  <c r="BF5" i="123"/>
  <c r="BC5" i="116"/>
  <c r="BI5" i="101"/>
  <c r="BB5" i="123"/>
  <c r="BA5" i="107"/>
  <c r="BA5" i="110"/>
  <c r="BJ5" i="106"/>
  <c r="BH5" i="105"/>
  <c r="BE5" i="103"/>
  <c r="BE5" i="116"/>
  <c r="BJ5" i="102"/>
  <c r="BI5" i="116"/>
  <c r="BD5" i="104"/>
  <c r="BJ5" i="104"/>
  <c r="BB5" i="114"/>
  <c r="BF5" i="114"/>
  <c r="AZ5" i="121"/>
  <c r="BJ5" i="100"/>
  <c r="AZ5" i="102"/>
  <c r="BJ5" i="117"/>
  <c r="AZ5" i="117"/>
  <c r="BC5" i="122"/>
  <c r="BF5" i="100"/>
  <c r="BA5" i="117"/>
  <c r="BE5" i="122"/>
  <c r="BF5" i="115"/>
  <c r="BJ5" i="115"/>
  <c r="BD5" i="102"/>
  <c r="BI5" i="112"/>
  <c r="BA5" i="115"/>
  <c r="BE5" i="112"/>
  <c r="BA5" i="112"/>
  <c r="BI5" i="120"/>
  <c r="BH5" i="118"/>
  <c r="BG5" i="123"/>
  <c r="BC5" i="123"/>
  <c r="BF5" i="112"/>
  <c r="BG5" i="110"/>
  <c r="BG5" i="103"/>
  <c r="AZ5" i="110"/>
  <c r="BK5" i="103"/>
  <c r="BB5" i="103"/>
  <c r="BA5" i="105"/>
  <c r="BH5" i="103"/>
  <c r="BF5" i="111"/>
  <c r="BJ5" i="105"/>
  <c r="BJ5" i="116"/>
  <c r="BD5" i="110"/>
  <c r="BD5" i="106"/>
  <c r="BI5" i="104"/>
  <c r="BA5" i="114"/>
  <c r="AZ5" i="114"/>
  <c r="BJ5" i="114"/>
  <c r="AZ5" i="122"/>
  <c r="BG5" i="117"/>
  <c r="BK5" i="121"/>
  <c r="BD5" i="121"/>
  <c r="BH5" i="102"/>
  <c r="BG5" i="114"/>
  <c r="BE5" i="115"/>
  <c r="BE5" i="111"/>
  <c r="BG5" i="102"/>
  <c r="BC5" i="107"/>
  <c r="BF5" i="108"/>
  <c r="BK5" i="123"/>
  <c r="BB5" i="108"/>
  <c r="BB5" i="107"/>
  <c r="BE5" i="124"/>
  <c r="BI5" i="108"/>
  <c r="AZ5" i="101"/>
  <c r="BA5" i="111"/>
  <c r="BI5" i="107"/>
  <c r="BG5" i="101"/>
  <c r="BA5" i="101"/>
  <c r="BH5" i="110"/>
  <c r="BF5" i="116"/>
  <c r="AZ5" i="106"/>
  <c r="BG5" i="116"/>
  <c r="BK5" i="116"/>
  <c r="BC5" i="119"/>
  <c r="BH68" i="475"/>
  <c r="BA2" i="125"/>
  <c r="BH65" i="125"/>
  <c r="BF68" i="475"/>
  <c r="BI60" i="475"/>
  <c r="BA65" i="125"/>
  <c r="BE68" i="125"/>
  <c r="BI2" i="475"/>
  <c r="BD2" i="125"/>
  <c r="BI65" i="125"/>
  <c r="AZ68" i="475"/>
  <c r="BC68" i="125"/>
  <c r="BA60" i="125"/>
  <c r="BF60" i="125"/>
  <c r="BJ65" i="125"/>
  <c r="BA68" i="125"/>
  <c r="BC60" i="125"/>
  <c r="AZ2" i="125"/>
  <c r="BF12" i="125"/>
  <c r="BE2" i="125"/>
  <c r="BF2" i="125"/>
  <c r="BG2" i="125"/>
  <c r="BH2" i="125"/>
  <c r="BE65" i="125"/>
  <c r="BA2" i="475"/>
  <c r="BB2" i="475"/>
  <c r="BD2" i="475"/>
  <c r="BC2" i="475"/>
  <c r="AZ50" i="125"/>
  <c r="AZ12" i="475"/>
  <c r="BK60" i="125"/>
  <c r="BH50" i="475"/>
  <c r="BI68" i="475"/>
  <c r="BA68" i="475"/>
  <c r="BB65" i="475"/>
  <c r="BC2" i="125"/>
  <c r="BC12" i="475"/>
  <c r="BG2" i="475"/>
  <c r="BG12" i="475"/>
  <c r="BB60" i="475"/>
  <c r="BI12" i="475"/>
  <c r="BK2" i="475"/>
  <c r="BK50" i="475"/>
  <c r="BF65" i="475"/>
  <c r="BJ68" i="475"/>
  <c r="BG68" i="475"/>
  <c r="BC22" i="125"/>
  <c r="BC12" i="125"/>
  <c r="BB2" i="125"/>
  <c r="BJ33" i="125"/>
  <c r="BJ50" i="125"/>
  <c r="BI68" i="125"/>
  <c r="BK12" i="475"/>
  <c r="BK60" i="475"/>
  <c r="BG60" i="475"/>
  <c r="BA65" i="475"/>
  <c r="BH60" i="475"/>
  <c r="BC33" i="475"/>
  <c r="BF22" i="475"/>
  <c r="W19" i="475"/>
  <c r="BJ22" i="475"/>
  <c r="BH65" i="475"/>
  <c r="BF50" i="475"/>
  <c r="BB22" i="475"/>
  <c r="BJ33" i="475"/>
  <c r="BD65" i="475"/>
  <c r="BJ50" i="475"/>
  <c r="BE50" i="475"/>
  <c r="BF33" i="475"/>
  <c r="BA50" i="475"/>
  <c r="BB33" i="475"/>
  <c r="BK22" i="475"/>
  <c r="BH12" i="475"/>
  <c r="BG50" i="475"/>
  <c r="BE12" i="475"/>
  <c r="BK68" i="475"/>
  <c r="BF60" i="475"/>
  <c r="BD12" i="475"/>
  <c r="BC60" i="475"/>
  <c r="BE33" i="475"/>
  <c r="BE60" i="475"/>
  <c r="BD60" i="475"/>
  <c r="BH33" i="475"/>
  <c r="BG33" i="475"/>
  <c r="BF12" i="475"/>
  <c r="BA22" i="475"/>
  <c r="BG65" i="475"/>
  <c r="BD33" i="475"/>
  <c r="BJ12" i="475"/>
  <c r="BI50" i="475"/>
  <c r="AZ60" i="475"/>
  <c r="BJ60" i="475"/>
  <c r="BI22" i="475"/>
  <c r="AZ65" i="475"/>
  <c r="BG22" i="475"/>
  <c r="AZ33" i="475"/>
  <c r="BD68" i="475"/>
  <c r="BC22" i="475"/>
  <c r="BJ65" i="475"/>
  <c r="BK33" i="475"/>
  <c r="BJ2" i="475"/>
  <c r="BE65" i="475"/>
  <c r="BA33" i="475"/>
  <c r="BJ60" i="125"/>
  <c r="BB12" i="125"/>
  <c r="BI33" i="125"/>
  <c r="BG65" i="125"/>
  <c r="BI60" i="125"/>
  <c r="BI2" i="125"/>
  <c r="BH12" i="125"/>
  <c r="BH33" i="125"/>
  <c r="BH50" i="125"/>
  <c r="BB22" i="125"/>
  <c r="BG60" i="125"/>
  <c r="BA12" i="475"/>
  <c r="BF2" i="475"/>
  <c r="BK65" i="475"/>
  <c r="BC50" i="475"/>
  <c r="BB12" i="475"/>
  <c r="AZ22" i="475"/>
  <c r="BJ12" i="125"/>
  <c r="BA22" i="125"/>
  <c r="BF65" i="125"/>
  <c r="BC65" i="475"/>
  <c r="BE22" i="475"/>
  <c r="BB50" i="475"/>
  <c r="BD50" i="475"/>
  <c r="BI65" i="475"/>
  <c r="BJ2" i="125"/>
  <c r="BI50" i="125"/>
  <c r="BH68" i="125"/>
  <c r="AZ22" i="125"/>
  <c r="BK12" i="125"/>
  <c r="BK22" i="125"/>
  <c r="BF68" i="125"/>
  <c r="BA50" i="125"/>
  <c r="BK65" i="125"/>
  <c r="BF33" i="125"/>
  <c r="AZ68" i="125"/>
  <c r="BG33" i="125"/>
  <c r="BD60" i="125"/>
  <c r="BD22" i="125"/>
  <c r="BD68" i="125"/>
  <c r="BK33" i="125"/>
  <c r="AZ60" i="125"/>
  <c r="BC33" i="125"/>
  <c r="BC68" i="475"/>
  <c r="BA60" i="475"/>
  <c r="BE2" i="475"/>
  <c r="AZ50" i="475"/>
  <c r="BK68" i="125"/>
  <c r="BE33" i="125"/>
  <c r="BG50" i="125"/>
  <c r="BJ22" i="125"/>
  <c r="BE12" i="125"/>
  <c r="BA12" i="125"/>
  <c r="BF22" i="125"/>
  <c r="BA33" i="125"/>
  <c r="BD50" i="125"/>
  <c r="BC65" i="125"/>
  <c r="AZ33" i="125"/>
  <c r="BB50" i="125"/>
  <c r="BI12" i="125"/>
  <c r="BE50" i="125"/>
  <c r="BG22" i="125"/>
  <c r="AZ65" i="125"/>
  <c r="BE60" i="125"/>
  <c r="BH22" i="125"/>
  <c r="BI33" i="475"/>
  <c r="BD22" i="475"/>
  <c r="BH2" i="475"/>
  <c r="BB68" i="475"/>
  <c r="BJ68" i="125"/>
  <c r="BI22" i="125"/>
  <c r="BH60" i="125"/>
  <c r="BB33" i="125"/>
  <c r="BB68" i="125"/>
  <c r="BB60" i="125"/>
  <c r="BD33" i="125"/>
  <c r="AZ12" i="125"/>
  <c r="BH22" i="475"/>
  <c r="AZ2" i="475"/>
  <c r="BE68" i="475"/>
  <c r="BK2" i="125"/>
  <c r="W19" i="125"/>
  <c r="BD12" i="125"/>
  <c r="BG68" i="125"/>
  <c r="BC50" i="125"/>
  <c r="BK50" i="125"/>
  <c r="BD65" i="125"/>
  <c r="BF50" i="125"/>
  <c r="BG12" i="125"/>
  <c r="BB65" i="125"/>
  <c r="BE22" i="125"/>
  <c r="A12" i="54"/>
  <c r="A11" i="418"/>
  <c r="D49" i="680" l="1"/>
  <c r="G46" i="680"/>
  <c r="J25" i="753"/>
  <c r="N24" i="753"/>
  <c r="G5" i="741"/>
  <c r="G24" i="741" s="1"/>
  <c r="C35" i="748"/>
  <c r="B84" i="755"/>
  <c r="E6" i="741"/>
  <c r="E9" i="741" s="1"/>
  <c r="G23" i="680"/>
  <c r="BI5" i="125"/>
  <c r="BF5" i="475"/>
  <c r="BG5" i="125"/>
  <c r="BG5" i="475"/>
  <c r="BA5" i="475"/>
  <c r="AZ5" i="475"/>
  <c r="BE5" i="475"/>
  <c r="BK5" i="125"/>
  <c r="BB5" i="125"/>
  <c r="BK5" i="475"/>
  <c r="BF5" i="125"/>
  <c r="AZ5" i="125"/>
  <c r="BA5" i="125"/>
  <c r="BD5" i="475"/>
  <c r="BC5" i="475"/>
  <c r="BE5" i="125"/>
  <c r="BB5" i="475"/>
  <c r="BJ5" i="475"/>
  <c r="BD5" i="125"/>
  <c r="BJ5" i="125"/>
  <c r="BH5" i="125"/>
  <c r="BH5" i="475"/>
  <c r="BC5" i="125"/>
  <c r="BI5" i="475"/>
  <c r="A12" i="418"/>
  <c r="N25" i="753" l="1"/>
  <c r="J27" i="753"/>
  <c r="O24" i="753"/>
  <c r="C45" i="748"/>
  <c r="C5" i="748" s="1"/>
  <c r="B27" i="755" s="1"/>
  <c r="D102" i="755"/>
  <c r="B116" i="755"/>
  <c r="C115" i="755" s="1"/>
  <c r="C116" i="755" s="1"/>
  <c r="C83" i="755"/>
  <c r="C80" i="755"/>
  <c r="C82" i="755"/>
  <c r="C81" i="755"/>
  <c r="C77" i="755"/>
  <c r="C79" i="755"/>
  <c r="C78" i="755"/>
  <c r="C76" i="755"/>
  <c r="B17" i="677"/>
  <c r="J17" i="59"/>
  <c r="K28" i="59"/>
  <c r="G26" i="736"/>
  <c r="B6" i="755" l="1"/>
  <c r="B8" i="755" s="1"/>
  <c r="D7" i="749"/>
  <c r="B26" i="755"/>
  <c r="C26" i="755" s="1"/>
  <c r="N27" i="753"/>
  <c r="C25" i="755"/>
  <c r="C137" i="755"/>
  <c r="C84" i="755"/>
  <c r="C24" i="755"/>
  <c r="C23" i="755"/>
  <c r="C19" i="755"/>
  <c r="C21" i="755"/>
  <c r="C20" i="755"/>
  <c r="C22" i="755"/>
  <c r="C18" i="755"/>
  <c r="C72" i="748"/>
  <c r="B19" i="677"/>
  <c r="D7" i="679"/>
  <c r="J8" i="59"/>
  <c r="G15" i="420"/>
  <c r="AR23" i="59"/>
  <c r="AQ40" i="59"/>
  <c r="AP8" i="59"/>
  <c r="AS18" i="59"/>
  <c r="AU8" i="59"/>
  <c r="AQ15" i="59"/>
  <c r="AO54" i="59"/>
  <c r="AP37" i="59"/>
  <c r="AS49" i="59"/>
  <c r="AO28" i="59"/>
  <c r="AR53" i="59"/>
  <c r="AT63" i="59"/>
  <c r="AR10" i="59"/>
  <c r="AU15" i="59"/>
  <c r="AP39" i="59"/>
  <c r="AP13" i="59"/>
  <c r="AS66" i="59"/>
  <c r="AT28" i="59"/>
  <c r="AT53" i="59"/>
  <c r="AT24" i="59"/>
  <c r="AO57" i="59"/>
  <c r="AU39" i="59"/>
  <c r="AO19" i="59"/>
  <c r="AQ44" i="59"/>
  <c r="AU69" i="59"/>
  <c r="AU27" i="59"/>
  <c r="AP20" i="59"/>
  <c r="AN39" i="59"/>
  <c r="AN25" i="59"/>
  <c r="AU41" i="59"/>
  <c r="AQ38" i="59"/>
  <c r="AS30" i="59"/>
  <c r="AN19" i="59"/>
  <c r="AR46" i="59"/>
  <c r="AS43" i="59"/>
  <c r="G15" i="736"/>
  <c r="M28" i="59"/>
  <c r="K17" i="59"/>
  <c r="H26" i="736"/>
  <c r="G6" i="736" l="1"/>
  <c r="G6" i="420"/>
  <c r="C6" i="755"/>
  <c r="D84" i="755"/>
  <c r="C44" i="755"/>
  <c r="C5" i="755"/>
  <c r="C7" i="755"/>
  <c r="C27" i="755"/>
  <c r="C18" i="677"/>
  <c r="C17" i="677"/>
  <c r="C16" i="677"/>
  <c r="H15" i="420"/>
  <c r="G3" i="418"/>
  <c r="G30" i="418" s="1"/>
  <c r="K8" i="59"/>
  <c r="H6" i="420" s="1"/>
  <c r="AO46" i="59"/>
  <c r="AO64" i="59"/>
  <c r="AQ17" i="59"/>
  <c r="AO66" i="59"/>
  <c r="AQ48" i="59"/>
  <c r="AR32" i="59"/>
  <c r="AS63" i="59"/>
  <c r="AP53" i="59"/>
  <c r="AR20" i="59"/>
  <c r="AQ30" i="59"/>
  <c r="AN67" i="59"/>
  <c r="AQ67" i="59"/>
  <c r="AT73" i="59"/>
  <c r="AT72" i="59" s="1"/>
  <c r="AN64" i="59"/>
  <c r="AN69" i="59"/>
  <c r="AO40" i="59"/>
  <c r="AQ51" i="59"/>
  <c r="AN78" i="59"/>
  <c r="AS73" i="59"/>
  <c r="AS72" i="59" s="1"/>
  <c r="AN63" i="59"/>
  <c r="AP34" i="59"/>
  <c r="AS51" i="59"/>
  <c r="AO52" i="59"/>
  <c r="AS39" i="59"/>
  <c r="AR64" i="59"/>
  <c r="AO51" i="59"/>
  <c r="AU16" i="59"/>
  <c r="AS28" i="59"/>
  <c r="AU71" i="59"/>
  <c r="AU70" i="59" s="1"/>
  <c r="AU68" i="59" s="1"/>
  <c r="AP23" i="59"/>
  <c r="AP48" i="59"/>
  <c r="AP57" i="59"/>
  <c r="AP27" i="59"/>
  <c r="AQ56" i="59"/>
  <c r="AP19" i="59"/>
  <c r="AN21" i="59"/>
  <c r="AQ39" i="59"/>
  <c r="AR29" i="59"/>
  <c r="AO21" i="59"/>
  <c r="AS53" i="59"/>
  <c r="AR15" i="59"/>
  <c r="AO37" i="59"/>
  <c r="H15" i="676"/>
  <c r="F23" i="676"/>
  <c r="AP64" i="59"/>
  <c r="AR63" i="59"/>
  <c r="AS57" i="59"/>
  <c r="AP36" i="59"/>
  <c r="AT64" i="59"/>
  <c r="AU28" i="59"/>
  <c r="AO39" i="59"/>
  <c r="AS71" i="59"/>
  <c r="AS70" i="59" s="1"/>
  <c r="AS24" i="59"/>
  <c r="AT20" i="59"/>
  <c r="AT56" i="59"/>
  <c r="AT54" i="59"/>
  <c r="AQ78" i="59"/>
  <c r="AS20" i="59"/>
  <c r="AU25" i="59"/>
  <c r="AO41" i="59"/>
  <c r="AR51" i="59"/>
  <c r="AU29" i="59"/>
  <c r="AP40" i="59"/>
  <c r="AU55" i="59"/>
  <c r="AQ52" i="59"/>
  <c r="AU31" i="59"/>
  <c r="AT29" i="59"/>
  <c r="AS36" i="59"/>
  <c r="AS31" i="59"/>
  <c r="AR69" i="59"/>
  <c r="AP52" i="59"/>
  <c r="AS13" i="59"/>
  <c r="AS48" i="59"/>
  <c r="AN53" i="59"/>
  <c r="AO23" i="59"/>
  <c r="AO31" i="59"/>
  <c r="AR14" i="59"/>
  <c r="AN59" i="59"/>
  <c r="AT39" i="59"/>
  <c r="AP26" i="59"/>
  <c r="AN73" i="59"/>
  <c r="AN57" i="59"/>
  <c r="AR24" i="59"/>
  <c r="AT49" i="59"/>
  <c r="AP21" i="59"/>
  <c r="AU3" i="59"/>
  <c r="AS56" i="59"/>
  <c r="AQ21" i="59"/>
  <c r="AQ3" i="59"/>
  <c r="AS37" i="59"/>
  <c r="AS69" i="59"/>
  <c r="AS78" i="59"/>
  <c r="AR45" i="59"/>
  <c r="AQ53" i="59"/>
  <c r="AS16" i="59"/>
  <c r="AR73" i="59"/>
  <c r="AR72" i="59" s="1"/>
  <c r="AP78" i="59"/>
  <c r="AT30" i="59"/>
  <c r="AT48" i="59"/>
  <c r="AU52" i="59"/>
  <c r="AP42" i="59"/>
  <c r="AN20" i="59"/>
  <c r="AT9" i="59"/>
  <c r="AS41" i="59"/>
  <c r="AT59" i="59"/>
  <c r="AS42" i="59"/>
  <c r="AR31" i="59"/>
  <c r="AQ66" i="59"/>
  <c r="AQ45" i="59"/>
  <c r="AU53" i="59"/>
  <c r="AS3" i="59"/>
  <c r="AO42" i="59"/>
  <c r="AN24" i="59"/>
  <c r="AO48" i="59"/>
  <c r="AN23" i="59"/>
  <c r="AN18" i="59"/>
  <c r="AR37" i="59"/>
  <c r="AP71" i="59"/>
  <c r="AP70" i="59" s="1"/>
  <c r="AN8" i="59"/>
  <c r="AN40" i="59"/>
  <c r="AT11" i="59"/>
  <c r="AT7" i="59"/>
  <c r="Q751" i="59"/>
  <c r="J80" i="59" s="1"/>
  <c r="AS4" i="59"/>
  <c r="AN30" i="59"/>
  <c r="AN56" i="59"/>
  <c r="AR8" i="59"/>
  <c r="AS58" i="59"/>
  <c r="AR38" i="59"/>
  <c r="AR11" i="59"/>
  <c r="AR25" i="59"/>
  <c r="H15" i="736"/>
  <c r="AS14" i="59"/>
  <c r="AQ10" i="59"/>
  <c r="AQ20" i="59"/>
  <c r="AN35" i="59"/>
  <c r="AU7" i="59"/>
  <c r="AT78" i="59"/>
  <c r="AQ28" i="59"/>
  <c r="AR41" i="59"/>
  <c r="AP73" i="59"/>
  <c r="AP72" i="59" s="1"/>
  <c r="AO15" i="59"/>
  <c r="AN10" i="59"/>
  <c r="AR4" i="59"/>
  <c r="AU24" i="59"/>
  <c r="AT37" i="59"/>
  <c r="AR44" i="59"/>
  <c r="AU36" i="59"/>
  <c r="AS54" i="59"/>
  <c r="AP63" i="59"/>
  <c r="AU40" i="59"/>
  <c r="AO58" i="59"/>
  <c r="AT18" i="59"/>
  <c r="AT8" i="59"/>
  <c r="AR28" i="59"/>
  <c r="AR21" i="59"/>
  <c r="AS8" i="59"/>
  <c r="AT13" i="59"/>
  <c r="AT55" i="59"/>
  <c r="AP67" i="59"/>
  <c r="AR66" i="59"/>
  <c r="AT69" i="59"/>
  <c r="AO53" i="59"/>
  <c r="AN15" i="59"/>
  <c r="AO13" i="59"/>
  <c r="AP38" i="59"/>
  <c r="AN45" i="59"/>
  <c r="AR7" i="59"/>
  <c r="AQ58" i="59"/>
  <c r="AQ35" i="59"/>
  <c r="AN28" i="59"/>
  <c r="AU49" i="59"/>
  <c r="AT57" i="59"/>
  <c r="AQ25" i="59"/>
  <c r="AO3" i="59"/>
  <c r="AN42" i="59"/>
  <c r="AN16" i="59"/>
  <c r="AN43" i="59"/>
  <c r="AU18" i="59"/>
  <c r="AQ43" i="59"/>
  <c r="AR57" i="59"/>
  <c r="AP30" i="59"/>
  <c r="AT36" i="59"/>
  <c r="AN36" i="59"/>
  <c r="AQ26" i="59"/>
  <c r="AO67" i="59"/>
  <c r="AP29" i="59"/>
  <c r="AT19" i="59"/>
  <c r="AQ11" i="59"/>
  <c r="AR59" i="59"/>
  <c r="AR40" i="59"/>
  <c r="AO9" i="59"/>
  <c r="AQ55" i="59"/>
  <c r="AR30" i="59"/>
  <c r="AP25" i="59"/>
  <c r="AQ23" i="59"/>
  <c r="AR16" i="59"/>
  <c r="AU26" i="59"/>
  <c r="AU57" i="59"/>
  <c r="AS67" i="59"/>
  <c r="AS65" i="59" s="1"/>
  <c r="AP59" i="59"/>
  <c r="AS35" i="59"/>
  <c r="AP61" i="59"/>
  <c r="AS25" i="59"/>
  <c r="AT41" i="59"/>
  <c r="AO71" i="59"/>
  <c r="AO70" i="59" s="1"/>
  <c r="AP31" i="59"/>
  <c r="AQ36" i="59"/>
  <c r="AU51" i="59"/>
  <c r="AQ41" i="59"/>
  <c r="AS9" i="59"/>
  <c r="AO35" i="59"/>
  <c r="AS40" i="59"/>
  <c r="AT25" i="59"/>
  <c r="AP32" i="59"/>
  <c r="AQ63" i="59"/>
  <c r="AU32" i="59"/>
  <c r="AS61" i="59"/>
  <c r="AU46" i="59"/>
  <c r="AP44" i="59"/>
  <c r="AQ7" i="59"/>
  <c r="AP58" i="59"/>
  <c r="AQ46" i="59"/>
  <c r="AN31" i="59"/>
  <c r="AP69" i="59"/>
  <c r="AT46" i="59"/>
  <c r="AQ34" i="59"/>
  <c r="AR13" i="59"/>
  <c r="AT44" i="59"/>
  <c r="AU19" i="59"/>
  <c r="AO69" i="59"/>
  <c r="AN46" i="59"/>
  <c r="AS64" i="59"/>
  <c r="AS11" i="59"/>
  <c r="AU43" i="59"/>
  <c r="AS21" i="59"/>
  <c r="AN71" i="59"/>
  <c r="AN54" i="59"/>
  <c r="AS23" i="59"/>
  <c r="AO25" i="59"/>
  <c r="AU21" i="59"/>
  <c r="AT16" i="59"/>
  <c r="AO45" i="59"/>
  <c r="AN27" i="59"/>
  <c r="AO20" i="59"/>
  <c r="AN9" i="59"/>
  <c r="V12" i="59"/>
  <c r="I26" i="736"/>
  <c r="M17" i="59"/>
  <c r="O28" i="59"/>
  <c r="P28" i="59" s="1"/>
  <c r="AT58" i="59"/>
  <c r="AO8" i="59"/>
  <c r="AS59" i="59"/>
  <c r="AQ19" i="59"/>
  <c r="AU78" i="59"/>
  <c r="AU4" i="59"/>
  <c r="AQ71" i="59"/>
  <c r="AQ70" i="59" s="1"/>
  <c r="AR26" i="59"/>
  <c r="AO43" i="59"/>
  <c r="AN26" i="59"/>
  <c r="AN61" i="59"/>
  <c r="AP46" i="59"/>
  <c r="AQ61" i="59"/>
  <c r="AR48" i="59"/>
  <c r="AU67" i="59"/>
  <c r="AU38" i="59"/>
  <c r="AN44" i="59"/>
  <c r="AT10" i="59"/>
  <c r="AU45" i="59"/>
  <c r="AU11" i="59"/>
  <c r="AT52" i="59"/>
  <c r="AQ24" i="59"/>
  <c r="AP17" i="59"/>
  <c r="AU63" i="59"/>
  <c r="AQ31" i="59"/>
  <c r="AQ18" i="59"/>
  <c r="AU44" i="59"/>
  <c r="AQ57" i="59"/>
  <c r="AP15" i="59"/>
  <c r="AO17" i="59"/>
  <c r="AR49" i="59"/>
  <c r="AN52" i="59"/>
  <c r="AP4" i="59"/>
  <c r="AT32" i="59"/>
  <c r="AO63" i="59"/>
  <c r="AU56" i="59"/>
  <c r="AR67" i="59"/>
  <c r="AU34" i="59"/>
  <c r="AN49" i="59"/>
  <c r="AR52" i="59"/>
  <c r="AU13" i="59"/>
  <c r="AQ69" i="59"/>
  <c r="AR27" i="59"/>
  <c r="AQ4" i="59"/>
  <c r="AQ64" i="59"/>
  <c r="AT15" i="59"/>
  <c r="AS52" i="59"/>
  <c r="AT17" i="59"/>
  <c r="AP54" i="59"/>
  <c r="AU23" i="59"/>
  <c r="AT34" i="59"/>
  <c r="AO14" i="59"/>
  <c r="AS17" i="59"/>
  <c r="AS27" i="59"/>
  <c r="AR61" i="59"/>
  <c r="AU17" i="59"/>
  <c r="AR78" i="59"/>
  <c r="AP56" i="59"/>
  <c r="AP18" i="59"/>
  <c r="AQ8" i="59"/>
  <c r="AT71" i="59"/>
  <c r="AT70" i="59" s="1"/>
  <c r="AN29" i="59"/>
  <c r="AN34" i="59"/>
  <c r="AT38" i="59"/>
  <c r="AS45" i="59"/>
  <c r="AO4" i="59"/>
  <c r="AQ9" i="59"/>
  <c r="AR39" i="59"/>
  <c r="E64" i="682"/>
  <c r="E92" i="682" s="1"/>
  <c r="C31" i="685"/>
  <c r="C58" i="685" s="1"/>
  <c r="AU66" i="59"/>
  <c r="AO36" i="59"/>
  <c r="AO32" i="59"/>
  <c r="AR36" i="59"/>
  <c r="AU42" i="59"/>
  <c r="AQ32" i="59"/>
  <c r="AR58" i="59"/>
  <c r="AU64" i="59"/>
  <c r="AP35" i="59"/>
  <c r="AU14" i="59"/>
  <c r="AU37" i="59"/>
  <c r="AQ49" i="59"/>
  <c r="AN17" i="59"/>
  <c r="AP41" i="59"/>
  <c r="AP55" i="59"/>
  <c r="AO49" i="59"/>
  <c r="AR54" i="59"/>
  <c r="AP49" i="59"/>
  <c r="AO30" i="59"/>
  <c r="AR55" i="59"/>
  <c r="AQ59" i="59"/>
  <c r="AU61" i="59"/>
  <c r="AR43" i="59"/>
  <c r="AP10" i="59"/>
  <c r="AU54" i="59"/>
  <c r="AN58" i="59"/>
  <c r="AO59" i="59"/>
  <c r="AN48" i="59"/>
  <c r="AP11" i="59"/>
  <c r="AP3" i="59"/>
  <c r="AT4" i="59"/>
  <c r="AT43" i="59"/>
  <c r="AO55" i="59"/>
  <c r="AN38" i="59"/>
  <c r="AN32" i="59"/>
  <c r="AT23" i="59"/>
  <c r="AS7" i="59"/>
  <c r="AS34" i="59"/>
  <c r="AR17" i="59"/>
  <c r="AT31" i="59"/>
  <c r="AT66" i="59"/>
  <c r="AO78" i="59"/>
  <c r="AP45" i="59"/>
  <c r="AR9" i="59"/>
  <c r="AO29" i="59"/>
  <c r="AS32" i="59"/>
  <c r="AP28" i="59"/>
  <c r="AS15" i="59"/>
  <c r="AT45" i="59"/>
  <c r="AT27" i="59"/>
  <c r="AU20" i="59"/>
  <c r="AR42" i="59"/>
  <c r="AT40" i="59"/>
  <c r="AS10" i="59"/>
  <c r="AQ16" i="59"/>
  <c r="AS55" i="59"/>
  <c r="AN4" i="59"/>
  <c r="AO26" i="59"/>
  <c r="AT67" i="59"/>
  <c r="AQ29" i="59"/>
  <c r="AS29" i="59"/>
  <c r="AU9" i="59"/>
  <c r="AN13" i="59"/>
  <c r="AQ37" i="59"/>
  <c r="AO16" i="59"/>
  <c r="AQ54" i="59"/>
  <c r="AS38" i="59"/>
  <c r="AU35" i="59"/>
  <c r="AP16" i="59"/>
  <c r="AN66" i="59"/>
  <c r="AU48" i="59"/>
  <c r="AO7" i="59"/>
  <c r="AO18" i="59"/>
  <c r="AO27" i="59"/>
  <c r="AS26" i="59"/>
  <c r="AT51" i="59"/>
  <c r="AT26" i="59"/>
  <c r="AP51" i="59"/>
  <c r="AN14" i="59"/>
  <c r="AP66" i="59"/>
  <c r="AN51" i="59"/>
  <c r="AN7" i="59"/>
  <c r="AR35" i="59"/>
  <c r="AU73" i="59"/>
  <c r="AU72" i="59" s="1"/>
  <c r="AO10" i="59"/>
  <c r="AO11" i="59"/>
  <c r="AQ73" i="59"/>
  <c r="AQ72" i="59" s="1"/>
  <c r="AT3" i="59"/>
  <c r="AQ42" i="59"/>
  <c r="AO24" i="59"/>
  <c r="AT21" i="59"/>
  <c r="AO34" i="59"/>
  <c r="AT42" i="59"/>
  <c r="AO38" i="59"/>
  <c r="AP43" i="59"/>
  <c r="AU30" i="59"/>
  <c r="AQ13" i="59"/>
  <c r="AU10" i="59"/>
  <c r="AQ14" i="59"/>
  <c r="AQ27" i="59"/>
  <c r="AP9" i="59"/>
  <c r="AR71" i="59"/>
  <c r="AR70" i="59" s="1"/>
  <c r="AP14" i="59"/>
  <c r="AO44" i="59"/>
  <c r="AS46" i="59"/>
  <c r="AS44" i="59"/>
  <c r="AN37" i="59"/>
  <c r="AT14" i="59"/>
  <c r="AT35" i="59"/>
  <c r="AO73" i="59"/>
  <c r="AO72" i="59" s="1"/>
  <c r="AU59" i="59"/>
  <c r="AR18" i="59"/>
  <c r="AP24" i="59"/>
  <c r="AR34" i="59"/>
  <c r="AU58" i="59"/>
  <c r="AT61" i="59"/>
  <c r="AN41" i="59"/>
  <c r="AO61" i="59"/>
  <c r="AR19" i="59"/>
  <c r="AR3" i="59"/>
  <c r="AR2" i="59" s="1"/>
  <c r="AS19" i="59"/>
  <c r="AO56" i="59"/>
  <c r="AN11" i="59"/>
  <c r="AN55" i="59"/>
  <c r="AP7" i="59"/>
  <c r="AN3" i="59"/>
  <c r="AR56" i="59"/>
  <c r="D5" i="748" l="1"/>
  <c r="J3" i="418"/>
  <c r="H3" i="418"/>
  <c r="M8" i="59"/>
  <c r="I6" i="420" s="1"/>
  <c r="I15" i="420"/>
  <c r="G6" i="741"/>
  <c r="G9" i="741" s="1"/>
  <c r="AP6" i="59"/>
  <c r="AQ65" i="59"/>
  <c r="AS68" i="59"/>
  <c r="AO68" i="59"/>
  <c r="AO60" i="59"/>
  <c r="AT60" i="59"/>
  <c r="AP2" i="59"/>
  <c r="AU65" i="59"/>
  <c r="AV39" i="59"/>
  <c r="AT65" i="59"/>
  <c r="AR68" i="59"/>
  <c r="AV55" i="59"/>
  <c r="AT2" i="59"/>
  <c r="AQ68" i="59"/>
  <c r="AQ12" i="59"/>
  <c r="AP12" i="59"/>
  <c r="AP68" i="59"/>
  <c r="AR22" i="59"/>
  <c r="AV19" i="59"/>
  <c r="AV67" i="59"/>
  <c r="AV11" i="59"/>
  <c r="AQ6" i="59"/>
  <c r="AU50" i="59"/>
  <c r="AR65" i="59"/>
  <c r="AU33" i="59"/>
  <c r="AV46" i="59"/>
  <c r="AS33" i="59"/>
  <c r="AV58" i="59"/>
  <c r="AQ60" i="59"/>
  <c r="AV25" i="59"/>
  <c r="AV28" i="59"/>
  <c r="AS6" i="59"/>
  <c r="AV38" i="59"/>
  <c r="AU60" i="59"/>
  <c r="AV4" i="59"/>
  <c r="AV27" i="59"/>
  <c r="AV17" i="59"/>
  <c r="AT22" i="59"/>
  <c r="AV23" i="59"/>
  <c r="AN22" i="59"/>
  <c r="AP33" i="59"/>
  <c r="AN72" i="59"/>
  <c r="AV73" i="59"/>
  <c r="AV72" i="59" s="1"/>
  <c r="AV37" i="59"/>
  <c r="AO6" i="59"/>
  <c r="AV56" i="59"/>
  <c r="AV32" i="59"/>
  <c r="AN60" i="59"/>
  <c r="AV61" i="59"/>
  <c r="AS60" i="59"/>
  <c r="AT12" i="59"/>
  <c r="AV30" i="59"/>
  <c r="AV20" i="59"/>
  <c r="AV63" i="59"/>
  <c r="AV26" i="59"/>
  <c r="AV24" i="59"/>
  <c r="AQ2" i="59"/>
  <c r="AV59" i="59"/>
  <c r="AP22" i="59"/>
  <c r="AV57" i="59"/>
  <c r="AN6" i="59"/>
  <c r="AV7" i="59"/>
  <c r="AO33" i="59"/>
  <c r="AS22" i="59"/>
  <c r="AR12" i="59"/>
  <c r="AR6" i="59"/>
  <c r="H6" i="736"/>
  <c r="J6" i="736" s="1"/>
  <c r="J7" i="736" s="1"/>
  <c r="AV78" i="59"/>
  <c r="AP65" i="59"/>
  <c r="AR60" i="59"/>
  <c r="AV52" i="59"/>
  <c r="BF51" i="59"/>
  <c r="BH66" i="59"/>
  <c r="BA34" i="59"/>
  <c r="BG61" i="59"/>
  <c r="BH13" i="59"/>
  <c r="AZ4" i="59"/>
  <c r="BF59" i="59"/>
  <c r="AZ30" i="59"/>
  <c r="AZ57" i="59"/>
  <c r="BB38" i="59"/>
  <c r="BE54" i="59"/>
  <c r="BA4" i="59"/>
  <c r="AZ58" i="59"/>
  <c r="BD19" i="59"/>
  <c r="BD32" i="59"/>
  <c r="BI48" i="59"/>
  <c r="BJ11" i="59"/>
  <c r="BC36" i="59"/>
  <c r="BE64" i="59"/>
  <c r="BH71" i="59"/>
  <c r="BH70" i="59" s="1"/>
  <c r="BB16" i="59"/>
  <c r="BG48" i="59"/>
  <c r="BI63" i="59"/>
  <c r="BE26" i="59"/>
  <c r="BI54" i="59"/>
  <c r="BA55" i="59"/>
  <c r="BC48" i="59"/>
  <c r="BF25" i="59"/>
  <c r="BB35" i="59"/>
  <c r="BJ52" i="59"/>
  <c r="BD16" i="59"/>
  <c r="BB49" i="59"/>
  <c r="AZ11" i="59"/>
  <c r="BF58" i="59"/>
  <c r="BG40" i="59"/>
  <c r="BI30" i="59"/>
  <c r="BJ29" i="59"/>
  <c r="BK40" i="59"/>
  <c r="BB40" i="59"/>
  <c r="BA73" i="59"/>
  <c r="BA72" i="59" s="1"/>
  <c r="BE14" i="59"/>
  <c r="BE21" i="59"/>
  <c r="BF67" i="59"/>
  <c r="BF44" i="59"/>
  <c r="BE29" i="59"/>
  <c r="BB20" i="59"/>
  <c r="BA51" i="59"/>
  <c r="BK69" i="59"/>
  <c r="BJ69" i="59"/>
  <c r="AZ3" i="59"/>
  <c r="BF61" i="59"/>
  <c r="BI51" i="59"/>
  <c r="BF69" i="59"/>
  <c r="BI23" i="59"/>
  <c r="BK66" i="59"/>
  <c r="BI34" i="59"/>
  <c r="BK34" i="59"/>
  <c r="BC69" i="59"/>
  <c r="BD7" i="59"/>
  <c r="BI7" i="59"/>
  <c r="BE7" i="59"/>
  <c r="BF34" i="59"/>
  <c r="BA66" i="59"/>
  <c r="AZ23" i="59"/>
  <c r="BI3" i="59"/>
  <c r="BK61" i="59"/>
  <c r="BC45" i="59"/>
  <c r="BE28" i="59"/>
  <c r="AZ24" i="59"/>
  <c r="BJ32" i="59"/>
  <c r="BI31" i="59"/>
  <c r="BA58" i="59"/>
  <c r="BJ10" i="59"/>
  <c r="BH9" i="59"/>
  <c r="BK57" i="59"/>
  <c r="BH8" i="59"/>
  <c r="BD78" i="59"/>
  <c r="BJ59" i="59"/>
  <c r="BF8" i="59"/>
  <c r="BG18" i="59"/>
  <c r="BD30" i="59"/>
  <c r="BG73" i="59"/>
  <c r="BG72" i="59" s="1"/>
  <c r="BG58" i="59"/>
  <c r="BF32" i="59"/>
  <c r="BF45" i="59"/>
  <c r="BA28" i="59"/>
  <c r="BE36" i="59"/>
  <c r="BE39" i="59"/>
  <c r="BA49" i="59"/>
  <c r="BJ19" i="59"/>
  <c r="BD42" i="59"/>
  <c r="BA52" i="59"/>
  <c r="AZ15" i="59"/>
  <c r="BA44" i="59"/>
  <c r="BF71" i="59"/>
  <c r="BF70" i="59" s="1"/>
  <c r="BE69" i="59"/>
  <c r="AZ69" i="59"/>
  <c r="BE23" i="59"/>
  <c r="BJ66" i="59"/>
  <c r="BJ34" i="59"/>
  <c r="BD34" i="59"/>
  <c r="BH3" i="59"/>
  <c r="BJ51" i="59"/>
  <c r="BA23" i="59"/>
  <c r="BD3" i="59"/>
  <c r="BC66" i="59"/>
  <c r="BG66" i="59"/>
  <c r="BB13" i="59"/>
  <c r="BD69" i="59"/>
  <c r="BG3" i="59"/>
  <c r="AZ42" i="59"/>
  <c r="BD15" i="59"/>
  <c r="BE30" i="59"/>
  <c r="BJ67" i="59"/>
  <c r="BD44" i="59"/>
  <c r="BI25" i="59"/>
  <c r="BK19" i="59"/>
  <c r="BI59" i="59"/>
  <c r="BK30" i="59"/>
  <c r="BJ35" i="59"/>
  <c r="BH49" i="59"/>
  <c r="BA64" i="59"/>
  <c r="BF63" i="59"/>
  <c r="BH28" i="59"/>
  <c r="BI17" i="59"/>
  <c r="BG10" i="59"/>
  <c r="BC9" i="59"/>
  <c r="BA78" i="59"/>
  <c r="BA14" i="59"/>
  <c r="BH20" i="59"/>
  <c r="BC8" i="59"/>
  <c r="BD21" i="59"/>
  <c r="BH43" i="59"/>
  <c r="BC24" i="59"/>
  <c r="BB45" i="59"/>
  <c r="BF38" i="59"/>
  <c r="BA30" i="59"/>
  <c r="BD67" i="59"/>
  <c r="BG45" i="59"/>
  <c r="BJ28" i="59"/>
  <c r="BK48" i="59"/>
  <c r="BH64" i="59"/>
  <c r="BB9" i="59"/>
  <c r="BG7" i="59"/>
  <c r="BF7" i="59"/>
  <c r="BE13" i="59"/>
  <c r="AZ61" i="59"/>
  <c r="BG13" i="59"/>
  <c r="BI69" i="59"/>
  <c r="BF13" i="59"/>
  <c r="BE66" i="59"/>
  <c r="BK51" i="59"/>
  <c r="BJ61" i="59"/>
  <c r="BD66" i="59"/>
  <c r="BJ23" i="59"/>
  <c r="BH69" i="59"/>
  <c r="BA3" i="59"/>
  <c r="BB69" i="59"/>
  <c r="BG51" i="59"/>
  <c r="BK23" i="59"/>
  <c r="BA61" i="59"/>
  <c r="BC34" i="59"/>
  <c r="BK3" i="59"/>
  <c r="BK13" i="59"/>
  <c r="BF3" i="59"/>
  <c r="BA13" i="59"/>
  <c r="BJ55" i="59"/>
  <c r="BJ58" i="59"/>
  <c r="BJ46" i="59"/>
  <c r="AZ63" i="59"/>
  <c r="BE48" i="59"/>
  <c r="AZ45" i="59"/>
  <c r="BI44" i="59"/>
  <c r="BC16" i="59"/>
  <c r="BK49" i="59"/>
  <c r="BK37" i="59"/>
  <c r="BB37" i="59"/>
  <c r="BG17" i="59"/>
  <c r="BG64" i="59"/>
  <c r="BB52" i="59"/>
  <c r="BC39" i="59"/>
  <c r="BK16" i="59"/>
  <c r="BH54" i="59"/>
  <c r="BC57" i="59"/>
  <c r="BH17" i="59"/>
  <c r="BC59" i="59"/>
  <c r="BK56" i="59"/>
  <c r="BC56" i="59"/>
  <c r="BD27" i="59"/>
  <c r="BH35" i="59"/>
  <c r="BB28" i="59"/>
  <c r="BK14" i="59"/>
  <c r="BC4" i="59"/>
  <c r="BD73" i="59"/>
  <c r="BD72" i="59" s="1"/>
  <c r="BC27" i="59"/>
  <c r="BC55" i="59"/>
  <c r="BB18" i="59"/>
  <c r="BJ64" i="59"/>
  <c r="BE18" i="59"/>
  <c r="BB59" i="59"/>
  <c r="BC63" i="59"/>
  <c r="BC71" i="59"/>
  <c r="BC70" i="59" s="1"/>
  <c r="BA56" i="59"/>
  <c r="BE44" i="59"/>
  <c r="BC73" i="59"/>
  <c r="BC72" i="59" s="1"/>
  <c r="BG27" i="59"/>
  <c r="BF36" i="59"/>
  <c r="BC78" i="59"/>
  <c r="BC20" i="59"/>
  <c r="AZ7" i="59"/>
  <c r="BD13" i="59"/>
  <c r="AZ34" i="59"/>
  <c r="BH51" i="59"/>
  <c r="BG49" i="59"/>
  <c r="BH18" i="59"/>
  <c r="BC40" i="59"/>
  <c r="BD43" i="59"/>
  <c r="BI4" i="59"/>
  <c r="BJ14" i="59"/>
  <c r="BE8" i="59"/>
  <c r="BK78" i="59"/>
  <c r="BI24" i="59"/>
  <c r="BH27" i="59"/>
  <c r="BE25" i="59"/>
  <c r="BH40" i="59"/>
  <c r="BE24" i="59"/>
  <c r="AZ20" i="59"/>
  <c r="BE20" i="59"/>
  <c r="BJ40" i="59"/>
  <c r="BE49" i="59"/>
  <c r="BA36" i="59"/>
  <c r="BK44" i="59"/>
  <c r="BJ39" i="59"/>
  <c r="BK27" i="59"/>
  <c r="BI35" i="59"/>
  <c r="BJ26" i="59"/>
  <c r="BB78" i="59"/>
  <c r="BI42" i="59"/>
  <c r="BE53" i="59"/>
  <c r="BF64" i="59"/>
  <c r="BG24" i="59"/>
  <c r="BC18" i="59"/>
  <c r="BH36" i="59"/>
  <c r="BD24" i="59"/>
  <c r="BB63" i="59"/>
  <c r="BG8" i="59"/>
  <c r="BF21" i="59"/>
  <c r="BD14" i="59"/>
  <c r="BK59" i="59"/>
  <c r="BK38" i="59"/>
  <c r="BH37" i="59"/>
  <c r="BF20" i="59"/>
  <c r="BG69" i="59"/>
  <c r="BB23" i="59"/>
  <c r="BB34" i="59"/>
  <c r="BI10" i="59"/>
  <c r="BK63" i="59"/>
  <c r="BJ56" i="59"/>
  <c r="BE67" i="59"/>
  <c r="BK58" i="59"/>
  <c r="AZ71" i="59"/>
  <c r="AZ70" i="59" s="1"/>
  <c r="BJ42" i="59"/>
  <c r="BI9" i="59"/>
  <c r="BC32" i="59"/>
  <c r="BF24" i="59"/>
  <c r="BD18" i="59"/>
  <c r="BK46" i="59"/>
  <c r="BD53" i="59"/>
  <c r="BG28" i="59"/>
  <c r="BA43" i="59"/>
  <c r="BB8" i="59"/>
  <c r="BD49" i="59"/>
  <c r="BG46" i="59"/>
  <c r="BI11" i="59"/>
  <c r="BI78" i="59"/>
  <c r="AZ16" i="59"/>
  <c r="BH38" i="59"/>
  <c r="AZ28" i="59"/>
  <c r="BC49" i="59"/>
  <c r="BG32" i="59"/>
  <c r="AZ54" i="59"/>
  <c r="BH42" i="59"/>
  <c r="BD64" i="59"/>
  <c r="BI73" i="59"/>
  <c r="BI72" i="59" s="1"/>
  <c r="BC37" i="59"/>
  <c r="BJ27" i="59"/>
  <c r="BH21" i="59"/>
  <c r="BF28" i="59"/>
  <c r="BA40" i="59"/>
  <c r="BD9" i="59"/>
  <c r="BB30" i="59"/>
  <c r="BE73" i="59"/>
  <c r="BE72" i="59" s="1"/>
  <c r="BJ41" i="59"/>
  <c r="BD25" i="59"/>
  <c r="BE19" i="59"/>
  <c r="BJ7" i="59"/>
  <c r="BF66" i="59"/>
  <c r="BJ3" i="59"/>
  <c r="BC13" i="59"/>
  <c r="BI61" i="59"/>
  <c r="BB15" i="59"/>
  <c r="BI71" i="59"/>
  <c r="BI70" i="59" s="1"/>
  <c r="BE37" i="59"/>
  <c r="BK54" i="59"/>
  <c r="BF73" i="59"/>
  <c r="BF72" i="59" s="1"/>
  <c r="BB58" i="59"/>
  <c r="AZ41" i="59"/>
  <c r="BF37" i="59"/>
  <c r="BF57" i="59"/>
  <c r="BG41" i="59"/>
  <c r="BG4" i="59"/>
  <c r="BE17" i="59"/>
  <c r="BA59" i="59"/>
  <c r="BH26" i="59"/>
  <c r="BH4" i="59"/>
  <c r="BC21" i="59"/>
  <c r="BD41" i="59"/>
  <c r="BA10" i="59"/>
  <c r="BD71" i="59"/>
  <c r="BD70" i="59" s="1"/>
  <c r="AZ44" i="59"/>
  <c r="BD58" i="59"/>
  <c r="BB29" i="59"/>
  <c r="BJ17" i="59"/>
  <c r="BF31" i="59"/>
  <c r="BI41" i="59"/>
  <c r="BD31" i="59"/>
  <c r="BB36" i="59"/>
  <c r="BI37" i="59"/>
  <c r="BI49" i="59"/>
  <c r="BC58" i="59"/>
  <c r="BJ63" i="59"/>
  <c r="BK36" i="59"/>
  <c r="BB4" i="59"/>
  <c r="BF26" i="59"/>
  <c r="BC11" i="59"/>
  <c r="BB46" i="59"/>
  <c r="BB67" i="59"/>
  <c r="BF52" i="59"/>
  <c r="BE15" i="59"/>
  <c r="BE63" i="59"/>
  <c r="BI18" i="59"/>
  <c r="BC7" i="59"/>
  <c r="AZ13" i="59"/>
  <c r="BG34" i="59"/>
  <c r="BE34" i="59"/>
  <c r="AZ27" i="59"/>
  <c r="BD28" i="59"/>
  <c r="BH44" i="59"/>
  <c r="BI19" i="59"/>
  <c r="BK26" i="59"/>
  <c r="BH46" i="59"/>
  <c r="BK55" i="59"/>
  <c r="BB10" i="59"/>
  <c r="BK24" i="59"/>
  <c r="BB73" i="59"/>
  <c r="BB72" i="59" s="1"/>
  <c r="BA8" i="59"/>
  <c r="BK15" i="59"/>
  <c r="BC30" i="59"/>
  <c r="BJ38" i="59"/>
  <c r="BA19" i="59"/>
  <c r="BC38" i="59"/>
  <c r="BH19" i="59"/>
  <c r="BI58" i="59"/>
  <c r="BJ73" i="59"/>
  <c r="BJ72" i="59" s="1"/>
  <c r="AZ38" i="59"/>
  <c r="BJ15" i="59"/>
  <c r="AZ31" i="59"/>
  <c r="AZ29" i="59"/>
  <c r="BG35" i="59"/>
  <c r="BI32" i="59"/>
  <c r="BI16" i="59"/>
  <c r="BG57" i="59"/>
  <c r="BG15" i="59"/>
  <c r="BI39" i="59"/>
  <c r="AZ56" i="59"/>
  <c r="BG11" i="59"/>
  <c r="BF4" i="59"/>
  <c r="AZ43" i="59"/>
  <c r="BK17" i="59"/>
  <c r="AZ18" i="59"/>
  <c r="BA11" i="59"/>
  <c r="BH73" i="59"/>
  <c r="BH72" i="59" s="1"/>
  <c r="BA24" i="59"/>
  <c r="BC31" i="59"/>
  <c r="BD39" i="59"/>
  <c r="AZ25" i="59"/>
  <c r="BH59" i="59"/>
  <c r="BG67" i="59"/>
  <c r="BB3" i="59"/>
  <c r="BB61" i="59"/>
  <c r="BA69" i="59"/>
  <c r="BB51" i="59"/>
  <c r="BH52" i="59"/>
  <c r="BG30" i="59"/>
  <c r="BD55" i="59"/>
  <c r="BB11" i="59"/>
  <c r="AZ8" i="59"/>
  <c r="BK29" i="59"/>
  <c r="BB19" i="59"/>
  <c r="AZ49" i="59"/>
  <c r="BC15" i="59"/>
  <c r="BC26" i="59"/>
  <c r="BF10" i="59"/>
  <c r="AZ53" i="59"/>
  <c r="BB48" i="59"/>
  <c r="AZ10" i="59"/>
  <c r="BE59" i="59"/>
  <c r="BJ48" i="59"/>
  <c r="BA48" i="59"/>
  <c r="BB42" i="59"/>
  <c r="BA29" i="59"/>
  <c r="BD37" i="59"/>
  <c r="BB14" i="59"/>
  <c r="BC46" i="59"/>
  <c r="BC28" i="59"/>
  <c r="BJ49" i="59"/>
  <c r="BB41" i="59"/>
  <c r="BD52" i="59"/>
  <c r="AZ64" i="59"/>
  <c r="BH67" i="59"/>
  <c r="BC35" i="59"/>
  <c r="BH41" i="59"/>
  <c r="BC29" i="59"/>
  <c r="BE56" i="59"/>
  <c r="BI55" i="59"/>
  <c r="AZ9" i="59"/>
  <c r="BB43" i="59"/>
  <c r="BG16" i="59"/>
  <c r="BJ53" i="59"/>
  <c r="BC41" i="59"/>
  <c r="BG20" i="59"/>
  <c r="BB25" i="59"/>
  <c r="BC52" i="59"/>
  <c r="BA20" i="59"/>
  <c r="BF53" i="59"/>
  <c r="BE9" i="59"/>
  <c r="BK7" i="59"/>
  <c r="BE51" i="59"/>
  <c r="AZ66" i="59"/>
  <c r="BI13" i="59"/>
  <c r="BE27" i="59"/>
  <c r="BJ44" i="59"/>
  <c r="BI14" i="59"/>
  <c r="BH31" i="59"/>
  <c r="BB44" i="59"/>
  <c r="BK31" i="59"/>
  <c r="O17" i="59"/>
  <c r="P17" i="59" s="1"/>
  <c r="BG31" i="59"/>
  <c r="BG39" i="59"/>
  <c r="BJ31" i="59"/>
  <c r="BB27" i="59"/>
  <c r="BE45" i="59"/>
  <c r="BK20" i="59"/>
  <c r="BK21" i="59"/>
  <c r="AZ17" i="59"/>
  <c r="AZ32" i="59"/>
  <c r="BK43" i="59"/>
  <c r="AZ46" i="59"/>
  <c r="BG26" i="59"/>
  <c r="BG54" i="59"/>
  <c r="BC42" i="59"/>
  <c r="BG25" i="59"/>
  <c r="BH11" i="59"/>
  <c r="BC25" i="59"/>
  <c r="BA46" i="59"/>
  <c r="BA25" i="59"/>
  <c r="BC43" i="59"/>
  <c r="BG9" i="59"/>
  <c r="BK32" i="59"/>
  <c r="BK9" i="59"/>
  <c r="BK11" i="59"/>
  <c r="BE32" i="59"/>
  <c r="BD8" i="59"/>
  <c r="BK35" i="59"/>
  <c r="BC17" i="59"/>
  <c r="AZ36" i="59"/>
  <c r="BF78" i="59"/>
  <c r="AZ40" i="59"/>
  <c r="BA45" i="59"/>
  <c r="BB55" i="59"/>
  <c r="BJ18" i="59"/>
  <c r="BG44" i="59"/>
  <c r="BH34" i="59"/>
  <c r="BC51" i="59"/>
  <c r="BC23" i="59"/>
  <c r="BC14" i="59"/>
  <c r="BI64" i="59"/>
  <c r="AZ19" i="59"/>
  <c r="BJ16" i="59"/>
  <c r="BD46" i="59"/>
  <c r="BD48" i="59"/>
  <c r="BK45" i="59"/>
  <c r="BK52" i="59"/>
  <c r="BK10" i="59"/>
  <c r="BB39" i="59"/>
  <c r="BH15" i="59"/>
  <c r="BE41" i="59"/>
  <c r="BG19" i="59"/>
  <c r="BA57" i="59"/>
  <c r="BF17" i="59"/>
  <c r="AZ48" i="59"/>
  <c r="AZ37" i="59"/>
  <c r="BG55" i="59"/>
  <c r="BE4" i="59"/>
  <c r="BG43" i="59"/>
  <c r="BC64" i="59"/>
  <c r="BD59" i="59"/>
  <c r="BD63" i="59"/>
  <c r="BH78" i="59"/>
  <c r="BJ20" i="59"/>
  <c r="BI46" i="59"/>
  <c r="BK18" i="59"/>
  <c r="BC54" i="59"/>
  <c r="BJ25" i="59"/>
  <c r="BK64" i="59"/>
  <c r="BD57" i="59"/>
  <c r="BF39" i="59"/>
  <c r="BH24" i="59"/>
  <c r="BA16" i="59"/>
  <c r="BI26" i="59"/>
  <c r="BC53" i="59"/>
  <c r="BG71" i="59"/>
  <c r="BG70" i="59" s="1"/>
  <c r="BF46" i="59"/>
  <c r="BK8" i="59"/>
  <c r="BF54" i="59"/>
  <c r="BA17" i="59"/>
  <c r="BH55" i="59"/>
  <c r="BB7" i="59"/>
  <c r="BC3" i="59"/>
  <c r="BI27" i="59"/>
  <c r="BH57" i="59"/>
  <c r="BF14" i="59"/>
  <c r="BF35" i="59"/>
  <c r="BB64" i="59"/>
  <c r="BH25" i="59"/>
  <c r="BK73" i="59"/>
  <c r="BK72" i="59" s="1"/>
  <c r="BJ30" i="59"/>
  <c r="BJ24" i="59"/>
  <c r="AZ39" i="59"/>
  <c r="BK4" i="59"/>
  <c r="BD40" i="59"/>
  <c r="BF18" i="59"/>
  <c r="BF43" i="59"/>
  <c r="BE42" i="59"/>
  <c r="AZ14" i="59"/>
  <c r="BF23" i="59"/>
  <c r="AZ51" i="59"/>
  <c r="BC61" i="59"/>
  <c r="BE35" i="59"/>
  <c r="BB71" i="59"/>
  <c r="BB70" i="59" s="1"/>
  <c r="BG36" i="59"/>
  <c r="BB21" i="59"/>
  <c r="BH56" i="59"/>
  <c r="BK39" i="59"/>
  <c r="BD17" i="59"/>
  <c r="BA27" i="59"/>
  <c r="BJ4" i="59"/>
  <c r="BH30" i="59"/>
  <c r="BD20" i="59"/>
  <c r="BD56" i="59"/>
  <c r="BA67" i="59"/>
  <c r="BH7" i="59"/>
  <c r="BH63" i="59"/>
  <c r="BK28" i="59"/>
  <c r="BK41" i="59"/>
  <c r="BG14" i="59"/>
  <c r="BI56" i="59"/>
  <c r="BH16" i="59"/>
  <c r="BK71" i="59"/>
  <c r="BK70" i="59" s="1"/>
  <c r="BE16" i="59"/>
  <c r="BB32" i="59"/>
  <c r="BI20" i="59"/>
  <c r="BH58" i="59"/>
  <c r="BF15" i="59"/>
  <c r="BC19" i="59"/>
  <c r="BA18" i="59"/>
  <c r="BB26" i="59"/>
  <c r="BA26" i="59"/>
  <c r="BH53" i="59"/>
  <c r="BJ54" i="59"/>
  <c r="BH29" i="59"/>
  <c r="BD4" i="59"/>
  <c r="BJ43" i="59"/>
  <c r="BF40" i="59"/>
  <c r="BD23" i="59"/>
  <c r="BJ13" i="59"/>
  <c r="BF16" i="59"/>
  <c r="BG53" i="59"/>
  <c r="BG37" i="59"/>
  <c r="BI8" i="59"/>
  <c r="BE10" i="59"/>
  <c r="BE78" i="59"/>
  <c r="BJ36" i="59"/>
  <c r="BE38" i="59"/>
  <c r="BE71" i="59"/>
  <c r="BE70" i="59" s="1"/>
  <c r="BA42" i="59"/>
  <c r="BI38" i="59"/>
  <c r="BK42" i="59"/>
  <c r="BF55" i="59"/>
  <c r="AZ35" i="59"/>
  <c r="BD26" i="59"/>
  <c r="BE57" i="59"/>
  <c r="BI29" i="59"/>
  <c r="BD54" i="59"/>
  <c r="BG59" i="59"/>
  <c r="BJ57" i="59"/>
  <c r="BH10" i="59"/>
  <c r="BA35" i="59"/>
  <c r="BF9" i="59"/>
  <c r="BE55" i="59"/>
  <c r="BB24" i="59"/>
  <c r="BJ78" i="59"/>
  <c r="BI66" i="59"/>
  <c r="BB56" i="59"/>
  <c r="BA21" i="59"/>
  <c r="BI36" i="59"/>
  <c r="BA9" i="59"/>
  <c r="BF29" i="59"/>
  <c r="BF41" i="59"/>
  <c r="BB57" i="59"/>
  <c r="BF11" i="59"/>
  <c r="BF27" i="59"/>
  <c r="BJ45" i="59"/>
  <c r="BE40" i="59"/>
  <c r="BH48" i="59"/>
  <c r="BD35" i="59"/>
  <c r="BD38" i="59"/>
  <c r="AZ26" i="59"/>
  <c r="AZ55" i="59"/>
  <c r="AZ78" i="59"/>
  <c r="BA31" i="59"/>
  <c r="BG21" i="59"/>
  <c r="AZ67" i="59"/>
  <c r="BI45" i="59"/>
  <c r="BG42" i="59"/>
  <c r="I15" i="736"/>
  <c r="BJ8" i="59"/>
  <c r="BA39" i="59"/>
  <c r="BD61" i="59"/>
  <c r="BE11" i="59"/>
  <c r="BH14" i="59"/>
  <c r="BG38" i="59"/>
  <c r="BI15" i="59"/>
  <c r="BA63" i="59"/>
  <c r="BA37" i="59"/>
  <c r="BE46" i="59"/>
  <c r="BB31" i="59"/>
  <c r="BI57" i="59"/>
  <c r="BG52" i="59"/>
  <c r="BB54" i="59"/>
  <c r="BA54" i="59"/>
  <c r="BB17" i="59"/>
  <c r="BF49" i="59"/>
  <c r="BE61" i="59"/>
  <c r="BJ21" i="59"/>
  <c r="BF48" i="59"/>
  <c r="BD29" i="59"/>
  <c r="BH23" i="59"/>
  <c r="BA53" i="59"/>
  <c r="BG78" i="59"/>
  <c r="BG29" i="59"/>
  <c r="BA41" i="59"/>
  <c r="BB66" i="59"/>
  <c r="BG56" i="59"/>
  <c r="BC10" i="59"/>
  <c r="BC44" i="59"/>
  <c r="BD36" i="59"/>
  <c r="BI28" i="59"/>
  <c r="BA38" i="59"/>
  <c r="BE31" i="59"/>
  <c r="BA71" i="59"/>
  <c r="BA70" i="59" s="1"/>
  <c r="BE58" i="59"/>
  <c r="BJ9" i="59"/>
  <c r="BI52" i="59"/>
  <c r="BB53" i="59"/>
  <c r="BA15" i="59"/>
  <c r="BI53" i="59"/>
  <c r="BG23" i="59"/>
  <c r="BH61" i="59"/>
  <c r="BA32" i="59"/>
  <c r="AZ73" i="59"/>
  <c r="AZ72" i="59" s="1"/>
  <c r="BH39" i="59"/>
  <c r="BG63" i="59"/>
  <c r="AZ59" i="59"/>
  <c r="AZ21" i="59"/>
  <c r="BD11" i="59"/>
  <c r="BJ37" i="59"/>
  <c r="BA7" i="59"/>
  <c r="BE3" i="59"/>
  <c r="BF42" i="59"/>
  <c r="BC67" i="59"/>
  <c r="BI43" i="59"/>
  <c r="BH32" i="59"/>
  <c r="BJ71" i="59"/>
  <c r="BJ70" i="59" s="1"/>
  <c r="BI67" i="59"/>
  <c r="BI40" i="59"/>
  <c r="BH45" i="59"/>
  <c r="BF19" i="59"/>
  <c r="BE43" i="59"/>
  <c r="BF56" i="59"/>
  <c r="BK53" i="59"/>
  <c r="BK67" i="59"/>
  <c r="BD10" i="59"/>
  <c r="BE52" i="59"/>
  <c r="BF30" i="59"/>
  <c r="BD51" i="59"/>
  <c r="BI21" i="59"/>
  <c r="BK25" i="59"/>
  <c r="AZ52" i="59"/>
  <c r="BD45" i="59"/>
  <c r="AV54" i="59"/>
  <c r="AQ33" i="59"/>
  <c r="AP60" i="59"/>
  <c r="AV45" i="59"/>
  <c r="AV10" i="59"/>
  <c r="AS2" i="59"/>
  <c r="AQ50" i="59"/>
  <c r="AV41" i="59"/>
  <c r="AN50" i="59"/>
  <c r="AV51" i="59"/>
  <c r="AN2" i="59"/>
  <c r="AV3" i="59"/>
  <c r="AR33" i="59"/>
  <c r="AV14" i="59"/>
  <c r="AV71" i="59"/>
  <c r="AV70" i="59" s="1"/>
  <c r="AN70" i="59"/>
  <c r="AN68" i="59" s="1"/>
  <c r="AV43" i="59"/>
  <c r="AT6" i="59"/>
  <c r="AU2" i="59"/>
  <c r="AO22" i="59"/>
  <c r="AO65" i="59"/>
  <c r="AQ22" i="59"/>
  <c r="AP50" i="59"/>
  <c r="AV16" i="59"/>
  <c r="AO12" i="59"/>
  <c r="AV53" i="59"/>
  <c r="AO50" i="59"/>
  <c r="AV69" i="59"/>
  <c r="AU6" i="59"/>
  <c r="AV18" i="59"/>
  <c r="AU12" i="59"/>
  <c r="AV44" i="59"/>
  <c r="V15" i="59"/>
  <c r="AV31" i="59"/>
  <c r="AV42" i="59"/>
  <c r="AV15" i="59"/>
  <c r="AV40" i="59"/>
  <c r="AR50" i="59"/>
  <c r="AV64" i="59"/>
  <c r="AV35" i="59"/>
  <c r="AS50" i="59"/>
  <c r="AV66" i="59"/>
  <c r="AV65" i="59" s="1"/>
  <c r="AN65" i="59"/>
  <c r="AT50" i="59"/>
  <c r="AN33" i="59"/>
  <c r="AV34" i="59"/>
  <c r="AT33" i="59"/>
  <c r="AV9" i="59"/>
  <c r="AO2" i="59"/>
  <c r="AV8" i="59"/>
  <c r="AS12" i="59"/>
  <c r="AV21" i="59"/>
  <c r="AV36" i="59"/>
  <c r="AV48" i="59"/>
  <c r="AV13" i="59"/>
  <c r="AN12" i="59"/>
  <c r="AV29" i="59"/>
  <c r="AU22" i="59"/>
  <c r="AV49" i="59"/>
  <c r="AT68" i="59"/>
  <c r="B8" i="677" l="1"/>
  <c r="H30" i="418"/>
  <c r="D58" i="685"/>
  <c r="D72" i="748"/>
  <c r="K3" i="418"/>
  <c r="K30" i="418" s="1"/>
  <c r="F36" i="680" s="1"/>
  <c r="J30" i="418"/>
  <c r="E7" i="680"/>
  <c r="E6" i="674"/>
  <c r="E33" i="674" s="1"/>
  <c r="D37" i="674" s="1"/>
  <c r="AV2" i="59"/>
  <c r="BA2" i="59"/>
  <c r="AQ5" i="59"/>
  <c r="AP5" i="59"/>
  <c r="BB65" i="59"/>
  <c r="BE60" i="59"/>
  <c r="AZ2" i="59"/>
  <c r="BH68" i="59"/>
  <c r="BD60" i="59"/>
  <c r="BJ65" i="59"/>
  <c r="AV50" i="59"/>
  <c r="AV22" i="59"/>
  <c r="AS5" i="59"/>
  <c r="AU5" i="59"/>
  <c r="BB6" i="59"/>
  <c r="BI60" i="59"/>
  <c r="BG68" i="59"/>
  <c r="BF6" i="59"/>
  <c r="BD68" i="59"/>
  <c r="AZ68" i="59"/>
  <c r="BE6" i="59"/>
  <c r="BJ68" i="59"/>
  <c r="AV6" i="59"/>
  <c r="BE68" i="59"/>
  <c r="BI6" i="59"/>
  <c r="BK68" i="59"/>
  <c r="BJ2" i="59"/>
  <c r="BG65" i="59"/>
  <c r="BD6" i="59"/>
  <c r="BH6" i="59"/>
  <c r="BF65" i="59"/>
  <c r="BD65" i="59"/>
  <c r="AV68" i="59"/>
  <c r="BC60" i="59"/>
  <c r="BE33" i="59"/>
  <c r="BA12" i="59"/>
  <c r="BC65" i="59"/>
  <c r="BC68" i="59"/>
  <c r="W19" i="59"/>
  <c r="I6" i="736"/>
  <c r="BH65" i="59"/>
  <c r="BC12" i="59"/>
  <c r="BH22" i="59"/>
  <c r="AT5" i="59"/>
  <c r="BI12" i="59"/>
  <c r="BB50" i="59"/>
  <c r="BG33" i="59"/>
  <c r="BJ6" i="59"/>
  <c r="BH50" i="59"/>
  <c r="BF2" i="59"/>
  <c r="BJ60" i="59"/>
  <c r="BD2" i="59"/>
  <c r="BK33" i="59"/>
  <c r="BH60" i="59"/>
  <c r="AZ50" i="59"/>
  <c r="AZ65" i="59"/>
  <c r="BA68" i="59"/>
  <c r="AZ12" i="59"/>
  <c r="AZ33" i="59"/>
  <c r="BK12" i="59"/>
  <c r="BK50" i="59"/>
  <c r="BA22" i="59"/>
  <c r="BI33" i="59"/>
  <c r="BG6" i="59"/>
  <c r="AN5" i="59"/>
  <c r="AV33" i="59"/>
  <c r="BF22" i="59"/>
  <c r="BE50" i="59"/>
  <c r="BB60" i="59"/>
  <c r="BC6" i="59"/>
  <c r="BD12" i="59"/>
  <c r="BK2" i="59"/>
  <c r="BE65" i="59"/>
  <c r="BJ50" i="59"/>
  <c r="BK65" i="59"/>
  <c r="J6" i="420"/>
  <c r="J7" i="420" s="1"/>
  <c r="AO5" i="59"/>
  <c r="BJ12" i="59"/>
  <c r="AV12" i="59"/>
  <c r="BE2" i="59"/>
  <c r="BC22" i="59"/>
  <c r="BK6" i="59"/>
  <c r="BB2" i="59"/>
  <c r="AZ6" i="59"/>
  <c r="BC33" i="59"/>
  <c r="BF12" i="59"/>
  <c r="BH2" i="59"/>
  <c r="BK60" i="59"/>
  <c r="BI22" i="59"/>
  <c r="BD50" i="59"/>
  <c r="BD22" i="59"/>
  <c r="P33" i="674"/>
  <c r="S6" i="674"/>
  <c r="BG22" i="59"/>
  <c r="BA6" i="59"/>
  <c r="BC50" i="59"/>
  <c r="BA60" i="59"/>
  <c r="BI68" i="59"/>
  <c r="BD33" i="59"/>
  <c r="BI2" i="59"/>
  <c r="BF68" i="59"/>
  <c r="AR5" i="59"/>
  <c r="BB12" i="59"/>
  <c r="BJ22" i="59"/>
  <c r="BA50" i="59"/>
  <c r="AV60" i="59"/>
  <c r="BH33" i="59"/>
  <c r="BK22" i="59"/>
  <c r="BG12" i="59"/>
  <c r="BJ33" i="59"/>
  <c r="AZ22" i="59"/>
  <c r="BI50" i="59"/>
  <c r="BH12" i="59"/>
  <c r="BF50" i="59"/>
  <c r="BB33" i="59"/>
  <c r="BG50" i="59"/>
  <c r="AZ60" i="59"/>
  <c r="BA65" i="59"/>
  <c r="BF60" i="59"/>
  <c r="BG60" i="59"/>
  <c r="BI65" i="59"/>
  <c r="BC2" i="59"/>
  <c r="BB22" i="59"/>
  <c r="BB68" i="59"/>
  <c r="BE12" i="59"/>
  <c r="BG2" i="59"/>
  <c r="BE22" i="59"/>
  <c r="BF33" i="59"/>
  <c r="BA33" i="59"/>
  <c r="E6" i="680" l="1"/>
  <c r="E43" i="680"/>
  <c r="E42" i="680" s="1"/>
  <c r="E36" i="680"/>
  <c r="E7" i="749"/>
  <c r="F7" i="749" s="1"/>
  <c r="D8" i="749"/>
  <c r="B10" i="677"/>
  <c r="C67" i="682"/>
  <c r="F38" i="680"/>
  <c r="C19" i="677"/>
  <c r="H6" i="741"/>
  <c r="F7" i="680"/>
  <c r="F43" i="680" s="1"/>
  <c r="F42" i="680" s="1"/>
  <c r="H7" i="741"/>
  <c r="H8" i="741"/>
  <c r="H5" i="741"/>
  <c r="H23" i="676"/>
  <c r="I36" i="674"/>
  <c r="T6" i="674"/>
  <c r="BI5" i="59"/>
  <c r="BE5" i="59"/>
  <c r="BH5" i="59"/>
  <c r="BB5" i="59"/>
  <c r="AV5" i="59"/>
  <c r="BK5" i="59"/>
  <c r="BF5" i="59"/>
  <c r="BD5" i="59"/>
  <c r="BJ5" i="59"/>
  <c r="AZ5" i="59"/>
  <c r="BG5" i="59"/>
  <c r="E7" i="679"/>
  <c r="D9" i="679"/>
  <c r="BC5" i="59"/>
  <c r="BA5" i="59"/>
  <c r="D11" i="677" l="1"/>
  <c r="E37" i="674"/>
  <c r="E38" i="674" s="1"/>
  <c r="C7" i="677"/>
  <c r="F49" i="680"/>
  <c r="K36" i="674" s="1"/>
  <c r="E49" i="680"/>
  <c r="G42" i="680"/>
  <c r="G36" i="680"/>
  <c r="H9" i="741"/>
  <c r="E8" i="749"/>
  <c r="E14" i="749" s="1"/>
  <c r="D14" i="749"/>
  <c r="E38" i="680"/>
  <c r="C9" i="677"/>
  <c r="C8" i="677"/>
  <c r="F6" i="680"/>
  <c r="G6" i="680" s="1"/>
  <c r="G7" i="680"/>
  <c r="G43" i="680" s="1"/>
  <c r="E9" i="679"/>
  <c r="H21" i="741"/>
  <c r="B12" i="677"/>
  <c r="E34" i="674"/>
  <c r="G49" i="680" l="1"/>
  <c r="C10" i="6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Othman Marzouk</author>
  </authors>
  <commentList>
    <comment ref="E75" authorId="0" shapeId="0" xr:uid="{B38C8712-D594-44B9-B880-F660348AF79B}">
      <text>
        <r>
          <rPr>
            <b/>
            <sz val="9"/>
            <color indexed="81"/>
            <rFont val="Tahoma"/>
            <family val="2"/>
          </rPr>
          <t>Othman Marzouk:</t>
        </r>
        <r>
          <rPr>
            <sz val="9"/>
            <color indexed="81"/>
            <rFont val="Tahoma"/>
            <family val="2"/>
          </rPr>
          <t xml:space="preserve">
TSVPPM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Othman Marzouk</author>
  </authors>
  <commentList>
    <comment ref="I75" authorId="0" shapeId="0" xr:uid="{05BBB6F4-6AB1-4A68-B5AC-51E3CB23FECE}">
      <text>
        <r>
          <rPr>
            <b/>
            <sz val="9"/>
            <color indexed="81"/>
            <rFont val="Tahoma"/>
            <family val="2"/>
          </rPr>
          <t>Othman Marzouk:</t>
        </r>
        <r>
          <rPr>
            <sz val="9"/>
            <color indexed="81"/>
            <rFont val="Tahoma"/>
            <family val="2"/>
          </rPr>
          <t xml:space="preserve">
TSVPPM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<sst xmlns="http://schemas.openxmlformats.org/spreadsheetml/2006/main" count="4601" uniqueCount="851">
  <si>
    <t>Date</t>
  </si>
  <si>
    <t>Total</t>
  </si>
  <si>
    <t>Tax</t>
  </si>
  <si>
    <t>Final</t>
  </si>
  <si>
    <t>Amount</t>
  </si>
  <si>
    <t>Rec. no.</t>
  </si>
  <si>
    <t>N°</t>
  </si>
  <si>
    <t>No.</t>
  </si>
  <si>
    <t>Company</t>
  </si>
  <si>
    <t>Total differences</t>
  </si>
  <si>
    <t>Total Extractive company Adjustments</t>
  </si>
  <si>
    <t>Total Government Adjustments</t>
  </si>
  <si>
    <t>Company Adjustments</t>
  </si>
  <si>
    <t>Government adjustments</t>
  </si>
  <si>
    <t>Adjustment Company</t>
  </si>
  <si>
    <t>Adjustment Govt</t>
  </si>
  <si>
    <t>Company adjustment summary</t>
  </si>
  <si>
    <t>Government adjustment summary</t>
  </si>
  <si>
    <t>Total adjustments</t>
  </si>
  <si>
    <t>Revenu stream</t>
  </si>
  <si>
    <t>Final difference breakdown</t>
  </si>
  <si>
    <t>Revenu Stream</t>
  </si>
  <si>
    <t>Ref.</t>
  </si>
  <si>
    <t>Finalised</t>
  </si>
  <si>
    <t>Not finalised</t>
  </si>
  <si>
    <t>Others</t>
  </si>
  <si>
    <t>Payment stream</t>
  </si>
  <si>
    <t>Nomenclature des flux</t>
  </si>
  <si>
    <t>Initial</t>
  </si>
  <si>
    <t>Ajustements</t>
  </si>
  <si>
    <t>Gouvernement</t>
  </si>
  <si>
    <t>Différence Finale</t>
  </si>
  <si>
    <t>Commentaires</t>
  </si>
  <si>
    <t>Nom de la société</t>
  </si>
  <si>
    <t>Année</t>
  </si>
  <si>
    <t>Flux de paiements</t>
  </si>
  <si>
    <t>Ajustements Sociétés</t>
  </si>
  <si>
    <t>Ajustements Gouvernement</t>
  </si>
  <si>
    <t>Réponse</t>
  </si>
  <si>
    <t>Progrès</t>
  </si>
  <si>
    <t>Activité</t>
  </si>
  <si>
    <t>Exploration minière</t>
  </si>
  <si>
    <t>Exploration et Exploitation minière</t>
  </si>
  <si>
    <t>Société de carrière</t>
  </si>
  <si>
    <t>Exploitation minière</t>
  </si>
  <si>
    <t>Taxes payées non reportées</t>
  </si>
  <si>
    <t>Taxes payées hors période de réconciliation</t>
  </si>
  <si>
    <t>Taxes reportées non payées</t>
  </si>
  <si>
    <t>Différence de change</t>
  </si>
  <si>
    <t>Taxes perçues hors de la période de réconciliation</t>
  </si>
  <si>
    <t>FD non soumis par l'Etat</t>
  </si>
  <si>
    <t>FD non soumis par la Société</t>
  </si>
  <si>
    <t>Détail non soumis par l'Etat</t>
  </si>
  <si>
    <t>Taxes non reportées par l'Entreprise Extractive</t>
  </si>
  <si>
    <t>Taxes non reportées par l'Etat</t>
  </si>
  <si>
    <t>Société</t>
  </si>
  <si>
    <t>Nom</t>
  </si>
  <si>
    <t>Unité</t>
  </si>
  <si>
    <t>Oui</t>
  </si>
  <si>
    <t>Non</t>
  </si>
  <si>
    <t>N/C (non communiqué)</t>
  </si>
  <si>
    <t xml:space="preserve">Once </t>
  </si>
  <si>
    <t>Kg</t>
  </si>
  <si>
    <t>Statut</t>
  </si>
  <si>
    <t>Refus</t>
  </si>
  <si>
    <t>Sans réserve</t>
  </si>
  <si>
    <t>Avec réserve</t>
  </si>
  <si>
    <t>Paiements sociaux obligatoires</t>
  </si>
  <si>
    <t>Confirmé</t>
  </si>
  <si>
    <t>Non confirmé</t>
  </si>
  <si>
    <t>Différence</t>
  </si>
  <si>
    <t>Sociétés</t>
  </si>
  <si>
    <t>Montants après ajustements</t>
  </si>
  <si>
    <t>Déclarations initialement reçues</t>
  </si>
  <si>
    <t>Taxes hors périmètre de réconciliation</t>
  </si>
  <si>
    <t>Paiements sociaux volontaires</t>
  </si>
  <si>
    <t>Montant doublement déclaré</t>
  </si>
  <si>
    <t>Total général</t>
  </si>
  <si>
    <t>Secteur</t>
  </si>
  <si>
    <t>Minier</t>
  </si>
  <si>
    <t>Patente</t>
  </si>
  <si>
    <t>DGID</t>
  </si>
  <si>
    <t xml:space="preserve">Paiements Sociaux </t>
  </si>
  <si>
    <t>NINEA</t>
  </si>
  <si>
    <t>Différence de classification</t>
  </si>
  <si>
    <t xml:space="preserve">Détail par quittance non soumis par l'Entreprise Extractive </t>
  </si>
  <si>
    <t>Montants non reportés par l'Etat</t>
  </si>
  <si>
    <t>Différences provenant de détail soumis par la société et non soumis par l'Etat d'un coté et détail soumis pas l'Etat et non soumis par la société de l'autre coté</t>
  </si>
  <si>
    <t>Montants non reportés par la société</t>
  </si>
  <si>
    <t>Erreur de reporting (montant et détail)</t>
  </si>
  <si>
    <t>Erreur de classification</t>
  </si>
  <si>
    <t>Taxe reportée par l'Etat non réellement encaissée</t>
  </si>
  <si>
    <t>Tous</t>
  </si>
  <si>
    <t>Paiements en numéraire</t>
  </si>
  <si>
    <t>Paiements en nature</t>
  </si>
  <si>
    <t>Taxes perçues non reportées par l'Etat</t>
  </si>
  <si>
    <t>Taxes payées sous un autre NINEA</t>
  </si>
  <si>
    <t>Taxes payées par la Ste sur un autre NINEA non reporté par l'Etat</t>
  </si>
  <si>
    <t>Formulaires de déclarations</t>
  </si>
  <si>
    <t>Reçu</t>
  </si>
  <si>
    <t>Excel</t>
  </si>
  <si>
    <t>PDF</t>
  </si>
  <si>
    <t>Signature</t>
  </si>
  <si>
    <t>Certification</t>
  </si>
  <si>
    <t>Signature
&amp; Cachet</t>
  </si>
  <si>
    <t>Faite</t>
  </si>
  <si>
    <t>envoyé</t>
  </si>
  <si>
    <t>relance 1</t>
  </si>
  <si>
    <t>réponse
reçu</t>
  </si>
  <si>
    <t>Terminé</t>
  </si>
  <si>
    <t>relance des
points restants</t>
  </si>
  <si>
    <t xml:space="preserve">Cours </t>
  </si>
  <si>
    <t>Date
d'envoi</t>
  </si>
  <si>
    <t>Réconciliation en numéraire</t>
  </si>
  <si>
    <t>Réconciliation Production</t>
  </si>
  <si>
    <t>Réconciliation Exportation</t>
  </si>
  <si>
    <t>N</t>
  </si>
  <si>
    <t>CCO</t>
  </si>
  <si>
    <t>M361614Q001</t>
  </si>
  <si>
    <t xml:space="preserve">Kotto Mines </t>
  </si>
  <si>
    <t>M351212N001</t>
  </si>
  <si>
    <t>SAWA SAWA</t>
  </si>
  <si>
    <t>M362882M001</t>
  </si>
  <si>
    <t>STE SIGMA GOLD LTD</t>
  </si>
  <si>
    <t>ADAMA SWISS</t>
  </si>
  <si>
    <t>M312013J001</t>
  </si>
  <si>
    <t>SOCIETE INDUSTRIE MINIERE DE CENTRA</t>
  </si>
  <si>
    <t>SOCIETE B.B.B</t>
  </si>
  <si>
    <t>M049440H001</t>
  </si>
  <si>
    <t>SOCIETE_GOLD_KOSS</t>
  </si>
  <si>
    <t>GONGA</t>
  </si>
  <si>
    <t>M358340M001</t>
  </si>
  <si>
    <t>HW-Lepo</t>
  </si>
  <si>
    <t>M349506@001</t>
  </si>
  <si>
    <t>VOGUEROC SURL</t>
  </si>
  <si>
    <t>M369291E001</t>
  </si>
  <si>
    <t>SOCIETE DUNTA</t>
  </si>
  <si>
    <t>M350653V001</t>
  </si>
  <si>
    <t>SOCIETE_AMERICAN EAGLE</t>
  </si>
  <si>
    <t>SOCIETE_AF_IRON</t>
  </si>
  <si>
    <t>Diamville SAU</t>
  </si>
  <si>
    <t>M360058P001</t>
  </si>
  <si>
    <t>Midas Ressources SARLU</t>
  </si>
  <si>
    <t xml:space="preserve">SOCIETE D'EXPLOITATION FORESTIERE CENTRAFRICAINE </t>
  </si>
  <si>
    <t>M197292P001</t>
  </si>
  <si>
    <t>Forestier</t>
  </si>
  <si>
    <t>M343448Z001</t>
  </si>
  <si>
    <t>SCAD</t>
  </si>
  <si>
    <t>M099591A001</t>
  </si>
  <si>
    <t>SOCIETE  IFB  SARL  INUSTRIE FOREST. BATALIMO</t>
  </si>
  <si>
    <t>M074472L001</t>
  </si>
  <si>
    <t>VIC WOOD CENTRAFRIQUE</t>
  </si>
  <si>
    <t>M244988H001</t>
  </si>
  <si>
    <t>CENTRA BOIS</t>
  </si>
  <si>
    <t>M344523U001</t>
  </si>
  <si>
    <t>SOCIETE TRANSFORMATION DE BOIS CENTRAF.</t>
  </si>
  <si>
    <t>M310458U003</t>
  </si>
  <si>
    <t>THANRY CENTRAFRIQUE</t>
  </si>
  <si>
    <t>M224153J001</t>
  </si>
  <si>
    <t>Bois Rouge SARLU</t>
  </si>
  <si>
    <t>M359567N001</t>
  </si>
  <si>
    <t>PTI- IAS</t>
  </si>
  <si>
    <t>M340898E</t>
  </si>
  <si>
    <t>Petrolier</t>
  </si>
  <si>
    <t>M313171P</t>
  </si>
  <si>
    <t>Redevance équipement, informatique et finances (REIF)</t>
  </si>
  <si>
    <t>DGDDI</t>
  </si>
  <si>
    <t>Droit de sortie (DS)</t>
  </si>
  <si>
    <t>Amendes et pénalités payées à la DGDDI (+)</t>
  </si>
  <si>
    <t>Dividendes sur participation de l'Etat (+)</t>
  </si>
  <si>
    <t>DGTCP</t>
  </si>
  <si>
    <t>Redevance à la production (+)</t>
  </si>
  <si>
    <t>Contribution au développement social (CDS)</t>
  </si>
  <si>
    <t>Droit d'enregistrement (DE)</t>
  </si>
  <si>
    <t>Impôt sur les revenus des personnes physiques (IRPP)</t>
  </si>
  <si>
    <t>Impôt sur les sociétés (IS)</t>
  </si>
  <si>
    <t>Loyer annuel</t>
  </si>
  <si>
    <t xml:space="preserve">Taxe d'abattage  </t>
  </si>
  <si>
    <t xml:space="preserve">Taxe de reboisement  </t>
  </si>
  <si>
    <t>Impôt sur les fonciers bâtis (IFB)</t>
  </si>
  <si>
    <t>Minimum impôt sur les sociétés (MIS)</t>
  </si>
  <si>
    <t xml:space="preserve">Impôt minimum forfaitaire (IMF) </t>
  </si>
  <si>
    <t>Précompte</t>
  </si>
  <si>
    <t>Taxe sur la valeur ajoutée (TVA)</t>
  </si>
  <si>
    <t>Impôt sur les revenus des loyers (IRL)</t>
  </si>
  <si>
    <t>Droits fixes (sur l'octroi, renouvellement, transfert) (+)</t>
  </si>
  <si>
    <t>Les redevances proportionnelles ou royalties sur les autorisations d'exploitation de carrière et les exploitations des mines (+)</t>
  </si>
  <si>
    <t>Impôt sur les revenus des capitaux mobiliers (RCM) (+)</t>
  </si>
  <si>
    <t>Taxe de Développement Artisanal (TDA) (+)</t>
  </si>
  <si>
    <t>Amendes et pénalités payées à la DGID (+)</t>
  </si>
  <si>
    <t>Redevance de déboisement (+)</t>
  </si>
  <si>
    <t>Redevance de pré reconnaissance (+)</t>
  </si>
  <si>
    <t>Contribution à la formation professionnelle et à la formation des cadres de l'Administration des Mines (+)</t>
  </si>
  <si>
    <t>MMG</t>
  </si>
  <si>
    <t>Droits d'attributions</t>
  </si>
  <si>
    <t xml:space="preserve">Secrétariat permanent du processus de Kimberley (SPPK)  </t>
  </si>
  <si>
    <t xml:space="preserve">Redevance superficiaire   </t>
  </si>
  <si>
    <t>Projet de développement du secteur minier (PDSM)</t>
  </si>
  <si>
    <t>DGTCP (FDM)</t>
  </si>
  <si>
    <t xml:space="preserve">Paiements inranationaux au profit des communes </t>
  </si>
  <si>
    <t>Taxes superficiaires (+)</t>
  </si>
  <si>
    <t>Taxe d’abattage  (+)</t>
  </si>
  <si>
    <t>Taxe de reboisement (+)</t>
  </si>
  <si>
    <t>Droit de sortie (DS)/Taxe Export (+)</t>
  </si>
  <si>
    <t>Taxes environnementales sur les Stes forestières et Minières (+)</t>
  </si>
  <si>
    <t xml:space="preserve">Fonds du soutien à la Promotion Pétrolière </t>
  </si>
  <si>
    <t>DGP</t>
  </si>
  <si>
    <t>Fonds de Soutien aux projets de Développement Communautaire</t>
  </si>
  <si>
    <t>Taxes sur les appareils à pression de vapeur et de gaz (+)</t>
  </si>
  <si>
    <t>Taxes à la pollution (+)</t>
  </si>
  <si>
    <t>Redevances annuelles résultant des inspections et contrôle des installations classées (+)</t>
  </si>
  <si>
    <t>Taxes superficiaires encaissées par le FNE (+)</t>
  </si>
  <si>
    <t>Taxes de remise en état (+)</t>
  </si>
  <si>
    <t xml:space="preserve">Amendes environnementales </t>
  </si>
  <si>
    <t>Dépenses environnementales volontaires (+)</t>
  </si>
  <si>
    <t>Affectations spéciales</t>
  </si>
  <si>
    <t>Affectation au titre de taxe d’abattage (+)</t>
  </si>
  <si>
    <t>Affectation au titre la taxe de reboisement (+)</t>
  </si>
  <si>
    <t xml:space="preserve">Transferts du Trésor aux communes </t>
  </si>
  <si>
    <t>Transfert infranational au titre de la taxe d'abattage (+)</t>
  </si>
  <si>
    <t>Transfert infranational au titre de la taxe reboisement (+)</t>
  </si>
  <si>
    <t>Transfert infranational au titre de la taxe environnementale (+)</t>
  </si>
  <si>
    <t xml:space="preserve">Autres transferts au profit des communes </t>
  </si>
  <si>
    <t>Bonus de signature versés par les investisseurs miniers (+) (DGTCP (FDM))</t>
  </si>
  <si>
    <t>Paiements environnementaux - DGTCP (FNE)</t>
  </si>
  <si>
    <t>Autres paiements significatifs versés aux entités gouvernementales (&gt;10 millions FCFA)</t>
  </si>
  <si>
    <t>Transfert du trésor aux communes</t>
  </si>
  <si>
    <t>Rapport BEAC 2022</t>
  </si>
  <si>
    <t>https://www.beac.int/wp-content/uploads/2023/10/Rapport-annuel-BEAC-2022.pdf</t>
  </si>
  <si>
    <t>Non significatif &lt; 1 M FCFA</t>
  </si>
  <si>
    <t>FD non soumis
par la Société</t>
  </si>
  <si>
    <t>FD non soumis
par l'Etat</t>
  </si>
  <si>
    <t>Détail non soumis
par l'Etat</t>
  </si>
  <si>
    <t>Différence de
classification</t>
  </si>
  <si>
    <t>Non significatif
&lt; 1 M FCFA</t>
  </si>
  <si>
    <t>Total des écarts
non justifiés</t>
  </si>
  <si>
    <t>Check</t>
  </si>
  <si>
    <t>l'écart doit être 0</t>
  </si>
  <si>
    <t>oui</t>
  </si>
  <si>
    <t>DGEF</t>
  </si>
  <si>
    <t>Les pièces justificatives ne coincident pas avec les données reportés par l'Etat</t>
  </si>
  <si>
    <t>Flux</t>
  </si>
  <si>
    <t>Montant (Million FCFA)</t>
  </si>
  <si>
    <t>Taxe d’abattage</t>
  </si>
  <si>
    <t>Impôt minimum forfaitaire (IMF)</t>
  </si>
  <si>
    <t>Droits d'enregistrement (DE)</t>
  </si>
  <si>
    <t>Taxe de Reboisement</t>
  </si>
  <si>
    <t>Autres</t>
  </si>
  <si>
    <t>%</t>
  </si>
  <si>
    <t>Secteur forestier</t>
  </si>
  <si>
    <t>Secteur minier</t>
  </si>
  <si>
    <t>Secteur pétrolier</t>
  </si>
  <si>
    <t>Grand Total</t>
  </si>
  <si>
    <t>Recettes conciliées (Million FCFA)</t>
  </si>
  <si>
    <t>Recettes totales (Million FCFA)</t>
  </si>
  <si>
    <t>Couverture en %</t>
  </si>
  <si>
    <t xml:space="preserve"> Sociétés</t>
  </si>
  <si>
    <t>Pétrolier</t>
  </si>
  <si>
    <t xml:space="preserve">Description </t>
  </si>
  <si>
    <t>Payé à</t>
  </si>
  <si>
    <t>REIF</t>
  </si>
  <si>
    <t>SPPK</t>
  </si>
  <si>
    <t>PDSM</t>
  </si>
  <si>
    <t>Autres paiements significatifs versés aux entités gouvernementales</t>
  </si>
  <si>
    <t>Montant (en FCFA)</t>
  </si>
  <si>
    <t>Loyer</t>
  </si>
  <si>
    <t>Taxes environnementales sur les Stes forestières et Minières</t>
  </si>
  <si>
    <t>Redevances superficiaires</t>
  </si>
  <si>
    <t>Formule à ajuster 
au rapport final</t>
  </si>
  <si>
    <t>Droit de sortie</t>
  </si>
  <si>
    <t>Abattage</t>
  </si>
  <si>
    <t>Reboisement</t>
  </si>
  <si>
    <t>Trésor</t>
  </si>
  <si>
    <t>FDF</t>
  </si>
  <si>
    <t>Autres sociétés</t>
  </si>
  <si>
    <t>Communes</t>
  </si>
  <si>
    <t>Tableau 4 - Contribution du secteur extractif et forestier au PIB</t>
  </si>
  <si>
    <t>Contribution au PIB nominal</t>
  </si>
  <si>
    <t>Activités minières</t>
  </si>
  <si>
    <t>Produits de la sylviculture et d'exploitation forestière</t>
  </si>
  <si>
    <t>2.6%</t>
  </si>
  <si>
    <t>2.8%</t>
  </si>
  <si>
    <t xml:space="preserve">2.9% </t>
  </si>
  <si>
    <t>PIB nominal (milliards de FCFA)</t>
  </si>
  <si>
    <t xml:space="preserve">(milliards FCFA) </t>
  </si>
  <si>
    <t>Valeur FOB</t>
  </si>
  <si>
    <t>Diamants</t>
  </si>
  <si>
    <t>Or</t>
  </si>
  <si>
    <t>Secteur Forestier</t>
  </si>
  <si>
    <t>Bois grume</t>
  </si>
  <si>
    <t>Bois scié</t>
  </si>
  <si>
    <t>Secteur Pétrolier</t>
  </si>
  <si>
    <t>Total exportations</t>
  </si>
  <si>
    <t>Années</t>
  </si>
  <si>
    <t>Production (en milliers de carats)</t>
  </si>
  <si>
    <t>Variation annuelle (%)</t>
  </si>
  <si>
    <t>-</t>
  </si>
  <si>
    <t>Exportation (en milliers de carats)</t>
  </si>
  <si>
    <t>Tableau 7 - Évolution de la production et des exportations de diamant entre 2017 et 2022</t>
  </si>
  <si>
    <t>Production (en kg)</t>
  </si>
  <si>
    <t>Exportation (en kg)</t>
  </si>
  <si>
    <t>Tableau 11 - Principales activités du plan de travail de l'ITIE RCA pour la période 2024-2025</t>
  </si>
  <si>
    <t>Composante</t>
  </si>
  <si>
    <t>Objectifs spécifiques</t>
  </si>
  <si>
    <t>Renforcer l’implication du groupe multipartite dans la mise en œuvre des normes ITIE 2019 en RCA.</t>
  </si>
  <si>
    <t>- Adapter le cadre juridique et institutionnel aux exigences de la Norme ITIE 2019.</t>
  </si>
  <si>
    <t>- Optimiser la participation active de toutes les parties prenantes à la mise en œuvre de l'ITIE-RCA.</t>
  </si>
  <si>
    <t>- Définir un cadre de travail efficace et efficient pour la mise en œuvre de l'ITIE-RCA.</t>
  </si>
  <si>
    <t>2</t>
  </si>
  <si>
    <t>La redevabilité de l'état dans la gestion du secteur extractif et forestier conformément à la norme ITIE 2019.</t>
  </si>
  <si>
    <t>Mettre à la disposition de la population des outils d'information qui lui permettent d'engager efficacement le débat public afin d'exiger du gouvernement des comptes sur la gouvernance des secteurs extractif et forestier.</t>
  </si>
  <si>
    <t>Renforcement de la transparence par la divulgation des d'informations liées à l'exploration et à la production.</t>
  </si>
  <si>
    <t>Intégrer l'ITIE dans les systèmes de divulgation de l'État et des entreprises extractives et forestières relative à l'exploration et à la production.</t>
  </si>
  <si>
    <t>Renforcement de la transparence par la divulgation d'informations liées à la collecte des revenus.</t>
  </si>
  <si>
    <t>Intégrer l'ITIE dans les systèmes de divulgation de l'État et des entreprises extractives relative à la collecte des revenus</t>
  </si>
  <si>
    <t>Renforcement de la transparence par la divulgation des informations liées à l'affectation des revenus.</t>
  </si>
  <si>
    <t>Divulgation de l'affectation des revenus issus du secteur extractif de la RCA.</t>
  </si>
  <si>
    <t>Renforcement de la transparence par la divulgation des informations liées aux dépenses sociales et économiques.</t>
  </si>
  <si>
    <t>Divulgation des dépenses sociales et économiques liées aux revenus issus du secteur extractif et forestier.</t>
  </si>
  <si>
    <t>Renforcement de la transparence par l'engagement des parties prenantes axé sur les résultats et l'impact de l'ITIE.</t>
  </si>
  <si>
    <t>Divulgation des résultats et impact de l'ITIE à travers l'engagement du GMP.</t>
  </si>
  <si>
    <t>Appui opérationnel.</t>
  </si>
  <si>
    <t>Assurer le fonctionnement administratif du Secrétariat Technique et du CNP de l'ITIE RCA.</t>
  </si>
  <si>
    <t>Redevance à la production</t>
  </si>
  <si>
    <t>Redevance de déboisement</t>
  </si>
  <si>
    <t>Référence</t>
  </si>
  <si>
    <t xml:space="preserve">Type d'autorisations / Permis </t>
  </si>
  <si>
    <t>Attributions 
Rapport d'activité</t>
  </si>
  <si>
    <t>Cadastre minier 2022</t>
  </si>
  <si>
    <t>Permis de recherche (PR)</t>
  </si>
  <si>
    <t>Permis d'Exploitation Artisanale Semi-Mécanisée (PEASM)</t>
  </si>
  <si>
    <t>Permis d'exploitation industrielle (PE)</t>
  </si>
  <si>
    <t>Autorisation de Reconnaissance Minière (ARM)</t>
  </si>
  <si>
    <t>Autorisation d'Exploitation Artisanale (AEA)</t>
  </si>
  <si>
    <t>Autorisation de Prospection (AP)</t>
  </si>
  <si>
    <t>Autorisation d'Exploitation de Carrières (AEC)</t>
  </si>
  <si>
    <t>Nationalités</t>
  </si>
  <si>
    <t>Centrafricaine</t>
  </si>
  <si>
    <t>Libanaise</t>
  </si>
  <si>
    <t>Mauritanienne</t>
  </si>
  <si>
    <t>PTIAL</t>
  </si>
  <si>
    <t>PTI-IAS</t>
  </si>
  <si>
    <t>Tableau 31 - Répartition des zones de production de diamant en  RCA</t>
  </si>
  <si>
    <t>Type de zones</t>
  </si>
  <si>
    <t>Zones conformes</t>
  </si>
  <si>
    <t>Zones prioritaires</t>
  </si>
  <si>
    <t>Zones non-conformes</t>
  </si>
  <si>
    <t>Zones de production</t>
  </si>
  <si>
    <t>Nombre</t>
  </si>
  <si>
    <t>Volume (Cts)</t>
  </si>
  <si>
    <r>
      <t>Valeur en (</t>
    </r>
    <r>
      <rPr>
        <b/>
        <sz val="8"/>
        <color rgb="FFFFFFFF"/>
        <rFont val="Trebuchet MS"/>
        <family val="2"/>
      </rPr>
      <t>$</t>
    </r>
    <r>
      <rPr>
        <b/>
        <sz val="9"/>
        <color rgb="FFFFFFFF"/>
        <rFont val="Trebuchet MS"/>
        <family val="2"/>
      </rPr>
      <t>)</t>
    </r>
  </si>
  <si>
    <t>Valeur Ct/$</t>
  </si>
  <si>
    <t xml:space="preserve">118 044.09 </t>
  </si>
  <si>
    <t xml:space="preserve">125,95 </t>
  </si>
  <si>
    <t>Production en Gr</t>
  </si>
  <si>
    <t>Valeur taxable en Million de CFA</t>
  </si>
  <si>
    <t>SOCIETE(IMC)</t>
  </si>
  <si>
    <t>SOCIETE(TIANRUN)</t>
  </si>
  <si>
    <t>COMIGEM</t>
  </si>
  <si>
    <t>SOCIETE MINIERE STAR BE AFRICA</t>
  </si>
  <si>
    <t>Volumes abattus (m3)</t>
  </si>
  <si>
    <t>VICA</t>
  </si>
  <si>
    <t xml:space="preserve">SEFCA </t>
  </si>
  <si>
    <t>Centrabois</t>
  </si>
  <si>
    <t>IFB BATALIMO</t>
  </si>
  <si>
    <t>THANRY</t>
  </si>
  <si>
    <t>STBCA</t>
  </si>
  <si>
    <t>TIMBERLAND</t>
  </si>
  <si>
    <t>SADAF</t>
  </si>
  <si>
    <t>BOIS ROUGE</t>
  </si>
  <si>
    <t>SPBT</t>
  </si>
  <si>
    <t>Exportation 
(en Carats)</t>
  </si>
  <si>
    <t>% exportation total</t>
  </si>
  <si>
    <t>DIAMVILLE</t>
  </si>
  <si>
    <t>C C O</t>
  </si>
  <si>
    <t>BADICA</t>
  </si>
  <si>
    <t>DUNTA</t>
  </si>
  <si>
    <t xml:space="preserve">COOP O &amp;  D </t>
  </si>
  <si>
    <t>SOCADIAM</t>
  </si>
  <si>
    <t>B B B</t>
  </si>
  <si>
    <t>COOP  CMKT</t>
  </si>
  <si>
    <t>COOP  CAMIDOC</t>
  </si>
  <si>
    <t>VOGUEROC</t>
  </si>
  <si>
    <t>CLASSE DIAMANT</t>
  </si>
  <si>
    <t>SUD AZUR</t>
  </si>
  <si>
    <t>Destination</t>
  </si>
  <si>
    <t>Émirats arabes unis</t>
  </si>
  <si>
    <t>Inde</t>
  </si>
  <si>
    <t>Belgique</t>
  </si>
  <si>
    <t>Tableau 37 – Exportations d'Or en 2022 par destination</t>
  </si>
  <si>
    <t>Valeur en Million US$</t>
  </si>
  <si>
    <t>Italie</t>
  </si>
  <si>
    <t>Suisse</t>
  </si>
  <si>
    <t>SEFCA</t>
  </si>
  <si>
    <t>ITP3SARL</t>
  </si>
  <si>
    <t>SOFOKAD</t>
  </si>
  <si>
    <t>Tableau 39 - Résultats de l’inventaire intégré des émissions de polluants atmosphériques dues aux activités socioéconomiques en République Centrafricaine (en Gg)</t>
  </si>
  <si>
    <t xml:space="preserve"> Minier</t>
  </si>
  <si>
    <t>Critères quantitatifs : Matérialité des paiements</t>
  </si>
  <si>
    <r>
      <t xml:space="preserve">Sélection des sociétés dont le total des paiements dépassent </t>
    </r>
    <r>
      <rPr>
        <b/>
        <sz val="9"/>
        <color rgb="FF000000"/>
        <rFont val="Trebuchet MS"/>
        <family val="2"/>
      </rPr>
      <t>20 Million de FCFA.</t>
    </r>
  </si>
  <si>
    <r>
      <t xml:space="preserve">Sélection les sociétés dont le total des paiements dépassent </t>
    </r>
    <r>
      <rPr>
        <b/>
        <sz val="9"/>
        <color rgb="FF000000"/>
        <rFont val="Trebuchet MS"/>
        <family val="2"/>
      </rPr>
      <t>100 Million de FCFA.</t>
    </r>
  </si>
  <si>
    <t>Sélection de tous les opérateurs dans les blocs actifs en 2022</t>
  </si>
  <si>
    <t>Critères qualitatifs :</t>
  </si>
  <si>
    <t>- Midas Ressources SARLU</t>
  </si>
  <si>
    <t>- Bois Rouge SARLU</t>
  </si>
  <si>
    <t>N/A</t>
  </si>
  <si>
    <t>- Diamville SAU</t>
  </si>
  <si>
    <t>Nombre de sociétés retenues dans le périmètre de rapprochement des paiements</t>
  </si>
  <si>
    <t>Déclaration unilatérale</t>
  </si>
  <si>
    <t xml:space="preserve">Déclaration des revenus pour l’ensemble des sociétés sans aucune exclusion hormis les sociétés retenues dans le périmètre de conciliation.  </t>
  </si>
  <si>
    <t>Déclaration des revenus perçus auprès des artisans et collecteurs miniers personnes physiques</t>
  </si>
  <si>
    <t>Nombre de sociétés retenues pour la déclaration unilatérale de l’État</t>
  </si>
  <si>
    <t>Taux de couverture par l’exercice de rapprochement</t>
  </si>
  <si>
    <t>60,71%</t>
  </si>
  <si>
    <t>94,36%</t>
  </si>
  <si>
    <t>100,00%</t>
  </si>
  <si>
    <t>Couverture globale</t>
  </si>
  <si>
    <t>85,02%</t>
  </si>
  <si>
    <t>1. CCO</t>
  </si>
  <si>
    <t>1. PTI- IAS</t>
  </si>
  <si>
    <t>1. SEFCA</t>
  </si>
  <si>
    <t xml:space="preserve">2. Kotto Mines </t>
  </si>
  <si>
    <t>3. SAWA SAWA</t>
  </si>
  <si>
    <t>3. SCAD</t>
  </si>
  <si>
    <t xml:space="preserve">4. STE SIGMA GOLD LTD </t>
  </si>
  <si>
    <t>4. IFB</t>
  </si>
  <si>
    <t>5. ADAMA SWISS</t>
  </si>
  <si>
    <t>5. VIC WOOD CENTRAFRIQUE</t>
  </si>
  <si>
    <t>6. IMC</t>
  </si>
  <si>
    <t>6. CENTRA BOIS</t>
  </si>
  <si>
    <t>7. SOCIETE B.B.B</t>
  </si>
  <si>
    <t>7. STBCA</t>
  </si>
  <si>
    <t xml:space="preserve">8. SOCIETE_GOLD_KOSS </t>
  </si>
  <si>
    <t>8. THANRY CENTRAFRIQUE</t>
  </si>
  <si>
    <t>9. GONGA</t>
  </si>
  <si>
    <t xml:space="preserve">9. Bois Rouge </t>
  </si>
  <si>
    <t>10. HW-Lepo</t>
  </si>
  <si>
    <t xml:space="preserve">11. VOGUEROC SURL </t>
  </si>
  <si>
    <t>12. SOCIETE DUNTA</t>
  </si>
  <si>
    <t xml:space="preserve">13. SOCIETE_AMERICAN EAGLE </t>
  </si>
  <si>
    <t xml:space="preserve">14. SOCIETE_AF_IRON </t>
  </si>
  <si>
    <t>15. Diamville SAU</t>
  </si>
  <si>
    <t xml:space="preserve">16. Midas Ressources </t>
  </si>
  <si>
    <t>Tableau 52 - Recettes générées au titre des droits d’attributions et de la taxe superficiaire</t>
  </si>
  <si>
    <t>Nombre de permis /</t>
  </si>
  <si>
    <t>TYPE DE PERMIS / AUTORISATIONS</t>
  </si>
  <si>
    <t xml:space="preserve"> Droit Attributions </t>
  </si>
  <si>
    <t>Taxes Superficiaires</t>
  </si>
  <si>
    <t>Montant Total</t>
  </si>
  <si>
    <t>Autorisatons</t>
  </si>
  <si>
    <t>AEA</t>
  </si>
  <si>
    <t>1 800 000</t>
  </si>
  <si>
    <t>562 500</t>
  </si>
  <si>
    <t>2 362 500</t>
  </si>
  <si>
    <t>AEPC</t>
  </si>
  <si>
    <t>5 000 000</t>
  </si>
  <si>
    <t>12 500 000</t>
  </si>
  <si>
    <t>17 500 000</t>
  </si>
  <si>
    <t>AETC</t>
  </si>
  <si>
    <t>600 000</t>
  </si>
  <si>
    <t>AP</t>
  </si>
  <si>
    <t>800 000</t>
  </si>
  <si>
    <t>ARM</t>
  </si>
  <si>
    <t>1 500 000</t>
  </si>
  <si>
    <t>PEASM</t>
  </si>
  <si>
    <t>339 000 000</t>
  </si>
  <si>
    <t>161 900 000</t>
  </si>
  <si>
    <t>500 900 000</t>
  </si>
  <si>
    <t>PEPM</t>
  </si>
  <si>
    <t>24 000 000</t>
  </si>
  <si>
    <t>45 840 000</t>
  </si>
  <si>
    <t>69 840 000</t>
  </si>
  <si>
    <t>PR</t>
  </si>
  <si>
    <t>129 000 000</t>
  </si>
  <si>
    <t>56 028 000</t>
  </si>
  <si>
    <t>185 028 000</t>
  </si>
  <si>
    <t>501 700 000</t>
  </si>
  <si>
    <t>276 830 500</t>
  </si>
  <si>
    <t>778 530 500</t>
  </si>
  <si>
    <t>Entreprise</t>
  </si>
  <si>
    <t>Taxes (en million de FCFA)</t>
  </si>
  <si>
    <t>Total taxes collectées</t>
  </si>
  <si>
    <t>Part Communes</t>
  </si>
  <si>
    <t xml:space="preserve">Abattage </t>
  </si>
  <si>
    <t xml:space="preserve">Reboisement </t>
  </si>
  <si>
    <t>Taxes (million de FCFA)</t>
  </si>
  <si>
    <t>Quote-part FDF</t>
  </si>
  <si>
    <t>Dollar US</t>
  </si>
  <si>
    <t>FCFA</t>
  </si>
  <si>
    <t>Tableau 61 - Contributions des sociétés pétrolières au FSPP pour 2022</t>
  </si>
  <si>
    <t>150 000</t>
  </si>
  <si>
    <t>90 000 000</t>
  </si>
  <si>
    <t>300 000</t>
  </si>
  <si>
    <t>180 000 000</t>
  </si>
  <si>
    <t>Montant en million de CFA</t>
  </si>
  <si>
    <t>CENTRABOIS</t>
  </si>
  <si>
    <t>IFB</t>
  </si>
  <si>
    <t>Tableau 01 - Contribution du secteur extractif et forestier au PIB</t>
  </si>
  <si>
    <t xml:space="preserve">Impact sur l’exhaustivité du rapport </t>
  </si>
  <si>
    <t>Report TVA</t>
  </si>
  <si>
    <t>Montant payé en 2023</t>
  </si>
  <si>
    <t>Reclassement suite à la communication de justif</t>
  </si>
  <si>
    <t>Ajustement suite aux éléments communiqués &amp; FD</t>
  </si>
  <si>
    <t>Ajustement suite aux éléments communiqués</t>
  </si>
  <si>
    <t>Confirmation au niveau du FD P12</t>
  </si>
  <si>
    <t>Détail envoyé par la société en extra</t>
  </si>
  <si>
    <t>IR / IS des ventes 2022 communiqué</t>
  </si>
  <si>
    <t>Reclassement précompte</t>
  </si>
  <si>
    <t>Confirmation au niveau du FD P2</t>
  </si>
  <si>
    <t>Reclassement</t>
  </si>
  <si>
    <t>Reclassement taxe environnementale</t>
  </si>
  <si>
    <t>Annulation des taxes hors chalmps</t>
  </si>
  <si>
    <t>Annulation frais loyer déjà déclarés</t>
  </si>
  <si>
    <t>Reclassement Amendes</t>
  </si>
  <si>
    <t>Ajustement compte tenu de la confirmation DGID</t>
  </si>
  <si>
    <t>DGTCP (MMG)</t>
  </si>
  <si>
    <t>DGTCP (DGP)</t>
  </si>
  <si>
    <t xml:space="preserve">Paiements infranationaux au profit des communes </t>
  </si>
  <si>
    <t>Transfert infranationnaux DGTCP (au profit des communes)</t>
  </si>
  <si>
    <t>Transfert infranationnaux au profit des communes</t>
  </si>
  <si>
    <t>Paiements environnementaux - FNE</t>
  </si>
  <si>
    <t>Activités forestières</t>
  </si>
  <si>
    <t>Emploi</t>
  </si>
  <si>
    <t>Evolution de l'emploi</t>
  </si>
  <si>
    <t>Milliers de carats</t>
  </si>
  <si>
    <t xml:space="preserve">Production </t>
  </si>
  <si>
    <t xml:space="preserve">Exportation </t>
  </si>
  <si>
    <t>Diamant</t>
  </si>
  <si>
    <t>Affectations spéciales (Taxes d'abattage et taxes de reboisement)</t>
  </si>
  <si>
    <t>Recette de la DGTCP par entité</t>
  </si>
  <si>
    <t>CCO (COMPAGNIE COMMERCIALE D'OUBANGUI)</t>
  </si>
  <si>
    <t>La société IFB a envoyé l'ensemble des informations demandées. Elle a réagi aussi lors des travaux de réconciliation en assurant l'envoie de la quasi-totalité des informations demandées.</t>
  </si>
  <si>
    <t>2. PTIAL</t>
  </si>
  <si>
    <t>Nature</t>
  </si>
  <si>
    <t>Industriel</t>
  </si>
  <si>
    <t>Artisanal</t>
  </si>
  <si>
    <t>Total production</t>
  </si>
  <si>
    <t>SOCIETE MINIERE HW-LEPO</t>
  </si>
  <si>
    <t>UNCMCA (MINIERE BABOUA)</t>
  </si>
  <si>
    <t>Fonderie (SWISS GOLD VALUE)</t>
  </si>
  <si>
    <t>Fonderie (SIGMA GOLD)</t>
  </si>
  <si>
    <t>Fonderie (SAWA SAWA)</t>
  </si>
  <si>
    <t>Fonderie (KOTTO MINES)</t>
  </si>
  <si>
    <t>Fonderie (MINIERE KADEI FMK)</t>
  </si>
  <si>
    <t>Fonderie (GONGA)</t>
  </si>
  <si>
    <t>Fonderie (KKDM)</t>
  </si>
  <si>
    <t>Fonderie (AURELIA)</t>
  </si>
  <si>
    <t>Fonderie (IBIGOLD)</t>
  </si>
  <si>
    <t>Fonderie (AVINASH)</t>
  </si>
  <si>
    <t>Fonderie (KADEI-MINES)</t>
  </si>
  <si>
    <t>Bureaux (DIAMVILLE)</t>
  </si>
  <si>
    <t>UNCMCA (MARIA)</t>
  </si>
  <si>
    <t>UNCMCA (ALCHAR)</t>
  </si>
  <si>
    <t>UNCMCA (COMISCYA)</t>
  </si>
  <si>
    <t>UNCMCA (COMIDEC)</t>
  </si>
  <si>
    <t>UNCMCA (KOWOYO)</t>
  </si>
  <si>
    <t>UNCMCA (MODENEKO)</t>
  </si>
  <si>
    <t>UNCMCA (CODEYA)</t>
  </si>
  <si>
    <t>Bureaux (B B B)</t>
  </si>
  <si>
    <t>Total production artisanale</t>
  </si>
  <si>
    <t>Valeur en US$</t>
  </si>
  <si>
    <t>Chine - Hong Kong</t>
  </si>
  <si>
    <t>République Démocratique du Congo</t>
  </si>
  <si>
    <t>Chine</t>
  </si>
  <si>
    <t>Valeur taxable en million de CFA</t>
  </si>
  <si>
    <t>Valeur taxable en million de USD</t>
  </si>
  <si>
    <t>Valeur taxable en Million de USD</t>
  </si>
  <si>
    <t>Valeur en Miliions USD</t>
  </si>
  <si>
    <t>Poids net en Carats</t>
  </si>
  <si>
    <t>Emirates arabes unies</t>
  </si>
  <si>
    <t>Chine-Hong Kong</t>
  </si>
  <si>
    <t>Pays de destination</t>
  </si>
  <si>
    <t>Tableau 37 – Exportations diamant en 2022 par destination</t>
  </si>
  <si>
    <t>Bois Rouge</t>
  </si>
  <si>
    <t>% exportation en valeur</t>
  </si>
  <si>
    <t>Type de flux financiers</t>
  </si>
  <si>
    <t>Pétroliers</t>
  </si>
  <si>
    <t>Miniers</t>
  </si>
  <si>
    <t>√</t>
  </si>
  <si>
    <t>Forestiers</t>
  </si>
  <si>
    <t>Payé à / Revenant à</t>
  </si>
  <si>
    <t>Amendes et pénalités payées à la DGDDI</t>
  </si>
  <si>
    <t>Dividendes sur participation de l'Etat</t>
  </si>
  <si>
    <t>Taxe de Loyer</t>
  </si>
  <si>
    <t>Droits fixes (sur l'octroi, renouvellement, transfert)</t>
  </si>
  <si>
    <t>Les redevances proportionnelles ou royalties sur les autorisations d'exploitation de carrière et les exploitations des mines</t>
  </si>
  <si>
    <t>Impôt sur les revenus des capitaux mobiliers (IRCM)</t>
  </si>
  <si>
    <t>Amendes et pénalités payées à la DGID</t>
  </si>
  <si>
    <t>Redevance de pré reconnaissance</t>
  </si>
  <si>
    <t>Déclaration unilatérale des sociétés retenues dans le périmètre</t>
  </si>
  <si>
    <t xml:space="preserve">Taxes sur les appareils à pression de vapeur et de gaz </t>
  </si>
  <si>
    <t xml:space="preserve">Taxes à la pollution </t>
  </si>
  <si>
    <t xml:space="preserve">Redevances annuelles résultant des inspections et contrôle des installations classées </t>
  </si>
  <si>
    <t xml:space="preserve">Taxes superficiaires encaissées par le FNE </t>
  </si>
  <si>
    <t>Taxes de remise en état</t>
  </si>
  <si>
    <t>Dépenses environnementales volontaires</t>
  </si>
  <si>
    <t xml:space="preserve">Affectation au titre de taxe d’abattage </t>
  </si>
  <si>
    <t xml:space="preserve">Affectation au titre la taxe de reboisement </t>
  </si>
  <si>
    <t>Transfert infranational au titre de la taxe d'abattage</t>
  </si>
  <si>
    <t xml:space="preserve">Transfert infranational au titre de la taxe reboisement </t>
  </si>
  <si>
    <t>Transfert infranational au titre des taxes environnementales</t>
  </si>
  <si>
    <t>Autres transferts infranationaux</t>
  </si>
  <si>
    <t>Structure de financement des programmes de développement des écosystèmes forestiers - DGEF/DGTCP</t>
  </si>
  <si>
    <t>Taxe de Développement Artisanal (TDA)</t>
  </si>
  <si>
    <t>Contribution à la formation professionnelle et à la formation des cadres de l'Administration des Mines</t>
  </si>
  <si>
    <t>Bonus de signature versés par les Investisseurs miniers</t>
  </si>
  <si>
    <t xml:space="preserve"> Droit de sortie (DS)/Taxe Export  </t>
  </si>
  <si>
    <t xml:space="preserve">Taxes environnementales sur les Stes forestières et Minières </t>
  </si>
  <si>
    <t>DGTCP (FNE)</t>
  </si>
  <si>
    <t>Flux de paiement en numéraire</t>
  </si>
  <si>
    <t>Paiements environnementaux</t>
  </si>
  <si>
    <t>Transferts du Trésor aux communes</t>
  </si>
  <si>
    <t>Autres paiements</t>
  </si>
  <si>
    <t>Paiements sociaux</t>
  </si>
  <si>
    <t>Paiements aux fonds pétroliers</t>
  </si>
  <si>
    <t>Taxe d’abattage (Transfert au profil des communes &amp; affectations spéciales)</t>
  </si>
  <si>
    <t>Taxe de reboisement (Transfert au profil des communes &amp; affectations spéciales)</t>
  </si>
  <si>
    <t>Total secteur Minier</t>
  </si>
  <si>
    <t>Affectation au titre la taxe de reboisement (au profit des communes)</t>
  </si>
  <si>
    <t>Affectation au titre de taxe d’abattage (au profit des communes)</t>
  </si>
  <si>
    <t>Total secteur Forestier</t>
  </si>
  <si>
    <t>Total secteur Pétrolier</t>
  </si>
  <si>
    <t>SINFOCAM</t>
  </si>
  <si>
    <t>CENTRAFORET</t>
  </si>
  <si>
    <t>SOCIETE AURELIA SARL</t>
  </si>
  <si>
    <t>AVINASH SARL</t>
  </si>
  <si>
    <t>SOCIETE CLASSE DIAMANT</t>
  </si>
  <si>
    <t>SOCIETE CLIMA DUBAÏ MW INTERNATIONAL,SARL</t>
  </si>
  <si>
    <t>SOCIETE DAQING</t>
  </si>
  <si>
    <t>SOCIETE DAYAN DIAM</t>
  </si>
  <si>
    <t>SOCIETE  GEMCA  SARL</t>
  </si>
  <si>
    <t>SOCIETE GOLDEN RELIEF RESSOURCES</t>
  </si>
  <si>
    <t>SOCIETE IBIGOLD SARL</t>
  </si>
  <si>
    <t>SOCIETE KADEÏ-MINE SARL</t>
  </si>
  <si>
    <t>SOCIETE  KHORDIA SA KAMACH HALAC OR DIAMANT</t>
  </si>
  <si>
    <t>SOCIETE SUD - AZUR</t>
  </si>
  <si>
    <t>SOCIETE MINIERE TIANQI SARL UNIPERSONNELLE</t>
  </si>
  <si>
    <t>SOCIETE  SOCADIAM  SARL</t>
  </si>
  <si>
    <t>SOCIETE NAMUS MINING SARL UNIPERSONNELLE</t>
  </si>
  <si>
    <t>SOCIETE TIMBERLAND INDUSTRIES</t>
  </si>
  <si>
    <t>2. SOCIETE TIMBERLAND INDUSTRIES</t>
  </si>
  <si>
    <t>COOPERATIVE MINIERZE O ET D</t>
  </si>
  <si>
    <t>UNCMCA(MODENEKO)</t>
  </si>
  <si>
    <t>UNCMCA(CODEYA)</t>
  </si>
  <si>
    <t>UNCMCA(COMIDEC)</t>
  </si>
  <si>
    <t>UNCMCA(ALCHAR)</t>
  </si>
  <si>
    <t>UNCMCA(KOWOYO)</t>
  </si>
  <si>
    <t>FONDERIE(KKDM)</t>
  </si>
  <si>
    <t>UNCMCA(MINIERE BABOUA)</t>
  </si>
  <si>
    <t>UNCMCA(MARIA)</t>
  </si>
  <si>
    <t xml:space="preserve">Total </t>
  </si>
  <si>
    <t>En %</t>
  </si>
  <si>
    <t>Montant en (FCFA)</t>
  </si>
  <si>
    <t>SEFCA 174</t>
  </si>
  <si>
    <t>SEFCA 183</t>
  </si>
  <si>
    <t>SSI</t>
  </si>
  <si>
    <t>IFB LESSE</t>
  </si>
  <si>
    <t>IGI</t>
  </si>
  <si>
    <t>Taxe d'abattage 
(en  Millions de FCFA)</t>
  </si>
  <si>
    <t>Taxe de reboisement
(en  Millions de FCFA)</t>
  </si>
  <si>
    <t>Taxe d'abattage</t>
  </si>
  <si>
    <t>(en Millions de FCFA)</t>
  </si>
  <si>
    <t>Taxe de reboisement</t>
  </si>
  <si>
    <t xml:space="preserve">Indicateurs </t>
  </si>
  <si>
    <t>Variation</t>
  </si>
  <si>
    <t xml:space="preserve">Recettes minières </t>
  </si>
  <si>
    <t>Contribution en %</t>
  </si>
  <si>
    <t>Recettes forestières</t>
  </si>
  <si>
    <t>Recettes pétrolières</t>
  </si>
  <si>
    <t xml:space="preserve">Contribution en % </t>
  </si>
  <si>
    <r>
      <t xml:space="preserve">[1] </t>
    </r>
    <r>
      <rPr>
        <sz val="8"/>
        <rFont val="Calibri Light"/>
        <family val="2"/>
      </rPr>
      <t>Rapport</t>
    </r>
    <r>
      <rPr>
        <sz val="8"/>
        <color rgb="FF404040"/>
        <rFont val="Calibri Light"/>
        <family val="2"/>
      </rPr>
      <t xml:space="preserve"> </t>
    </r>
    <r>
      <rPr>
        <sz val="8"/>
        <rFont val="Calibri"/>
        <family val="2"/>
      </rPr>
      <t>d’exécution budgétaire, 4 -ème TR 2022</t>
    </r>
  </si>
  <si>
    <t>Total Ressources Propres</t>
  </si>
  <si>
    <t xml:space="preserve">Tableau 1 - Total des paiements par secteur d'activité </t>
  </si>
  <si>
    <t>Paiements fiscaux</t>
  </si>
  <si>
    <t>Tout secteur</t>
  </si>
  <si>
    <t>En numéraire</t>
  </si>
  <si>
    <t>Mines et carrières</t>
  </si>
  <si>
    <t>Minier/Pétrolier</t>
  </si>
  <si>
    <t>Hydrocarbures</t>
  </si>
  <si>
    <t>En en numéraire</t>
  </si>
  <si>
    <t>Taxe de Développement Artisanal</t>
  </si>
  <si>
    <t>(TDA)</t>
  </si>
  <si>
    <t>Bonus de signature versés par les</t>
  </si>
  <si>
    <t>Investisseurs miniers</t>
  </si>
  <si>
    <t>Contribution à la formation</t>
  </si>
  <si>
    <t>professionnelle et à la formation des cadres de l'Administration des Mines</t>
  </si>
  <si>
    <t>Administration des Mines / DGTCP (MMG)</t>
  </si>
  <si>
    <t>Paiements infranationaux</t>
  </si>
  <si>
    <t>Taxes superficiaires (20% part des collectivités)</t>
  </si>
  <si>
    <t xml:space="preserve">Collectivité locale </t>
  </si>
  <si>
    <t>En nature/en numéraire</t>
  </si>
  <si>
    <t>DGP/MMG</t>
  </si>
  <si>
    <t>Taxes superficiaires encaissées par le FNE</t>
  </si>
  <si>
    <t>Zone d'action</t>
  </si>
  <si>
    <t xml:space="preserve">Société dont le paiement </t>
  </si>
  <si>
    <t>Société/ Nomenclature des flux</t>
  </si>
  <si>
    <t>Total des paiements</t>
  </si>
  <si>
    <t>Mbaéré scierie</t>
  </si>
  <si>
    <t>Mambélé (Sangha-Mbaéré) Scierie</t>
  </si>
  <si>
    <t>Mambéré-Kadéï (Berbérati)
Sangha Mbaéré (Nola)
scierie</t>
  </si>
  <si>
    <t>Numéro du permis PEA (*)</t>
  </si>
  <si>
    <t>171 +
extension</t>
  </si>
  <si>
    <t>Loko (Lobaye) scierie
Dolobo (Scierie) Lobaye</t>
  </si>
  <si>
    <t>Batalimo (Lobaye) Scierie</t>
  </si>
  <si>
    <t>Lessé (Lobaye)</t>
  </si>
  <si>
    <t>Mambéré-Kadéï</t>
  </si>
  <si>
    <t>Ombella Mpoko (Bimbo) Scierie</t>
  </si>
  <si>
    <t xml:space="preserve">Sangha Mbaéré (Nola) </t>
  </si>
  <si>
    <t>Bamba (Sangha-Mbaéré)
Scierie (non opérationnelle
depuis 2010)</t>
  </si>
  <si>
    <t xml:space="preserve">Ngotto (Lobaye) </t>
  </si>
  <si>
    <t xml:space="preserve">Taxe d'abattage </t>
  </si>
  <si>
    <r>
      <t xml:space="preserve">Taxe de Loyer </t>
    </r>
    <r>
      <rPr>
        <b/>
        <sz val="9"/>
        <color rgb="FFFFFF00"/>
        <rFont val="Trebuchet MS"/>
        <family val="2"/>
      </rPr>
      <t>(**)</t>
    </r>
  </si>
  <si>
    <t>Pourcentage de répartition des taxes par projet</t>
  </si>
  <si>
    <t>Montant en Millions de FCFA</t>
  </si>
  <si>
    <t>Affectation au titre la taxe de reboisement (FDF &amp; AGDRF)</t>
  </si>
  <si>
    <t>Affectation au titre de taxe d’abattage (FDF &amp; AGDRF)</t>
  </si>
  <si>
    <t>Montant en Million de FCFA</t>
  </si>
  <si>
    <t>IMF, MIS, IS &amp; Précompte</t>
  </si>
  <si>
    <t>REIF &amp; DS</t>
  </si>
  <si>
    <t>Bloc A</t>
  </si>
  <si>
    <t>Bloc B</t>
  </si>
  <si>
    <t>Ndélé</t>
  </si>
  <si>
    <t>Biraou</t>
  </si>
  <si>
    <t>CPP</t>
  </si>
  <si>
    <t>Tableau 2 - Total des paiements par type de flux et par entité</t>
  </si>
  <si>
    <t>Tableau 3 - Total des revenus par entité gouvernementale</t>
  </si>
  <si>
    <t>Tableau 5 - Production et exportations du secteur minier en 2022</t>
  </si>
  <si>
    <t>Tableau 6 - Production et exportations du secteur forestier en 2022</t>
  </si>
  <si>
    <t xml:space="preserve"> Trésor </t>
  </si>
  <si>
    <t xml:space="preserve"> FDF </t>
  </si>
  <si>
    <t>SOCIETE IFB SARL INUSTRIE FOREST. BATALIMO</t>
  </si>
  <si>
    <t xml:space="preserve"> Total </t>
  </si>
  <si>
    <r>
      <t> </t>
    </r>
    <r>
      <rPr>
        <sz val="10"/>
        <rFont val="Times New Roman"/>
        <family val="1"/>
      </rPr>
      <t>A ajouter</t>
    </r>
  </si>
  <si>
    <r>
      <t> </t>
    </r>
    <r>
      <rPr>
        <sz val="10"/>
        <rFont val="Times New Roman"/>
        <family val="1"/>
      </rPr>
      <t>Information non disponible par commune, nous pouvons l’ajouter comme constatation, j’ai ajouté un tableau des recettes du Trésor par société : constatation</t>
    </r>
  </si>
  <si>
    <t>Paiement infranationnaux au profit des communes</t>
  </si>
  <si>
    <t xml:space="preserve">Taxes superficiaires  </t>
  </si>
  <si>
    <t xml:space="preserve">Taxe d’abattage  </t>
  </si>
  <si>
    <t xml:space="preserve">Droit de sortie (DS)/Taxe Export  </t>
  </si>
  <si>
    <t>Communes)</t>
  </si>
  <si>
    <t xml:space="preserve">Autres paiements significatifs versés aux entités gouvernementales (&gt;10 millions FCFA) </t>
  </si>
  <si>
    <r>
      <t> </t>
    </r>
    <r>
      <rPr>
        <sz val="9"/>
        <color rgb="FF404040"/>
        <rFont val="Times New Roman"/>
        <family val="1"/>
      </rPr>
      <t>√</t>
    </r>
  </si>
  <si>
    <t>Le formulaire de déclaration envoyé par la société CCO n'intègre pas l'ensemble des informations demandées notamment le questionnaire sur le dispositif de gestion mis en place conformément aux exigences apportées par la norme ITIE 2023. (Cf Annexe 19)</t>
  </si>
  <si>
    <t>D'autre part, la société n'a pas réagi lors des travaux de réconciliation afin d'ajuster leurs déclarations et de nous fournir les informations des travaux de rapprochement demandées.</t>
  </si>
  <si>
    <t>La société HW LEPO n'a pas répondu au questionnaire de gestion mis en place conformément aux exigences apportées par la norme ITIE 2023.</t>
  </si>
  <si>
    <t>Le formulaire de déclaration envoyé par la société DUNTA n'intègre pas l'ensemble des informations demandées notamment le questionnaire sur le dispositif de gestion mis en place conformément aux exigences apportées par la norme ITIE 2023. (Cf Annexe 20)</t>
  </si>
  <si>
    <t>SOCIETE IFB SARL INUSTRIE FOREST. BATALIMO</t>
  </si>
  <si>
    <t>Le formulaire de déclaration envoyé par la société CENTRA BOIS n'intègre pas l'ensemble des informations demandées notamment le questionnaire sur le dispositif de gestion mis en place conformément aux exigences apportées par la norme ITIE 2023. (Cf Annexe 21)</t>
  </si>
  <si>
    <t>Tableau 8 – Impact des déclarations des sociétés sur l’exhaustivité du rapport</t>
  </si>
  <si>
    <t>Autres Sociétés (*)</t>
  </si>
  <si>
    <t>Droits d'attribution</t>
  </si>
  <si>
    <t>Autres sociétés (*)</t>
  </si>
  <si>
    <t>Droits d'attribution &amp; Redevances superficiaires</t>
  </si>
  <si>
    <t>Modalité</t>
  </si>
  <si>
    <t>Entité perceptrice</t>
  </si>
  <si>
    <t>Collectivité locale</t>
  </si>
  <si>
    <t>Montant en 2022</t>
  </si>
  <si>
    <t>Autres sociétés (non retenues dans le périmètre)</t>
  </si>
  <si>
    <t>Dividendes</t>
  </si>
  <si>
    <r>
      <t>Montant (Million FCFA)</t>
    </r>
    <r>
      <rPr>
        <sz val="8"/>
        <color rgb="FF000000"/>
        <rFont val="Times New Roman"/>
        <family val="1"/>
      </rPr>
      <t> </t>
    </r>
  </si>
  <si>
    <t xml:space="preserve">Droits d'attribution </t>
  </si>
  <si>
    <t>Taxes superficiaires</t>
  </si>
  <si>
    <t>Entité préceptrice</t>
  </si>
  <si>
    <t>Total production industrielle</t>
  </si>
  <si>
    <t>Substance</t>
  </si>
  <si>
    <t>Volume</t>
  </si>
  <si>
    <t xml:space="preserve">Valeur </t>
  </si>
  <si>
    <t>Millions USD</t>
  </si>
  <si>
    <t xml:space="preserve">milliards FCFA </t>
  </si>
  <si>
    <t>N/C</t>
  </si>
  <si>
    <t>% de répartition des taxes par projet</t>
  </si>
  <si>
    <t>Autres sociétés déclarantes</t>
  </si>
  <si>
    <t>PIB</t>
  </si>
  <si>
    <t>Exportations</t>
  </si>
  <si>
    <t>Revenus budgétaires</t>
  </si>
  <si>
    <t>Carrière</t>
  </si>
  <si>
    <t>Production</t>
  </si>
  <si>
    <r>
      <t>Tableau 21</t>
    </r>
    <r>
      <rPr>
        <b/>
        <sz val="10"/>
        <color rgb="FF404040"/>
        <rFont val="Trebuchet MS"/>
        <family val="2"/>
      </rPr>
      <t xml:space="preserve"> - Nombre d'octroi de licences minières en 2022</t>
    </r>
  </si>
  <si>
    <r>
      <t>Tableau 22</t>
    </r>
    <r>
      <rPr>
        <b/>
        <sz val="10"/>
        <color rgb="FF404040"/>
        <rFont val="Trebuchet MS"/>
        <family val="2"/>
      </rPr>
      <t xml:space="preserve"> – Répartition des agréments des agents collecteurs par nationalité</t>
    </r>
  </si>
  <si>
    <t>Production artisanale</t>
  </si>
  <si>
    <t>Tableau 29 - Production de diamant en 2022</t>
  </si>
  <si>
    <t>Tableau 30 - Production d’or par entité en 2022</t>
  </si>
  <si>
    <t>Tableau 31 – Production du bois par entité en 2022</t>
  </si>
  <si>
    <t>Tableau 32 – Exportations de diamant en 2022</t>
  </si>
  <si>
    <t>Tableau 33 – Exportations de diamant en 2022 par destination</t>
  </si>
  <si>
    <t>Tableau 34 - Exportations de l’or en 2022 par destination</t>
  </si>
  <si>
    <t>Tableau 35 – Exportation de Bois en 2022 par sociétés</t>
  </si>
  <si>
    <t>Tableau 37 - Critères de matérialité du périmètre du rapport ITIE 2022</t>
  </si>
  <si>
    <r>
      <t xml:space="preserve">Tableau 38 - </t>
    </r>
    <r>
      <rPr>
        <b/>
        <sz val="10"/>
        <rFont val="Trebuchet MS"/>
        <family val="2"/>
      </rPr>
      <t>Liste des sociétés retenues dans le périmètre de conciliation</t>
    </r>
  </si>
  <si>
    <t>Tableau 40 - Liste des flux de paiement retenus dans le périmètre du rapport</t>
  </si>
  <si>
    <t>Tableau 41 - Couverture par l’exercice de rapprochement des flux en numéraire</t>
  </si>
  <si>
    <t>Tableau 42 - Rapprochement des déclarations par société</t>
  </si>
  <si>
    <t>Tableau 46 - Paiements des entreprises en numéraire désagrégés par flux et par entité perceptrice</t>
  </si>
  <si>
    <t>Tableau 47 - Paiements des entreprises en numéraire désagrégés par flux et par entité perceptrice</t>
  </si>
  <si>
    <t>Tableau 48 - Taxes forestières par sociétés et allocation en millions FCFA</t>
  </si>
  <si>
    <t xml:space="preserve">Tableau 54 - Répartition de la taxe d’abattage et la taxe de reboisement  </t>
  </si>
  <si>
    <r>
      <t>Tableau 56 - Recette de la taxe d’abattage et la taxe de reboisement par société</t>
    </r>
    <r>
      <rPr>
        <sz val="10"/>
        <rFont val="Arial"/>
        <family val="2"/>
      </rPr>
      <t>  </t>
    </r>
  </si>
  <si>
    <r>
      <t>Tableau 55 - Répartition de la taxe d’abattage et la taxe de reboisement par société</t>
    </r>
    <r>
      <rPr>
        <sz val="10"/>
        <rFont val="Arial"/>
        <family val="2"/>
      </rPr>
      <t>  </t>
    </r>
  </si>
  <si>
    <t>Tableau 61 - Contribution du secteur extractif et forestier aux exportations</t>
  </si>
  <si>
    <t>Tableau 64 Paiement par secteur (en millions FCFA)</t>
  </si>
  <si>
    <t>Tableau 65 Les revenus extractifs du secteur minier par sociétés</t>
  </si>
  <si>
    <t>Tableau 66 Les revenus extractifs du secteur pétrolier par sociétés</t>
  </si>
  <si>
    <t>Tableau 67 Les revenus extractifs du secteur forestier par sociétés</t>
  </si>
  <si>
    <t>Tableau 68 Les revenus extractifs par nature de flux</t>
  </si>
  <si>
    <t>Tableau 69 Les revenus extractifs par nature de flux</t>
  </si>
  <si>
    <t>Tableau 70 Les revenus extractifs par nature de flux</t>
  </si>
  <si>
    <t>Tableau 71 Les revenus extractifs par nature de flux</t>
  </si>
  <si>
    <t>Tableau 74 Paiements par société et par projets en 2022 (en millions FCFA)</t>
  </si>
  <si>
    <t>Tableau 72 – Montant par nature de flux devant être réparti par projet (en millions FCFA)</t>
  </si>
  <si>
    <t>Tableau 73 - Paiements par projet effectués par les sociétés pétrolières (en millions FCFA)</t>
  </si>
  <si>
    <t>Tableau 75 – Revenus par entité perceptrice (en millions FCFA)</t>
  </si>
  <si>
    <t>Total des écarts</t>
  </si>
  <si>
    <t>non justifiés</t>
  </si>
  <si>
    <t>Détail non soumis</t>
  </si>
  <si>
    <t>par l'Etat</t>
  </si>
  <si>
    <r>
      <t>Taxes non reportées par l'Etat</t>
    </r>
    <r>
      <rPr>
        <b/>
        <sz val="8"/>
        <color rgb="FFFFFFFF"/>
        <rFont val="Tahoma"/>
        <family val="2"/>
      </rPr>
      <t xml:space="preserve"> </t>
    </r>
    <r>
      <rPr>
        <sz val="10"/>
        <rFont val="Arial"/>
        <family val="2"/>
      </rPr>
      <t>(*)</t>
    </r>
  </si>
  <si>
    <t>Non significatif</t>
  </si>
  <si>
    <t>&lt; 1 M FCFA</t>
  </si>
  <si>
    <t xml:space="preserve">                -     </t>
  </si>
  <si>
    <t xml:space="preserve">                          -     </t>
  </si>
  <si>
    <t>SOCIETE IFB SARL INUSTRIE FOREST. BATALIMO</t>
  </si>
  <si>
    <t xml:space="preserve"> Total général </t>
  </si>
  <si>
    <t>Bois Rouge SARLU (*)</t>
  </si>
  <si>
    <t>Total par flux</t>
  </si>
  <si>
    <t>SAU</t>
  </si>
  <si>
    <t>Transfert théorique
Taxes d'abattage</t>
  </si>
  <si>
    <t>Transfert théorique
Taxes de reboisement</t>
  </si>
  <si>
    <t>=</t>
  </si>
  <si>
    <t>DGTCP (SPPK)</t>
  </si>
  <si>
    <t>Frais de services SPPK</t>
  </si>
  <si>
    <t xml:space="preserve"> Sociétés </t>
  </si>
  <si>
    <t xml:space="preserve"> Gouvernement </t>
  </si>
  <si>
    <t xml:space="preserve"> Différence </t>
  </si>
  <si>
    <t>SOCIETE IFB SARL INUSTRIE FOREST. BATALIMO</t>
  </si>
  <si>
    <t>Valeur des exportations</t>
  </si>
  <si>
    <t>% exportation en volume</t>
  </si>
  <si>
    <t>N/c</t>
  </si>
  <si>
    <t>Centra Bois</t>
  </si>
  <si>
    <t>VIC WOOD</t>
  </si>
  <si>
    <t>ITP3 SARL</t>
  </si>
  <si>
    <t>Volumes exportés (m3)</t>
  </si>
  <si>
    <t>% exportation ne volume</t>
  </si>
  <si>
    <t>Valeur FOT en million de CFA</t>
  </si>
  <si>
    <t>Volumes exportés (en Tonnes)</t>
  </si>
  <si>
    <t>Tableau 46 – Répartition de la taxe d’abattage &amp; de reboisement rattachées aux communes par société</t>
  </si>
  <si>
    <t>Tableau 53 - Rapprochement par flux des paiements en numéraire pour le secteur minier</t>
  </si>
  <si>
    <t>Tableau 52 - Analyse des écarts non rapprochés</t>
  </si>
  <si>
    <t>Tableau 54 - Rapprochement par flux des paiements en numéraire pour le secteur forestier</t>
  </si>
  <si>
    <t>Tableau 58 - Recette recouvrées au titre de la taxe environnementale</t>
  </si>
  <si>
    <t xml:space="preserve">(Milliards FCFA) </t>
  </si>
  <si>
    <t>Exportation secteur extractif &amp; forestier</t>
  </si>
  <si>
    <t>Tableau 60 - Contribution du secteur extractif et forestier aux exportations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</si>
</sst>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0.00\ &quot;€&quot;_-;\-* #,##0.00\ &quot;€&quot;_-;_-* &quot;-&quot;??\ &quot;€&quot;_-;_-@_-"/>
    <numFmt numFmtId="43" formatCode="_-* #,##0.00_-;\-* #,##0.00_-;_-* &quot;-&quot;??_-;_-@_-"/>
    <numFmt numFmtId="164" formatCode="_-* #,##0.00\ _€_-;\-* #,##0.00\ _€_-;_-* &quot;-&quot;??\ _€_-;_-@_-"/>
    <numFmt numFmtId="165" formatCode="_(&quot;$&quot;* #,##0.00_);_(&quot;$&quot;* \(#,##0.00\);_(&quot;$&quot;* &quot;-&quot;??_);_(@_)"/>
    <numFmt numFmtId="166" formatCode="_(* #,##0.00_);_(* \(#,##0.00\);_(* &quot;-&quot;??_);_(@_)"/>
    <numFmt numFmtId="167" formatCode="_-* #,##0.00_-;\-* #,##0.00_-;_-* &quot;-&quot;_-;_-@_-"/>
    <numFmt numFmtId="168" formatCode="[$-40C]dddd\ d\ mmmm\ yyyy"/>
    <numFmt numFmtId="169" formatCode="#,##0\ &quot;€&quot;"/>
    <numFmt numFmtId="170" formatCode="#,##0_);\(&quot;&quot;#,##0\);_-* &quot;-&quot;??_-;_-@_-"/>
    <numFmt numFmtId="171" formatCode="#,##0_ ;[Red]\-#,##0\ "/>
    <numFmt numFmtId="172" formatCode="_(* #,##0_);_(* \(#,##0\);_(* &quot;-&quot;??_);_(@_)"/>
    <numFmt numFmtId="173" formatCode="_-* #,##0\ _€_-;\-* #,##0\ _€_-;_-* &quot;-&quot;??\ _€_-;_-@_-"/>
    <numFmt numFmtId="174" formatCode="0.000%"/>
    <numFmt numFmtId="175" formatCode="0.0000000"/>
    <numFmt numFmtId="176" formatCode="[$-40C]mmm\-yy;@"/>
    <numFmt numFmtId="177" formatCode="_-* #,##0.000\ _€_-;\-* #,##0.000\ _€_-;_-* &quot;-&quot;??\ _€_-;_-@_-"/>
    <numFmt numFmtId="178" formatCode="#,##0.00\ &quot;€&quot;"/>
    <numFmt numFmtId="179" formatCode="0.0%"/>
    <numFmt numFmtId="180" formatCode="_-* #,##0_-;\-* #,##0_-;_-* &quot;-&quot;??_-;_-@_-"/>
    <numFmt numFmtId="181" formatCode="0.0"/>
    <numFmt numFmtId="182" formatCode="_-* #,##0.000_-;\-* #,##0.000_-;_-* &quot;-&quot;??_-;_-@_-"/>
    <numFmt numFmtId="183" formatCode="_-* #,##0.000\ _€_-;\-* #,##0.000\ _€_-;_-* &quot;-&quot;???\ _€_-;_-@_-"/>
    <numFmt numFmtId="184" formatCode="_-* #,##0.0_-;\-* #,##0.0_-;_-* &quot;-&quot;??_-;_-@_-"/>
    <numFmt numFmtId="185" formatCode="#,##0.0"/>
    <numFmt numFmtId="186" formatCode="_-* #,##0.0000\ _€_-;\-* #,##0.0000\ _€_-;_-* &quot;-&quot;??\ _€_-;_-@_-"/>
  </numFmts>
  <fonts count="208">
    <font>
      <sz val="10"/>
      <name val="Arial"/>
      <family val="2"/>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0"/>
      <name val="Arial"/>
      <family val="2"/>
    </font>
    <font>
      <sz val="10"/>
      <name val="MS Sans Serif"/>
      <family val="2"/>
    </font>
    <font>
      <sz val="11"/>
      <color theme="1"/>
      <name val="Trebuchet MS"/>
      <family val="2"/>
      <scheme val="minor"/>
    </font>
    <font>
      <sz val="10"/>
      <color theme="1"/>
      <name val="Arial"/>
      <family val="2"/>
    </font>
    <font>
      <b/>
      <sz val="8"/>
      <name val="Arial"/>
      <family val="2"/>
    </font>
    <font>
      <sz val="8"/>
      <name val="Arial"/>
      <family val="2"/>
    </font>
    <font>
      <sz val="11"/>
      <color indexed="8"/>
      <name val="Calibri"/>
      <family val="2"/>
    </font>
    <font>
      <sz val="10"/>
      <name val="Times New Roman"/>
      <family val="1"/>
    </font>
    <font>
      <b/>
      <sz val="18"/>
      <color indexed="56"/>
      <name val="Cambria"/>
      <family val="2"/>
    </font>
    <font>
      <sz val="10"/>
      <color indexed="8"/>
      <name val="Arial"/>
      <family val="2"/>
    </font>
    <font>
      <sz val="10"/>
      <color indexed="8"/>
      <name val="Times New Roman"/>
      <family val="2"/>
    </font>
    <font>
      <sz val="10"/>
      <color indexed="9"/>
      <name val="Times New Roman"/>
      <family val="2"/>
    </font>
    <font>
      <sz val="10"/>
      <color indexed="10"/>
      <name val="Times New Roman"/>
      <family val="2"/>
    </font>
    <font>
      <b/>
      <sz val="10"/>
      <color indexed="52"/>
      <name val="Times New Roman"/>
      <family val="2"/>
    </font>
    <font>
      <sz val="10"/>
      <color indexed="52"/>
      <name val="Times New Roman"/>
      <family val="2"/>
    </font>
    <font>
      <sz val="10"/>
      <color indexed="62"/>
      <name val="Times New Roman"/>
      <family val="2"/>
    </font>
    <font>
      <sz val="10"/>
      <color indexed="20"/>
      <name val="Times New Roman"/>
      <family val="2"/>
    </font>
    <font>
      <sz val="10"/>
      <color indexed="60"/>
      <name val="Times New Roman"/>
      <family val="2"/>
    </font>
    <font>
      <sz val="10"/>
      <color indexed="17"/>
      <name val="Times New Roman"/>
      <family val="2"/>
    </font>
    <font>
      <b/>
      <sz val="10"/>
      <color indexed="63"/>
      <name val="Times New Roman"/>
      <family val="2"/>
    </font>
    <font>
      <i/>
      <sz val="10"/>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0"/>
      <color indexed="8"/>
      <name val="Times New Roman"/>
      <family val="2"/>
    </font>
    <font>
      <b/>
      <sz val="10"/>
      <color indexed="9"/>
      <name val="Times New Roman"/>
      <family val="2"/>
    </font>
    <font>
      <u/>
      <sz val="10"/>
      <color indexed="12"/>
      <name val="Arial"/>
      <family val="2"/>
    </font>
    <font>
      <sz val="10"/>
      <name val="Arial"/>
      <family val="2"/>
    </font>
    <font>
      <sz val="12"/>
      <name val="宋体"/>
      <charset val="134"/>
    </font>
    <font>
      <sz val="11"/>
      <color indexed="8"/>
      <name val="宋体"/>
      <charset val="134"/>
    </font>
    <font>
      <sz val="11"/>
      <color indexed="9"/>
      <name val="宋体"/>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sz val="11"/>
      <color indexed="20"/>
      <name val="宋体"/>
      <charset val="134"/>
    </font>
    <font>
      <sz val="11"/>
      <color indexed="17"/>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sz val="11"/>
      <color indexed="60"/>
      <name val="宋体"/>
      <charset val="134"/>
    </font>
    <font>
      <b/>
      <sz val="11"/>
      <color indexed="63"/>
      <name val="宋体"/>
      <charset val="134"/>
    </font>
    <font>
      <sz val="11"/>
      <color indexed="62"/>
      <name val="宋体"/>
      <charset val="134"/>
    </font>
    <font>
      <sz val="8"/>
      <color theme="1"/>
      <name val="Arial"/>
      <family val="2"/>
    </font>
    <font>
      <u/>
      <sz val="10"/>
      <color theme="10"/>
      <name val="Arial"/>
      <family val="2"/>
    </font>
    <font>
      <u/>
      <sz val="8"/>
      <color theme="10"/>
      <name val="Arial"/>
      <family val="2"/>
    </font>
    <font>
      <sz val="11"/>
      <color theme="1"/>
      <name val="Arial"/>
      <family val="2"/>
    </font>
    <font>
      <sz val="8"/>
      <color rgb="FF000000"/>
      <name val="Tahoma"/>
      <family val="2"/>
    </font>
    <font>
      <sz val="8"/>
      <color rgb="FF000000"/>
      <name val="Arial"/>
      <family val="2"/>
      <charset val="1"/>
    </font>
    <font>
      <u/>
      <sz val="11.6"/>
      <color theme="10"/>
      <name val="Arial"/>
      <family val="2"/>
    </font>
    <font>
      <u/>
      <sz val="11"/>
      <color theme="10"/>
      <name val="Trebuchet MS"/>
      <family val="2"/>
      <scheme val="minor"/>
    </font>
    <font>
      <b/>
      <sz val="11"/>
      <color theme="1"/>
      <name val="Trebuchet MS"/>
      <family val="2"/>
      <scheme val="minor"/>
    </font>
    <font>
      <sz val="11"/>
      <color theme="0"/>
      <name val="Trebuchet MS"/>
      <family val="2"/>
      <scheme val="minor"/>
    </font>
    <font>
      <sz val="12"/>
      <color theme="1"/>
      <name val="Century Gothic"/>
      <family val="2"/>
    </font>
    <font>
      <sz val="18"/>
      <color theme="3"/>
      <name val="Trebuchet MS"/>
      <family val="2"/>
      <scheme val="major"/>
    </font>
    <font>
      <b/>
      <sz val="15"/>
      <color theme="3"/>
      <name val="Trebuchet MS"/>
      <family val="2"/>
      <scheme val="minor"/>
    </font>
    <font>
      <b/>
      <sz val="13"/>
      <color theme="3"/>
      <name val="Trebuchet MS"/>
      <family val="2"/>
      <scheme val="minor"/>
    </font>
    <font>
      <b/>
      <sz val="11"/>
      <color theme="3"/>
      <name val="Trebuchet MS"/>
      <family val="2"/>
      <scheme val="minor"/>
    </font>
    <font>
      <sz val="11"/>
      <color rgb="FF006100"/>
      <name val="Trebuchet MS"/>
      <family val="2"/>
      <scheme val="minor"/>
    </font>
    <font>
      <sz val="11"/>
      <color rgb="FF9C0006"/>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b/>
      <sz val="11"/>
      <color theme="0"/>
      <name val="Trebuchet MS"/>
      <family val="2"/>
      <scheme val="minor"/>
    </font>
    <font>
      <sz val="11"/>
      <color rgb="FFFF0000"/>
      <name val="Trebuchet MS"/>
      <family val="2"/>
      <scheme val="minor"/>
    </font>
    <font>
      <i/>
      <sz val="11"/>
      <color rgb="FF7F7F7F"/>
      <name val="Trebuchet MS"/>
      <family val="2"/>
      <scheme val="minor"/>
    </font>
    <font>
      <sz val="11"/>
      <color rgb="FF9C6500"/>
      <name val="Trebuchet MS"/>
      <family val="2"/>
      <scheme val="minor"/>
    </font>
    <font>
      <b/>
      <sz val="8"/>
      <color rgb="FFFFFFFF"/>
      <name val="Trebuchet MS"/>
      <family val="2"/>
      <scheme val="major"/>
    </font>
    <font>
      <sz val="8"/>
      <name val="Trebuchet MS"/>
      <family val="2"/>
      <scheme val="major"/>
    </font>
    <font>
      <b/>
      <sz val="8"/>
      <name val="Trebuchet MS"/>
      <family val="2"/>
      <scheme val="major"/>
    </font>
    <font>
      <b/>
      <sz val="8"/>
      <color theme="0"/>
      <name val="Trebuchet MS"/>
      <family val="2"/>
      <scheme val="major"/>
    </font>
    <font>
      <sz val="8"/>
      <color theme="0"/>
      <name val="Trebuchet MS"/>
      <family val="2"/>
      <scheme val="major"/>
    </font>
    <font>
      <b/>
      <u/>
      <sz val="8"/>
      <name val="Trebuchet MS"/>
      <family val="2"/>
      <scheme val="major"/>
    </font>
    <font>
      <sz val="8"/>
      <color theme="1"/>
      <name val="Trebuchet MS"/>
      <family val="2"/>
      <scheme val="major"/>
    </font>
    <font>
      <sz val="8"/>
      <color rgb="FF000000"/>
      <name val="Trebuchet MS"/>
      <family val="2"/>
      <scheme val="major"/>
    </font>
    <font>
      <b/>
      <sz val="8"/>
      <color rgb="FFFF0000"/>
      <name val="Trebuchet MS"/>
      <family val="2"/>
      <scheme val="major"/>
    </font>
    <font>
      <b/>
      <u val="singleAccounting"/>
      <sz val="8"/>
      <name val="Trebuchet MS"/>
      <family val="2"/>
      <scheme val="major"/>
    </font>
    <font>
      <b/>
      <sz val="8"/>
      <color theme="1"/>
      <name val="Trebuchet MS"/>
      <family val="2"/>
      <scheme val="major"/>
    </font>
    <font>
      <sz val="9"/>
      <color rgb="FF000000"/>
      <name val="Trebuchet MS"/>
      <family val="2"/>
      <scheme val="major"/>
    </font>
    <font>
      <sz val="9"/>
      <name val="Trebuchet MS"/>
      <family val="2"/>
      <scheme val="major"/>
    </font>
    <font>
      <sz val="9"/>
      <color theme="1"/>
      <name val="Trebuchet MS"/>
      <family val="2"/>
      <scheme val="major"/>
    </font>
    <font>
      <sz val="9"/>
      <color indexed="81"/>
      <name val="Tahoma"/>
      <family val="2"/>
    </font>
    <font>
      <b/>
      <sz val="9"/>
      <color indexed="81"/>
      <name val="Tahoma"/>
      <family val="2"/>
    </font>
    <font>
      <sz val="8"/>
      <color rgb="FFFFFFFF"/>
      <name val="Trebuchet MS"/>
      <family val="2"/>
    </font>
    <font>
      <u/>
      <sz val="8"/>
      <name val="Trebuchet MS"/>
      <family val="2"/>
      <scheme val="major"/>
    </font>
    <font>
      <sz val="9"/>
      <color rgb="FF000000"/>
      <name val="Trebuchet MS"/>
      <family val="2"/>
    </font>
    <font>
      <sz val="9"/>
      <color theme="1"/>
      <name val="Trebuchet MS"/>
      <family val="2"/>
    </font>
    <font>
      <b/>
      <sz val="9"/>
      <color rgb="FFFFFFFF"/>
      <name val="Trebuchet MS"/>
      <family val="2"/>
    </font>
    <font>
      <sz val="9"/>
      <name val="Times New Roman"/>
      <family val="1"/>
    </font>
    <font>
      <b/>
      <sz val="8"/>
      <color rgb="FFFFFFFF"/>
      <name val="Tahoma"/>
      <family val="2"/>
    </font>
    <font>
      <sz val="8"/>
      <color rgb="FF000000"/>
      <name val="Trebuchet MS"/>
      <family val="2"/>
    </font>
    <font>
      <sz val="8"/>
      <name val="Trebuchet MS"/>
      <family val="2"/>
    </font>
    <font>
      <b/>
      <sz val="8"/>
      <color rgb="FFFFFFFF"/>
      <name val="Trebuchet MS"/>
      <family val="2"/>
    </font>
    <font>
      <sz val="8"/>
      <color theme="1"/>
      <name val="Trebuchet MS"/>
      <family val="2"/>
      <scheme val="minor"/>
    </font>
    <font>
      <sz val="8"/>
      <color rgb="FF000000"/>
      <name val="Kohinoor Devanagari"/>
    </font>
    <font>
      <b/>
      <sz val="9"/>
      <color rgb="FF000000"/>
      <name val="Trebuchet MS"/>
      <family val="2"/>
    </font>
    <font>
      <b/>
      <sz val="8"/>
      <color rgb="FF000000"/>
      <name val="Trebuchet MS"/>
      <family val="2"/>
    </font>
    <font>
      <sz val="8"/>
      <color rgb="FFFF0000"/>
      <name val="Trebuchet MS"/>
      <family val="2"/>
    </font>
    <font>
      <sz val="8"/>
      <color rgb="FFFF0000"/>
      <name val="Trebuchet MS"/>
      <family val="2"/>
      <scheme val="minor"/>
    </font>
    <font>
      <sz val="8"/>
      <color theme="1"/>
      <name val="Trebuchet MS"/>
      <family val="2"/>
    </font>
    <font>
      <sz val="11"/>
      <color theme="1"/>
      <name val="Trebuchet MS"/>
      <family val="2"/>
    </font>
    <font>
      <b/>
      <sz val="10"/>
      <color theme="1"/>
      <name val="Trebuchet MS"/>
      <family val="2"/>
    </font>
    <font>
      <b/>
      <u/>
      <sz val="9"/>
      <color theme="1"/>
      <name val="Trebuchet MS"/>
      <family val="2"/>
    </font>
    <font>
      <b/>
      <sz val="9"/>
      <color theme="1"/>
      <name val="Trebuchet MS"/>
      <family val="2"/>
    </font>
    <font>
      <b/>
      <sz val="9"/>
      <color rgb="FF404040"/>
      <name val="Trebuchet MS"/>
      <family val="2"/>
    </font>
    <font>
      <b/>
      <sz val="9"/>
      <color rgb="FFFFFFFF"/>
      <name val="Kohinoor Devanagari"/>
      <family val="3"/>
    </font>
    <font>
      <sz val="8"/>
      <color rgb="FF000000"/>
      <name val="Times New Roman"/>
      <family val="1"/>
    </font>
    <font>
      <sz val="9"/>
      <color rgb="FF000000"/>
      <name val="Kohinoor Devanagari"/>
      <family val="3"/>
    </font>
    <font>
      <sz val="9"/>
      <color rgb="FF404040"/>
      <name val="Trebuchet MS"/>
      <family val="2"/>
    </font>
    <font>
      <b/>
      <sz val="10"/>
      <color rgb="FF404040"/>
      <name val="Trebuchet MS"/>
      <family val="2"/>
    </font>
    <font>
      <b/>
      <i/>
      <sz val="9"/>
      <color rgb="FF404040"/>
      <name val="Trebuchet MS"/>
      <family val="2"/>
    </font>
    <font>
      <sz val="8"/>
      <color rgb="FF000000"/>
      <name val="Kohinoor Devanagari"/>
      <family val="3"/>
    </font>
    <font>
      <b/>
      <sz val="8"/>
      <color rgb="FFFFFFFF"/>
      <name val="Kohinoor Devanagari"/>
      <family val="3"/>
    </font>
    <font>
      <b/>
      <sz val="10"/>
      <name val="Trebuchet MS"/>
      <family val="2"/>
    </font>
    <font>
      <sz val="9"/>
      <color rgb="FF3C3430"/>
      <name val="Trebuchet MS"/>
      <family val="2"/>
    </font>
    <font>
      <b/>
      <sz val="8"/>
      <color rgb="FFFFFFFF"/>
      <name val="Kohinoor Devanagari"/>
    </font>
    <font>
      <sz val="8"/>
      <color rgb="FFFF0000"/>
      <name val="Trebuchet MS"/>
      <family val="2"/>
      <scheme val="major"/>
    </font>
    <font>
      <sz val="12"/>
      <name val="Calibri"/>
      <family val="2"/>
    </font>
    <font>
      <b/>
      <u/>
      <sz val="9"/>
      <color rgb="FF000000"/>
      <name val="Trebuchet MS"/>
      <family val="2"/>
    </font>
    <font>
      <b/>
      <sz val="9"/>
      <color rgb="FFFFFFFF"/>
      <name val="Trebuchet MS"/>
      <family val="2"/>
      <scheme val="major"/>
    </font>
    <font>
      <b/>
      <sz val="9"/>
      <color rgb="FFFFFFFF"/>
      <name val="Tahoma"/>
      <family val="2"/>
    </font>
    <font>
      <sz val="9"/>
      <name val="Trebuchet MS"/>
      <family val="2"/>
    </font>
    <font>
      <b/>
      <sz val="9"/>
      <color theme="0"/>
      <name val="Tahoma"/>
      <family val="2"/>
    </font>
    <font>
      <sz val="9"/>
      <color theme="1"/>
      <name val="Trebuchet MS"/>
      <family val="2"/>
      <scheme val="minor"/>
    </font>
    <font>
      <b/>
      <sz val="8"/>
      <color rgb="FF000000"/>
      <name val="Trebuchet MS"/>
      <family val="2"/>
      <scheme val="major"/>
    </font>
    <font>
      <sz val="10"/>
      <name val="Trebuchet MS"/>
      <family val="2"/>
      <scheme val="major"/>
    </font>
    <font>
      <b/>
      <sz val="9"/>
      <color rgb="FF000000"/>
      <name val="Tahoma"/>
      <family val="2"/>
    </font>
    <font>
      <b/>
      <sz val="9"/>
      <color rgb="FFFFFFFF"/>
      <name val="Kohinoor Devanagari"/>
    </font>
    <font>
      <i/>
      <sz val="9"/>
      <color rgb="FF404040"/>
      <name val="Trebuchet MS"/>
      <family val="2"/>
    </font>
    <font>
      <sz val="12"/>
      <color rgb="FF000000"/>
      <name val="Trebuchet MS"/>
      <family val="2"/>
    </font>
    <font>
      <vertAlign val="superscript"/>
      <sz val="8"/>
      <color rgb="FF404040"/>
      <name val="Calibri Light"/>
      <family val="2"/>
    </font>
    <font>
      <sz val="8"/>
      <name val="Calibri Light"/>
      <family val="2"/>
    </font>
    <font>
      <sz val="8"/>
      <color rgb="FF404040"/>
      <name val="Calibri Light"/>
      <family val="2"/>
    </font>
    <font>
      <sz val="8"/>
      <name val="Calibri"/>
      <family val="2"/>
    </font>
    <font>
      <b/>
      <sz val="10"/>
      <name val="Arial"/>
      <family val="2"/>
    </font>
    <font>
      <b/>
      <sz val="9"/>
      <color rgb="FFFFFF00"/>
      <name val="Trebuchet MS"/>
      <family val="2"/>
    </font>
    <font>
      <i/>
      <sz val="1"/>
      <color rgb="FF44546A"/>
      <name val="Times New Roman"/>
      <family val="1"/>
    </font>
    <font>
      <b/>
      <sz val="12"/>
      <name val="Trebuchet MS"/>
      <family val="2"/>
    </font>
    <font>
      <b/>
      <sz val="9"/>
      <color rgb="FF44546A"/>
      <name val="Trebuchet MS"/>
      <family val="2"/>
    </font>
    <font>
      <sz val="9"/>
      <color rgb="FF000000"/>
      <name val="Century Gothic"/>
      <family val="2"/>
    </font>
    <font>
      <sz val="9"/>
      <color rgb="FF404040"/>
      <name val="Century Gothic"/>
      <family val="2"/>
    </font>
    <font>
      <sz val="9"/>
      <color rgb="FF404040"/>
      <name val="Times New Roman"/>
      <family val="1"/>
    </font>
    <font>
      <b/>
      <sz val="8"/>
      <color rgb="FFFF0000"/>
      <name val="Tahoma"/>
      <family val="2"/>
    </font>
    <font>
      <b/>
      <sz val="9"/>
      <color rgb="FFFFFFFF"/>
      <name val="Trebuchet MS"/>
      <family val="2"/>
      <scheme val="minor"/>
    </font>
    <font>
      <b/>
      <sz val="9"/>
      <color theme="0"/>
      <name val="Trebuchet MS"/>
      <family val="2"/>
      <scheme val="minor"/>
    </font>
    <font>
      <vertAlign val="superscript"/>
      <sz val="8"/>
      <name val="Calibri"/>
      <family val="2"/>
    </font>
    <font>
      <sz val="9"/>
      <color rgb="FF000000"/>
      <name val="Trebuchet MS"/>
      <family val="2"/>
      <scheme val="minor"/>
    </font>
    <font>
      <i/>
      <sz val="9"/>
      <name val="Trebuchet MS"/>
      <family val="2"/>
    </font>
    <font>
      <sz val="10"/>
      <color theme="0"/>
      <name val="Arial"/>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2" tint="-0.749992370372631"/>
        <bgColor indexed="64"/>
      </patternFill>
    </fill>
    <fill>
      <patternFill patternType="solid">
        <fgColor rgb="FF92D050"/>
        <bgColor indexed="64"/>
      </patternFill>
    </fill>
    <fill>
      <patternFill patternType="solid">
        <fgColor theme="2" tint="-0.24997711111789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657C91"/>
        <bgColor indexed="64"/>
      </patternFill>
    </fill>
    <fill>
      <patternFill patternType="solid">
        <fgColor rgb="FFA9ECEF"/>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rgb="FF218F8B"/>
        <bgColor indexed="64"/>
      </patternFill>
    </fill>
    <fill>
      <patternFill patternType="solid">
        <fgColor theme="1"/>
        <bgColor indexed="64"/>
      </patternFill>
    </fill>
    <fill>
      <patternFill patternType="solid">
        <fgColor rgb="FF19748A"/>
        <bgColor indexed="64"/>
      </patternFill>
    </fill>
    <fill>
      <patternFill patternType="solid">
        <fgColor rgb="FFFFC000"/>
        <bgColor indexed="64"/>
      </patternFill>
    </fill>
    <fill>
      <patternFill patternType="solid">
        <fgColor rgb="FF748A96"/>
        <bgColor indexed="64"/>
      </patternFill>
    </fill>
    <fill>
      <patternFill patternType="solid">
        <fgColor rgb="FFE2EFDA"/>
        <bgColor indexed="64"/>
      </patternFill>
    </fill>
    <fill>
      <patternFill patternType="solid">
        <fgColor rgb="FFE2EFD9"/>
        <bgColor indexed="64"/>
      </patternFill>
    </fill>
    <fill>
      <patternFill patternType="solid">
        <fgColor rgb="FF808080"/>
        <bgColor indexed="64"/>
      </patternFill>
    </fill>
    <fill>
      <patternFill patternType="solid">
        <fgColor rgb="FFD9D9D9"/>
        <bgColor indexed="64"/>
      </patternFill>
    </fill>
    <fill>
      <patternFill patternType="solid">
        <fgColor rgb="FFFFFFFF"/>
        <bgColor indexed="64"/>
      </patternFill>
    </fill>
    <fill>
      <patternFill patternType="solid">
        <fgColor rgb="FF61BC4D"/>
        <bgColor indexed="64"/>
      </patternFill>
    </fill>
    <fill>
      <patternFill patternType="solid">
        <fgColor rgb="FFDAF2D0"/>
        <bgColor indexed="64"/>
      </patternFill>
    </fill>
    <fill>
      <patternFill patternType="solid">
        <fgColor rgb="FF175753"/>
        <bgColor indexed="64"/>
      </patternFill>
    </fill>
    <fill>
      <patternFill patternType="solid">
        <fgColor rgb="FF8497B0"/>
        <bgColor indexed="64"/>
      </patternFill>
    </fill>
    <fill>
      <patternFill patternType="solid">
        <fgColor theme="9"/>
        <bgColor indexed="64"/>
      </patternFill>
    </fill>
    <fill>
      <patternFill patternType="solid">
        <fgColor rgb="FF758B86"/>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theme="4"/>
      </bottom>
      <diagonal/>
    </border>
    <border>
      <left/>
      <right/>
      <top style="thick">
        <color theme="4"/>
      </top>
      <bottom/>
      <diagonal/>
    </border>
    <border>
      <left/>
      <right/>
      <top/>
      <bottom style="thin">
        <color theme="0"/>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rgb="FFFF0000"/>
      </bottom>
      <diagonal/>
    </border>
    <border>
      <left style="thin">
        <color theme="0"/>
      </left>
      <right style="thin">
        <color theme="0"/>
      </right>
      <top/>
      <bottom style="thin">
        <color theme="0"/>
      </bottom>
      <diagonal/>
    </border>
    <border>
      <left style="thin">
        <color theme="0"/>
      </left>
      <right style="thick">
        <color theme="0"/>
      </right>
      <top/>
      <bottom style="thin">
        <color theme="0"/>
      </bottom>
      <diagonal/>
    </border>
    <border>
      <left style="thin">
        <color theme="0"/>
      </left>
      <right style="thin">
        <color theme="0"/>
      </right>
      <top style="thin">
        <color theme="0"/>
      </top>
      <bottom style="medium">
        <color rgb="FFFF0000"/>
      </bottom>
      <diagonal/>
    </border>
    <border>
      <left style="thin">
        <color theme="0"/>
      </left>
      <right style="thick">
        <color theme="0"/>
      </right>
      <top style="thin">
        <color theme="0"/>
      </top>
      <bottom style="medium">
        <color rgb="FFFF0000"/>
      </bottom>
      <diagonal/>
    </border>
    <border>
      <left/>
      <right/>
      <top/>
      <bottom style="thick">
        <color rgb="FF61BC4D"/>
      </bottom>
      <diagonal/>
    </border>
    <border>
      <left/>
      <right/>
      <top style="thick">
        <color rgb="FF61BC4D"/>
      </top>
      <bottom/>
      <diagonal/>
    </border>
    <border>
      <left/>
      <right/>
      <top/>
      <bottom style="thick">
        <color rgb="FF92D050"/>
      </bottom>
      <diagonal/>
    </border>
    <border>
      <left/>
      <right/>
      <top/>
      <bottom style="medium">
        <color rgb="FF61BC4D"/>
      </bottom>
      <diagonal/>
    </border>
    <border>
      <left/>
      <right/>
      <top/>
      <bottom style="thick">
        <color rgb="FFA8D08D"/>
      </bottom>
      <diagonal/>
    </border>
    <border>
      <left/>
      <right style="medium">
        <color rgb="FFFFFFFF"/>
      </right>
      <top/>
      <bottom/>
      <diagonal/>
    </border>
    <border>
      <left style="medium">
        <color rgb="FFC00000"/>
      </left>
      <right style="medium">
        <color rgb="FFC00000"/>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medium">
        <color rgb="FFC00000"/>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style="medium">
        <color rgb="FFFFFFFF"/>
      </left>
      <right style="medium">
        <color rgb="FFFFFFFF"/>
      </right>
      <top style="medium">
        <color rgb="FFFFFFFF"/>
      </top>
      <bottom style="medium">
        <color rgb="FF61BC4D"/>
      </bottom>
      <diagonal/>
    </border>
    <border>
      <left/>
      <right style="medium">
        <color rgb="FFFFFFFF"/>
      </right>
      <top style="medium">
        <color rgb="FFFFFFFF"/>
      </top>
      <bottom style="medium">
        <color rgb="FF61BC4D"/>
      </bottom>
      <diagonal/>
    </border>
    <border>
      <left style="medium">
        <color rgb="FFFFFFFF"/>
      </left>
      <right style="medium">
        <color rgb="FFFFFFFF"/>
      </right>
      <top/>
      <bottom/>
      <diagonal/>
    </border>
    <border>
      <left style="medium">
        <color rgb="FFFFFFFF"/>
      </left>
      <right style="medium">
        <color rgb="FFFFFFFF"/>
      </right>
      <top/>
      <bottom style="medium">
        <color rgb="FF61BC4D"/>
      </bottom>
      <diagonal/>
    </border>
    <border>
      <left/>
      <right style="medium">
        <color rgb="FFFFFFFF"/>
      </right>
      <top/>
      <bottom style="medium">
        <color rgb="FF61BC4D"/>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medium">
        <color rgb="FF92D050"/>
      </bottom>
      <diagonal/>
    </border>
    <border>
      <left/>
      <right/>
      <top style="medium">
        <color rgb="FF92D050"/>
      </top>
      <bottom/>
      <diagonal/>
    </border>
    <border>
      <left/>
      <right/>
      <top/>
      <bottom style="medium">
        <color rgb="FFFFFFFF"/>
      </bottom>
      <diagonal/>
    </border>
  </borders>
  <cellStyleXfs count="5548">
    <xf numFmtId="0" fontId="0" fillId="0" borderId="0"/>
    <xf numFmtId="0" fontId="55" fillId="0" borderId="0"/>
    <xf numFmtId="0" fontId="56" fillId="0" borderId="0"/>
    <xf numFmtId="0" fontId="57" fillId="0" borderId="0"/>
    <xf numFmtId="0" fontId="55" fillId="0" borderId="0"/>
    <xf numFmtId="0" fontId="58" fillId="0" borderId="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8" fillId="20" borderId="1" applyNumberFormat="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9" fillId="0" borderId="2" applyNumberFormat="0" applyFill="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65" fillId="21" borderId="3" applyNumberFormat="0" applyFon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0" fontId="70" fillId="7" borderId="1" applyNumberFormat="0" applyAlignment="0" applyProtection="0"/>
    <xf numFmtId="44" fontId="55" fillId="0" borderId="0" applyFont="0" applyFill="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167" fontId="55" fillId="0" borderId="0" applyFont="0" applyFill="0" applyBorder="0" applyAlignment="0" applyProtection="0"/>
    <xf numFmtId="169"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3" fontId="61" fillId="0" borderId="0" applyFont="0" applyFill="0" applyBorder="0" applyAlignment="0" applyProtection="0"/>
    <xf numFmtId="168" fontId="55" fillId="0" borderId="0" applyFont="0" applyFill="0" applyBorder="0" applyAlignment="0" applyProtection="0"/>
    <xf numFmtId="43" fontId="55" fillId="0" borderId="0" applyFont="0" applyFill="0" applyBorder="0" applyAlignment="0" applyProtection="0"/>
    <xf numFmtId="166" fontId="61" fillId="0" borderId="0" applyFont="0" applyFill="0" applyBorder="0" applyAlignment="0" applyProtection="0"/>
    <xf numFmtId="44" fontId="55" fillId="0" borderId="0" applyFont="0" applyFill="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65" fillId="0" borderId="0"/>
    <xf numFmtId="0" fontId="64" fillId="0" borderId="0"/>
    <xf numFmtId="0" fontId="55" fillId="0" borderId="0"/>
    <xf numFmtId="0" fontId="55" fillId="0" borderId="0"/>
    <xf numFmtId="0" fontId="55" fillId="0" borderId="0"/>
    <xf numFmtId="0" fontId="55" fillId="0" borderId="0"/>
    <xf numFmtId="0" fontId="55" fillId="0" borderId="0"/>
    <xf numFmtId="0" fontId="55" fillId="0" borderId="0">
      <alignment wrapText="1"/>
    </xf>
    <xf numFmtId="0" fontId="55" fillId="0" borderId="0"/>
    <xf numFmtId="0" fontId="61" fillId="0" borderId="0"/>
    <xf numFmtId="0" fontId="61" fillId="0" borderId="0"/>
    <xf numFmtId="0" fontId="55" fillId="0" borderId="0"/>
    <xf numFmtId="0" fontId="55" fillId="0" borderId="0"/>
    <xf numFmtId="0" fontId="54" fillId="0" borderId="0"/>
    <xf numFmtId="0" fontId="64" fillId="0" borderId="0"/>
    <xf numFmtId="0" fontId="55" fillId="0" borderId="0"/>
    <xf numFmtId="0" fontId="55" fillId="0" borderId="0"/>
    <xf numFmtId="0" fontId="62" fillId="0" borderId="0"/>
    <xf numFmtId="0" fontId="55" fillId="0" borderId="0">
      <alignment wrapText="1"/>
    </xf>
    <xf numFmtId="0" fontId="64" fillId="0" borderId="0"/>
    <xf numFmtId="9" fontId="55" fillId="0" borderId="0" applyFont="0" applyFill="0" applyBorder="0" applyAlignment="0" applyProtection="0"/>
    <xf numFmtId="9" fontId="55" fillId="0" borderId="0" applyFont="0" applyFill="0" applyBorder="0" applyAlignment="0" applyProtection="0"/>
    <xf numFmtId="9" fontId="61" fillId="0" borderId="0" applyFont="0" applyFill="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4" fillId="20" borderId="4"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79" fillId="0" borderId="8" applyNumberFormat="0" applyFill="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0" fontId="80" fillId="23" borderId="9" applyNumberFormat="0" applyAlignment="0" applyProtection="0"/>
    <xf numFmtId="9" fontId="55" fillId="0" borderId="0" applyFont="0" applyFill="0" applyBorder="0" applyAlignment="0" applyProtection="0"/>
    <xf numFmtId="164" fontId="82" fillId="0" borderId="0" applyFont="0" applyFill="0" applyBorder="0" applyAlignment="0" applyProtection="0"/>
    <xf numFmtId="0" fontId="81" fillId="0" borderId="0" applyNumberFormat="0" applyFill="0" applyBorder="0" applyAlignment="0" applyProtection="0">
      <alignment vertical="top"/>
      <protection locked="0"/>
    </xf>
    <xf numFmtId="0" fontId="53" fillId="0" borderId="0"/>
    <xf numFmtId="9" fontId="82" fillId="0" borderId="0" applyFont="0" applyFill="0" applyBorder="0" applyAlignment="0" applyProtection="0"/>
    <xf numFmtId="0" fontId="82" fillId="0" borderId="0"/>
    <xf numFmtId="0" fontId="52" fillId="0" borderId="0"/>
    <xf numFmtId="0" fontId="52" fillId="0" borderId="0"/>
    <xf numFmtId="166" fontId="55" fillId="0" borderId="0" applyFont="0" applyFill="0" applyBorder="0" applyAlignment="0" applyProtection="0"/>
    <xf numFmtId="0" fontId="61" fillId="0" borderId="0"/>
    <xf numFmtId="0" fontId="83" fillId="0" borderId="0"/>
    <xf numFmtId="0" fontId="84" fillId="2" borderId="0" applyNumberFormat="0" applyBorder="0" applyAlignment="0" applyProtection="0">
      <alignment vertical="center"/>
    </xf>
    <xf numFmtId="0" fontId="84" fillId="3" borderId="0" applyNumberFormat="0" applyBorder="0" applyAlignment="0" applyProtection="0">
      <alignment vertical="center"/>
    </xf>
    <xf numFmtId="0" fontId="84" fillId="4" borderId="0" applyNumberFormat="0" applyBorder="0" applyAlignment="0" applyProtection="0">
      <alignment vertical="center"/>
    </xf>
    <xf numFmtId="0" fontId="84" fillId="5" borderId="0" applyNumberFormat="0" applyBorder="0" applyAlignment="0" applyProtection="0">
      <alignment vertical="center"/>
    </xf>
    <xf numFmtId="0" fontId="84" fillId="6" borderId="0" applyNumberFormat="0" applyBorder="0" applyAlignment="0" applyProtection="0">
      <alignment vertical="center"/>
    </xf>
    <xf numFmtId="0" fontId="84" fillId="7" borderId="0" applyNumberFormat="0" applyBorder="0" applyAlignment="0" applyProtection="0">
      <alignment vertical="center"/>
    </xf>
    <xf numFmtId="0" fontId="84" fillId="8" borderId="0" applyNumberFormat="0" applyBorder="0" applyAlignment="0" applyProtection="0">
      <alignment vertical="center"/>
    </xf>
    <xf numFmtId="0" fontId="84" fillId="9" borderId="0" applyNumberFormat="0" applyBorder="0" applyAlignment="0" applyProtection="0">
      <alignment vertical="center"/>
    </xf>
    <xf numFmtId="0" fontId="84" fillId="10" borderId="0" applyNumberFormat="0" applyBorder="0" applyAlignment="0" applyProtection="0">
      <alignment vertical="center"/>
    </xf>
    <xf numFmtId="0" fontId="84" fillId="5" borderId="0" applyNumberFormat="0" applyBorder="0" applyAlignment="0" applyProtection="0">
      <alignment vertical="center"/>
    </xf>
    <xf numFmtId="0" fontId="84" fillId="8" borderId="0" applyNumberFormat="0" applyBorder="0" applyAlignment="0" applyProtection="0">
      <alignment vertical="center"/>
    </xf>
    <xf numFmtId="0" fontId="84" fillId="11" borderId="0" applyNumberFormat="0" applyBorder="0" applyAlignment="0" applyProtection="0">
      <alignment vertical="center"/>
    </xf>
    <xf numFmtId="0" fontId="85" fillId="12" borderId="0" applyNumberFormat="0" applyBorder="0" applyAlignment="0" applyProtection="0">
      <alignment vertical="center"/>
    </xf>
    <xf numFmtId="0" fontId="85" fillId="9" borderId="0" applyNumberFormat="0" applyBorder="0" applyAlignment="0" applyProtection="0">
      <alignment vertical="center"/>
    </xf>
    <xf numFmtId="0" fontId="85" fillId="10" borderId="0" applyNumberFormat="0" applyBorder="0" applyAlignment="0" applyProtection="0">
      <alignment vertical="center"/>
    </xf>
    <xf numFmtId="0" fontId="85" fillId="13" borderId="0" applyNumberFormat="0" applyBorder="0" applyAlignment="0" applyProtection="0">
      <alignment vertical="center"/>
    </xf>
    <xf numFmtId="0" fontId="85" fillId="14" borderId="0" applyNumberFormat="0" applyBorder="0" applyAlignment="0" applyProtection="0">
      <alignment vertical="center"/>
    </xf>
    <xf numFmtId="0" fontId="85" fillId="15" borderId="0" applyNumberFormat="0" applyBorder="0" applyAlignment="0" applyProtection="0">
      <alignment vertical="center"/>
    </xf>
    <xf numFmtId="0" fontId="84" fillId="0" borderId="0"/>
    <xf numFmtId="0" fontId="83" fillId="0" borderId="0"/>
    <xf numFmtId="0" fontId="86" fillId="0" borderId="0" applyNumberFormat="0" applyFill="0" applyBorder="0" applyAlignment="0" applyProtection="0">
      <alignment vertical="center"/>
    </xf>
    <xf numFmtId="0" fontId="87" fillId="0" borderId="5" applyNumberFormat="0" applyFill="0" applyAlignment="0" applyProtection="0">
      <alignment vertical="center"/>
    </xf>
    <xf numFmtId="0" fontId="88" fillId="0" borderId="6" applyNumberFormat="0" applyFill="0" applyAlignment="0" applyProtection="0">
      <alignment vertical="center"/>
    </xf>
    <xf numFmtId="0" fontId="89" fillId="0" borderId="7" applyNumberFormat="0" applyFill="0" applyAlignment="0" applyProtection="0">
      <alignment vertical="center"/>
    </xf>
    <xf numFmtId="0" fontId="89" fillId="0" borderId="0" applyNumberFormat="0" applyFill="0" applyBorder="0" applyAlignment="0" applyProtection="0">
      <alignment vertical="center"/>
    </xf>
    <xf numFmtId="0" fontId="90" fillId="3" borderId="0" applyNumberFormat="0" applyBorder="0" applyAlignment="0" applyProtection="0">
      <alignment vertical="center"/>
    </xf>
    <xf numFmtId="0" fontId="55" fillId="0" borderId="0"/>
    <xf numFmtId="0" fontId="91" fillId="4" borderId="0" applyNumberFormat="0" applyBorder="0" applyAlignment="0" applyProtection="0">
      <alignment vertical="center"/>
    </xf>
    <xf numFmtId="0" fontId="92" fillId="0" borderId="8" applyNumberFormat="0" applyFill="0" applyAlignment="0" applyProtection="0">
      <alignment vertical="center"/>
    </xf>
    <xf numFmtId="0" fontId="93" fillId="20" borderId="1" applyNumberFormat="0" applyAlignment="0" applyProtection="0">
      <alignment vertical="center"/>
    </xf>
    <xf numFmtId="0" fontId="94" fillId="23" borderId="9" applyNumberForma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2" applyNumberFormat="0" applyFill="0" applyAlignment="0" applyProtection="0">
      <alignment vertical="center"/>
    </xf>
    <xf numFmtId="0" fontId="85" fillId="16" borderId="0" applyNumberFormat="0" applyBorder="0" applyAlignment="0" applyProtection="0">
      <alignment vertical="center"/>
    </xf>
    <xf numFmtId="0" fontId="85" fillId="17" borderId="0" applyNumberFormat="0" applyBorder="0" applyAlignment="0" applyProtection="0">
      <alignment vertical="center"/>
    </xf>
    <xf numFmtId="0" fontId="85" fillId="18" borderId="0" applyNumberFormat="0" applyBorder="0" applyAlignment="0" applyProtection="0">
      <alignment vertical="center"/>
    </xf>
    <xf numFmtId="0" fontId="85" fillId="13" borderId="0" applyNumberFormat="0" applyBorder="0" applyAlignment="0" applyProtection="0">
      <alignment vertical="center"/>
    </xf>
    <xf numFmtId="0" fontId="85" fillId="14" borderId="0" applyNumberFormat="0" applyBorder="0" applyAlignment="0" applyProtection="0">
      <alignment vertical="center"/>
    </xf>
    <xf numFmtId="0" fontId="85" fillId="19" borderId="0" applyNumberFormat="0" applyBorder="0" applyAlignment="0" applyProtection="0">
      <alignment vertical="center"/>
    </xf>
    <xf numFmtId="0" fontId="98" fillId="22" borderId="0" applyNumberFormat="0" applyBorder="0" applyAlignment="0" applyProtection="0">
      <alignment vertical="center"/>
    </xf>
    <xf numFmtId="0" fontId="99" fillId="20" borderId="4" applyNumberFormat="0" applyAlignment="0" applyProtection="0">
      <alignment vertical="center"/>
    </xf>
    <xf numFmtId="0" fontId="100" fillId="7" borderId="1" applyNumberFormat="0" applyAlignment="0" applyProtection="0">
      <alignment vertical="center"/>
    </xf>
    <xf numFmtId="0" fontId="55" fillId="21" borderId="3" applyNumberFormat="0" applyFont="0" applyAlignment="0" applyProtection="0">
      <alignment vertical="center"/>
    </xf>
    <xf numFmtId="0" fontId="83" fillId="0" borderId="0"/>
    <xf numFmtId="0" fontId="83" fillId="0" borderId="0"/>
    <xf numFmtId="0" fontId="83" fillId="0" borderId="0"/>
    <xf numFmtId="166" fontId="55" fillId="0" borderId="0" applyFont="0" applyFill="0" applyBorder="0" applyAlignment="0" applyProtection="0"/>
    <xf numFmtId="0" fontId="55" fillId="0" borderId="0"/>
    <xf numFmtId="164" fontId="55" fillId="0" borderId="0" applyFont="0" applyFill="0" applyBorder="0" applyAlignment="0" applyProtection="0"/>
    <xf numFmtId="0" fontId="52" fillId="0" borderId="0"/>
    <xf numFmtId="164" fontId="55" fillId="0" borderId="0" applyFont="0" applyFill="0" applyBorder="0" applyAlignment="0" applyProtection="0"/>
    <xf numFmtId="0" fontId="52" fillId="0" borderId="0"/>
    <xf numFmtId="9" fontId="55" fillId="0" borderId="0" applyFont="0" applyFill="0" applyBorder="0" applyAlignment="0" applyProtection="0"/>
    <xf numFmtId="0" fontId="55" fillId="0" borderId="0"/>
    <xf numFmtId="9" fontId="55" fillId="0" borderId="0" applyFont="0" applyFill="0" applyBorder="0" applyAlignment="0" applyProtection="0"/>
    <xf numFmtId="164" fontId="55" fillId="0" borderId="0" applyFont="0" applyFill="0" applyBorder="0" applyAlignment="0" applyProtection="0"/>
    <xf numFmtId="0" fontId="51" fillId="0" borderId="0"/>
    <xf numFmtId="0" fontId="51" fillId="0" borderId="0"/>
    <xf numFmtId="164" fontId="55" fillId="0" borderId="0" applyFont="0" applyFill="0" applyBorder="0" applyAlignment="0" applyProtection="0"/>
    <xf numFmtId="164" fontId="55" fillId="0" borderId="0" applyFont="0" applyFill="0" applyBorder="0" applyAlignment="0" applyProtection="0"/>
    <xf numFmtId="0" fontId="51" fillId="0" borderId="0"/>
    <xf numFmtId="9" fontId="55"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102" fillId="0" borderId="0" applyNumberFormat="0" applyFill="0" applyBorder="0" applyAlignment="0" applyProtection="0"/>
    <xf numFmtId="0" fontId="47" fillId="0" borderId="0"/>
    <xf numFmtId="166" fontId="55"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66" fontId="55" fillId="0" borderId="0" applyFont="0" applyFill="0" applyBorder="0" applyAlignment="0" applyProtection="0"/>
    <xf numFmtId="166" fontId="60"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44" fillId="0" borderId="0" applyFont="0" applyFill="0" applyBorder="0" applyAlignment="0" applyProtection="0"/>
    <xf numFmtId="168" fontId="55" fillId="0" borderId="0"/>
    <xf numFmtId="168" fontId="104" fillId="0" borderId="0"/>
    <xf numFmtId="168" fontId="55" fillId="0" borderId="0"/>
    <xf numFmtId="168" fontId="104" fillId="0" borderId="0"/>
    <xf numFmtId="168" fontId="43" fillId="0" borderId="0"/>
    <xf numFmtId="168" fontId="43" fillId="0" borderId="0"/>
    <xf numFmtId="0" fontId="105" fillId="0" borderId="0">
      <alignment horizontal="center" vertical="center"/>
    </xf>
    <xf numFmtId="0" fontId="42" fillId="0" borderId="0"/>
    <xf numFmtId="0" fontId="104" fillId="0" borderId="0"/>
    <xf numFmtId="0" fontId="55" fillId="0" borderId="0"/>
    <xf numFmtId="0" fontId="41" fillId="0" borderId="0"/>
    <xf numFmtId="0" fontId="41" fillId="0" borderId="0"/>
    <xf numFmtId="166" fontId="55" fillId="0" borderId="0" applyFont="0" applyFill="0" applyBorder="0" applyAlignment="0" applyProtection="0"/>
    <xf numFmtId="0" fontId="40" fillId="0" borderId="0"/>
    <xf numFmtId="166" fontId="40" fillId="0" borderId="0" applyFont="0" applyFill="0" applyBorder="0" applyAlignment="0" applyProtection="0"/>
    <xf numFmtId="164" fontId="55" fillId="0" borderId="0" applyFont="0" applyFill="0" applyBorder="0" applyAlignment="0" applyProtection="0"/>
    <xf numFmtId="0" fontId="39" fillId="0" borderId="0"/>
    <xf numFmtId="0" fontId="38" fillId="0" borderId="0"/>
    <xf numFmtId="0" fontId="106" fillId="0" borderId="0"/>
    <xf numFmtId="0" fontId="37" fillId="0" borderId="0"/>
    <xf numFmtId="0" fontId="36" fillId="0" borderId="0"/>
    <xf numFmtId="0" fontId="35" fillId="0" borderId="0"/>
    <xf numFmtId="0" fontId="35" fillId="0" borderId="0"/>
    <xf numFmtId="0" fontId="101" fillId="0" borderId="0"/>
    <xf numFmtId="0" fontId="34" fillId="0" borderId="0"/>
    <xf numFmtId="0" fontId="101" fillId="0" borderId="0"/>
    <xf numFmtId="0" fontId="101" fillId="0" borderId="0"/>
    <xf numFmtId="9" fontId="101" fillId="0" borderId="0" applyFont="0" applyFill="0" applyBorder="0" applyAlignment="0" applyProtection="0"/>
    <xf numFmtId="0" fontId="107" fillId="0" borderId="0" applyNumberFormat="0" applyFill="0" applyBorder="0" applyAlignment="0" applyProtection="0">
      <alignment vertical="top"/>
      <protection locked="0"/>
    </xf>
    <xf numFmtId="0" fontId="101" fillId="0" borderId="0"/>
    <xf numFmtId="0" fontId="101" fillId="0" borderId="0"/>
    <xf numFmtId="0" fontId="101" fillId="0" borderId="0"/>
    <xf numFmtId="0" fontId="101" fillId="0" borderId="0"/>
    <xf numFmtId="0" fontId="33" fillId="0" borderId="0"/>
    <xf numFmtId="0" fontId="101" fillId="0" borderId="0"/>
    <xf numFmtId="164" fontId="101" fillId="0" borderId="0" applyFont="0" applyFill="0" applyBorder="0" applyAlignment="0" applyProtection="0"/>
    <xf numFmtId="0" fontId="64" fillId="0" borderId="0">
      <alignment vertical="top"/>
    </xf>
    <xf numFmtId="164" fontId="101" fillId="0" borderId="0" applyFont="0" applyFill="0" applyBorder="0" applyAlignment="0" applyProtection="0"/>
    <xf numFmtId="0" fontId="101" fillId="0" borderId="0"/>
    <xf numFmtId="0" fontId="101" fillId="0" borderId="0"/>
    <xf numFmtId="164" fontId="101" fillId="0" borderId="0" applyFont="0" applyFill="0" applyBorder="0" applyAlignment="0" applyProtection="0"/>
    <xf numFmtId="164" fontId="101" fillId="0" borderId="0" applyFont="0" applyFill="0" applyBorder="0" applyAlignment="0" applyProtection="0"/>
    <xf numFmtId="164" fontId="55" fillId="0" borderId="0" applyFont="0" applyFill="0" applyBorder="0" applyAlignment="0" applyProtection="0"/>
    <xf numFmtId="0" fontId="32" fillId="0" borderId="0"/>
    <xf numFmtId="0" fontId="101" fillId="0" borderId="0"/>
    <xf numFmtId="0" fontId="32" fillId="0" borderId="0"/>
    <xf numFmtId="164" fontId="55" fillId="0" borderId="0" applyFont="0" applyFill="0" applyBorder="0" applyAlignment="0" applyProtection="0"/>
    <xf numFmtId="164" fontId="55" fillId="0" borderId="0" applyFont="0" applyFill="0" applyBorder="0" applyAlignment="0" applyProtection="0"/>
    <xf numFmtId="164" fontId="32"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3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8" fontId="32" fillId="0" borderId="0"/>
    <xf numFmtId="168" fontId="32" fillId="0" borderId="0"/>
    <xf numFmtId="164" fontId="5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0" fontId="31" fillId="0" borderId="0"/>
    <xf numFmtId="0" fontId="31" fillId="0" borderId="0"/>
    <xf numFmtId="0" fontId="108" fillId="0" borderId="0" applyNumberFormat="0" applyFill="0" applyBorder="0" applyAlignment="0" applyProtection="0"/>
    <xf numFmtId="0" fontId="101" fillId="0" borderId="0"/>
    <xf numFmtId="0" fontId="30" fillId="0" borderId="0"/>
    <xf numFmtId="0" fontId="101" fillId="0" borderId="0"/>
    <xf numFmtId="0" fontId="30" fillId="0" borderId="0"/>
    <xf numFmtId="0" fontId="30" fillId="0" borderId="0"/>
    <xf numFmtId="0" fontId="30" fillId="0" borderId="0"/>
    <xf numFmtId="164" fontId="101" fillId="0" borderId="0" applyFont="0" applyFill="0" applyBorder="0" applyAlignment="0" applyProtection="0"/>
    <xf numFmtId="0" fontId="101" fillId="0" borderId="0"/>
    <xf numFmtId="0" fontId="101" fillId="0" borderId="0"/>
    <xf numFmtId="164" fontId="101" fillId="0" borderId="0" applyFont="0" applyFill="0" applyBorder="0" applyAlignment="0" applyProtection="0"/>
    <xf numFmtId="164" fontId="101" fillId="0" borderId="0" applyFont="0" applyFill="0" applyBorder="0" applyAlignment="0" applyProtection="0"/>
    <xf numFmtId="0" fontId="101" fillId="0" borderId="0"/>
    <xf numFmtId="0" fontId="101" fillId="0" borderId="0"/>
    <xf numFmtId="0" fontId="103" fillId="0" borderId="0" applyNumberFormat="0" applyFill="0" applyBorder="0" applyAlignment="0" applyProtection="0"/>
    <xf numFmtId="164" fontId="101" fillId="0" borderId="0" applyFont="0" applyFill="0" applyBorder="0" applyAlignment="0" applyProtection="0"/>
    <xf numFmtId="0" fontId="29" fillId="0" borderId="0"/>
    <xf numFmtId="0" fontId="29" fillId="0" borderId="0"/>
    <xf numFmtId="164" fontId="101" fillId="0" borderId="0" applyFont="0" applyFill="0" applyBorder="0" applyAlignment="0" applyProtection="0"/>
    <xf numFmtId="0" fontId="101" fillId="0" borderId="0"/>
    <xf numFmtId="0" fontId="101" fillId="0" borderId="0"/>
    <xf numFmtId="0" fontId="29" fillId="0" borderId="0"/>
    <xf numFmtId="164" fontId="29" fillId="0" borderId="0" applyFont="0" applyFill="0" applyBorder="0" applyAlignment="0" applyProtection="0"/>
    <xf numFmtId="0" fontId="109" fillId="0" borderId="13" applyNumberFormat="0" applyFill="0" applyAlignment="0" applyProtection="0"/>
    <xf numFmtId="0" fontId="110" fillId="30" borderId="0" applyNumberFormat="0" applyBorder="0" applyAlignment="0" applyProtection="0"/>
    <xf numFmtId="0" fontId="110" fillId="31" borderId="0" applyNumberFormat="0" applyBorder="0" applyAlignment="0" applyProtection="0"/>
    <xf numFmtId="0" fontId="110" fillId="32" borderId="0" applyNumberFormat="0" applyBorder="0" applyAlignment="0" applyProtection="0"/>
    <xf numFmtId="0" fontId="110" fillId="33" borderId="0" applyNumberFormat="0" applyBorder="0" applyAlignment="0" applyProtection="0"/>
    <xf numFmtId="0" fontId="110" fillId="34" borderId="0" applyNumberFormat="0" applyBorder="0" applyAlignment="0" applyProtection="0"/>
    <xf numFmtId="0" fontId="110" fillId="35" borderId="0" applyNumberFormat="0" applyBorder="0" applyAlignment="0" applyProtection="0"/>
    <xf numFmtId="0" fontId="28" fillId="0" borderId="0"/>
    <xf numFmtId="164" fontId="28" fillId="0" borderId="0" applyFont="0" applyFill="0" applyBorder="0" applyAlignment="0" applyProtection="0"/>
    <xf numFmtId="164" fontId="101" fillId="0" borderId="0" applyFont="0" applyFill="0" applyBorder="0" applyAlignment="0" applyProtection="0"/>
    <xf numFmtId="0" fontId="101" fillId="0" borderId="0"/>
    <xf numFmtId="0" fontId="28" fillId="0" borderId="0"/>
    <xf numFmtId="0" fontId="101" fillId="0" borderId="0"/>
    <xf numFmtId="0" fontId="28" fillId="0" borderId="0"/>
    <xf numFmtId="9" fontId="28" fillId="0" borderId="0" applyFont="0" applyFill="0" applyBorder="0" applyAlignment="0" applyProtection="0"/>
    <xf numFmtId="164" fontId="28" fillId="0" borderId="0" applyFont="0" applyFill="0" applyBorder="0" applyAlignment="0" applyProtection="0"/>
    <xf numFmtId="0" fontId="28" fillId="0" borderId="0"/>
    <xf numFmtId="164" fontId="101" fillId="0" borderId="0" applyFont="0" applyFill="0" applyBorder="0" applyAlignment="0" applyProtection="0"/>
    <xf numFmtId="164" fontId="28" fillId="0" borderId="0" applyFont="0" applyFill="0" applyBorder="0" applyAlignment="0" applyProtection="0"/>
    <xf numFmtId="0" fontId="111" fillId="0" borderId="0"/>
    <xf numFmtId="0" fontId="28" fillId="0" borderId="0"/>
    <xf numFmtId="0" fontId="28" fillId="0" borderId="0"/>
    <xf numFmtId="0" fontId="28" fillId="0" borderId="0"/>
    <xf numFmtId="0" fontId="28"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7" fillId="0" borderId="0"/>
    <xf numFmtId="0" fontId="27" fillId="0" borderId="0"/>
    <xf numFmtId="0" fontId="27" fillId="0" borderId="0"/>
    <xf numFmtId="0" fontId="27" fillId="0" borderId="0"/>
    <xf numFmtId="0" fontId="26" fillId="0" borderId="0"/>
    <xf numFmtId="0" fontId="26"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164" fontId="101" fillId="0" borderId="0" applyFont="0" applyFill="0" applyBorder="0" applyAlignment="0" applyProtection="0"/>
    <xf numFmtId="0" fontId="24" fillId="0" borderId="0"/>
    <xf numFmtId="0" fontId="24" fillId="0" borderId="0"/>
    <xf numFmtId="0" fontId="24" fillId="0" borderId="0"/>
    <xf numFmtId="0" fontId="24" fillId="0" borderId="0"/>
    <xf numFmtId="164" fontId="101" fillId="0" borderId="0" applyFont="0" applyFill="0" applyBorder="0" applyAlignment="0" applyProtection="0"/>
    <xf numFmtId="164" fontId="24" fillId="0" borderId="0" applyFont="0" applyFill="0" applyBorder="0" applyAlignment="0" applyProtection="0"/>
    <xf numFmtId="0" fontId="24" fillId="0" borderId="0"/>
    <xf numFmtId="0" fontId="24" fillId="0" borderId="0"/>
    <xf numFmtId="0" fontId="24" fillId="0" borderId="0"/>
    <xf numFmtId="0" fontId="24" fillId="0" borderId="0"/>
    <xf numFmtId="164" fontId="24" fillId="0" borderId="0" applyFont="0" applyFill="0" applyBorder="0" applyAlignment="0" applyProtection="0"/>
    <xf numFmtId="0" fontId="23" fillId="0" borderId="0"/>
    <xf numFmtId="9" fontId="23" fillId="0" borderId="0" applyFont="0" applyFill="0" applyBorder="0" applyAlignment="0" applyProtection="0"/>
    <xf numFmtId="164" fontId="101" fillId="0" borderId="0" applyFont="0" applyFill="0" applyBorder="0" applyAlignment="0" applyProtection="0"/>
    <xf numFmtId="0" fontId="23" fillId="0" borderId="0"/>
    <xf numFmtId="0" fontId="23" fillId="0" borderId="0"/>
    <xf numFmtId="0" fontId="22" fillId="0" borderId="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22" fillId="0" borderId="0"/>
    <xf numFmtId="164" fontId="55" fillId="0" borderId="0" applyFont="0" applyFill="0" applyBorder="0" applyAlignment="0" applyProtection="0"/>
    <xf numFmtId="0" fontId="22" fillId="0" borderId="0"/>
    <xf numFmtId="0" fontId="22" fillId="0" borderId="0"/>
    <xf numFmtId="0" fontId="22" fillId="0" borderId="0"/>
    <xf numFmtId="164" fontId="55" fillId="0" borderId="0" applyFont="0" applyFill="0" applyBorder="0" applyAlignment="0" applyProtection="0"/>
    <xf numFmtId="0" fontId="22" fillId="0" borderId="0"/>
    <xf numFmtId="164" fontId="55" fillId="0" borderId="0" applyFont="0" applyFill="0" applyBorder="0" applyAlignment="0" applyProtection="0"/>
    <xf numFmtId="0" fontId="22" fillId="0" borderId="0"/>
    <xf numFmtId="164" fontId="55" fillId="0" borderId="0" applyFont="0" applyFill="0" applyBorder="0" applyAlignment="0" applyProtection="0"/>
    <xf numFmtId="0" fontId="22" fillId="0" borderId="0"/>
    <xf numFmtId="0" fontId="22" fillId="0" borderId="0"/>
    <xf numFmtId="164" fontId="55" fillId="0" borderId="0" applyFont="0" applyFill="0" applyBorder="0" applyAlignment="0" applyProtection="0"/>
    <xf numFmtId="164" fontId="5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8" fontId="22" fillId="0" borderId="0"/>
    <xf numFmtId="168"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4" fontId="5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55" fillId="0" borderId="0" applyFont="0" applyFill="0" applyBorder="0" applyAlignment="0" applyProtection="0"/>
    <xf numFmtId="0" fontId="22" fillId="0" borderId="0"/>
    <xf numFmtId="0" fontId="22" fillId="0" borderId="0"/>
    <xf numFmtId="164" fontId="55" fillId="0" borderId="0" applyFont="0" applyFill="0" applyBorder="0" applyAlignment="0" applyProtection="0"/>
    <xf numFmtId="164" fontId="55" fillId="0" borderId="0" applyFont="0" applyFill="0" applyBorder="0" applyAlignment="0" applyProtection="0"/>
    <xf numFmtId="164" fontId="22" fillId="0" borderId="0" applyFont="0" applyFill="0" applyBorder="0" applyAlignment="0" applyProtection="0"/>
    <xf numFmtId="164" fontId="60"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22"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61"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44" fontId="5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xf numFmtId="168" fontId="22" fillId="0" borderId="0"/>
    <xf numFmtId="164" fontId="5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0" fontId="22" fillId="0" borderId="0"/>
    <xf numFmtId="0" fontId="22" fillId="0" borderId="0"/>
    <xf numFmtId="164" fontId="101"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164" fontId="22" fillId="0" borderId="0" applyFont="0" applyFill="0" applyBorder="0" applyAlignment="0" applyProtection="0"/>
    <xf numFmtId="164" fontId="101"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164" fontId="22" fillId="0" borderId="0" applyFont="0" applyFill="0" applyBorder="0" applyAlignment="0" applyProtection="0"/>
    <xf numFmtId="0" fontId="22" fillId="0" borderId="0"/>
    <xf numFmtId="164" fontId="101"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164" fontId="101" fillId="0" borderId="0" applyFont="0" applyFill="0" applyBorder="0" applyAlignment="0" applyProtection="0"/>
    <xf numFmtId="0" fontId="22" fillId="0" borderId="0"/>
    <xf numFmtId="0" fontId="22" fillId="0" borderId="0"/>
    <xf numFmtId="0" fontId="22" fillId="0" borderId="0"/>
    <xf numFmtId="0" fontId="22" fillId="0" borderId="0"/>
    <xf numFmtId="164" fontId="101"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7" fillId="0" borderId="0" applyNumberFormat="0" applyFill="0" applyBorder="0" applyAlignment="0" applyProtection="0">
      <alignment vertical="top"/>
      <protection locked="0"/>
    </xf>
    <xf numFmtId="164" fontId="22" fillId="0" borderId="0" applyFont="0" applyFill="0" applyBorder="0" applyAlignment="0" applyProtection="0"/>
    <xf numFmtId="0" fontId="101" fillId="0" borderId="0"/>
    <xf numFmtId="0" fontId="22" fillId="0" borderId="0"/>
    <xf numFmtId="0" fontId="22" fillId="0" borderId="0"/>
    <xf numFmtId="9" fontId="22" fillId="0" borderId="0" applyFont="0" applyFill="0" applyBorder="0" applyAlignment="0" applyProtection="0"/>
    <xf numFmtId="0" fontId="22" fillId="0" borderId="0"/>
    <xf numFmtId="9" fontId="10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8" fontId="22" fillId="0" borderId="0"/>
    <xf numFmtId="168"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xf numFmtId="168"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164"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9" fontId="101" fillId="0" borderId="0" applyFont="0" applyFill="0" applyBorder="0" applyAlignment="0" applyProtection="0"/>
    <xf numFmtId="0" fontId="107" fillId="0" borderId="0" applyNumberFormat="0" applyFill="0" applyBorder="0" applyAlignment="0" applyProtection="0">
      <alignment vertical="top"/>
      <protection locked="0"/>
    </xf>
    <xf numFmtId="0" fontId="22" fillId="0" borderId="0"/>
    <xf numFmtId="0" fontId="22" fillId="0" borderId="0"/>
    <xf numFmtId="0" fontId="22" fillId="0" borderId="0"/>
    <xf numFmtId="164" fontId="101" fillId="0" borderId="0" applyFont="0" applyFill="0" applyBorder="0" applyAlignment="0" applyProtection="0"/>
    <xf numFmtId="164" fontId="55" fillId="0" borderId="0" applyFont="0" applyFill="0" applyBorder="0" applyAlignment="0" applyProtection="0"/>
    <xf numFmtId="0" fontId="21" fillId="0" borderId="0"/>
    <xf numFmtId="0" fontId="21" fillId="0" borderId="0"/>
    <xf numFmtId="0" fontId="21" fillId="0" borderId="0"/>
    <xf numFmtId="0" fontId="21" fillId="0" borderId="0"/>
    <xf numFmtId="164" fontId="101" fillId="0" borderId="0" applyFont="0" applyFill="0" applyBorder="0" applyAlignment="0" applyProtection="0"/>
    <xf numFmtId="0" fontId="20" fillId="0" borderId="0"/>
    <xf numFmtId="0" fontId="20" fillId="0" borderId="0"/>
    <xf numFmtId="0" fontId="20" fillId="0" borderId="0"/>
    <xf numFmtId="0" fontId="20" fillId="0" borderId="0"/>
    <xf numFmtId="164" fontId="101" fillId="0" borderId="0" applyFont="0" applyFill="0" applyBorder="0" applyAlignment="0" applyProtection="0"/>
    <xf numFmtId="0" fontId="20" fillId="0" borderId="0"/>
    <xf numFmtId="0" fontId="20" fillId="0" borderId="0"/>
    <xf numFmtId="164" fontId="101" fillId="0" borderId="0" applyFont="0" applyFill="0" applyBorder="0" applyAlignment="0" applyProtection="0"/>
    <xf numFmtId="164" fontId="101" fillId="0" borderId="0" applyFont="0" applyFill="0" applyBorder="0" applyAlignment="0" applyProtection="0"/>
    <xf numFmtId="0" fontId="19" fillId="0" borderId="0"/>
    <xf numFmtId="0" fontId="19" fillId="0" borderId="0"/>
    <xf numFmtId="0" fontId="19" fillId="0" borderId="0"/>
    <xf numFmtId="0" fontId="19" fillId="0" borderId="0"/>
    <xf numFmtId="164" fontId="101" fillId="0" borderId="0" applyFont="0" applyFill="0" applyBorder="0" applyAlignment="0" applyProtection="0"/>
    <xf numFmtId="0" fontId="19" fillId="0" borderId="0"/>
    <xf numFmtId="0" fontId="19" fillId="0" borderId="0"/>
    <xf numFmtId="0" fontId="19" fillId="0" borderId="0"/>
    <xf numFmtId="164" fontId="10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8" fontId="17" fillId="0" borderId="0"/>
    <xf numFmtId="168"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xf numFmtId="168"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8" fontId="17" fillId="0" borderId="0"/>
    <xf numFmtId="168"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xf numFmtId="168"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8" fontId="17" fillId="0" borderId="0"/>
    <xf numFmtId="168"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8" fontId="17" fillId="0" borderId="0"/>
    <xf numFmtId="168"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164" fontId="101" fillId="0" borderId="0" applyFont="0" applyFill="0" applyBorder="0" applyAlignment="0" applyProtection="0"/>
    <xf numFmtId="0" fontId="16" fillId="0" borderId="0"/>
    <xf numFmtId="0" fontId="16" fillId="0" borderId="0"/>
    <xf numFmtId="165" fontId="101" fillId="0" borderId="0" applyFont="0" applyFill="0" applyBorder="0" applyAlignment="0" applyProtection="0"/>
    <xf numFmtId="0" fontId="16" fillId="0" borderId="0"/>
    <xf numFmtId="0" fontId="16" fillId="0" borderId="0"/>
    <xf numFmtId="0" fontId="101" fillId="0" borderId="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8" fontId="15" fillId="0" borderId="0"/>
    <xf numFmtId="168"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8" fontId="15" fillId="0" borderId="0"/>
    <xf numFmtId="168"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2" fillId="0" borderId="0" applyNumberFormat="0" applyFill="0" applyBorder="0" applyAlignment="0" applyProtection="0"/>
    <xf numFmtId="0" fontId="113" fillId="0" borderId="10" applyNumberFormat="0" applyFill="0" applyAlignment="0" applyProtection="0"/>
    <xf numFmtId="0" fontId="114" fillId="0" borderId="14" applyNumberFormat="0" applyFill="0" applyAlignment="0" applyProtection="0"/>
    <xf numFmtId="0" fontId="115" fillId="0" borderId="15" applyNumberFormat="0" applyFill="0" applyAlignment="0" applyProtection="0"/>
    <xf numFmtId="0" fontId="115" fillId="0" borderId="0" applyNumberFormat="0" applyFill="0" applyBorder="0" applyAlignment="0" applyProtection="0"/>
    <xf numFmtId="0" fontId="116" fillId="37" borderId="0" applyNumberFormat="0" applyBorder="0" applyAlignment="0" applyProtection="0"/>
    <xf numFmtId="0" fontId="117" fillId="38" borderId="0" applyNumberFormat="0" applyBorder="0" applyAlignment="0" applyProtection="0"/>
    <xf numFmtId="0" fontId="118" fillId="40" borderId="16" applyNumberFormat="0" applyAlignment="0" applyProtection="0"/>
    <xf numFmtId="0" fontId="119" fillId="41" borderId="17" applyNumberFormat="0" applyAlignment="0" applyProtection="0"/>
    <xf numFmtId="0" fontId="120" fillId="41" borderId="16" applyNumberFormat="0" applyAlignment="0" applyProtection="0"/>
    <xf numFmtId="0" fontId="121" fillId="0" borderId="18" applyNumberFormat="0" applyFill="0" applyAlignment="0" applyProtection="0"/>
    <xf numFmtId="0" fontId="122" fillId="42" borderId="19"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0" fontId="13" fillId="0" borderId="0"/>
    <xf numFmtId="0" fontId="13" fillId="0" borderId="0"/>
    <xf numFmtId="0" fontId="13" fillId="0" borderId="0"/>
    <xf numFmtId="164" fontId="101" fillId="0" borderId="0" applyFont="0" applyFill="0" applyBorder="0" applyAlignment="0" applyProtection="0"/>
    <xf numFmtId="0" fontId="13" fillId="0" borderId="0"/>
    <xf numFmtId="0" fontId="13" fillId="0" borderId="0"/>
    <xf numFmtId="0" fontId="13" fillId="0" borderId="0"/>
    <xf numFmtId="0" fontId="13" fillId="0" borderId="0"/>
    <xf numFmtId="164" fontId="61" fillId="0" borderId="0" applyFont="0" applyFill="0" applyBorder="0" applyAlignment="0" applyProtection="0"/>
    <xf numFmtId="164" fontId="101" fillId="0" borderId="0" applyFont="0" applyFill="0" applyBorder="0" applyAlignment="0" applyProtection="0"/>
    <xf numFmtId="0" fontId="125" fillId="39" borderId="0" applyNumberFormat="0" applyBorder="0" applyAlignment="0" applyProtection="0"/>
    <xf numFmtId="0" fontId="110" fillId="46" borderId="0" applyNumberFormat="0" applyBorder="0" applyAlignment="0" applyProtection="0"/>
    <xf numFmtId="0" fontId="110" fillId="49" borderId="0" applyNumberFormat="0" applyBorder="0" applyAlignment="0" applyProtection="0"/>
    <xf numFmtId="0" fontId="110" fillId="52" borderId="0" applyNumberFormat="0" applyBorder="0" applyAlignment="0" applyProtection="0"/>
    <xf numFmtId="0" fontId="110" fillId="55" borderId="0" applyNumberFormat="0" applyBorder="0" applyAlignment="0" applyProtection="0"/>
    <xf numFmtId="0" fontId="110" fillId="58" borderId="0" applyNumberFormat="0" applyBorder="0" applyAlignment="0" applyProtection="0"/>
    <xf numFmtId="0" fontId="110" fillId="61" borderId="0" applyNumberFormat="0" applyBorder="0" applyAlignment="0" applyProtection="0"/>
    <xf numFmtId="0" fontId="13" fillId="0" borderId="0"/>
    <xf numFmtId="0" fontId="13" fillId="43" borderId="20" applyNumberFormat="0" applyFont="0" applyAlignment="0" applyProtection="0"/>
    <xf numFmtId="0" fontId="13" fillId="0" borderId="0"/>
    <xf numFmtId="0" fontId="13" fillId="43" borderId="20" applyNumberFormat="0" applyFont="0" applyAlignment="0" applyProtection="0"/>
    <xf numFmtId="0" fontId="13" fillId="44" borderId="0" applyNumberFormat="0" applyBorder="0" applyAlignment="0" applyProtection="0"/>
    <xf numFmtId="0" fontId="13" fillId="4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164"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4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43" borderId="20" applyNumberFormat="0" applyFont="0" applyAlignment="0" applyProtection="0"/>
    <xf numFmtId="0" fontId="13" fillId="0" borderId="0"/>
    <xf numFmtId="0" fontId="13" fillId="43" borderId="20" applyNumberFormat="0" applyFont="0" applyAlignment="0" applyProtection="0"/>
    <xf numFmtId="0" fontId="13" fillId="44" borderId="0" applyNumberFormat="0" applyBorder="0" applyAlignment="0" applyProtection="0"/>
    <xf numFmtId="0" fontId="13" fillId="45"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164" fontId="13"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0" fontId="12" fillId="0" borderId="0"/>
    <xf numFmtId="0" fontId="12" fillId="0" borderId="0"/>
    <xf numFmtId="0" fontId="12" fillId="0" borderId="0"/>
    <xf numFmtId="0" fontId="12" fillId="0" borderId="0"/>
    <xf numFmtId="164" fontId="10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1" fillId="0" borderId="0"/>
    <xf numFmtId="0" fontId="11" fillId="0" borderId="0"/>
    <xf numFmtId="9" fontId="101" fillId="0" borderId="0" applyFont="0" applyFill="0" applyBorder="0" applyAlignment="0" applyProtection="0"/>
    <xf numFmtId="0" fontId="11" fillId="0" borderId="0"/>
    <xf numFmtId="0" fontId="11" fillId="0" borderId="0"/>
    <xf numFmtId="0" fontId="11" fillId="0" borderId="0"/>
    <xf numFmtId="0" fontId="10" fillId="0" borderId="0"/>
    <xf numFmtId="164" fontId="10" fillId="0" borderId="0" applyFont="0" applyFill="0" applyBorder="0" applyAlignment="0" applyProtection="0"/>
    <xf numFmtId="0" fontId="9" fillId="0" borderId="0"/>
    <xf numFmtId="0" fontId="9" fillId="0" borderId="0"/>
    <xf numFmtId="0" fontId="8" fillId="0" borderId="0"/>
    <xf numFmtId="0" fontId="8" fillId="0" borderId="0"/>
    <xf numFmtId="164" fontId="55" fillId="0" borderId="0" applyFont="0" applyFill="0" applyBorder="0" applyAlignment="0" applyProtection="0"/>
    <xf numFmtId="164" fontId="5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55"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cellStyleXfs>
  <cellXfs count="926">
    <xf numFmtId="0" fontId="0" fillId="0" borderId="0" xfId="0"/>
    <xf numFmtId="0" fontId="60" fillId="0" borderId="0" xfId="0" applyFont="1"/>
    <xf numFmtId="0" fontId="59" fillId="24" borderId="0" xfId="0" applyFont="1" applyFill="1"/>
    <xf numFmtId="0" fontId="60" fillId="0" borderId="0" xfId="0" applyFont="1" applyAlignment="1">
      <alignment horizontal="left"/>
    </xf>
    <xf numFmtId="0" fontId="59" fillId="0" borderId="0" xfId="0" applyFont="1"/>
    <xf numFmtId="0" fontId="60" fillId="0" borderId="0" xfId="0" applyFont="1" applyAlignment="1">
      <alignment wrapText="1"/>
    </xf>
    <xf numFmtId="0" fontId="60" fillId="0" borderId="0" xfId="0" applyFont="1" applyAlignment="1">
      <alignment horizontal="center" wrapText="1"/>
    </xf>
    <xf numFmtId="0" fontId="60" fillId="26" borderId="0" xfId="0" applyFont="1" applyFill="1"/>
    <xf numFmtId="0" fontId="60" fillId="28" borderId="0" xfId="0" applyFont="1" applyFill="1"/>
    <xf numFmtId="0" fontId="60" fillId="28" borderId="0" xfId="0" applyFont="1" applyFill="1" applyAlignment="1">
      <alignment horizontal="left"/>
    </xf>
    <xf numFmtId="10" fontId="60" fillId="0" borderId="0" xfId="1352" applyNumberFormat="1" applyFont="1" applyAlignment="1">
      <alignment wrapText="1"/>
    </xf>
    <xf numFmtId="173" fontId="60" fillId="0" borderId="0" xfId="1853" applyNumberFormat="1" applyFont="1" applyAlignment="1">
      <alignment wrapText="1"/>
    </xf>
    <xf numFmtId="164" fontId="60" fillId="0" borderId="0" xfId="1853" applyFont="1" applyAlignment="1">
      <alignment wrapText="1"/>
    </xf>
    <xf numFmtId="174" fontId="60" fillId="0" borderId="0" xfId="1352" applyNumberFormat="1" applyFont="1" applyAlignment="1">
      <alignment wrapText="1"/>
    </xf>
    <xf numFmtId="175" fontId="60" fillId="0" borderId="0" xfId="0" applyNumberFormat="1" applyFont="1" applyAlignment="1">
      <alignment wrapText="1"/>
    </xf>
    <xf numFmtId="0" fontId="127" fillId="36" borderId="0" xfId="0" applyFont="1" applyFill="1" applyAlignment="1">
      <alignment horizontal="center" vertical="center"/>
    </xf>
    <xf numFmtId="170" fontId="127" fillId="36" borderId="0" xfId="5" applyNumberFormat="1" applyFont="1" applyFill="1" applyAlignment="1">
      <alignment vertical="center"/>
    </xf>
    <xf numFmtId="0" fontId="127" fillId="0" borderId="0" xfId="0" applyFont="1" applyAlignment="1">
      <alignment horizontal="center" vertical="center"/>
    </xf>
    <xf numFmtId="170" fontId="127" fillId="0" borderId="0" xfId="5" applyNumberFormat="1" applyFont="1" applyAlignment="1">
      <alignment vertical="center"/>
    </xf>
    <xf numFmtId="0" fontId="127" fillId="0" borderId="0" xfId="0" applyFont="1"/>
    <xf numFmtId="0" fontId="127" fillId="36" borderId="0" xfId="0" applyFont="1" applyFill="1" applyAlignment="1">
      <alignment vertical="center"/>
    </xf>
    <xf numFmtId="0" fontId="127" fillId="0" borderId="0" xfId="0" applyFont="1" applyAlignment="1">
      <alignment vertical="center"/>
    </xf>
    <xf numFmtId="170" fontId="128" fillId="25" borderId="0" xfId="5" applyNumberFormat="1" applyFont="1" applyFill="1" applyAlignment="1">
      <alignment vertical="center"/>
    </xf>
    <xf numFmtId="170" fontId="127" fillId="0" borderId="0" xfId="0" applyNumberFormat="1" applyFont="1" applyAlignment="1">
      <alignment vertical="center"/>
    </xf>
    <xf numFmtId="0" fontId="127" fillId="0" borderId="0" xfId="0" applyFont="1" applyAlignment="1">
      <alignment horizontal="left" vertical="center"/>
    </xf>
    <xf numFmtId="171" fontId="127" fillId="36" borderId="0" xfId="4" applyNumberFormat="1" applyFont="1" applyFill="1" applyAlignment="1">
      <alignment horizontal="left" vertical="center"/>
    </xf>
    <xf numFmtId="171" fontId="127" fillId="0" borderId="0" xfId="4" applyNumberFormat="1" applyFont="1" applyAlignment="1">
      <alignment horizontal="left" vertical="center"/>
    </xf>
    <xf numFmtId="170" fontId="128" fillId="36" borderId="0" xfId="5" applyNumberFormat="1" applyFont="1" applyFill="1" applyAlignment="1">
      <alignment vertical="center"/>
    </xf>
    <xf numFmtId="0" fontId="128" fillId="29" borderId="0" xfId="0" applyFont="1" applyFill="1" applyAlignment="1">
      <alignment vertical="center"/>
    </xf>
    <xf numFmtId="170" fontId="128" fillId="29" borderId="0" xfId="0" applyNumberFormat="1" applyFont="1" applyFill="1" applyAlignment="1">
      <alignment vertical="center"/>
    </xf>
    <xf numFmtId="0" fontId="127" fillId="0" borderId="0" xfId="0" applyFont="1" applyAlignment="1">
      <alignment vertical="center" wrapText="1"/>
    </xf>
    <xf numFmtId="0" fontId="128" fillId="0" borderId="0" xfId="0" applyFont="1" applyAlignment="1">
      <alignment horizontal="right" vertical="center" wrapText="1"/>
    </xf>
    <xf numFmtId="0" fontId="128" fillId="0" borderId="0" xfId="0" applyFont="1" applyAlignment="1">
      <alignment horizontal="left" vertical="center" wrapText="1"/>
    </xf>
    <xf numFmtId="0" fontId="128" fillId="0" borderId="0" xfId="0" applyFont="1" applyAlignment="1">
      <alignment horizontal="center" vertical="center"/>
    </xf>
    <xf numFmtId="0" fontId="128" fillId="0" borderId="0" xfId="0" applyFont="1" applyAlignment="1">
      <alignment vertical="center" wrapText="1"/>
    </xf>
    <xf numFmtId="0" fontId="131" fillId="0" borderId="0" xfId="0" applyFont="1" applyAlignment="1">
      <alignment vertical="center"/>
    </xf>
    <xf numFmtId="0" fontId="128" fillId="24" borderId="0" xfId="0" applyFont="1" applyFill="1" applyAlignment="1">
      <alignment vertical="center"/>
    </xf>
    <xf numFmtId="0" fontId="128" fillId="24" borderId="0" xfId="0" applyFont="1" applyFill="1" applyAlignment="1">
      <alignment horizontal="right" vertical="center"/>
    </xf>
    <xf numFmtId="170" fontId="128" fillId="0" borderId="0" xfId="0" applyNumberFormat="1" applyFont="1" applyAlignment="1">
      <alignment vertical="center"/>
    </xf>
    <xf numFmtId="0" fontId="134" fillId="0" borderId="0" xfId="0" applyFont="1" applyAlignment="1">
      <alignment horizontal="left" vertical="center"/>
    </xf>
    <xf numFmtId="0" fontId="128" fillId="25" borderId="0" xfId="0" applyFont="1" applyFill="1" applyAlignment="1">
      <alignment horizontal="right" vertical="center"/>
    </xf>
    <xf numFmtId="0" fontId="127" fillId="0" borderId="0" xfId="0" applyFont="1" applyAlignment="1">
      <alignment horizontal="center"/>
    </xf>
    <xf numFmtId="0" fontId="128" fillId="0" borderId="0" xfId="0" applyFont="1" applyAlignment="1">
      <alignment horizontal="right" vertical="center"/>
    </xf>
    <xf numFmtId="0" fontId="128" fillId="36" borderId="0" xfId="0" applyFont="1" applyFill="1" applyAlignment="1">
      <alignment horizontal="right" vertical="center"/>
    </xf>
    <xf numFmtId="0" fontId="126" fillId="27" borderId="0" xfId="0" applyFont="1" applyFill="1" applyAlignment="1">
      <alignment horizontal="left" vertical="center" wrapText="1"/>
    </xf>
    <xf numFmtId="0" fontId="126" fillId="27" borderId="0" xfId="0" applyFont="1" applyFill="1" applyAlignment="1">
      <alignment horizontal="center" vertical="center" wrapText="1"/>
    </xf>
    <xf numFmtId="0" fontId="126" fillId="27" borderId="0" xfId="0" applyFont="1" applyFill="1" applyAlignment="1">
      <alignment vertical="center" wrapText="1"/>
    </xf>
    <xf numFmtId="3" fontId="132" fillId="0" borderId="0" xfId="3" applyNumberFormat="1" applyFont="1" applyAlignment="1">
      <alignment horizontal="right" vertical="center"/>
    </xf>
    <xf numFmtId="176" fontId="132" fillId="0" borderId="0" xfId="0" applyNumberFormat="1" applyFont="1"/>
    <xf numFmtId="0" fontId="128" fillId="26" borderId="0" xfId="0" applyFont="1" applyFill="1" applyAlignment="1">
      <alignment horizontal="right" vertical="center"/>
    </xf>
    <xf numFmtId="0" fontId="131" fillId="26" borderId="0" xfId="0" applyFont="1" applyFill="1" applyAlignment="1">
      <alignment horizontal="right" vertical="center"/>
    </xf>
    <xf numFmtId="170" fontId="135" fillId="26" borderId="0" xfId="0" applyNumberFormat="1" applyFont="1" applyFill="1" applyAlignment="1">
      <alignment vertical="center"/>
    </xf>
    <xf numFmtId="14" fontId="132" fillId="0" borderId="0" xfId="3" applyNumberFormat="1" applyFont="1" applyAlignment="1">
      <alignment horizontal="right" vertical="center"/>
    </xf>
    <xf numFmtId="170" fontId="127" fillId="0" borderId="0" xfId="5" applyNumberFormat="1" applyFont="1" applyAlignment="1">
      <alignment horizontal="center" vertical="center"/>
    </xf>
    <xf numFmtId="0" fontId="128" fillId="25" borderId="0" xfId="0" applyFont="1" applyFill="1" applyAlignment="1">
      <alignment horizontal="left" vertical="center"/>
    </xf>
    <xf numFmtId="0" fontId="136" fillId="25" borderId="0" xfId="0" applyFont="1" applyFill="1" applyAlignment="1">
      <alignment vertical="center"/>
    </xf>
    <xf numFmtId="0" fontId="133" fillId="0" borderId="0" xfId="0" applyFont="1" applyAlignment="1">
      <alignment horizontal="center" vertical="center" wrapText="1"/>
    </xf>
    <xf numFmtId="0" fontId="133" fillId="0" borderId="0" xfId="0" applyFont="1" applyAlignment="1">
      <alignment horizontal="left" vertical="center" wrapText="1"/>
    </xf>
    <xf numFmtId="0" fontId="128" fillId="25" borderId="0" xfId="0" applyFont="1" applyFill="1" applyAlignment="1">
      <alignment vertical="center"/>
    </xf>
    <xf numFmtId="0" fontId="138" fillId="0" borderId="0" xfId="0" applyFont="1"/>
    <xf numFmtId="0" fontId="138" fillId="0" borderId="0" xfId="0" applyFont="1" applyAlignment="1">
      <alignment horizontal="left" vertical="center" wrapText="1"/>
    </xf>
    <xf numFmtId="0" fontId="138" fillId="0" borderId="0" xfId="0" applyFont="1" applyAlignment="1">
      <alignment horizontal="left" vertical="center"/>
    </xf>
    <xf numFmtId="0" fontId="138" fillId="0" borderId="0" xfId="0" applyFont="1" applyAlignment="1">
      <alignment vertical="center" wrapText="1"/>
    </xf>
    <xf numFmtId="0" fontId="138" fillId="0" borderId="0" xfId="0" applyFont="1" applyAlignment="1">
      <alignment vertical="center"/>
    </xf>
    <xf numFmtId="170" fontId="127" fillId="64" borderId="0" xfId="5" applyNumberFormat="1" applyFont="1" applyFill="1" applyAlignment="1">
      <alignment horizontal="center" vertical="center"/>
    </xf>
    <xf numFmtId="0" fontId="126" fillId="63" borderId="21" xfId="0" applyFont="1" applyFill="1" applyBorder="1" applyAlignment="1">
      <alignment horizontal="center" vertical="center" wrapText="1"/>
    </xf>
    <xf numFmtId="0" fontId="126" fillId="63" borderId="21" xfId="0" applyFont="1" applyFill="1" applyBorder="1" applyAlignment="1">
      <alignment horizontal="left" vertical="center" wrapText="1"/>
    </xf>
    <xf numFmtId="0" fontId="127" fillId="64" borderId="0" xfId="0" applyFont="1" applyFill="1" applyAlignment="1">
      <alignment horizontal="center" vertical="center"/>
    </xf>
    <xf numFmtId="170" fontId="127" fillId="64" borderId="0" xfId="5" applyNumberFormat="1" applyFont="1" applyFill="1" applyAlignment="1">
      <alignment vertical="center"/>
    </xf>
    <xf numFmtId="0" fontId="127" fillId="64" borderId="0" xfId="0" applyFont="1" applyFill="1" applyAlignment="1">
      <alignment horizontal="left" vertical="center"/>
    </xf>
    <xf numFmtId="0" fontId="126" fillId="63" borderId="0" xfId="0" applyFont="1" applyFill="1" applyAlignment="1">
      <alignment horizontal="center" vertical="center" wrapText="1"/>
    </xf>
    <xf numFmtId="170" fontId="128" fillId="36" borderId="0" xfId="0" applyNumberFormat="1" applyFont="1" applyFill="1" applyAlignment="1">
      <alignment vertical="center"/>
    </xf>
    <xf numFmtId="0" fontId="134" fillId="36" borderId="0" xfId="0" applyFont="1" applyFill="1" applyAlignment="1">
      <alignment horizontal="left" vertical="center"/>
    </xf>
    <xf numFmtId="0" fontId="131" fillId="36" borderId="0" xfId="0" applyFont="1" applyFill="1" applyAlignment="1">
      <alignment vertical="center"/>
    </xf>
    <xf numFmtId="0" fontId="126" fillId="63" borderId="10" xfId="0" applyFont="1" applyFill="1" applyBorder="1" applyAlignment="1">
      <alignment horizontal="center" vertical="center" wrapText="1"/>
    </xf>
    <xf numFmtId="0" fontId="126" fillId="63" borderId="10" xfId="0" applyFont="1" applyFill="1" applyBorder="1" applyAlignment="1">
      <alignment vertical="center"/>
    </xf>
    <xf numFmtId="0" fontId="126" fillId="63" borderId="10" xfId="0" applyFont="1" applyFill="1" applyBorder="1" applyAlignment="1">
      <alignment vertical="center" wrapText="1"/>
    </xf>
    <xf numFmtId="0" fontId="129" fillId="65" borderId="0" xfId="0" applyFont="1" applyFill="1" applyAlignment="1">
      <alignment horizontal="left" vertical="center" wrapText="1"/>
    </xf>
    <xf numFmtId="0" fontId="129" fillId="65" borderId="0" xfId="0" applyFont="1" applyFill="1" applyAlignment="1">
      <alignment horizontal="left" vertical="center"/>
    </xf>
    <xf numFmtId="0" fontId="127" fillId="65" borderId="0" xfId="0" applyFont="1" applyFill="1" applyAlignment="1">
      <alignment horizontal="left" vertical="center"/>
    </xf>
    <xf numFmtId="0" fontId="130" fillId="0" borderId="0" xfId="0" applyFont="1" applyAlignment="1">
      <alignment horizontal="center" vertical="center"/>
    </xf>
    <xf numFmtId="170" fontId="130" fillId="65" borderId="0" xfId="0" applyNumberFormat="1" applyFont="1" applyFill="1"/>
    <xf numFmtId="170" fontId="130" fillId="0" borderId="0" xfId="0" applyNumberFormat="1" applyFont="1"/>
    <xf numFmtId="0" fontId="126" fillId="63" borderId="24" xfId="0" applyFont="1" applyFill="1" applyBorder="1" applyAlignment="1">
      <alignment horizontal="center" vertical="center"/>
    </xf>
    <xf numFmtId="0" fontId="126" fillId="63" borderId="25" xfId="0" applyFont="1" applyFill="1" applyBorder="1" applyAlignment="1">
      <alignment horizontal="center" vertical="center"/>
    </xf>
    <xf numFmtId="0" fontId="127" fillId="0" borderId="0" xfId="1440" applyFont="1" applyAlignment="1">
      <alignment horizontal="left" vertical="center"/>
    </xf>
    <xf numFmtId="173" fontId="130" fillId="66" borderId="0" xfId="1853" applyNumberFormat="1" applyFont="1" applyFill="1" applyBorder="1" applyAlignment="1">
      <alignment horizontal="center" vertical="center" wrapText="1"/>
    </xf>
    <xf numFmtId="173" fontId="129" fillId="66" borderId="0" xfId="1853" applyNumberFormat="1" applyFont="1" applyFill="1" applyBorder="1" applyAlignment="1">
      <alignment vertical="center" wrapText="1"/>
    </xf>
    <xf numFmtId="170" fontId="127" fillId="0" borderId="0" xfId="5" applyNumberFormat="1" applyFont="1" applyAlignment="1">
      <alignment horizontal="left" vertical="center"/>
    </xf>
    <xf numFmtId="170" fontId="127" fillId="64" borderId="0" xfId="5" applyNumberFormat="1" applyFont="1" applyFill="1" applyAlignment="1">
      <alignment horizontal="left" vertical="center"/>
    </xf>
    <xf numFmtId="0" fontId="133" fillId="64" borderId="0" xfId="0" applyFont="1" applyFill="1" applyAlignment="1">
      <alignment horizontal="left" vertical="center" wrapText="1"/>
    </xf>
    <xf numFmtId="0" fontId="133" fillId="64" borderId="0" xfId="0" applyFont="1" applyFill="1" applyAlignment="1">
      <alignment horizontal="center" vertical="center" wrapText="1"/>
    </xf>
    <xf numFmtId="173" fontId="138" fillId="0" borderId="0" xfId="1853" applyNumberFormat="1" applyFont="1" applyBorder="1" applyAlignment="1">
      <alignment vertical="center"/>
    </xf>
    <xf numFmtId="3" fontId="139" fillId="0" borderId="0" xfId="3" applyNumberFormat="1" applyFont="1" applyAlignment="1">
      <alignment horizontal="right" vertical="center"/>
    </xf>
    <xf numFmtId="0" fontId="138" fillId="0" borderId="0" xfId="0" applyFont="1" applyAlignment="1">
      <alignment horizontal="center" vertical="center"/>
    </xf>
    <xf numFmtId="0" fontId="138" fillId="0" borderId="0" xfId="0" applyFont="1" applyAlignment="1">
      <alignment horizontal="center"/>
    </xf>
    <xf numFmtId="14" fontId="139" fillId="0" borderId="0" xfId="3" applyNumberFormat="1" applyFont="1" applyAlignment="1">
      <alignment horizontal="right" vertical="center"/>
    </xf>
    <xf numFmtId="3" fontId="139" fillId="0" borderId="0" xfId="3" applyNumberFormat="1" applyFont="1" applyAlignment="1">
      <alignment horizontal="left" vertical="center"/>
    </xf>
    <xf numFmtId="176" fontId="139" fillId="0" borderId="0" xfId="0" applyNumberFormat="1" applyFont="1"/>
    <xf numFmtId="0" fontId="138" fillId="0" borderId="0" xfId="0" applyFont="1" applyAlignment="1">
      <alignment horizontal="left" wrapText="1"/>
    </xf>
    <xf numFmtId="0" fontId="128" fillId="0" borderId="0" xfId="0" applyFont="1" applyAlignment="1">
      <alignment horizontal="center" vertical="center" wrapText="1"/>
    </xf>
    <xf numFmtId="0" fontId="138" fillId="0" borderId="0" xfId="0" applyFont="1" applyAlignment="1">
      <alignment horizontal="left"/>
    </xf>
    <xf numFmtId="0" fontId="102" fillId="0" borderId="0" xfId="1441"/>
    <xf numFmtId="49" fontId="128" fillId="0" borderId="0" xfId="0" applyNumberFormat="1" applyFont="1" applyAlignment="1">
      <alignment horizontal="left" vertical="center" wrapText="1"/>
    </xf>
    <xf numFmtId="0" fontId="127" fillId="0" borderId="0" xfId="1440" applyFont="1" applyAlignment="1">
      <alignment vertical="center"/>
    </xf>
    <xf numFmtId="0" fontId="127" fillId="0" borderId="0" xfId="1440" applyFont="1" applyAlignment="1">
      <alignment horizontal="center" vertical="center"/>
    </xf>
    <xf numFmtId="177" fontId="127" fillId="0" borderId="0" xfId="1853" applyNumberFormat="1" applyFont="1" applyAlignment="1">
      <alignment vertical="center"/>
    </xf>
    <xf numFmtId="49" fontId="127" fillId="64" borderId="0" xfId="5" applyNumberFormat="1" applyFont="1" applyFill="1" applyAlignment="1">
      <alignment horizontal="left" vertical="center"/>
    </xf>
    <xf numFmtId="49" fontId="127" fillId="0" borderId="0" xfId="5" applyNumberFormat="1" applyFont="1" applyAlignment="1">
      <alignment horizontal="left" vertical="center"/>
    </xf>
    <xf numFmtId="0" fontId="132" fillId="0" borderId="0" xfId="0" applyFont="1" applyAlignment="1">
      <alignment horizontal="left"/>
    </xf>
    <xf numFmtId="170" fontId="130" fillId="65" borderId="0" xfId="0" applyNumberFormat="1" applyFont="1" applyFill="1" applyAlignment="1">
      <alignment vertical="center"/>
    </xf>
    <xf numFmtId="170" fontId="130" fillId="0" borderId="0" xfId="0" applyNumberFormat="1" applyFont="1" applyAlignment="1">
      <alignment vertical="center"/>
    </xf>
    <xf numFmtId="176" fontId="132" fillId="0" borderId="0" xfId="0" applyNumberFormat="1" applyFont="1" applyAlignment="1">
      <alignment vertical="center"/>
    </xf>
    <xf numFmtId="172" fontId="127" fillId="0" borderId="0" xfId="1853" applyNumberFormat="1" applyFont="1" applyAlignment="1">
      <alignment horizontal="left" vertical="center"/>
    </xf>
    <xf numFmtId="164" fontId="127" fillId="0" borderId="0" xfId="1853" applyFont="1" applyAlignment="1">
      <alignment vertical="center"/>
    </xf>
    <xf numFmtId="0" fontId="127" fillId="0" borderId="0" xfId="4" applyFont="1" applyAlignment="1">
      <alignment horizontal="left" vertical="center"/>
    </xf>
    <xf numFmtId="14" fontId="138" fillId="0" borderId="0" xfId="5524" applyNumberFormat="1" applyFont="1" applyAlignment="1">
      <alignment horizontal="left" vertical="center"/>
    </xf>
    <xf numFmtId="176" fontId="139" fillId="0" borderId="0" xfId="0" applyNumberFormat="1" applyFont="1" applyAlignment="1">
      <alignment vertical="center"/>
    </xf>
    <xf numFmtId="14" fontId="138" fillId="0" borderId="0" xfId="3" applyNumberFormat="1" applyFont="1" applyAlignment="1">
      <alignment horizontal="left" vertical="center"/>
    </xf>
    <xf numFmtId="173" fontId="138" fillId="0" borderId="0" xfId="1853" applyNumberFormat="1" applyFont="1" applyAlignment="1">
      <alignment horizontal="left" vertical="center"/>
    </xf>
    <xf numFmtId="14" fontId="138" fillId="0" borderId="0" xfId="0" applyNumberFormat="1" applyFont="1" applyAlignment="1">
      <alignment horizontal="left" vertical="center"/>
    </xf>
    <xf numFmtId="0" fontId="139" fillId="0" borderId="0" xfId="0" applyFont="1" applyAlignment="1">
      <alignment horizontal="left"/>
    </xf>
    <xf numFmtId="14" fontId="139" fillId="0" borderId="0" xfId="0" applyNumberFormat="1" applyFont="1" applyAlignment="1">
      <alignment horizontal="left"/>
    </xf>
    <xf numFmtId="172" fontId="138" fillId="0" borderId="0" xfId="1853" applyNumberFormat="1" applyFont="1" applyAlignment="1">
      <alignment horizontal="left" vertical="center"/>
    </xf>
    <xf numFmtId="0" fontId="138" fillId="0" borderId="0" xfId="5524" applyFont="1" applyAlignment="1">
      <alignment horizontal="left" vertical="center"/>
    </xf>
    <xf numFmtId="0" fontId="139" fillId="0" borderId="0" xfId="3" applyFont="1" applyAlignment="1">
      <alignment horizontal="left" vertical="center"/>
    </xf>
    <xf numFmtId="0" fontId="138" fillId="0" borderId="0" xfId="3" applyFont="1" applyAlignment="1">
      <alignment horizontal="left" vertical="center"/>
    </xf>
    <xf numFmtId="0" fontId="139" fillId="0" borderId="0" xfId="1853" applyNumberFormat="1" applyFont="1" applyFill="1" applyBorder="1" applyAlignment="1">
      <alignment horizontal="left"/>
    </xf>
    <xf numFmtId="14" fontId="139" fillId="0" borderId="0" xfId="0" applyNumberFormat="1" applyFont="1" applyAlignment="1">
      <alignment horizontal="left" vertical="center"/>
    </xf>
    <xf numFmtId="14" fontId="139" fillId="0" borderId="0" xfId="3" applyNumberFormat="1" applyFont="1" applyAlignment="1">
      <alignment horizontal="left" vertical="center"/>
    </xf>
    <xf numFmtId="14" fontId="138" fillId="0" borderId="0" xfId="0" applyNumberFormat="1" applyFont="1" applyAlignment="1">
      <alignment horizontal="left" vertical="center" wrapText="1"/>
    </xf>
    <xf numFmtId="14" fontId="138" fillId="0" borderId="0" xfId="0" applyNumberFormat="1" applyFont="1" applyAlignment="1">
      <alignment horizontal="left"/>
    </xf>
    <xf numFmtId="171" fontId="139" fillId="0" borderId="0" xfId="1853" applyNumberFormat="1" applyFont="1" applyAlignment="1">
      <alignment horizontal="right" vertical="center"/>
    </xf>
    <xf numFmtId="171" fontId="138" fillId="0" borderId="0" xfId="1853" applyNumberFormat="1" applyFont="1" applyAlignment="1">
      <alignment horizontal="right" vertical="center"/>
    </xf>
    <xf numFmtId="171" fontId="138" fillId="0" borderId="0" xfId="1853" applyNumberFormat="1" applyFont="1" applyBorder="1" applyAlignment="1">
      <alignment horizontal="right" vertical="center"/>
    </xf>
    <xf numFmtId="0" fontId="139" fillId="0" borderId="0" xfId="0" applyFont="1" applyAlignment="1">
      <alignment horizontal="left" vertical="center"/>
    </xf>
    <xf numFmtId="0" fontId="138" fillId="0" borderId="0" xfId="1853" applyNumberFormat="1" applyFont="1" applyBorder="1" applyAlignment="1">
      <alignment horizontal="left" vertical="center" wrapText="1"/>
    </xf>
    <xf numFmtId="0" fontId="138" fillId="0" borderId="0" xfId="1022" applyFont="1" applyAlignment="1">
      <alignment horizontal="left" vertical="center"/>
    </xf>
    <xf numFmtId="0" fontId="139" fillId="0" borderId="0" xfId="1853" applyNumberFormat="1" applyFont="1" applyAlignment="1">
      <alignment horizontal="left"/>
    </xf>
    <xf numFmtId="14" fontId="138" fillId="0" borderId="0" xfId="1022" applyNumberFormat="1" applyFont="1" applyAlignment="1">
      <alignment horizontal="left" vertical="center"/>
    </xf>
    <xf numFmtId="171" fontId="137" fillId="0" borderId="0" xfId="1853" applyNumberFormat="1" applyFont="1" applyAlignment="1">
      <alignment horizontal="right" vertical="center"/>
    </xf>
    <xf numFmtId="0" fontId="138" fillId="28" borderId="0" xfId="0" applyFont="1" applyFill="1" applyAlignment="1">
      <alignment horizontal="left" vertical="center"/>
    </xf>
    <xf numFmtId="0" fontId="139" fillId="28" borderId="0" xfId="0" applyFont="1" applyFill="1" applyAlignment="1">
      <alignment horizontal="left"/>
    </xf>
    <xf numFmtId="14" fontId="138" fillId="28" borderId="0" xfId="1022" applyNumberFormat="1" applyFont="1" applyFill="1" applyAlignment="1">
      <alignment horizontal="left" vertical="center"/>
    </xf>
    <xf numFmtId="171" fontId="138" fillId="0" borderId="0" xfId="1853" applyNumberFormat="1" applyFont="1" applyFill="1" applyBorder="1" applyAlignment="1">
      <alignment horizontal="left" vertical="center"/>
    </xf>
    <xf numFmtId="171" fontId="138" fillId="0" borderId="0" xfId="1853" applyNumberFormat="1" applyFont="1" applyAlignment="1">
      <alignment horizontal="left" vertical="center"/>
    </xf>
    <xf numFmtId="171" fontId="139" fillId="0" borderId="0" xfId="1853" applyNumberFormat="1" applyFont="1" applyAlignment="1">
      <alignment horizontal="left" vertical="center"/>
    </xf>
    <xf numFmtId="171" fontId="139" fillId="0" borderId="0" xfId="1853" applyNumberFormat="1" applyFont="1" applyAlignment="1">
      <alignment horizontal="left"/>
    </xf>
    <xf numFmtId="171" fontId="138" fillId="0" borderId="0" xfId="1853" applyNumberFormat="1" applyFont="1" applyBorder="1" applyAlignment="1">
      <alignment horizontal="left" vertical="center"/>
    </xf>
    <xf numFmtId="4" fontId="138" fillId="0" borderId="0" xfId="0" applyNumberFormat="1" applyFont="1" applyAlignment="1">
      <alignment horizontal="left" vertical="center"/>
    </xf>
    <xf numFmtId="171" fontId="139" fillId="0" borderId="0" xfId="1853" applyNumberFormat="1" applyFont="1" applyFill="1" applyBorder="1" applyAlignment="1">
      <alignment horizontal="left" vertical="center"/>
    </xf>
    <xf numFmtId="171" fontId="137" fillId="0" borderId="0" xfId="1853" applyNumberFormat="1" applyFont="1" applyAlignment="1">
      <alignment horizontal="left" vertical="center"/>
    </xf>
    <xf numFmtId="3" fontId="137" fillId="0" borderId="0" xfId="0" applyNumberFormat="1" applyFont="1" applyAlignment="1">
      <alignment horizontal="left" vertical="center"/>
    </xf>
    <xf numFmtId="173" fontId="138" fillId="0" borderId="0" xfId="0" applyNumberFormat="1" applyFont="1" applyAlignment="1">
      <alignment horizontal="left" vertical="center"/>
    </xf>
    <xf numFmtId="173" fontId="138" fillId="0" borderId="0" xfId="1853" applyNumberFormat="1" applyFont="1" applyBorder="1" applyAlignment="1">
      <alignment horizontal="left" vertical="center"/>
    </xf>
    <xf numFmtId="171" fontId="138" fillId="0" borderId="0" xfId="1853" applyNumberFormat="1" applyFont="1" applyAlignment="1">
      <alignment horizontal="left" vertical="center" wrapText="1"/>
    </xf>
    <xf numFmtId="172" fontId="138" fillId="0" borderId="0" xfId="1853" applyNumberFormat="1" applyFont="1" applyFill="1" applyBorder="1" applyAlignment="1">
      <alignment horizontal="left" vertical="center"/>
    </xf>
    <xf numFmtId="3" fontId="138" fillId="0" borderId="0" xfId="1022" applyNumberFormat="1" applyFont="1" applyAlignment="1">
      <alignment horizontal="left" vertical="center"/>
    </xf>
    <xf numFmtId="0" fontId="138" fillId="28" borderId="0" xfId="0" applyFont="1" applyFill="1" applyAlignment="1">
      <alignment horizontal="left" vertical="center" wrapText="1"/>
    </xf>
    <xf numFmtId="171" fontId="138" fillId="28" borderId="0" xfId="1853" applyNumberFormat="1" applyFont="1" applyFill="1" applyAlignment="1">
      <alignment horizontal="left" vertical="center"/>
    </xf>
    <xf numFmtId="0" fontId="133" fillId="0" borderId="0" xfId="0" applyFont="1" applyAlignment="1">
      <alignment horizontal="left" vertical="center"/>
    </xf>
    <xf numFmtId="0" fontId="133" fillId="64" borderId="0" xfId="0" applyFont="1" applyFill="1" applyAlignment="1">
      <alignment horizontal="left" vertical="center"/>
    </xf>
    <xf numFmtId="0" fontId="133" fillId="24" borderId="0" xfId="0" applyFont="1" applyFill="1" applyAlignment="1">
      <alignment horizontal="left" vertical="center"/>
    </xf>
    <xf numFmtId="0" fontId="128" fillId="25" borderId="0" xfId="0" applyFont="1" applyFill="1" applyAlignment="1">
      <alignment horizontal="center" vertical="center"/>
    </xf>
    <xf numFmtId="164" fontId="126" fillId="65" borderId="0" xfId="1853" applyFont="1" applyFill="1" applyAlignment="1">
      <alignment horizontal="center" vertical="center" wrapText="1"/>
    </xf>
    <xf numFmtId="164" fontId="127" fillId="64" borderId="0" xfId="1853" applyFont="1" applyFill="1" applyAlignment="1">
      <alignment vertical="center"/>
    </xf>
    <xf numFmtId="164" fontId="128" fillId="25" borderId="0" xfId="1853" applyFont="1" applyFill="1" applyAlignment="1">
      <alignment vertical="center"/>
    </xf>
    <xf numFmtId="164" fontId="129" fillId="0" borderId="0" xfId="1853" applyFont="1" applyAlignment="1">
      <alignment vertical="center"/>
    </xf>
    <xf numFmtId="164" fontId="128" fillId="0" borderId="0" xfId="1853" applyFont="1" applyAlignment="1">
      <alignment horizontal="center" vertical="center"/>
    </xf>
    <xf numFmtId="164" fontId="127" fillId="0" borderId="0" xfId="1853" applyFont="1" applyAlignment="1">
      <alignment horizontal="center" vertical="center"/>
    </xf>
    <xf numFmtId="177" fontId="0" fillId="0" borderId="0" xfId="1853" applyNumberFormat="1" applyFont="1"/>
    <xf numFmtId="170" fontId="127" fillId="0" borderId="0" xfId="5" applyNumberFormat="1" applyFont="1" applyAlignment="1">
      <alignment vertical="center" wrapText="1"/>
    </xf>
    <xf numFmtId="173" fontId="130" fillId="66" borderId="0" xfId="1853" applyNumberFormat="1" applyFont="1" applyFill="1" applyBorder="1" applyAlignment="1">
      <alignment vertical="center"/>
    </xf>
    <xf numFmtId="164" fontId="60" fillId="0" borderId="0" xfId="1853" applyFont="1" applyAlignment="1">
      <alignment horizontal="center" vertical="center"/>
    </xf>
    <xf numFmtId="0" fontId="142" fillId="68" borderId="0" xfId="0" applyFont="1" applyFill="1" applyAlignment="1">
      <alignment horizontal="center" vertical="center"/>
    </xf>
    <xf numFmtId="0" fontId="142" fillId="68" borderId="0" xfId="0" applyFont="1" applyFill="1" applyAlignment="1">
      <alignment horizontal="center" vertical="center" wrapText="1"/>
    </xf>
    <xf numFmtId="0" fontId="129" fillId="63" borderId="21" xfId="0" applyFont="1" applyFill="1" applyBorder="1" applyAlignment="1">
      <alignment vertical="center" wrapText="1"/>
    </xf>
    <xf numFmtId="170" fontId="127" fillId="36" borderId="0" xfId="5" applyNumberFormat="1" applyFont="1" applyFill="1" applyAlignment="1">
      <alignment horizontal="left" vertical="center"/>
    </xf>
    <xf numFmtId="0" fontId="0" fillId="36" borderId="0" xfId="0" applyFill="1"/>
    <xf numFmtId="0" fontId="129" fillId="69" borderId="0" xfId="0" applyFont="1" applyFill="1" applyAlignment="1">
      <alignment horizontal="center" vertical="center"/>
    </xf>
    <xf numFmtId="0" fontId="129" fillId="67" borderId="0" xfId="0" applyFont="1" applyFill="1" applyAlignment="1">
      <alignment horizontal="center" vertical="center"/>
    </xf>
    <xf numFmtId="173" fontId="129" fillId="67" borderId="0" xfId="1853" applyNumberFormat="1" applyFont="1" applyFill="1" applyAlignment="1">
      <alignment horizontal="center" vertical="center"/>
    </xf>
    <xf numFmtId="0" fontId="127" fillId="64" borderId="0" xfId="0" applyFont="1" applyFill="1" applyAlignment="1">
      <alignment vertical="center"/>
    </xf>
    <xf numFmtId="173" fontId="127" fillId="64" borderId="0" xfId="1853" applyNumberFormat="1" applyFont="1" applyFill="1" applyAlignment="1">
      <alignment vertical="center"/>
    </xf>
    <xf numFmtId="173" fontId="127" fillId="36" borderId="0" xfId="1853" applyNumberFormat="1" applyFont="1" applyFill="1" applyAlignment="1">
      <alignment vertical="center"/>
    </xf>
    <xf numFmtId="0" fontId="129" fillId="62" borderId="0" xfId="0" applyFont="1" applyFill="1" applyAlignment="1">
      <alignment horizontal="center" vertical="center"/>
    </xf>
    <xf numFmtId="173" fontId="129" fillId="62" borderId="0" xfId="0" applyNumberFormat="1" applyFont="1" applyFill="1" applyAlignment="1">
      <alignment horizontal="center" vertical="center"/>
    </xf>
    <xf numFmtId="0" fontId="143" fillId="0" borderId="0" xfId="0" applyFont="1" applyAlignment="1">
      <alignment vertical="center"/>
    </xf>
    <xf numFmtId="173" fontId="130" fillId="62" borderId="0" xfId="1853" applyNumberFormat="1" applyFont="1" applyFill="1" applyBorder="1" applyAlignment="1">
      <alignment vertical="center"/>
    </xf>
    <xf numFmtId="170" fontId="127" fillId="64" borderId="0" xfId="5" applyNumberFormat="1" applyFont="1" applyFill="1" applyAlignment="1">
      <alignment vertical="center" wrapText="1"/>
    </xf>
    <xf numFmtId="173" fontId="127" fillId="0" borderId="0" xfId="0" applyNumberFormat="1" applyFont="1" applyAlignment="1">
      <alignment vertical="center"/>
    </xf>
    <xf numFmtId="170" fontId="127" fillId="62" borderId="0" xfId="5" applyNumberFormat="1" applyFont="1" applyFill="1" applyAlignment="1">
      <alignment horizontal="left" vertical="center"/>
    </xf>
    <xf numFmtId="49" fontId="127" fillId="62" borderId="0" xfId="5" applyNumberFormat="1" applyFont="1" applyFill="1" applyAlignment="1">
      <alignment horizontal="left" vertical="center"/>
    </xf>
    <xf numFmtId="170" fontId="127" fillId="70" borderId="0" xfId="5" applyNumberFormat="1" applyFont="1" applyFill="1" applyAlignment="1">
      <alignment horizontal="left" vertical="center"/>
    </xf>
    <xf numFmtId="0" fontId="6" fillId="0" borderId="0" xfId="5530"/>
    <xf numFmtId="179" fontId="127" fillId="0" borderId="0" xfId="1352" applyNumberFormat="1" applyFont="1" applyAlignment="1">
      <alignment vertical="center"/>
    </xf>
    <xf numFmtId="0" fontId="147" fillId="71" borderId="0" xfId="0" applyFont="1" applyFill="1" applyAlignment="1">
      <alignment horizontal="left" vertical="center" wrapText="1"/>
    </xf>
    <xf numFmtId="173" fontId="127" fillId="0" borderId="0" xfId="1853" applyNumberFormat="1" applyFont="1" applyAlignment="1">
      <alignment vertical="center"/>
    </xf>
    <xf numFmtId="0" fontId="148" fillId="71" borderId="26" xfId="0" applyFont="1" applyFill="1" applyBorder="1" applyAlignment="1">
      <alignment horizontal="center" vertical="center" wrapText="1"/>
    </xf>
    <xf numFmtId="0" fontId="149" fillId="72" borderId="0" xfId="0" applyFont="1" applyFill="1" applyAlignment="1">
      <alignment horizontal="left" vertical="center" wrapText="1"/>
    </xf>
    <xf numFmtId="0" fontId="149" fillId="72" borderId="0" xfId="0" applyFont="1" applyFill="1" applyAlignment="1">
      <alignment horizontal="center" vertical="center" wrapText="1"/>
    </xf>
    <xf numFmtId="0" fontId="150" fillId="0" borderId="0" xfId="0" applyFont="1" applyAlignment="1">
      <alignment horizontal="left" vertical="center" wrapText="1"/>
    </xf>
    <xf numFmtId="0" fontId="127" fillId="0" borderId="0" xfId="0" applyFont="1" applyAlignment="1">
      <alignment horizontal="left" vertical="center" wrapText="1"/>
    </xf>
    <xf numFmtId="164" fontId="148" fillId="71" borderId="0" xfId="1853" applyFont="1" applyFill="1" applyAlignment="1">
      <alignment horizontal="center" vertical="center" wrapText="1"/>
    </xf>
    <xf numFmtId="173" fontId="149" fillId="72" borderId="0" xfId="1853" applyNumberFormat="1" applyFont="1" applyFill="1" applyAlignment="1">
      <alignment horizontal="center" vertical="center" wrapText="1"/>
    </xf>
    <xf numFmtId="173" fontId="148" fillId="71" borderId="0" xfId="1853" applyNumberFormat="1" applyFont="1" applyFill="1" applyAlignment="1">
      <alignment horizontal="center" vertical="center" wrapText="1"/>
    </xf>
    <xf numFmtId="0" fontId="149" fillId="36" borderId="0" xfId="0" applyFont="1" applyFill="1" applyAlignment="1">
      <alignment horizontal="center" vertical="center" wrapText="1"/>
    </xf>
    <xf numFmtId="0" fontId="130" fillId="62" borderId="0" xfId="0" applyFont="1" applyFill="1" applyAlignment="1">
      <alignment vertical="center" wrapText="1"/>
    </xf>
    <xf numFmtId="173" fontId="0" fillId="0" borderId="0" xfId="0" applyNumberFormat="1"/>
    <xf numFmtId="177" fontId="0" fillId="0" borderId="0" xfId="0" applyNumberFormat="1"/>
    <xf numFmtId="0" fontId="148" fillId="71" borderId="0" xfId="0" applyFont="1" applyFill="1" applyAlignment="1">
      <alignment horizontal="left" vertical="center" wrapText="1"/>
    </xf>
    <xf numFmtId="0" fontId="148" fillId="71" borderId="26" xfId="0" applyFont="1" applyFill="1" applyBorder="1" applyAlignment="1">
      <alignment horizontal="left" vertical="center" wrapText="1"/>
    </xf>
    <xf numFmtId="0" fontId="151" fillId="63" borderId="28" xfId="5531" applyFont="1" applyFill="1" applyBorder="1" applyAlignment="1">
      <alignment horizontal="center" vertical="center" wrapText="1"/>
    </xf>
    <xf numFmtId="0" fontId="152" fillId="0" borderId="0" xfId="5531" applyFont="1"/>
    <xf numFmtId="0" fontId="153" fillId="76" borderId="0" xfId="5531" applyFont="1" applyFill="1" applyAlignment="1">
      <alignment horizontal="left" vertical="center" wrapText="1"/>
    </xf>
    <xf numFmtId="180" fontId="153" fillId="76" borderId="0" xfId="5532" applyNumberFormat="1" applyFont="1" applyFill="1" applyAlignment="1">
      <alignment horizontal="center" vertical="center" wrapText="1"/>
    </xf>
    <xf numFmtId="0" fontId="153" fillId="73" borderId="0" xfId="5531" applyFont="1" applyFill="1" applyAlignment="1">
      <alignment horizontal="left" vertical="center" wrapText="1"/>
    </xf>
    <xf numFmtId="180" fontId="153" fillId="73" borderId="0" xfId="5532" applyNumberFormat="1" applyFont="1" applyFill="1" applyAlignment="1">
      <alignment horizontal="center" vertical="center" wrapText="1"/>
    </xf>
    <xf numFmtId="0" fontId="153" fillId="36" borderId="0" xfId="5531" applyFont="1" applyFill="1" applyAlignment="1">
      <alignment horizontal="left" vertical="center" wrapText="1"/>
    </xf>
    <xf numFmtId="180" fontId="60" fillId="0" borderId="0" xfId="5532" applyNumberFormat="1" applyFont="1"/>
    <xf numFmtId="164" fontId="153" fillId="76" borderId="0" xfId="1853" applyFont="1" applyFill="1" applyAlignment="1">
      <alignment horizontal="center" vertical="center" wrapText="1"/>
    </xf>
    <xf numFmtId="164" fontId="153" fillId="73" borderId="0" xfId="1853" applyFont="1" applyFill="1" applyAlignment="1">
      <alignment horizontal="center" vertical="center" wrapText="1"/>
    </xf>
    <xf numFmtId="173" fontId="151" fillId="63" borderId="28" xfId="1853" applyNumberFormat="1" applyFont="1" applyFill="1" applyBorder="1" applyAlignment="1">
      <alignment horizontal="center" vertical="center" wrapText="1"/>
    </xf>
    <xf numFmtId="173" fontId="153" fillId="76" borderId="0" xfId="1853" applyNumberFormat="1" applyFont="1" applyFill="1" applyAlignment="1">
      <alignment horizontal="center" vertical="center" wrapText="1"/>
    </xf>
    <xf numFmtId="173" fontId="153" fillId="73" borderId="0" xfId="1853" applyNumberFormat="1" applyFont="1" applyFill="1" applyAlignment="1">
      <alignment horizontal="center" vertical="center" wrapText="1"/>
    </xf>
    <xf numFmtId="173" fontId="152" fillId="0" borderId="0" xfId="1853" applyNumberFormat="1" applyFont="1" applyAlignment="1">
      <alignment wrapText="1"/>
    </xf>
    <xf numFmtId="179" fontId="127" fillId="0" borderId="0" xfId="0" applyNumberFormat="1" applyFont="1" applyAlignment="1">
      <alignment vertical="center"/>
    </xf>
    <xf numFmtId="3" fontId="127" fillId="0" borderId="0" xfId="0" applyNumberFormat="1" applyFont="1" applyAlignment="1">
      <alignment vertical="center"/>
    </xf>
    <xf numFmtId="178" fontId="152" fillId="0" borderId="0" xfId="5530" applyNumberFormat="1" applyFont="1"/>
    <xf numFmtId="0" fontId="152" fillId="0" borderId="0" xfId="5530" applyFont="1"/>
    <xf numFmtId="0" fontId="148" fillId="71" borderId="26" xfId="5530" applyFont="1" applyFill="1" applyBorder="1" applyAlignment="1">
      <alignment horizontal="center" vertical="center" wrapText="1"/>
    </xf>
    <xf numFmtId="164" fontId="149" fillId="36" borderId="0" xfId="1853" applyFont="1" applyFill="1" applyAlignment="1">
      <alignment horizontal="center" vertical="center" wrapText="1"/>
    </xf>
    <xf numFmtId="164" fontId="155" fillId="36" borderId="0" xfId="1853" applyFont="1" applyFill="1" applyAlignment="1">
      <alignment horizontal="center" vertical="center" wrapText="1"/>
    </xf>
    <xf numFmtId="179" fontId="155" fillId="0" borderId="0" xfId="1352" applyNumberFormat="1" applyFont="1" applyAlignment="1">
      <alignment horizontal="center" vertical="center"/>
    </xf>
    <xf numFmtId="164" fontId="156" fillId="36" borderId="0" xfId="1853" applyFont="1" applyFill="1" applyAlignment="1">
      <alignment horizontal="center" vertical="center" wrapText="1"/>
    </xf>
    <xf numFmtId="0" fontId="152" fillId="36" borderId="0" xfId="5530" applyFont="1" applyFill="1"/>
    <xf numFmtId="0" fontId="149" fillId="73" borderId="0" xfId="0" applyFont="1" applyFill="1" applyAlignment="1">
      <alignment horizontal="center" vertical="center" wrapText="1"/>
    </xf>
    <xf numFmtId="164" fontId="149" fillId="73" borderId="0" xfId="1853" applyFont="1" applyFill="1" applyAlignment="1">
      <alignment horizontal="center" vertical="center" wrapText="1"/>
    </xf>
    <xf numFmtId="164" fontId="155" fillId="73" borderId="0" xfId="1853" applyFont="1" applyFill="1" applyAlignment="1">
      <alignment horizontal="center" vertical="center" wrapText="1"/>
    </xf>
    <xf numFmtId="179" fontId="155" fillId="73" borderId="0" xfId="1352" applyNumberFormat="1" applyFont="1" applyFill="1" applyAlignment="1">
      <alignment horizontal="center" vertical="center" wrapText="1"/>
    </xf>
    <xf numFmtId="164" fontId="148" fillId="71" borderId="26" xfId="1853" applyFont="1" applyFill="1" applyBorder="1" applyAlignment="1">
      <alignment horizontal="left" vertical="center" wrapText="1"/>
    </xf>
    <xf numFmtId="9" fontId="148" fillId="71" borderId="26" xfId="1352" applyFont="1" applyFill="1" applyBorder="1" applyAlignment="1">
      <alignment horizontal="center" vertical="center" wrapText="1"/>
    </xf>
    <xf numFmtId="164" fontId="152" fillId="0" borderId="0" xfId="5530" applyNumberFormat="1" applyFont="1"/>
    <xf numFmtId="0" fontId="157" fillId="0" borderId="0" xfId="5530" applyFont="1"/>
    <xf numFmtId="164" fontId="157" fillId="0" borderId="0" xfId="5530" applyNumberFormat="1" applyFont="1"/>
    <xf numFmtId="0" fontId="152" fillId="0" borderId="0" xfId="5530" applyFont="1" applyAlignment="1">
      <alignment horizontal="left"/>
    </xf>
    <xf numFmtId="164" fontId="158" fillId="0" borderId="0" xfId="1853" applyFont="1" applyAlignment="1">
      <alignment horizontal="center" vertical="center" wrapText="1"/>
    </xf>
    <xf numFmtId="0" fontId="159" fillId="0" borderId="0" xfId="5533" applyFont="1"/>
    <xf numFmtId="0" fontId="160" fillId="0" borderId="0" xfId="5533" applyFont="1"/>
    <xf numFmtId="0" fontId="146" fillId="71" borderId="29" xfId="5533" applyFont="1" applyFill="1" applyBorder="1" applyAlignment="1">
      <alignment vertical="center" wrapText="1"/>
    </xf>
    <xf numFmtId="0" fontId="146" fillId="71" borderId="29" xfId="5533" applyFont="1" applyFill="1" applyBorder="1" applyAlignment="1">
      <alignment horizontal="center" vertical="center" wrapText="1"/>
    </xf>
    <xf numFmtId="0" fontId="161" fillId="0" borderId="0" xfId="5533" applyFont="1" applyAlignment="1">
      <alignment vertical="center"/>
    </xf>
    <xf numFmtId="179" fontId="145" fillId="0" borderId="0" xfId="5534" applyNumberFormat="1" applyFont="1" applyAlignment="1">
      <alignment horizontal="center" vertical="center" wrapText="1"/>
    </xf>
    <xf numFmtId="0" fontId="144" fillId="73" borderId="0" xfId="5533" applyFont="1" applyFill="1" applyAlignment="1">
      <alignment vertical="center"/>
    </xf>
    <xf numFmtId="179" fontId="144" fillId="73" borderId="0" xfId="5534" applyNumberFormat="1" applyFont="1" applyFill="1" applyAlignment="1">
      <alignment horizontal="center" vertical="center" wrapText="1"/>
    </xf>
    <xf numFmtId="0" fontId="145" fillId="0" borderId="0" xfId="5533" applyFont="1" applyAlignment="1">
      <alignment vertical="center"/>
    </xf>
    <xf numFmtId="180" fontId="144" fillId="73" borderId="0" xfId="5535" applyNumberFormat="1" applyFont="1" applyFill="1" applyAlignment="1">
      <alignment horizontal="center" vertical="center" wrapText="1"/>
    </xf>
    <xf numFmtId="9" fontId="159" fillId="0" borderId="0" xfId="5534" applyFont="1"/>
    <xf numFmtId="0" fontId="146" fillId="71" borderId="0" xfId="5533" applyFont="1" applyFill="1" applyAlignment="1">
      <alignment vertical="center" wrapText="1"/>
    </xf>
    <xf numFmtId="9" fontId="146" fillId="71" borderId="29" xfId="5534" applyFont="1" applyFill="1" applyBorder="1" applyAlignment="1">
      <alignment horizontal="center" vertical="center" wrapText="1"/>
    </xf>
    <xf numFmtId="0" fontId="162" fillId="73" borderId="0" xfId="5533" applyFont="1" applyFill="1" applyAlignment="1">
      <alignment vertical="center"/>
    </xf>
    <xf numFmtId="182" fontId="162" fillId="73" borderId="0" xfId="5535" applyNumberFormat="1" applyFont="1" applyFill="1" applyAlignment="1">
      <alignment horizontal="center" vertical="center" wrapText="1"/>
    </xf>
    <xf numFmtId="9" fontId="162" fillId="73" borderId="0" xfId="5534" applyFont="1" applyFill="1" applyAlignment="1">
      <alignment horizontal="center" vertical="center" wrapText="1"/>
    </xf>
    <xf numFmtId="182" fontId="144" fillId="73" borderId="0" xfId="5535" applyNumberFormat="1" applyFont="1" applyFill="1" applyAlignment="1">
      <alignment horizontal="center" vertical="center" wrapText="1"/>
    </xf>
    <xf numFmtId="182" fontId="145" fillId="73" borderId="0" xfId="5535" applyNumberFormat="1" applyFont="1" applyFill="1" applyAlignment="1">
      <alignment horizontal="center" vertical="center" wrapText="1"/>
    </xf>
    <xf numFmtId="179" fontId="145" fillId="73" borderId="0" xfId="5534" applyNumberFormat="1" applyFont="1" applyFill="1" applyAlignment="1">
      <alignment horizontal="center" vertical="center" wrapText="1"/>
    </xf>
    <xf numFmtId="0" fontId="154" fillId="36" borderId="0" xfId="5533" applyFont="1" applyFill="1" applyAlignment="1">
      <alignment vertical="center"/>
    </xf>
    <xf numFmtId="182" fontId="154" fillId="36" borderId="0" xfId="5535" applyNumberFormat="1" applyFont="1" applyFill="1" applyAlignment="1">
      <alignment horizontal="center" vertical="center" wrapText="1"/>
    </xf>
    <xf numFmtId="9" fontId="154" fillId="36" borderId="0" xfId="5534" applyFont="1" applyFill="1" applyAlignment="1">
      <alignment horizontal="center" vertical="center" wrapText="1"/>
    </xf>
    <xf numFmtId="0" fontId="145" fillId="36" borderId="0" xfId="5533" applyFont="1" applyFill="1"/>
    <xf numFmtId="182" fontId="144" fillId="36" borderId="0" xfId="5535" applyNumberFormat="1" applyFont="1" applyFill="1" applyAlignment="1">
      <alignment horizontal="center" vertical="center" wrapText="1"/>
    </xf>
    <xf numFmtId="9" fontId="145" fillId="36" borderId="0" xfId="5534" applyFont="1" applyFill="1"/>
    <xf numFmtId="0" fontId="145" fillId="0" borderId="0" xfId="5533" applyFont="1"/>
    <xf numFmtId="180" fontId="162" fillId="73" borderId="0" xfId="5535" applyNumberFormat="1" applyFont="1" applyFill="1" applyAlignment="1">
      <alignment horizontal="center" vertical="center" wrapText="1"/>
    </xf>
    <xf numFmtId="183" fontId="146" fillId="71" borderId="0" xfId="5533" applyNumberFormat="1" applyFont="1" applyFill="1" applyAlignment="1">
      <alignment horizontal="center" vertical="center" wrapText="1"/>
    </xf>
    <xf numFmtId="9" fontId="146" fillId="71" borderId="0" xfId="5534" applyFont="1" applyFill="1" applyBorder="1" applyAlignment="1">
      <alignment horizontal="center" vertical="center" wrapText="1"/>
    </xf>
    <xf numFmtId="183" fontId="159" fillId="0" borderId="0" xfId="5533" applyNumberFormat="1" applyFont="1"/>
    <xf numFmtId="9" fontId="159" fillId="0" borderId="0" xfId="5537" applyFont="1"/>
    <xf numFmtId="0" fontId="160" fillId="0" borderId="0" xfId="5536" applyFont="1"/>
    <xf numFmtId="0" fontId="159" fillId="0" borderId="0" xfId="5536" applyFont="1"/>
    <xf numFmtId="0" fontId="146" fillId="71" borderId="30" xfId="5536" applyFont="1" applyFill="1" applyBorder="1" applyAlignment="1">
      <alignment vertical="center" wrapText="1"/>
    </xf>
    <xf numFmtId="0" fontId="146" fillId="71" borderId="30" xfId="5536" applyFont="1" applyFill="1" applyBorder="1" applyAlignment="1">
      <alignment horizontal="right" vertical="center"/>
    </xf>
    <xf numFmtId="0" fontId="146" fillId="71" borderId="30" xfId="5536" applyFont="1" applyFill="1" applyBorder="1" applyAlignment="1">
      <alignment horizontal="right" vertical="center" wrapText="1"/>
    </xf>
    <xf numFmtId="0" fontId="144" fillId="73" borderId="0" xfId="5536" applyFont="1" applyFill="1" applyAlignment="1">
      <alignment vertical="center"/>
    </xf>
    <xf numFmtId="0" fontId="144" fillId="73" borderId="0" xfId="5536" applyFont="1" applyFill="1" applyAlignment="1">
      <alignment horizontal="right" vertical="center"/>
    </xf>
    <xf numFmtId="0" fontId="144" fillId="73" borderId="0" xfId="5536" applyFont="1" applyFill="1" applyAlignment="1">
      <alignment horizontal="right" vertical="center" wrapText="1"/>
    </xf>
    <xf numFmtId="0" fontId="144" fillId="0" borderId="0" xfId="5536" applyFont="1" applyAlignment="1">
      <alignment vertical="center"/>
    </xf>
    <xf numFmtId="10" fontId="144" fillId="0" borderId="0" xfId="5536" applyNumberFormat="1" applyFont="1" applyAlignment="1">
      <alignment horizontal="right" vertical="center"/>
    </xf>
    <xf numFmtId="10" fontId="144" fillId="0" borderId="0" xfId="5537" applyNumberFormat="1" applyFont="1" applyAlignment="1">
      <alignment horizontal="right" vertical="center" wrapText="1"/>
    </xf>
    <xf numFmtId="184" fontId="144" fillId="73" borderId="0" xfId="5538" applyNumberFormat="1" applyFont="1" applyFill="1" applyAlignment="1">
      <alignment horizontal="right" vertical="center"/>
    </xf>
    <xf numFmtId="184" fontId="144" fillId="73" borderId="0" xfId="5538" applyNumberFormat="1" applyFont="1" applyFill="1" applyAlignment="1">
      <alignment horizontal="right" vertical="center" wrapText="1"/>
    </xf>
    <xf numFmtId="0" fontId="4" fillId="0" borderId="0" xfId="5536"/>
    <xf numFmtId="0" fontId="146" fillId="71" borderId="26" xfId="5536" applyFont="1" applyFill="1" applyBorder="1" applyAlignment="1">
      <alignment horizontal="center" vertical="center"/>
    </xf>
    <xf numFmtId="0" fontId="146" fillId="71" borderId="26" xfId="5536" applyFont="1" applyFill="1" applyBorder="1" applyAlignment="1">
      <alignment vertical="center"/>
    </xf>
    <xf numFmtId="0" fontId="144" fillId="72" borderId="0" xfId="5536" applyFont="1" applyFill="1" applyAlignment="1">
      <alignment vertical="center" wrapText="1"/>
    </xf>
    <xf numFmtId="0" fontId="144" fillId="72" borderId="0" xfId="5536" applyFont="1" applyFill="1" applyAlignment="1">
      <alignment horizontal="center" vertical="center"/>
    </xf>
    <xf numFmtId="0" fontId="145" fillId="0" borderId="0" xfId="5536" applyFont="1" applyAlignment="1">
      <alignment horizontal="center" vertical="center"/>
    </xf>
    <xf numFmtId="0" fontId="144" fillId="76" borderId="0" xfId="5536" applyFont="1" applyFill="1" applyAlignment="1">
      <alignment vertical="center" wrapText="1"/>
    </xf>
    <xf numFmtId="0" fontId="145" fillId="0" borderId="0" xfId="5536" applyFont="1" applyAlignment="1">
      <alignment vertical="center"/>
    </xf>
    <xf numFmtId="0" fontId="145" fillId="0" borderId="0" xfId="5536" applyFont="1" applyAlignment="1">
      <alignment vertical="center" wrapText="1"/>
    </xf>
    <xf numFmtId="0" fontId="166" fillId="73" borderId="0" xfId="5536" applyFont="1" applyFill="1" applyAlignment="1">
      <alignment horizontal="center" vertical="center" wrapText="1"/>
    </xf>
    <xf numFmtId="0" fontId="164" fillId="71" borderId="0" xfId="5536" applyFont="1" applyFill="1" applyAlignment="1">
      <alignment horizontal="center" vertical="center" wrapText="1"/>
    </xf>
    <xf numFmtId="0" fontId="4" fillId="0" borderId="0" xfId="5536" applyAlignment="1">
      <alignment wrapText="1"/>
    </xf>
    <xf numFmtId="0" fontId="146" fillId="63" borderId="28" xfId="5536" applyFont="1" applyFill="1" applyBorder="1" applyAlignment="1">
      <alignment horizontal="center" vertical="center" wrapText="1"/>
    </xf>
    <xf numFmtId="0" fontId="146" fillId="71" borderId="26" xfId="5536" applyFont="1" applyFill="1" applyBorder="1" applyAlignment="1">
      <alignment vertical="center" wrapText="1"/>
    </xf>
    <xf numFmtId="0" fontId="146" fillId="71" borderId="26" xfId="5536" applyFont="1" applyFill="1" applyBorder="1" applyAlignment="1">
      <alignment horizontal="center" vertical="center" wrapText="1"/>
    </xf>
    <xf numFmtId="0" fontId="144" fillId="73" borderId="0" xfId="5536" applyFont="1" applyFill="1" applyAlignment="1">
      <alignment vertical="center" wrapText="1"/>
    </xf>
    <xf numFmtId="0" fontId="144" fillId="73" borderId="0" xfId="5536" applyFont="1" applyFill="1" applyAlignment="1">
      <alignment horizontal="center" vertical="center" wrapText="1"/>
    </xf>
    <xf numFmtId="0" fontId="144" fillId="73" borderId="0" xfId="5536" applyFont="1" applyFill="1" applyAlignment="1">
      <alignment horizontal="center" vertical="center"/>
    </xf>
    <xf numFmtId="0" fontId="166" fillId="76" borderId="0" xfId="5536" applyFont="1" applyFill="1" applyAlignment="1">
      <alignment horizontal="left" vertical="center" wrapText="1"/>
    </xf>
    <xf numFmtId="180" fontId="166" fillId="76" borderId="0" xfId="5538" applyNumberFormat="1" applyFont="1" applyFill="1" applyAlignment="1">
      <alignment horizontal="center" vertical="center" wrapText="1"/>
    </xf>
    <xf numFmtId="0" fontId="166" fillId="73" borderId="0" xfId="5536" applyFont="1" applyFill="1" applyAlignment="1">
      <alignment horizontal="left" vertical="center" wrapText="1"/>
    </xf>
    <xf numFmtId="43" fontId="166" fillId="73" borderId="0" xfId="5538" applyFont="1" applyFill="1" applyAlignment="1">
      <alignment horizontal="center" vertical="center" wrapText="1"/>
    </xf>
    <xf numFmtId="180" fontId="166" fillId="73" borderId="0" xfId="5538" applyNumberFormat="1" applyFont="1" applyFill="1" applyAlignment="1">
      <alignment horizontal="center" vertical="center" wrapText="1"/>
    </xf>
    <xf numFmtId="0" fontId="166" fillId="36" borderId="0" xfId="5536" applyFont="1" applyFill="1" applyAlignment="1">
      <alignment horizontal="center" vertical="center" wrapText="1"/>
    </xf>
    <xf numFmtId="0" fontId="166" fillId="36" borderId="0" xfId="5536" applyFont="1" applyFill="1" applyAlignment="1">
      <alignment horizontal="left" vertical="center" wrapText="1"/>
    </xf>
    <xf numFmtId="43" fontId="166" fillId="36" borderId="0" xfId="5538" applyFont="1" applyFill="1" applyAlignment="1">
      <alignment horizontal="center" vertical="center" wrapText="1"/>
    </xf>
    <xf numFmtId="0" fontId="146" fillId="71" borderId="0" xfId="5536" applyFont="1" applyFill="1" applyAlignment="1">
      <alignment horizontal="left" vertical="center" wrapText="1"/>
    </xf>
    <xf numFmtId="43" fontId="164" fillId="71" borderId="0" xfId="5538" applyFont="1" applyFill="1" applyAlignment="1">
      <alignment horizontal="center" vertical="center" wrapText="1"/>
    </xf>
    <xf numFmtId="0" fontId="151" fillId="63" borderId="28" xfId="5536" applyFont="1" applyFill="1" applyBorder="1" applyAlignment="1">
      <alignment horizontal="center" vertical="center" wrapText="1"/>
    </xf>
    <xf numFmtId="0" fontId="170" fillId="76" borderId="0" xfId="5536" applyFont="1" applyFill="1" applyAlignment="1">
      <alignment horizontal="center" vertical="center" wrapText="1"/>
    </xf>
    <xf numFmtId="0" fontId="170" fillId="73" borderId="0" xfId="5536" applyFont="1" applyFill="1" applyAlignment="1">
      <alignment horizontal="center" vertical="center" wrapText="1"/>
    </xf>
    <xf numFmtId="0" fontId="170" fillId="73" borderId="0" xfId="5536" applyFont="1" applyFill="1" applyAlignment="1">
      <alignment vertical="center" wrapText="1"/>
    </xf>
    <xf numFmtId="0" fontId="171" fillId="71" borderId="0" xfId="5536" applyFont="1" applyFill="1" applyAlignment="1">
      <alignment horizontal="center" vertical="center" wrapText="1"/>
    </xf>
    <xf numFmtId="0" fontId="151" fillId="71" borderId="0" xfId="5536" applyFont="1" applyFill="1" applyAlignment="1">
      <alignment vertical="center" wrapText="1"/>
    </xf>
    <xf numFmtId="179" fontId="166" fillId="76" borderId="0" xfId="5537" applyNumberFormat="1" applyFont="1" applyFill="1" applyAlignment="1">
      <alignment horizontal="center" vertical="center" wrapText="1"/>
    </xf>
    <xf numFmtId="179" fontId="166" fillId="73" borderId="0" xfId="5537" applyNumberFormat="1" applyFont="1" applyFill="1" applyAlignment="1">
      <alignment horizontal="center" vertical="center" wrapText="1"/>
    </xf>
    <xf numFmtId="9" fontId="164" fillId="71" borderId="0" xfId="5537" applyFont="1" applyFill="1" applyAlignment="1">
      <alignment horizontal="center" vertical="center" wrapText="1"/>
    </xf>
    <xf numFmtId="0" fontId="170" fillId="76" borderId="0" xfId="5536" applyFont="1" applyFill="1" applyAlignment="1">
      <alignment horizontal="left" vertical="center" wrapText="1"/>
    </xf>
    <xf numFmtId="180" fontId="170" fillId="76" borderId="0" xfId="5538" applyNumberFormat="1" applyFont="1" applyFill="1" applyAlignment="1">
      <alignment horizontal="center" vertical="center" wrapText="1"/>
    </xf>
    <xf numFmtId="0" fontId="170" fillId="73" borderId="0" xfId="5536" applyFont="1" applyFill="1" applyAlignment="1">
      <alignment horizontal="left" vertical="center" wrapText="1"/>
    </xf>
    <xf numFmtId="180" fontId="170" fillId="73" borderId="0" xfId="5538" applyNumberFormat="1" applyFont="1" applyFill="1" applyAlignment="1">
      <alignment horizontal="center" vertical="center" wrapText="1"/>
    </xf>
    <xf numFmtId="0" fontId="151" fillId="71" borderId="0" xfId="5536" applyFont="1" applyFill="1" applyAlignment="1">
      <alignment horizontal="left" vertical="center" wrapText="1"/>
    </xf>
    <xf numFmtId="43" fontId="171" fillId="71" borderId="0" xfId="5538" applyFont="1" applyFill="1" applyAlignment="1">
      <alignment horizontal="center" vertical="center" wrapText="1"/>
    </xf>
    <xf numFmtId="0" fontId="154" fillId="63" borderId="28" xfId="5536" applyFont="1" applyFill="1" applyBorder="1" applyAlignment="1">
      <alignment vertical="center" wrapText="1"/>
    </xf>
    <xf numFmtId="0" fontId="154" fillId="76" borderId="0" xfId="5536" applyFont="1" applyFill="1" applyAlignment="1">
      <alignment vertical="center" wrapText="1"/>
    </xf>
    <xf numFmtId="0" fontId="144" fillId="76" borderId="0" xfId="5536" applyFont="1" applyFill="1" applyAlignment="1">
      <alignment horizontal="center" vertical="center" wrapText="1"/>
    </xf>
    <xf numFmtId="0" fontId="154" fillId="72" borderId="0" xfId="5536" applyFont="1" applyFill="1" applyAlignment="1">
      <alignment vertical="center" wrapText="1"/>
    </xf>
    <xf numFmtId="0" fontId="154" fillId="76" borderId="0" xfId="5536" applyFont="1" applyFill="1" applyAlignment="1">
      <alignment horizontal="center" vertical="center" wrapText="1"/>
    </xf>
    <xf numFmtId="0" fontId="154" fillId="72" borderId="0" xfId="5536" applyFont="1" applyFill="1" applyAlignment="1">
      <alignment horizontal="center" vertical="center" wrapText="1"/>
    </xf>
    <xf numFmtId="0" fontId="162" fillId="0" borderId="0" xfId="5536" applyFont="1" applyAlignment="1">
      <alignment vertical="center" wrapText="1"/>
    </xf>
    <xf numFmtId="0" fontId="146" fillId="71" borderId="26" xfId="0" applyFont="1" applyFill="1" applyBorder="1" applyAlignment="1">
      <alignment horizontal="center" vertical="center"/>
    </xf>
    <xf numFmtId="0" fontId="146" fillId="71" borderId="26" xfId="0" applyFont="1" applyFill="1" applyBorder="1" applyAlignment="1">
      <alignment horizontal="center" vertical="center" wrapText="1"/>
    </xf>
    <xf numFmtId="0" fontId="173" fillId="78" borderId="0" xfId="0" applyFont="1" applyFill="1" applyAlignment="1">
      <alignment vertical="center"/>
    </xf>
    <xf numFmtId="0" fontId="173" fillId="78" borderId="0" xfId="0" applyFont="1" applyFill="1" applyAlignment="1">
      <alignment vertical="center" wrapText="1"/>
    </xf>
    <xf numFmtId="0" fontId="173" fillId="76" borderId="0" xfId="0" applyFont="1" applyFill="1" applyAlignment="1">
      <alignment vertical="center"/>
    </xf>
    <xf numFmtId="0" fontId="173" fillId="76" borderId="0" xfId="0" applyFont="1" applyFill="1" applyAlignment="1">
      <alignment vertical="center" wrapText="1"/>
    </xf>
    <xf numFmtId="0" fontId="151" fillId="63" borderId="0" xfId="5536" applyFont="1" applyFill="1" applyAlignment="1">
      <alignment horizontal="center" vertical="center" wrapText="1"/>
    </xf>
    <xf numFmtId="0" fontId="170" fillId="0" borderId="0" xfId="5536" applyFont="1" applyAlignment="1">
      <alignment horizontal="center" vertical="center" wrapText="1"/>
    </xf>
    <xf numFmtId="0" fontId="4" fillId="0" borderId="0" xfId="5533"/>
    <xf numFmtId="0" fontId="4" fillId="0" borderId="0" xfId="5533" applyAlignment="1">
      <alignment wrapText="1"/>
    </xf>
    <xf numFmtId="0" fontId="151" fillId="63" borderId="28" xfId="5533" applyFont="1" applyFill="1" applyBorder="1" applyAlignment="1">
      <alignment horizontal="center" vertical="center" wrapText="1"/>
    </xf>
    <xf numFmtId="0" fontId="153" fillId="76" borderId="0" xfId="5533" applyFont="1" applyFill="1" applyAlignment="1">
      <alignment horizontal="left" vertical="center" wrapText="1"/>
    </xf>
    <xf numFmtId="43" fontId="153" fillId="76" borderId="0" xfId="5535" applyFont="1" applyFill="1" applyAlignment="1">
      <alignment vertical="center" wrapText="1"/>
    </xf>
    <xf numFmtId="0" fontId="153" fillId="73" borderId="0" xfId="5533" applyFont="1" applyFill="1" applyAlignment="1">
      <alignment horizontal="left" vertical="center" wrapText="1"/>
    </xf>
    <xf numFmtId="43" fontId="153" fillId="73" borderId="0" xfId="5535" applyFont="1" applyFill="1" applyAlignment="1">
      <alignment vertical="center" wrapText="1"/>
    </xf>
    <xf numFmtId="0" fontId="151" fillId="71" borderId="0" xfId="5533" applyFont="1" applyFill="1" applyAlignment="1">
      <alignment horizontal="left" vertical="center" wrapText="1"/>
    </xf>
    <xf numFmtId="43" fontId="174" fillId="71" borderId="0" xfId="5535" applyFont="1" applyFill="1" applyAlignment="1">
      <alignment horizontal="center" vertical="center" wrapText="1"/>
    </xf>
    <xf numFmtId="0" fontId="151" fillId="63" borderId="28" xfId="5533" applyFont="1" applyFill="1" applyBorder="1" applyAlignment="1">
      <alignment horizontal="left" vertical="center" wrapText="1"/>
    </xf>
    <xf numFmtId="9" fontId="0" fillId="0" borderId="0" xfId="5534" applyFont="1"/>
    <xf numFmtId="0" fontId="144" fillId="0" borderId="0" xfId="5536" applyFont="1" applyAlignment="1">
      <alignment horizontal="center" vertical="center" wrapText="1"/>
    </xf>
    <xf numFmtId="0" fontId="144" fillId="0" borderId="0" xfId="5536" applyFont="1" applyAlignment="1">
      <alignment horizontal="center" vertical="center"/>
    </xf>
    <xf numFmtId="0" fontId="146" fillId="71" borderId="0" xfId="5536" applyFont="1" applyFill="1" applyAlignment="1">
      <alignment horizontal="center" vertical="center"/>
    </xf>
    <xf numFmtId="0" fontId="146" fillId="71" borderId="26" xfId="5533" applyFont="1" applyFill="1" applyBorder="1" applyAlignment="1">
      <alignment horizontal="center" vertical="center"/>
    </xf>
    <xf numFmtId="0" fontId="144" fillId="0" borderId="0" xfId="5533" applyFont="1" applyAlignment="1">
      <alignment horizontal="center" vertical="center" wrapText="1"/>
    </xf>
    <xf numFmtId="3" fontId="144" fillId="0" borderId="0" xfId="5533" applyNumberFormat="1" applyFont="1" applyAlignment="1">
      <alignment horizontal="center" vertical="center" wrapText="1"/>
    </xf>
    <xf numFmtId="0" fontId="144" fillId="73" borderId="0" xfId="5533" applyFont="1" applyFill="1" applyAlignment="1">
      <alignment horizontal="center" vertical="center" wrapText="1"/>
    </xf>
    <xf numFmtId="3" fontId="144" fillId="73" borderId="0" xfId="5533" applyNumberFormat="1" applyFont="1" applyFill="1" applyAlignment="1">
      <alignment horizontal="center" vertical="center" wrapText="1"/>
    </xf>
    <xf numFmtId="0" fontId="144" fillId="36" borderId="0" xfId="5533" applyFont="1" applyFill="1" applyAlignment="1">
      <alignment horizontal="center" vertical="center" wrapText="1"/>
    </xf>
    <xf numFmtId="3" fontId="144" fillId="36" borderId="0" xfId="5533" applyNumberFormat="1" applyFont="1" applyFill="1" applyAlignment="1">
      <alignment horizontal="center" vertical="center" wrapText="1"/>
    </xf>
    <xf numFmtId="0" fontId="4" fillId="36" borderId="0" xfId="5533" applyFill="1"/>
    <xf numFmtId="0" fontId="146" fillId="71" borderId="0" xfId="5533" applyFont="1" applyFill="1" applyAlignment="1">
      <alignment horizontal="center" vertical="center"/>
    </xf>
    <xf numFmtId="3" fontId="146" fillId="71" borderId="0" xfId="5533" applyNumberFormat="1" applyFont="1" applyFill="1" applyAlignment="1">
      <alignment horizontal="center" vertical="center"/>
    </xf>
    <xf numFmtId="4" fontId="127" fillId="0" borderId="0" xfId="0" applyNumberFormat="1" applyFont="1" applyAlignment="1">
      <alignment horizontal="left" vertical="center"/>
    </xf>
    <xf numFmtId="173" fontId="127" fillId="0" borderId="0" xfId="0" applyNumberFormat="1" applyFont="1" applyAlignment="1">
      <alignment horizontal="left" vertical="center"/>
    </xf>
    <xf numFmtId="10" fontId="127" fillId="0" borderId="0" xfId="1352" applyNumberFormat="1" applyFont="1" applyAlignment="1">
      <alignment vertical="center"/>
    </xf>
    <xf numFmtId="173" fontId="0" fillId="0" borderId="0" xfId="1853" applyNumberFormat="1" applyFont="1" applyAlignment="1">
      <alignment horizontal="center"/>
    </xf>
    <xf numFmtId="0" fontId="138" fillId="36" borderId="0" xfId="0" applyFont="1" applyFill="1" applyAlignment="1">
      <alignment horizontal="left" vertical="center"/>
    </xf>
    <xf numFmtId="170" fontId="175" fillId="64" borderId="0" xfId="5" applyNumberFormat="1" applyFont="1" applyFill="1" applyAlignment="1">
      <alignment vertical="center"/>
    </xf>
    <xf numFmtId="170" fontId="175" fillId="0" borderId="0" xfId="5" applyNumberFormat="1" applyFont="1" applyAlignment="1">
      <alignment vertical="center"/>
    </xf>
    <xf numFmtId="164" fontId="0" fillId="0" borderId="0" xfId="1853" applyFont="1"/>
    <xf numFmtId="170" fontId="127" fillId="36" borderId="0" xfId="5" applyNumberFormat="1" applyFont="1" applyFill="1" applyAlignment="1">
      <alignment horizontal="center" vertical="center"/>
    </xf>
    <xf numFmtId="164" fontId="127" fillId="36" borderId="0" xfId="1853" applyFont="1" applyFill="1" applyAlignment="1">
      <alignment vertical="center"/>
    </xf>
    <xf numFmtId="164" fontId="152" fillId="0" borderId="0" xfId="1853" applyFont="1"/>
    <xf numFmtId="0" fontId="146" fillId="71" borderId="29" xfId="0" applyFont="1" applyFill="1" applyBorder="1" applyAlignment="1">
      <alignment vertical="center" wrapText="1"/>
    </xf>
    <xf numFmtId="0" fontId="146" fillId="71" borderId="29" xfId="0" applyFont="1" applyFill="1" applyBorder="1" applyAlignment="1">
      <alignment horizontal="center" vertical="center" wrapText="1"/>
    </xf>
    <xf numFmtId="0" fontId="177" fillId="0" borderId="0" xfId="0" applyFont="1" applyAlignment="1">
      <alignment vertical="center"/>
    </xf>
    <xf numFmtId="0" fontId="176" fillId="0" borderId="0" xfId="0" applyFont="1" applyAlignment="1">
      <alignment vertical="center" wrapText="1"/>
    </xf>
    <xf numFmtId="0" fontId="144" fillId="73" borderId="0" xfId="0" applyFont="1" applyFill="1" applyAlignment="1">
      <alignment vertical="center"/>
    </xf>
    <xf numFmtId="0" fontId="144" fillId="0" borderId="0" xfId="0" applyFont="1" applyAlignment="1">
      <alignment vertical="center"/>
    </xf>
    <xf numFmtId="3" fontId="144" fillId="73" borderId="0" xfId="0" applyNumberFormat="1" applyFont="1" applyFill="1" applyAlignment="1">
      <alignment horizontal="center" vertical="center" wrapText="1"/>
    </xf>
    <xf numFmtId="0" fontId="144" fillId="73" borderId="0" xfId="0" applyFont="1" applyFill="1" applyAlignment="1">
      <alignment horizontal="center" vertical="center" wrapText="1"/>
    </xf>
    <xf numFmtId="179" fontId="144" fillId="73" borderId="0" xfId="0" applyNumberFormat="1" applyFont="1" applyFill="1" applyAlignment="1">
      <alignment horizontal="center" vertical="center" wrapText="1"/>
    </xf>
    <xf numFmtId="179" fontId="144" fillId="0" borderId="0" xfId="0" applyNumberFormat="1" applyFont="1" applyAlignment="1">
      <alignment horizontal="center" vertical="center" wrapText="1"/>
    </xf>
    <xf numFmtId="3" fontId="144" fillId="36" borderId="0" xfId="0" applyNumberFormat="1" applyFont="1" applyFill="1" applyAlignment="1">
      <alignment horizontal="center" vertical="center" wrapText="1"/>
    </xf>
    <xf numFmtId="0" fontId="161" fillId="36" borderId="0" xfId="5533" applyFont="1" applyFill="1"/>
    <xf numFmtId="2" fontId="144" fillId="36" borderId="0" xfId="5535" applyNumberFormat="1" applyFont="1" applyFill="1" applyAlignment="1">
      <alignment horizontal="center" vertical="center" wrapText="1"/>
    </xf>
    <xf numFmtId="0" fontId="149" fillId="0" borderId="0" xfId="0" applyFont="1" applyAlignment="1">
      <alignment horizontal="center" vertical="center" wrapText="1"/>
    </xf>
    <xf numFmtId="179" fontId="155" fillId="36" borderId="0" xfId="1352" applyNumberFormat="1" applyFont="1" applyFill="1" applyAlignment="1">
      <alignment horizontal="center" vertical="center" wrapText="1"/>
    </xf>
    <xf numFmtId="0" fontId="148" fillId="62" borderId="26" xfId="0" applyFont="1" applyFill="1" applyBorder="1" applyAlignment="1">
      <alignment horizontal="center" vertical="center" wrapText="1"/>
    </xf>
    <xf numFmtId="164" fontId="4" fillId="0" borderId="0" xfId="1853" applyFont="1"/>
    <xf numFmtId="164" fontId="170" fillId="73" borderId="0" xfId="1853" applyFont="1" applyFill="1" applyAlignment="1">
      <alignment horizontal="center" vertical="center" wrapText="1"/>
    </xf>
    <xf numFmtId="164" fontId="171" fillId="71" borderId="0" xfId="5536" applyNumberFormat="1" applyFont="1" applyFill="1" applyAlignment="1">
      <alignment horizontal="center" vertical="center" wrapText="1"/>
    </xf>
    <xf numFmtId="0" fontId="170" fillId="36" borderId="0" xfId="5536" applyFont="1" applyFill="1" applyAlignment="1">
      <alignment horizontal="center" vertical="center" wrapText="1"/>
    </xf>
    <xf numFmtId="0" fontId="170" fillId="36" borderId="0" xfId="5536" applyFont="1" applyFill="1" applyAlignment="1">
      <alignment vertical="center" wrapText="1"/>
    </xf>
    <xf numFmtId="164" fontId="170" fillId="36" borderId="0" xfId="1853" applyFont="1" applyFill="1" applyAlignment="1">
      <alignment horizontal="center" vertical="center" wrapText="1"/>
    </xf>
    <xf numFmtId="179" fontId="166" fillId="36" borderId="0" xfId="5537" applyNumberFormat="1" applyFont="1" applyFill="1" applyAlignment="1">
      <alignment horizontal="center" vertical="center" wrapText="1"/>
    </xf>
    <xf numFmtId="0" fontId="151" fillId="63" borderId="28" xfId="0" applyFont="1" applyFill="1" applyBorder="1" applyAlignment="1">
      <alignment horizontal="center" vertical="center" wrapText="1"/>
    </xf>
    <xf numFmtId="0" fontId="153" fillId="73" borderId="0" xfId="0" applyFont="1" applyFill="1" applyAlignment="1">
      <alignment horizontal="center" vertical="center" wrapText="1"/>
    </xf>
    <xf numFmtId="0" fontId="153" fillId="73" borderId="0" xfId="0" applyFont="1" applyFill="1" applyAlignment="1">
      <alignment vertical="center" wrapText="1"/>
    </xf>
    <xf numFmtId="4" fontId="153" fillId="73" borderId="0" xfId="0" applyNumberFormat="1" applyFont="1" applyFill="1" applyAlignment="1">
      <alignment horizontal="center" vertical="center" wrapText="1"/>
    </xf>
    <xf numFmtId="3" fontId="153" fillId="73" borderId="0" xfId="0" applyNumberFormat="1" applyFont="1" applyFill="1" applyAlignment="1">
      <alignment horizontal="center" vertical="center" wrapText="1"/>
    </xf>
    <xf numFmtId="0" fontId="153" fillId="76" borderId="0" xfId="0" applyFont="1" applyFill="1" applyAlignment="1">
      <alignment horizontal="center" vertical="center" wrapText="1"/>
    </xf>
    <xf numFmtId="0" fontId="153" fillId="76" borderId="0" xfId="0" applyFont="1" applyFill="1" applyAlignment="1">
      <alignment vertical="center" wrapText="1"/>
    </xf>
    <xf numFmtId="4" fontId="153" fillId="76" borderId="0" xfId="0" applyNumberFormat="1" applyFont="1" applyFill="1" applyAlignment="1">
      <alignment horizontal="center" vertical="center" wrapText="1"/>
    </xf>
    <xf numFmtId="3" fontId="153" fillId="76" borderId="0" xfId="0" applyNumberFormat="1" applyFont="1" applyFill="1" applyAlignment="1">
      <alignment horizontal="center" vertical="center" wrapText="1"/>
    </xf>
    <xf numFmtId="0" fontId="174" fillId="71" borderId="0" xfId="0" applyFont="1" applyFill="1" applyAlignment="1">
      <alignment horizontal="center" vertical="center" wrapText="1"/>
    </xf>
    <xf numFmtId="0" fontId="151" fillId="71" borderId="0" xfId="0" applyFont="1" applyFill="1" applyAlignment="1">
      <alignment vertical="center" wrapText="1"/>
    </xf>
    <xf numFmtId="4" fontId="174" fillId="71" borderId="0" xfId="0" applyNumberFormat="1" applyFont="1" applyFill="1" applyAlignment="1">
      <alignment horizontal="center" vertical="center" wrapText="1"/>
    </xf>
    <xf numFmtId="43" fontId="170" fillId="76" borderId="0" xfId="5538" applyFont="1" applyFill="1" applyAlignment="1">
      <alignment horizontal="center" vertical="center" wrapText="1"/>
    </xf>
    <xf numFmtId="179" fontId="170" fillId="76" borderId="0" xfId="5537" applyNumberFormat="1" applyFont="1" applyFill="1" applyAlignment="1">
      <alignment horizontal="center" vertical="center" wrapText="1"/>
    </xf>
    <xf numFmtId="43" fontId="170" fillId="73" borderId="0" xfId="5538" applyFont="1" applyFill="1" applyAlignment="1">
      <alignment horizontal="center" vertical="center" wrapText="1"/>
    </xf>
    <xf numFmtId="179" fontId="170" fillId="73" borderId="0" xfId="5537" applyNumberFormat="1" applyFont="1" applyFill="1" applyAlignment="1">
      <alignment horizontal="center" vertical="center" wrapText="1"/>
    </xf>
    <xf numFmtId="180" fontId="171" fillId="71" borderId="0" xfId="5538" applyNumberFormat="1" applyFont="1" applyFill="1" applyAlignment="1">
      <alignment horizontal="center" vertical="center" wrapText="1"/>
    </xf>
    <xf numFmtId="9" fontId="171" fillId="71" borderId="0" xfId="5537" applyFont="1" applyFill="1" applyAlignment="1">
      <alignment horizontal="center" vertical="center" wrapText="1"/>
    </xf>
    <xf numFmtId="9" fontId="170" fillId="76" borderId="0" xfId="1352" applyFont="1" applyFill="1" applyAlignment="1">
      <alignment horizontal="center" vertical="center" wrapText="1"/>
    </xf>
    <xf numFmtId="9" fontId="170" fillId="73" borderId="0" xfId="1352" applyFont="1" applyFill="1" applyAlignment="1">
      <alignment horizontal="center" vertical="center" wrapText="1"/>
    </xf>
    <xf numFmtId="164" fontId="166" fillId="73" borderId="0" xfId="1853" applyFont="1" applyFill="1" applyAlignment="1">
      <alignment horizontal="center" vertical="center" wrapText="1"/>
    </xf>
    <xf numFmtId="164" fontId="166" fillId="36" borderId="0" xfId="1853" applyFont="1" applyFill="1" applyAlignment="1">
      <alignment horizontal="center" vertical="center" wrapText="1"/>
    </xf>
    <xf numFmtId="164" fontId="164" fillId="71" borderId="0" xfId="1853" applyFont="1" applyFill="1" applyAlignment="1">
      <alignment horizontal="center" vertical="center" wrapText="1"/>
    </xf>
    <xf numFmtId="3" fontId="174" fillId="71" borderId="0" xfId="0" applyNumberFormat="1" applyFont="1" applyFill="1" applyAlignment="1">
      <alignment horizontal="center" vertical="center" wrapText="1"/>
    </xf>
    <xf numFmtId="0" fontId="150" fillId="0" borderId="0" xfId="0" applyFont="1"/>
    <xf numFmtId="0" fontId="127" fillId="0" borderId="0" xfId="0" applyFont="1" applyAlignment="1">
      <alignment horizontal="left" wrapText="1"/>
    </xf>
    <xf numFmtId="0" fontId="60" fillId="0" borderId="0" xfId="0" applyFont="1" applyAlignment="1">
      <alignment horizontal="left" wrapText="1"/>
    </xf>
    <xf numFmtId="0" fontId="60" fillId="0" borderId="0" xfId="0" applyFont="1" applyAlignment="1">
      <alignment vertical="center"/>
    </xf>
    <xf numFmtId="4" fontId="60" fillId="0" borderId="0" xfId="0" applyNumberFormat="1" applyFont="1" applyAlignment="1">
      <alignment vertical="center"/>
    </xf>
    <xf numFmtId="173" fontId="60" fillId="0" borderId="0" xfId="1853" applyNumberFormat="1" applyFont="1" applyAlignment="1">
      <alignment vertical="center"/>
    </xf>
    <xf numFmtId="173" fontId="60" fillId="0" borderId="0" xfId="1853" applyNumberFormat="1" applyFont="1" applyAlignment="1">
      <alignment vertical="center" wrapText="1"/>
    </xf>
    <xf numFmtId="0" fontId="60" fillId="0" borderId="0" xfId="0" applyFont="1" applyAlignment="1">
      <alignment vertical="center" wrapText="1"/>
    </xf>
    <xf numFmtId="0" fontId="179" fillId="71" borderId="26" xfId="0" applyFont="1" applyFill="1" applyBorder="1" applyAlignment="1">
      <alignment horizontal="left" vertical="center" wrapText="1"/>
    </xf>
    <xf numFmtId="173" fontId="179" fillId="71" borderId="26" xfId="1853" applyNumberFormat="1" applyFont="1" applyFill="1" applyBorder="1" applyAlignment="1">
      <alignment horizontal="center" vertical="center" wrapText="1"/>
    </xf>
    <xf numFmtId="0" fontId="179" fillId="74" borderId="0" xfId="0" applyFont="1" applyFill="1" applyAlignment="1">
      <alignment horizontal="left" vertical="center" wrapText="1"/>
    </xf>
    <xf numFmtId="173" fontId="179" fillId="74" borderId="0" xfId="1853" applyNumberFormat="1" applyFont="1" applyFill="1" applyAlignment="1">
      <alignment horizontal="center" vertical="center" wrapText="1"/>
    </xf>
    <xf numFmtId="0" fontId="144" fillId="72" borderId="0" xfId="0" applyFont="1" applyFill="1" applyAlignment="1">
      <alignment horizontal="left" vertical="center" wrapText="1"/>
    </xf>
    <xf numFmtId="173" fontId="144" fillId="72" borderId="0" xfId="1853" applyNumberFormat="1" applyFont="1" applyFill="1" applyAlignment="1">
      <alignment horizontal="center" vertical="center" wrapText="1"/>
    </xf>
    <xf numFmtId="0" fontId="180" fillId="0" borderId="0" xfId="0" applyFont="1" applyAlignment="1">
      <alignment horizontal="left" vertical="center" wrapText="1"/>
    </xf>
    <xf numFmtId="173" fontId="180" fillId="0" borderId="0" xfId="1853" applyNumberFormat="1" applyFont="1" applyAlignment="1">
      <alignment horizontal="center" vertical="center" wrapText="1"/>
    </xf>
    <xf numFmtId="49" fontId="144" fillId="72" borderId="0" xfId="0" applyNumberFormat="1" applyFont="1" applyFill="1" applyAlignment="1">
      <alignment horizontal="left" vertical="center" wrapText="1"/>
    </xf>
    <xf numFmtId="49" fontId="180" fillId="0" borderId="0" xfId="0" applyNumberFormat="1" applyFont="1" applyAlignment="1">
      <alignment horizontal="left" vertical="center" wrapText="1"/>
    </xf>
    <xf numFmtId="0" fontId="179" fillId="74" borderId="27" xfId="0" applyFont="1" applyFill="1" applyBorder="1" applyAlignment="1">
      <alignment horizontal="left" vertical="center" wrapText="1"/>
    </xf>
    <xf numFmtId="173" fontId="179" fillId="74" borderId="27" xfId="1853" applyNumberFormat="1" applyFont="1" applyFill="1" applyBorder="1" applyAlignment="1">
      <alignment horizontal="center" vertical="center" wrapText="1"/>
    </xf>
    <xf numFmtId="0" fontId="179" fillId="71" borderId="0" xfId="0" applyFont="1" applyFill="1" applyAlignment="1">
      <alignment horizontal="left" vertical="center" wrapText="1"/>
    </xf>
    <xf numFmtId="173" fontId="179" fillId="71" borderId="0" xfId="1853" applyNumberFormat="1" applyFont="1" applyFill="1" applyAlignment="1">
      <alignment horizontal="center" vertical="center" wrapText="1"/>
    </xf>
    <xf numFmtId="0" fontId="179" fillId="71" borderId="26" xfId="0" applyFont="1" applyFill="1" applyBorder="1" applyAlignment="1">
      <alignment horizontal="center" vertical="center" wrapText="1"/>
    </xf>
    <xf numFmtId="0" fontId="179" fillId="71" borderId="26" xfId="0" applyFont="1" applyFill="1" applyBorder="1" applyAlignment="1">
      <alignment horizontal="right" vertical="center" wrapText="1"/>
    </xf>
    <xf numFmtId="0" fontId="144" fillId="72" borderId="0" xfId="0" applyFont="1" applyFill="1" applyAlignment="1">
      <alignment horizontal="center" vertical="center" wrapText="1"/>
    </xf>
    <xf numFmtId="164" fontId="144" fillId="72" borderId="0" xfId="0" applyNumberFormat="1" applyFont="1" applyFill="1" applyAlignment="1">
      <alignment horizontal="center" vertical="center" wrapText="1"/>
    </xf>
    <xf numFmtId="0" fontId="180" fillId="0" borderId="0" xfId="0" applyFont="1" applyAlignment="1">
      <alignment horizontal="center" vertical="center" wrapText="1"/>
    </xf>
    <xf numFmtId="164" fontId="144" fillId="0" borderId="0" xfId="0" applyNumberFormat="1" applyFont="1" applyAlignment="1">
      <alignment horizontal="center" vertical="center" wrapText="1"/>
    </xf>
    <xf numFmtId="170" fontId="138" fillId="64" borderId="0" xfId="5" applyNumberFormat="1" applyFont="1" applyFill="1" applyAlignment="1">
      <alignment vertical="center"/>
    </xf>
    <xf numFmtId="173" fontId="138" fillId="0" borderId="0" xfId="1853" applyNumberFormat="1" applyFont="1" applyAlignment="1">
      <alignment vertical="center"/>
    </xf>
    <xf numFmtId="170" fontId="138" fillId="0" borderId="0" xfId="5" applyNumberFormat="1" applyFont="1" applyAlignment="1">
      <alignment vertical="center"/>
    </xf>
    <xf numFmtId="170" fontId="138" fillId="64" borderId="0" xfId="5" applyNumberFormat="1" applyFont="1" applyFill="1" applyAlignment="1">
      <alignment vertical="center" wrapText="1"/>
    </xf>
    <xf numFmtId="170" fontId="138" fillId="0" borderId="0" xfId="5" applyNumberFormat="1" applyFont="1" applyAlignment="1">
      <alignment vertical="center" wrapText="1"/>
    </xf>
    <xf numFmtId="164" fontId="179" fillId="71" borderId="0" xfId="0" applyNumberFormat="1" applyFont="1" applyFill="1" applyAlignment="1">
      <alignment horizontal="center" vertical="center" wrapText="1"/>
    </xf>
    <xf numFmtId="173" fontId="144" fillId="72" borderId="0" xfId="1853" applyNumberFormat="1" applyFont="1" applyFill="1" applyAlignment="1">
      <alignment horizontal="right" vertical="center" wrapText="1"/>
    </xf>
    <xf numFmtId="173" fontId="144" fillId="0" borderId="0" xfId="1853" applyNumberFormat="1" applyFont="1" applyAlignment="1">
      <alignment horizontal="right" vertical="center" wrapText="1"/>
    </xf>
    <xf numFmtId="0" fontId="138" fillId="36" borderId="0" xfId="0" applyFont="1" applyFill="1" applyAlignment="1">
      <alignment vertical="center"/>
    </xf>
    <xf numFmtId="173" fontId="138" fillId="0" borderId="0" xfId="1853" applyNumberFormat="1" applyFont="1" applyAlignment="1">
      <alignment horizontal="right" vertical="center"/>
    </xf>
    <xf numFmtId="173" fontId="179" fillId="71" borderId="0" xfId="1853" applyNumberFormat="1" applyFont="1" applyFill="1" applyAlignment="1">
      <alignment horizontal="right" vertical="center" wrapText="1"/>
    </xf>
    <xf numFmtId="0" fontId="181" fillId="71" borderId="26" xfId="0" applyFont="1" applyFill="1" applyBorder="1" applyAlignment="1">
      <alignment horizontal="left" vertical="center" wrapText="1"/>
    </xf>
    <xf numFmtId="173" fontId="144" fillId="36" borderId="0" xfId="1853" applyNumberFormat="1" applyFont="1" applyFill="1" applyAlignment="1">
      <alignment horizontal="center" vertical="center" wrapText="1"/>
    </xf>
    <xf numFmtId="0" fontId="144" fillId="36" borderId="0" xfId="0" applyFont="1" applyFill="1" applyAlignment="1">
      <alignment horizontal="center" vertical="center" wrapText="1"/>
    </xf>
    <xf numFmtId="0" fontId="144" fillId="0" borderId="0" xfId="0" applyFont="1" applyAlignment="1">
      <alignment horizontal="left" vertical="center" wrapText="1"/>
    </xf>
    <xf numFmtId="0" fontId="144" fillId="0" borderId="0" xfId="0" applyFont="1" applyAlignment="1">
      <alignment horizontal="center" vertical="center" wrapText="1"/>
    </xf>
    <xf numFmtId="173" fontId="144" fillId="0" borderId="0" xfId="1853" applyNumberFormat="1" applyFont="1" applyFill="1" applyAlignment="1">
      <alignment horizontal="right" vertical="center" wrapText="1"/>
    </xf>
    <xf numFmtId="0" fontId="179" fillId="71" borderId="26" xfId="5530" applyFont="1" applyFill="1" applyBorder="1" applyAlignment="1">
      <alignment horizontal="center" vertical="center" wrapText="1"/>
    </xf>
    <xf numFmtId="164" fontId="144" fillId="72" borderId="0" xfId="1853" applyFont="1" applyFill="1" applyAlignment="1">
      <alignment horizontal="center" vertical="center" wrapText="1"/>
    </xf>
    <xf numFmtId="0" fontId="144" fillId="72" borderId="0" xfId="5530" applyFont="1" applyFill="1" applyAlignment="1">
      <alignment horizontal="left" vertical="center" wrapText="1"/>
    </xf>
    <xf numFmtId="164" fontId="179" fillId="71" borderId="26" xfId="1853" applyFont="1" applyFill="1" applyBorder="1" applyAlignment="1">
      <alignment horizontal="center" vertical="center"/>
    </xf>
    <xf numFmtId="0" fontId="183" fillId="75" borderId="0" xfId="0" applyFont="1" applyFill="1" applyAlignment="1">
      <alignment horizontal="left" vertical="center" wrapText="1"/>
    </xf>
    <xf numFmtId="173" fontId="183" fillId="75" borderId="0" xfId="1853" applyNumberFormat="1" applyFont="1" applyFill="1" applyAlignment="1">
      <alignment horizontal="center" vertical="center" wrapText="1"/>
    </xf>
    <xf numFmtId="0" fontId="184" fillId="0" borderId="0" xfId="0" applyFont="1"/>
    <xf numFmtId="0" fontId="127" fillId="36" borderId="0" xfId="0" applyFont="1" applyFill="1" applyAlignment="1">
      <alignment horizontal="left" vertical="center" wrapText="1"/>
    </xf>
    <xf numFmtId="173" fontId="133" fillId="36" borderId="0" xfId="1853" applyNumberFormat="1" applyFont="1" applyFill="1" applyAlignment="1">
      <alignment horizontal="center" vertical="center" wrapText="1"/>
    </xf>
    <xf numFmtId="0" fontId="133" fillId="73" borderId="0" xfId="0" applyFont="1" applyFill="1" applyAlignment="1">
      <alignment horizontal="left" vertical="center" wrapText="1"/>
    </xf>
    <xf numFmtId="173" fontId="133" fillId="72" borderId="0" xfId="1853" applyNumberFormat="1" applyFont="1" applyFill="1" applyAlignment="1">
      <alignment horizontal="center" vertical="center" wrapText="1"/>
    </xf>
    <xf numFmtId="0" fontId="133" fillId="36" borderId="0" xfId="0" applyFont="1" applyFill="1" applyAlignment="1">
      <alignment horizontal="left" vertical="center" wrapText="1"/>
    </xf>
    <xf numFmtId="173" fontId="133" fillId="0" borderId="0" xfId="1853" applyNumberFormat="1" applyFont="1" applyAlignment="1">
      <alignment horizontal="center" vertical="center" wrapText="1"/>
    </xf>
    <xf numFmtId="173" fontId="127" fillId="75" borderId="0" xfId="1853" applyNumberFormat="1" applyFont="1" applyFill="1" applyAlignment="1">
      <alignment horizontal="center" vertical="center" wrapText="1"/>
    </xf>
    <xf numFmtId="164" fontId="144" fillId="36" borderId="0" xfId="1853" applyFont="1" applyFill="1" applyAlignment="1">
      <alignment horizontal="center" vertical="center" wrapText="1"/>
    </xf>
    <xf numFmtId="164" fontId="154" fillId="36" borderId="0" xfId="1853" applyFont="1" applyFill="1" applyAlignment="1">
      <alignment horizontal="center" vertical="center" wrapText="1"/>
    </xf>
    <xf numFmtId="179" fontId="154" fillId="0" borderId="0" xfId="1352" applyNumberFormat="1" applyFont="1" applyAlignment="1">
      <alignment horizontal="center" vertical="center"/>
    </xf>
    <xf numFmtId="164" fontId="144" fillId="73" borderId="0" xfId="1853" applyFont="1" applyFill="1" applyAlignment="1">
      <alignment horizontal="center" vertical="center" wrapText="1"/>
    </xf>
    <xf numFmtId="164" fontId="154" fillId="73" borderId="0" xfId="1853" applyFont="1" applyFill="1" applyAlignment="1">
      <alignment horizontal="center" vertical="center" wrapText="1"/>
    </xf>
    <xf numFmtId="179" fontId="154" fillId="73" borderId="0" xfId="1352" applyNumberFormat="1" applyFont="1" applyFill="1" applyAlignment="1">
      <alignment horizontal="center" vertical="center" wrapText="1"/>
    </xf>
    <xf numFmtId="164" fontId="179" fillId="71" borderId="26" xfId="1853" applyFont="1" applyFill="1" applyBorder="1" applyAlignment="1">
      <alignment horizontal="left" vertical="center" wrapText="1"/>
    </xf>
    <xf numFmtId="9" fontId="179" fillId="71" borderId="26" xfId="1352" applyFont="1" applyFill="1" applyBorder="1" applyAlignment="1">
      <alignment horizontal="center" vertical="center" wrapText="1"/>
    </xf>
    <xf numFmtId="0" fontId="179" fillId="71" borderId="0" xfId="0" applyFont="1" applyFill="1" applyAlignment="1">
      <alignment horizontal="center" vertical="center" wrapText="1"/>
    </xf>
    <xf numFmtId="4" fontId="156" fillId="36" borderId="0" xfId="5530" applyNumberFormat="1" applyFont="1" applyFill="1" applyAlignment="1">
      <alignment horizontal="center" vertical="center" wrapText="1"/>
    </xf>
    <xf numFmtId="9" fontId="60" fillId="0" borderId="0" xfId="1352" applyFont="1" applyAlignment="1">
      <alignment vertical="center"/>
    </xf>
    <xf numFmtId="9" fontId="179" fillId="74" borderId="0" xfId="1352" applyFont="1" applyFill="1" applyAlignment="1">
      <alignment horizontal="center" vertical="center" wrapText="1"/>
    </xf>
    <xf numFmtId="9" fontId="144" fillId="72" borderId="0" xfId="1352" applyFont="1" applyFill="1" applyAlignment="1">
      <alignment horizontal="center" vertical="center" wrapText="1"/>
    </xf>
    <xf numFmtId="9" fontId="180" fillId="0" borderId="0" xfId="1352" applyFont="1" applyAlignment="1">
      <alignment horizontal="center" vertical="center" wrapText="1"/>
    </xf>
    <xf numFmtId="9" fontId="179" fillId="74" borderId="27" xfId="1352" applyFont="1" applyFill="1" applyBorder="1" applyAlignment="1">
      <alignment horizontal="center" vertical="center" wrapText="1"/>
    </xf>
    <xf numFmtId="0" fontId="178" fillId="71" borderId="0" xfId="0" applyFont="1" applyFill="1" applyAlignment="1">
      <alignment horizontal="left" vertical="center" wrapText="1"/>
    </xf>
    <xf numFmtId="173" fontId="178" fillId="71" borderId="0" xfId="1853" applyNumberFormat="1" applyFont="1" applyFill="1" applyAlignment="1">
      <alignment horizontal="center" vertical="center" wrapText="1"/>
    </xf>
    <xf numFmtId="9" fontId="178" fillId="71" borderId="0" xfId="1352" applyFont="1" applyFill="1" applyAlignment="1">
      <alignment horizontal="center" vertical="center" wrapText="1"/>
    </xf>
    <xf numFmtId="164" fontId="178" fillId="71" borderId="0" xfId="0" applyNumberFormat="1" applyFont="1" applyFill="1" applyAlignment="1">
      <alignment horizontal="center" vertical="center" wrapText="1"/>
    </xf>
    <xf numFmtId="0" fontId="138" fillId="71" borderId="0" xfId="0" applyFont="1" applyFill="1" applyAlignment="1">
      <alignment horizontal="left" vertical="center" wrapText="1"/>
    </xf>
    <xf numFmtId="173" fontId="178" fillId="71" borderId="0" xfId="0" applyNumberFormat="1" applyFont="1" applyFill="1" applyAlignment="1">
      <alignment horizontal="center" vertical="center" wrapText="1"/>
    </xf>
    <xf numFmtId="0" fontId="148" fillId="71" borderId="0" xfId="5539" applyFont="1" applyFill="1" applyAlignment="1">
      <alignment horizontal="left" vertical="center" wrapText="1"/>
    </xf>
    <xf numFmtId="173" fontId="148" fillId="71" borderId="0" xfId="5540" applyNumberFormat="1" applyFont="1" applyFill="1" applyAlignment="1">
      <alignment horizontal="center" vertical="center" wrapText="1"/>
    </xf>
    <xf numFmtId="0" fontId="3" fillId="0" borderId="0" xfId="5539"/>
    <xf numFmtId="0" fontId="148" fillId="74" borderId="0" xfId="5539" applyFont="1" applyFill="1" applyAlignment="1">
      <alignment horizontal="left" vertical="center" wrapText="1"/>
    </xf>
    <xf numFmtId="173" fontId="148" fillId="74" borderId="0" xfId="5540" applyNumberFormat="1" applyFont="1" applyFill="1" applyAlignment="1">
      <alignment horizontal="center" vertical="center" wrapText="1"/>
    </xf>
    <xf numFmtId="0" fontId="150" fillId="36" borderId="0" xfId="5539" applyFont="1" applyFill="1" applyAlignment="1">
      <alignment horizontal="left" vertical="center" wrapText="1"/>
    </xf>
    <xf numFmtId="173" fontId="149" fillId="36" borderId="0" xfId="5540" applyNumberFormat="1" applyFont="1" applyFill="1" applyAlignment="1">
      <alignment horizontal="center" vertical="center" wrapText="1"/>
    </xf>
    <xf numFmtId="0" fontId="149" fillId="73" borderId="0" xfId="5539" applyFont="1" applyFill="1" applyAlignment="1">
      <alignment horizontal="left" vertical="center" wrapText="1"/>
    </xf>
    <xf numFmtId="173" fontId="149" fillId="72" borderId="0" xfId="5540" applyNumberFormat="1" applyFont="1" applyFill="1" applyAlignment="1">
      <alignment horizontal="center" vertical="center" wrapText="1"/>
    </xf>
    <xf numFmtId="173" fontId="3" fillId="0" borderId="0" xfId="5539" applyNumberFormat="1"/>
    <xf numFmtId="0" fontId="179" fillId="71" borderId="26" xfId="5530" applyFont="1" applyFill="1" applyBorder="1" applyAlignment="1">
      <alignment horizontal="left" vertical="center" wrapText="1" indent="1"/>
    </xf>
    <xf numFmtId="0" fontId="182" fillId="0" borderId="0" xfId="5530" applyFont="1"/>
    <xf numFmtId="0" fontId="144" fillId="73" borderId="0" xfId="5530" applyFont="1" applyFill="1" applyAlignment="1">
      <alignment horizontal="left" vertical="center" wrapText="1" indent="1"/>
    </xf>
    <xf numFmtId="4" fontId="144" fillId="73" borderId="0" xfId="5530" applyNumberFormat="1" applyFont="1" applyFill="1" applyAlignment="1">
      <alignment horizontal="center" vertical="center" wrapText="1"/>
    </xf>
    <xf numFmtId="179" fontId="144" fillId="73" borderId="0" xfId="5530" applyNumberFormat="1" applyFont="1" applyFill="1" applyAlignment="1">
      <alignment horizontal="center" vertical="center" wrapText="1"/>
    </xf>
    <xf numFmtId="0" fontId="144" fillId="0" borderId="0" xfId="5530" applyFont="1" applyAlignment="1">
      <alignment horizontal="left" vertical="center" wrapText="1" indent="1"/>
    </xf>
    <xf numFmtId="4" fontId="144" fillId="36" borderId="0" xfId="5530" applyNumberFormat="1" applyFont="1" applyFill="1" applyAlignment="1">
      <alignment horizontal="center" vertical="center" wrapText="1"/>
    </xf>
    <xf numFmtId="179" fontId="144" fillId="36" borderId="0" xfId="5530" applyNumberFormat="1" applyFont="1" applyFill="1" applyAlignment="1">
      <alignment horizontal="center" vertical="center" wrapText="1"/>
    </xf>
    <xf numFmtId="0" fontId="179" fillId="71" borderId="0" xfId="5530" applyFont="1" applyFill="1" applyAlignment="1">
      <alignment horizontal="center" vertical="center" wrapText="1"/>
    </xf>
    <xf numFmtId="4" fontId="146" fillId="71" borderId="0" xfId="5530" applyNumberFormat="1" applyFont="1" applyFill="1" applyAlignment="1">
      <alignment horizontal="center" vertical="center" wrapText="1"/>
    </xf>
    <xf numFmtId="9" fontId="146" fillId="71" borderId="0" xfId="5530" applyNumberFormat="1" applyFont="1" applyFill="1" applyAlignment="1">
      <alignment horizontal="center" vertical="center" wrapText="1"/>
    </xf>
    <xf numFmtId="0" fontId="182" fillId="0" borderId="0" xfId="5530" applyFont="1" applyAlignment="1">
      <alignment wrapText="1"/>
    </xf>
    <xf numFmtId="4" fontId="182" fillId="0" borderId="0" xfId="5530" applyNumberFormat="1" applyFont="1"/>
    <xf numFmtId="179" fontId="146" fillId="71" borderId="0" xfId="5530" applyNumberFormat="1" applyFont="1" applyFill="1" applyAlignment="1">
      <alignment horizontal="center" vertical="center" wrapText="1"/>
    </xf>
    <xf numFmtId="173" fontId="3" fillId="0" borderId="0" xfId="1853" applyNumberFormat="1" applyFont="1"/>
    <xf numFmtId="0" fontId="185" fillId="75" borderId="0" xfId="0" applyFont="1" applyFill="1" applyAlignment="1">
      <alignment horizontal="left" vertical="center" wrapText="1"/>
    </xf>
    <xf numFmtId="173" fontId="185" fillId="75" borderId="0" xfId="1853" applyNumberFormat="1" applyFont="1" applyFill="1" applyAlignment="1">
      <alignment horizontal="center" vertical="center" wrapText="1"/>
    </xf>
    <xf numFmtId="0" fontId="180" fillId="36" borderId="0" xfId="0" applyFont="1" applyFill="1" applyAlignment="1">
      <alignment horizontal="left" vertical="center" wrapText="1"/>
    </xf>
    <xf numFmtId="0" fontId="144" fillId="73" borderId="0" xfId="0" applyFont="1" applyFill="1" applyAlignment="1">
      <alignment horizontal="left" vertical="center" wrapText="1"/>
    </xf>
    <xf numFmtId="0" fontId="144" fillId="36" borderId="0" xfId="0" applyFont="1" applyFill="1" applyAlignment="1">
      <alignment horizontal="left" vertical="center" wrapText="1"/>
    </xf>
    <xf numFmtId="173" fontId="144" fillId="0" borderId="0" xfId="1853" applyNumberFormat="1" applyFont="1" applyAlignment="1">
      <alignment horizontal="center" vertical="center" wrapText="1"/>
    </xf>
    <xf numFmtId="173" fontId="147" fillId="75" borderId="0" xfId="1853" applyNumberFormat="1" applyFont="1" applyFill="1" applyAlignment="1">
      <alignment horizontal="center" vertical="center" wrapText="1"/>
    </xf>
    <xf numFmtId="164" fontId="144" fillId="0" borderId="0" xfId="1853" applyFont="1" applyAlignment="1">
      <alignment horizontal="center" vertical="center" wrapText="1"/>
    </xf>
    <xf numFmtId="0" fontId="146" fillId="71" borderId="0" xfId="0" applyFont="1" applyFill="1" applyAlignment="1">
      <alignment horizontal="center" vertical="center" wrapText="1"/>
    </xf>
    <xf numFmtId="0" fontId="144" fillId="0" borderId="0" xfId="0" applyFont="1" applyAlignment="1">
      <alignment vertical="center" wrapText="1"/>
    </xf>
    <xf numFmtId="0" fontId="144" fillId="73" borderId="0" xfId="0" applyFont="1" applyFill="1" applyAlignment="1">
      <alignment vertical="center" wrapText="1"/>
    </xf>
    <xf numFmtId="0" fontId="146" fillId="71" borderId="0" xfId="0" applyFont="1" applyFill="1" applyAlignment="1">
      <alignment vertical="center" wrapText="1"/>
    </xf>
    <xf numFmtId="164" fontId="144" fillId="73" borderId="0" xfId="0" applyNumberFormat="1" applyFont="1" applyFill="1" applyAlignment="1">
      <alignment horizontal="center" vertical="center" wrapText="1"/>
    </xf>
    <xf numFmtId="0" fontId="146" fillId="63" borderId="38" xfId="0" applyFont="1" applyFill="1" applyBorder="1" applyAlignment="1">
      <alignment horizontal="center" vertical="center" wrapText="1"/>
    </xf>
    <xf numFmtId="0" fontId="146" fillId="63" borderId="39" xfId="0" applyFont="1" applyFill="1" applyBorder="1" applyAlignment="1">
      <alignment horizontal="center" vertical="center" wrapText="1"/>
    </xf>
    <xf numFmtId="0" fontId="167" fillId="73" borderId="40" xfId="0" applyFont="1" applyFill="1" applyBorder="1" applyAlignment="1">
      <alignment vertical="center"/>
    </xf>
    <xf numFmtId="0" fontId="187" fillId="73" borderId="41" xfId="0" applyFont="1" applyFill="1" applyBorder="1" applyAlignment="1">
      <alignment vertical="center"/>
    </xf>
    <xf numFmtId="0" fontId="187" fillId="73" borderId="42" xfId="0" applyFont="1" applyFill="1" applyBorder="1" applyAlignment="1">
      <alignment horizontal="center" vertical="center"/>
    </xf>
    <xf numFmtId="0" fontId="167" fillId="0" borderId="40" xfId="0" applyFont="1" applyBorder="1" applyAlignment="1">
      <alignment vertical="center"/>
    </xf>
    <xf numFmtId="0" fontId="187" fillId="0" borderId="41" xfId="0" applyFont="1" applyBorder="1" applyAlignment="1">
      <alignment vertical="center"/>
    </xf>
    <xf numFmtId="0" fontId="187" fillId="0" borderId="42" xfId="0" applyFont="1" applyBorder="1" applyAlignment="1">
      <alignment horizontal="center" vertical="center"/>
    </xf>
    <xf numFmtId="0" fontId="167" fillId="76" borderId="43" xfId="0" applyFont="1" applyFill="1" applyBorder="1" applyAlignment="1">
      <alignment horizontal="center" vertical="center"/>
    </xf>
    <xf numFmtId="0" fontId="146" fillId="71" borderId="44" xfId="0" applyFont="1" applyFill="1" applyBorder="1" applyAlignment="1">
      <alignment horizontal="center" vertical="center"/>
    </xf>
    <xf numFmtId="0" fontId="189" fillId="0" borderId="0" xfId="0" applyFont="1" applyAlignment="1">
      <alignment vertical="center"/>
    </xf>
    <xf numFmtId="10" fontId="187" fillId="73" borderId="42" xfId="1352" applyNumberFormat="1" applyFont="1" applyFill="1" applyBorder="1" applyAlignment="1">
      <alignment horizontal="center" vertical="center"/>
    </xf>
    <xf numFmtId="185" fontId="167" fillId="73" borderId="31" xfId="0" applyNumberFormat="1" applyFont="1" applyFill="1" applyBorder="1" applyAlignment="1">
      <alignment horizontal="center" vertical="center"/>
    </xf>
    <xf numFmtId="181" fontId="167" fillId="0" borderId="31" xfId="0" applyNumberFormat="1" applyFont="1" applyBorder="1" applyAlignment="1">
      <alignment horizontal="center" vertical="center"/>
    </xf>
    <xf numFmtId="10" fontId="187" fillId="0" borderId="42" xfId="1352" applyNumberFormat="1" applyFont="1" applyBorder="1" applyAlignment="1">
      <alignment horizontal="center" vertical="center"/>
    </xf>
    <xf numFmtId="181" fontId="167" fillId="73" borderId="31" xfId="0" applyNumberFormat="1" applyFont="1" applyFill="1" applyBorder="1" applyAlignment="1">
      <alignment horizontal="center" vertical="center"/>
    </xf>
    <xf numFmtId="10" fontId="146" fillId="71" borderId="43" xfId="0" applyNumberFormat="1" applyFont="1" applyFill="1" applyBorder="1" applyAlignment="1">
      <alignment horizontal="center" vertical="center"/>
    </xf>
    <xf numFmtId="179" fontId="167" fillId="73" borderId="31" xfId="1352" applyNumberFormat="1" applyFont="1" applyFill="1" applyBorder="1" applyAlignment="1">
      <alignment horizontal="center" vertical="center"/>
    </xf>
    <xf numFmtId="179" fontId="167" fillId="0" borderId="31" xfId="1352" applyNumberFormat="1" applyFont="1" applyBorder="1" applyAlignment="1">
      <alignment horizontal="center" vertical="center"/>
    </xf>
    <xf numFmtId="0" fontId="146" fillId="63" borderId="47" xfId="0" applyFont="1" applyFill="1" applyBorder="1" applyAlignment="1">
      <alignment horizontal="justify" vertical="center" wrapText="1"/>
    </xf>
    <xf numFmtId="0" fontId="167" fillId="78" borderId="0" xfId="0" applyFont="1" applyFill="1" applyAlignment="1">
      <alignment horizontal="justify" vertical="center" wrapText="1"/>
    </xf>
    <xf numFmtId="0" fontId="167" fillId="78" borderId="0" xfId="0" applyFont="1" applyFill="1" applyAlignment="1">
      <alignment vertical="center" wrapText="1"/>
    </xf>
    <xf numFmtId="0" fontId="167" fillId="0" borderId="0" xfId="0" applyFont="1" applyAlignment="1">
      <alignment horizontal="justify" vertical="center" wrapText="1"/>
    </xf>
    <xf numFmtId="0" fontId="167" fillId="0" borderId="0" xfId="0" applyFont="1" applyAlignment="1">
      <alignment vertical="center" wrapText="1"/>
    </xf>
    <xf numFmtId="0" fontId="146" fillId="63" borderId="47" xfId="0" applyFont="1" applyFill="1" applyBorder="1" applyAlignment="1">
      <alignment vertical="center" wrapText="1"/>
    </xf>
    <xf numFmtId="0" fontId="167" fillId="78" borderId="0" xfId="0" applyFont="1" applyFill="1" applyAlignment="1">
      <alignment horizontal="center" vertical="center" wrapText="1"/>
    </xf>
    <xf numFmtId="0" fontId="146" fillId="63" borderId="47" xfId="0" applyFont="1" applyFill="1" applyBorder="1" applyAlignment="1">
      <alignment horizontal="center" vertical="center" wrapText="1"/>
    </xf>
    <xf numFmtId="0" fontId="167" fillId="0" borderId="0" xfId="0" applyFont="1" applyAlignment="1">
      <alignment horizontal="center" vertical="center" wrapText="1"/>
    </xf>
    <xf numFmtId="0" fontId="0" fillId="0" borderId="0" xfId="0" applyAlignment="1">
      <alignment horizontal="center"/>
    </xf>
    <xf numFmtId="164" fontId="167" fillId="0" borderId="0" xfId="1853" applyFont="1" applyAlignment="1">
      <alignment horizontal="justify" vertical="center" wrapText="1"/>
    </xf>
    <xf numFmtId="164" fontId="167" fillId="78" borderId="0" xfId="1853" applyFont="1" applyFill="1" applyAlignment="1">
      <alignment horizontal="justify" vertical="center" wrapText="1"/>
    </xf>
    <xf numFmtId="164" fontId="167" fillId="78" borderId="0" xfId="1853" applyFont="1" applyFill="1" applyAlignment="1">
      <alignment vertical="center" wrapText="1"/>
    </xf>
    <xf numFmtId="164" fontId="163" fillId="78" borderId="0" xfId="0" applyNumberFormat="1" applyFont="1" applyFill="1" applyAlignment="1">
      <alignment horizontal="justify" vertical="center" wrapText="1"/>
    </xf>
    <xf numFmtId="164" fontId="163" fillId="0" borderId="0" xfId="0" applyNumberFormat="1" applyFont="1" applyAlignment="1">
      <alignment horizontal="justify" vertical="center" wrapText="1"/>
    </xf>
    <xf numFmtId="0" fontId="193" fillId="0" borderId="0" xfId="0" applyFont="1"/>
    <xf numFmtId="0" fontId="193" fillId="0" borderId="0" xfId="0" applyFont="1" applyAlignment="1">
      <alignment horizontal="center"/>
    </xf>
    <xf numFmtId="0" fontId="146" fillId="63" borderId="47" xfId="0" applyFont="1" applyFill="1" applyBorder="1" applyAlignment="1">
      <alignment horizontal="left" vertical="center" wrapText="1"/>
    </xf>
    <xf numFmtId="164" fontId="0" fillId="0" borderId="0" xfId="0" applyNumberFormat="1"/>
    <xf numFmtId="164" fontId="149" fillId="36" borderId="0" xfId="5540" applyNumberFormat="1" applyFont="1" applyFill="1" applyAlignment="1">
      <alignment horizontal="center" vertical="center" wrapText="1"/>
    </xf>
    <xf numFmtId="164" fontId="149" fillId="72" borderId="0" xfId="5540" applyNumberFormat="1" applyFont="1" applyFill="1" applyAlignment="1">
      <alignment horizontal="center" vertical="center" wrapText="1"/>
    </xf>
    <xf numFmtId="9" fontId="149" fillId="36" borderId="0" xfId="1352" applyFont="1" applyFill="1" applyAlignment="1">
      <alignment horizontal="center" vertical="center" wrapText="1"/>
    </xf>
    <xf numFmtId="9" fontId="149" fillId="72" borderId="0" xfId="1352" applyFont="1" applyFill="1" applyAlignment="1">
      <alignment horizontal="center" vertical="center" wrapText="1"/>
    </xf>
    <xf numFmtId="9" fontId="148" fillId="71" borderId="0" xfId="1352" applyFont="1" applyFill="1" applyAlignment="1">
      <alignment horizontal="center" vertical="center" wrapText="1"/>
    </xf>
    <xf numFmtId="0" fontId="179" fillId="71" borderId="26" xfId="0" applyFont="1" applyFill="1" applyBorder="1" applyAlignment="1">
      <alignment horizontal="left" vertical="center" wrapText="1" indent="1"/>
    </xf>
    <xf numFmtId="0" fontId="144" fillId="73" borderId="0" xfId="0" applyFont="1" applyFill="1" applyAlignment="1">
      <alignment horizontal="left" vertical="center" wrapText="1" indent="1"/>
    </xf>
    <xf numFmtId="4" fontId="144" fillId="73" borderId="0" xfId="0" applyNumberFormat="1" applyFont="1" applyFill="1" applyAlignment="1">
      <alignment horizontal="center" vertical="center" wrapText="1"/>
    </xf>
    <xf numFmtId="10" fontId="144" fillId="73" borderId="0" xfId="0" applyNumberFormat="1" applyFont="1" applyFill="1" applyAlignment="1">
      <alignment horizontal="center" vertical="center" wrapText="1"/>
    </xf>
    <xf numFmtId="0" fontId="144" fillId="0" borderId="0" xfId="0" applyFont="1" applyAlignment="1">
      <alignment horizontal="left" vertical="center" wrapText="1" indent="1"/>
    </xf>
    <xf numFmtId="4" fontId="146" fillId="71" borderId="0" xfId="0" applyNumberFormat="1" applyFont="1" applyFill="1" applyAlignment="1">
      <alignment horizontal="center" vertical="center" wrapText="1"/>
    </xf>
    <xf numFmtId="9" fontId="146" fillId="71" borderId="0" xfId="0" applyNumberFormat="1" applyFont="1" applyFill="1" applyAlignment="1">
      <alignment horizontal="center" vertical="center" wrapText="1"/>
    </xf>
    <xf numFmtId="9" fontId="0" fillId="0" borderId="0" xfId="1352" applyFont="1" applyAlignment="1">
      <alignment horizontal="center"/>
    </xf>
    <xf numFmtId="4" fontId="144" fillId="36" borderId="0" xfId="0" applyNumberFormat="1" applyFont="1" applyFill="1" applyAlignment="1">
      <alignment horizontal="center" vertical="center" wrapText="1"/>
    </xf>
    <xf numFmtId="10" fontId="144" fillId="36" borderId="0" xfId="0" applyNumberFormat="1" applyFont="1" applyFill="1" applyAlignment="1">
      <alignment horizontal="center" vertical="center" wrapText="1"/>
    </xf>
    <xf numFmtId="0" fontId="149" fillId="36" borderId="0" xfId="5539" applyFont="1" applyFill="1" applyAlignment="1">
      <alignment horizontal="left" vertical="center" wrapText="1"/>
    </xf>
    <xf numFmtId="10" fontId="148" fillId="71" borderId="0" xfId="1352" applyNumberFormat="1" applyFont="1" applyFill="1" applyAlignment="1">
      <alignment horizontal="center" vertical="center" wrapText="1"/>
    </xf>
    <xf numFmtId="164" fontId="167" fillId="0" borderId="0" xfId="1853" applyFont="1" applyFill="1" applyAlignment="1">
      <alignment vertical="center" wrapText="1"/>
    </xf>
    <xf numFmtId="164" fontId="167" fillId="0" borderId="0" xfId="1853" applyFont="1" applyFill="1" applyAlignment="1">
      <alignment horizontal="justify" vertical="center" wrapText="1"/>
    </xf>
    <xf numFmtId="164" fontId="148" fillId="71" borderId="0" xfId="5540" applyNumberFormat="1" applyFont="1" applyFill="1" applyAlignment="1">
      <alignment horizontal="center" vertical="center" wrapText="1"/>
    </xf>
    <xf numFmtId="0" fontId="148" fillId="71" borderId="0" xfId="0" applyFont="1" applyFill="1" applyAlignment="1">
      <alignment horizontal="center" vertical="center" wrapText="1"/>
    </xf>
    <xf numFmtId="0" fontId="195" fillId="0" borderId="0" xfId="0" applyFont="1" applyAlignment="1">
      <alignment vertical="center"/>
    </xf>
    <xf numFmtId="0" fontId="196" fillId="0" borderId="0" xfId="0" applyFont="1"/>
    <xf numFmtId="0" fontId="2" fillId="0" borderId="0" xfId="5541"/>
    <xf numFmtId="0" fontId="2" fillId="0" borderId="0" xfId="5541" applyAlignment="1">
      <alignment wrapText="1"/>
    </xf>
    <xf numFmtId="0" fontId="151" fillId="63" borderId="28" xfId="5541" applyFont="1" applyFill="1" applyBorder="1" applyAlignment="1">
      <alignment horizontal="center" vertical="center" wrapText="1"/>
    </xf>
    <xf numFmtId="0" fontId="170" fillId="76" borderId="0" xfId="5541" applyFont="1" applyFill="1" applyAlignment="1">
      <alignment horizontal="left" vertical="center" wrapText="1"/>
    </xf>
    <xf numFmtId="43" fontId="170" fillId="76" borderId="0" xfId="5542" applyFont="1" applyFill="1" applyAlignment="1">
      <alignment horizontal="center" vertical="center" wrapText="1"/>
    </xf>
    <xf numFmtId="0" fontId="170" fillId="73" borderId="0" xfId="5541" applyFont="1" applyFill="1" applyAlignment="1">
      <alignment horizontal="left" vertical="center" wrapText="1"/>
    </xf>
    <xf numFmtId="43" fontId="170" fillId="73" borderId="0" xfId="5542" applyFont="1" applyFill="1" applyAlignment="1">
      <alignment horizontal="center" vertical="center" wrapText="1"/>
    </xf>
    <xf numFmtId="0" fontId="151" fillId="71" borderId="0" xfId="5541" applyFont="1" applyFill="1" applyAlignment="1">
      <alignment horizontal="left" vertical="center" wrapText="1"/>
    </xf>
    <xf numFmtId="43" fontId="171" fillId="71" borderId="0" xfId="5542" applyFont="1" applyFill="1" applyAlignment="1">
      <alignment horizontal="center" vertical="center" wrapText="1"/>
    </xf>
    <xf numFmtId="9" fontId="171" fillId="71" borderId="0" xfId="5543" applyFont="1" applyFill="1" applyAlignment="1">
      <alignment horizontal="center" vertical="center" wrapText="1"/>
    </xf>
    <xf numFmtId="0" fontId="2" fillId="0" borderId="0" xfId="5536" applyFont="1"/>
    <xf numFmtId="0" fontId="197" fillId="0" borderId="0" xfId="0" applyFont="1" applyAlignment="1">
      <alignment horizontal="left" vertical="top"/>
    </xf>
    <xf numFmtId="4" fontId="148" fillId="71" borderId="0" xfId="0" applyNumberFormat="1" applyFont="1" applyFill="1" applyAlignment="1">
      <alignment horizontal="center" vertical="center" wrapText="1"/>
    </xf>
    <xf numFmtId="0" fontId="197" fillId="0" borderId="0" xfId="0" applyFont="1" applyAlignment="1">
      <alignment horizontal="left" vertical="center"/>
    </xf>
    <xf numFmtId="0" fontId="162" fillId="0" borderId="0" xfId="5541" applyFont="1"/>
    <xf numFmtId="0" fontId="182" fillId="0" borderId="0" xfId="5541" applyFont="1"/>
    <xf numFmtId="0" fontId="146" fillId="71" borderId="26" xfId="5541" applyFont="1" applyFill="1" applyBorder="1" applyAlignment="1">
      <alignment horizontal="left" vertical="center"/>
    </xf>
    <xf numFmtId="0" fontId="146" fillId="71" borderId="26" xfId="5541" applyFont="1" applyFill="1" applyBorder="1" applyAlignment="1">
      <alignment horizontal="center" vertical="center" wrapText="1"/>
    </xf>
    <xf numFmtId="0" fontId="182" fillId="0" borderId="0" xfId="5541" applyFont="1" applyAlignment="1">
      <alignment horizontal="left"/>
    </xf>
    <xf numFmtId="0" fontId="144" fillId="0" borderId="0" xfId="5541" applyFont="1" applyAlignment="1">
      <alignment horizontal="left" vertical="center" wrapText="1"/>
    </xf>
    <xf numFmtId="0" fontId="144" fillId="73" borderId="0" xfId="5541" applyFont="1" applyFill="1" applyAlignment="1">
      <alignment horizontal="left" vertical="center" wrapText="1"/>
    </xf>
    <xf numFmtId="0" fontId="144" fillId="73" borderId="0" xfId="5541" applyFont="1" applyFill="1" applyAlignment="1">
      <alignment horizontal="center" vertical="center" wrapText="1"/>
    </xf>
    <xf numFmtId="0" fontId="146" fillId="71" borderId="0" xfId="5544" applyFont="1" applyFill="1" applyAlignment="1">
      <alignment horizontal="left" vertical="center" wrapText="1"/>
    </xf>
    <xf numFmtId="43" fontId="186" fillId="71" borderId="0" xfId="5545" applyFont="1" applyFill="1" applyAlignment="1">
      <alignment horizontal="center" vertical="center" wrapText="1"/>
    </xf>
    <xf numFmtId="0" fontId="0" fillId="0" borderId="0" xfId="0" applyAlignment="1">
      <alignment vertical="center"/>
    </xf>
    <xf numFmtId="164" fontId="182" fillId="0" borderId="0" xfId="5541" applyNumberFormat="1" applyFont="1"/>
    <xf numFmtId="10" fontId="144" fillId="0" borderId="0" xfId="0" applyNumberFormat="1" applyFont="1" applyAlignment="1">
      <alignment horizontal="center" vertical="center" wrapText="1"/>
    </xf>
    <xf numFmtId="0" fontId="177" fillId="76" borderId="0" xfId="0" applyFont="1" applyFill="1" applyAlignment="1">
      <alignment vertical="center"/>
    </xf>
    <xf numFmtId="0" fontId="144" fillId="76" borderId="0" xfId="0" applyFont="1" applyFill="1" applyAlignment="1">
      <alignment horizontal="center" vertical="center" wrapText="1"/>
    </xf>
    <xf numFmtId="0" fontId="169" fillId="0" borderId="0" xfId="0" applyFont="1" applyAlignment="1">
      <alignment horizontal="center" vertical="center"/>
    </xf>
    <xf numFmtId="0" fontId="169" fillId="0" borderId="0" xfId="0" applyFont="1" applyAlignment="1">
      <alignment horizontal="left" vertical="center"/>
    </xf>
    <xf numFmtId="0" fontId="169" fillId="0" borderId="0" xfId="0" applyFont="1"/>
    <xf numFmtId="0" fontId="146" fillId="71" borderId="32" xfId="0" applyFont="1" applyFill="1" applyBorder="1" applyAlignment="1">
      <alignment horizontal="center" vertical="center"/>
    </xf>
    <xf numFmtId="0" fontId="146" fillId="71" borderId="33" xfId="0" applyFont="1" applyFill="1" applyBorder="1" applyAlignment="1">
      <alignment vertical="center" wrapText="1"/>
    </xf>
    <xf numFmtId="0" fontId="146" fillId="71" borderId="33" xfId="0" applyFont="1" applyFill="1" applyBorder="1" applyAlignment="1">
      <alignment horizontal="center" vertical="center" textRotation="90"/>
    </xf>
    <xf numFmtId="0" fontId="167" fillId="78" borderId="34" xfId="0" applyFont="1" applyFill="1" applyBorder="1" applyAlignment="1">
      <alignment horizontal="center" vertical="center"/>
    </xf>
    <xf numFmtId="0" fontId="167" fillId="78" borderId="35" xfId="0" applyFont="1" applyFill="1" applyBorder="1" applyAlignment="1">
      <alignment vertical="center" wrapText="1"/>
    </xf>
    <xf numFmtId="0" fontId="198" fillId="78" borderId="35" xfId="0" applyFont="1" applyFill="1" applyBorder="1" applyAlignment="1">
      <alignment horizontal="center" vertical="center"/>
    </xf>
    <xf numFmtId="0" fontId="167" fillId="0" borderId="34" xfId="0" applyFont="1" applyBorder="1" applyAlignment="1">
      <alignment horizontal="center" vertical="center"/>
    </xf>
    <xf numFmtId="0" fontId="167" fillId="0" borderId="35" xfId="0" applyFont="1" applyBorder="1" applyAlignment="1">
      <alignment vertical="center" wrapText="1"/>
    </xf>
    <xf numFmtId="0" fontId="199" fillId="0" borderId="35" xfId="0" applyFont="1" applyBorder="1" applyAlignment="1">
      <alignment horizontal="center" vertical="center"/>
    </xf>
    <xf numFmtId="0" fontId="200" fillId="78" borderId="35" xfId="0" applyFont="1" applyFill="1" applyBorder="1" applyAlignment="1">
      <alignment horizontal="center" vertical="center"/>
    </xf>
    <xf numFmtId="0" fontId="200" fillId="0" borderId="35" xfId="0" applyFont="1" applyBorder="1" applyAlignment="1">
      <alignment horizontal="center" vertical="center"/>
    </xf>
    <xf numFmtId="0" fontId="176" fillId="78" borderId="35" xfId="0" applyFont="1" applyFill="1" applyBorder="1" applyAlignment="1">
      <alignment vertical="center"/>
    </xf>
    <xf numFmtId="0" fontId="144" fillId="76" borderId="0" xfId="0" applyFont="1" applyFill="1" applyAlignment="1">
      <alignment vertical="center" wrapText="1"/>
    </xf>
    <xf numFmtId="164" fontId="167" fillId="78" borderId="48" xfId="1853" applyFont="1" applyFill="1" applyBorder="1" applyAlignment="1">
      <alignment horizontal="center" vertical="center" wrapText="1"/>
    </xf>
    <xf numFmtId="164" fontId="167" fillId="78" borderId="0" xfId="1853" applyFont="1" applyFill="1" applyAlignment="1">
      <alignment horizontal="center" vertical="center" wrapText="1"/>
    </xf>
    <xf numFmtId="164" fontId="167" fillId="0" borderId="0" xfId="1853" applyFont="1" applyAlignment="1">
      <alignment horizontal="center" vertical="center" wrapText="1"/>
    </xf>
    <xf numFmtId="0" fontId="146" fillId="80" borderId="0" xfId="0" applyFont="1" applyFill="1" applyAlignment="1">
      <alignment vertical="center" wrapText="1"/>
    </xf>
    <xf numFmtId="173" fontId="128" fillId="75" borderId="0" xfId="1853" applyNumberFormat="1" applyFont="1" applyFill="1" applyAlignment="1">
      <alignment horizontal="center" vertical="center" wrapText="1"/>
    </xf>
    <xf numFmtId="179" fontId="154" fillId="36" borderId="0" xfId="1352" applyNumberFormat="1" applyFont="1" applyFill="1" applyAlignment="1">
      <alignment horizontal="center" vertical="center" wrapText="1"/>
    </xf>
    <xf numFmtId="0" fontId="0" fillId="0" borderId="0" xfId="0" applyAlignment="1">
      <alignment wrapText="1"/>
    </xf>
    <xf numFmtId="164" fontId="167" fillId="36" borderId="0" xfId="1853" applyFont="1" applyFill="1" applyAlignment="1">
      <alignment horizontal="justify" vertical="center" wrapText="1"/>
    </xf>
    <xf numFmtId="164" fontId="146" fillId="80" borderId="48" xfId="0" applyNumberFormat="1" applyFont="1" applyFill="1" applyBorder="1" applyAlignment="1">
      <alignment vertical="center" wrapText="1"/>
    </xf>
    <xf numFmtId="164" fontId="146" fillId="80" borderId="0" xfId="0" applyNumberFormat="1" applyFont="1" applyFill="1" applyAlignment="1">
      <alignment vertical="center" wrapText="1"/>
    </xf>
    <xf numFmtId="0" fontId="146" fillId="81" borderId="47" xfId="0" applyFont="1" applyFill="1" applyBorder="1" applyAlignment="1">
      <alignment horizontal="center" vertical="center" wrapText="1"/>
    </xf>
    <xf numFmtId="164" fontId="148" fillId="74" borderId="0" xfId="1853" applyFont="1" applyFill="1" applyAlignment="1">
      <alignment horizontal="left" vertical="center" wrapText="1"/>
    </xf>
    <xf numFmtId="164" fontId="148" fillId="74" borderId="0" xfId="1853" applyFont="1" applyFill="1" applyAlignment="1">
      <alignment horizontal="center" vertical="center" wrapText="1"/>
    </xf>
    <xf numFmtId="164" fontId="193" fillId="0" borderId="0" xfId="0" applyNumberFormat="1" applyFont="1"/>
    <xf numFmtId="164" fontId="0" fillId="28" borderId="0" xfId="0" applyNumberFormat="1" applyFill="1"/>
    <xf numFmtId="10" fontId="148" fillId="74" borderId="0" xfId="1352" applyNumberFormat="1" applyFont="1" applyFill="1" applyAlignment="1">
      <alignment horizontal="center" vertical="center" wrapText="1"/>
    </xf>
    <xf numFmtId="10" fontId="163" fillId="0" borderId="0" xfId="1352" applyNumberFormat="1" applyFont="1" applyAlignment="1">
      <alignment horizontal="center" vertical="center" wrapText="1"/>
    </xf>
    <xf numFmtId="9" fontId="148" fillId="74" borderId="0" xfId="1352" applyFont="1" applyFill="1" applyAlignment="1">
      <alignment horizontal="center" vertical="center" wrapText="1"/>
    </xf>
    <xf numFmtId="9" fontId="163" fillId="0" borderId="0" xfId="1352" applyFont="1" applyAlignment="1">
      <alignment horizontal="center" vertical="center" wrapText="1"/>
    </xf>
    <xf numFmtId="9" fontId="163" fillId="78" borderId="0" xfId="1352" applyFont="1" applyFill="1" applyAlignment="1">
      <alignment horizontal="center" vertical="center" wrapText="1"/>
    </xf>
    <xf numFmtId="0" fontId="148" fillId="36" borderId="0" xfId="5539" applyFont="1" applyFill="1" applyAlignment="1">
      <alignment horizontal="left" vertical="center" wrapText="1"/>
    </xf>
    <xf numFmtId="173" fontId="148" fillId="36" borderId="0" xfId="5540" applyNumberFormat="1" applyFont="1" applyFill="1" applyAlignment="1">
      <alignment horizontal="center" vertical="center" wrapText="1"/>
    </xf>
    <xf numFmtId="164" fontId="148" fillId="36" borderId="0" xfId="5540" applyNumberFormat="1" applyFont="1" applyFill="1" applyAlignment="1">
      <alignment horizontal="center" vertical="center" wrapText="1"/>
    </xf>
    <xf numFmtId="10" fontId="148" fillId="36" borderId="0" xfId="1352" applyNumberFormat="1" applyFont="1" applyFill="1" applyAlignment="1">
      <alignment horizontal="center" vertical="center" wrapText="1"/>
    </xf>
    <xf numFmtId="164" fontId="163" fillId="78" borderId="0" xfId="1853" applyFont="1" applyFill="1" applyAlignment="1">
      <alignment horizontal="justify" vertical="center" wrapText="1"/>
    </xf>
    <xf numFmtId="164" fontId="163" fillId="0" borderId="0" xfId="1853" applyFont="1" applyAlignment="1">
      <alignment horizontal="justify" vertical="center" wrapText="1"/>
    </xf>
    <xf numFmtId="0" fontId="179" fillId="71" borderId="26" xfId="0" applyFont="1" applyFill="1" applyBorder="1" applyAlignment="1">
      <alignment vertical="center" wrapText="1"/>
    </xf>
    <xf numFmtId="164" fontId="144" fillId="72" borderId="0" xfId="1853" applyFont="1" applyFill="1" applyAlignment="1">
      <alignment horizontal="left" vertical="center" wrapText="1"/>
    </xf>
    <xf numFmtId="0" fontId="182" fillId="72" borderId="0" xfId="5530" applyFont="1" applyFill="1" applyAlignment="1">
      <alignment horizontal="center" vertical="center"/>
    </xf>
    <xf numFmtId="0" fontId="145" fillId="72" borderId="0" xfId="5530" applyFont="1" applyFill="1" applyAlignment="1">
      <alignment horizontal="left" vertical="center" wrapText="1"/>
    </xf>
    <xf numFmtId="164" fontId="145" fillId="72" borderId="0" xfId="1853" applyFont="1" applyFill="1" applyAlignment="1">
      <alignment horizontal="left" vertical="center" wrapText="1"/>
    </xf>
    <xf numFmtId="164" fontId="145" fillId="72" borderId="0" xfId="1853" applyFont="1" applyFill="1" applyAlignment="1">
      <alignment horizontal="center" vertical="center" wrapText="1"/>
    </xf>
    <xf numFmtId="0" fontId="182" fillId="36" borderId="0" xfId="5530" applyFont="1" applyFill="1" applyAlignment="1">
      <alignment horizontal="center" vertical="center"/>
    </xf>
    <xf numFmtId="0" fontId="144" fillId="36" borderId="0" xfId="5530" applyFont="1" applyFill="1" applyAlignment="1">
      <alignment horizontal="left" vertical="center" wrapText="1"/>
    </xf>
    <xf numFmtId="164" fontId="144" fillId="36" borderId="0" xfId="1853" applyFont="1" applyFill="1" applyAlignment="1">
      <alignment horizontal="left" vertical="center" wrapText="1"/>
    </xf>
    <xf numFmtId="0" fontId="145" fillId="36" borderId="0" xfId="5530" applyFont="1" applyFill="1" applyAlignment="1">
      <alignment horizontal="left" vertical="center" wrapText="1"/>
    </xf>
    <xf numFmtId="164" fontId="145" fillId="36" borderId="0" xfId="1853" applyFont="1" applyFill="1" applyAlignment="1">
      <alignment horizontal="left" vertical="center" wrapText="1"/>
    </xf>
    <xf numFmtId="164" fontId="145" fillId="36" borderId="0" xfId="1853" applyFont="1" applyFill="1" applyAlignment="1">
      <alignment horizontal="center" vertical="center" wrapText="1"/>
    </xf>
    <xf numFmtId="0" fontId="152" fillId="0" borderId="0" xfId="5530" applyFont="1" applyAlignment="1">
      <alignment vertical="center" wrapText="1"/>
    </xf>
    <xf numFmtId="0" fontId="152" fillId="0" borderId="0" xfId="5530" applyFont="1" applyAlignment="1">
      <alignment vertical="center"/>
    </xf>
    <xf numFmtId="10" fontId="152" fillId="0" borderId="0" xfId="1352" applyNumberFormat="1" applyFont="1" applyAlignment="1">
      <alignment vertical="center" wrapText="1"/>
    </xf>
    <xf numFmtId="10" fontId="152" fillId="0" borderId="0" xfId="1352" applyNumberFormat="1" applyFont="1" applyAlignment="1">
      <alignment vertical="center"/>
    </xf>
    <xf numFmtId="10" fontId="152" fillId="0" borderId="0" xfId="5530" applyNumberFormat="1" applyFont="1" applyAlignment="1">
      <alignment vertical="center"/>
    </xf>
    <xf numFmtId="0" fontId="146" fillId="71" borderId="30" xfId="0" applyFont="1" applyFill="1" applyBorder="1" applyAlignment="1">
      <alignment horizontal="right" vertical="center" wrapText="1"/>
    </xf>
    <xf numFmtId="0" fontId="144" fillId="73" borderId="0" xfId="0" applyFont="1" applyFill="1" applyAlignment="1">
      <alignment horizontal="right" vertical="center" wrapText="1"/>
    </xf>
    <xf numFmtId="2" fontId="144" fillId="73" borderId="0" xfId="0" applyNumberFormat="1" applyFont="1" applyFill="1" applyAlignment="1">
      <alignment horizontal="right" vertical="center" wrapText="1"/>
    </xf>
    <xf numFmtId="10" fontId="182" fillId="0" borderId="0" xfId="1352" applyNumberFormat="1" applyFont="1"/>
    <xf numFmtId="173" fontId="0" fillId="0" borderId="0" xfId="1853" applyNumberFormat="1" applyFont="1"/>
    <xf numFmtId="0" fontId="144" fillId="72" borderId="0" xfId="0" applyFont="1" applyFill="1" applyAlignment="1">
      <alignment vertical="center" wrapText="1"/>
    </xf>
    <xf numFmtId="0" fontId="102" fillId="0" borderId="0" xfId="1441" applyAlignment="1">
      <alignment vertical="center"/>
    </xf>
    <xf numFmtId="0" fontId="204" fillId="0" borderId="0" xfId="0" applyFont="1" applyAlignment="1">
      <alignment vertical="center"/>
    </xf>
    <xf numFmtId="0" fontId="144" fillId="0" borderId="0" xfId="5533" applyFont="1" applyAlignment="1">
      <alignment vertical="center"/>
    </xf>
    <xf numFmtId="0" fontId="176" fillId="0" borderId="0" xfId="0" applyFont="1"/>
    <xf numFmtId="0" fontId="176" fillId="76" borderId="0" xfId="0" applyFont="1" applyFill="1" applyAlignment="1">
      <alignment vertical="center" wrapText="1"/>
    </xf>
    <xf numFmtId="0" fontId="203" fillId="71" borderId="26" xfId="5536" applyFont="1" applyFill="1" applyBorder="1" applyAlignment="1">
      <alignment horizontal="center" vertical="center" wrapText="1"/>
    </xf>
    <xf numFmtId="0" fontId="205" fillId="76" borderId="0" xfId="5536" applyFont="1" applyFill="1" applyAlignment="1">
      <alignment horizontal="center" vertical="center" wrapText="1"/>
    </xf>
    <xf numFmtId="0" fontId="205" fillId="73" borderId="0" xfId="5536" applyFont="1" applyFill="1" applyAlignment="1">
      <alignment horizontal="center" vertical="center" wrapText="1"/>
    </xf>
    <xf numFmtId="0" fontId="205" fillId="0" borderId="0" xfId="5536" applyFont="1" applyAlignment="1">
      <alignment horizontal="center" vertical="center" wrapText="1"/>
    </xf>
    <xf numFmtId="0" fontId="202" fillId="71" borderId="0" xfId="5536" applyFont="1" applyFill="1" applyAlignment="1">
      <alignment horizontal="center" vertical="center" wrapText="1"/>
    </xf>
    <xf numFmtId="0" fontId="178" fillId="71" borderId="30" xfId="5536" applyFont="1" applyFill="1" applyBorder="1" applyAlignment="1">
      <alignment horizontal="center" vertical="center"/>
    </xf>
    <xf numFmtId="0" fontId="137" fillId="73" borderId="0" xfId="5536" applyFont="1" applyFill="1" applyAlignment="1">
      <alignment horizontal="center" vertical="center"/>
    </xf>
    <xf numFmtId="0" fontId="137" fillId="0" borderId="0" xfId="5536" applyFont="1" applyAlignment="1">
      <alignment horizontal="center" vertical="center"/>
    </xf>
    <xf numFmtId="0" fontId="178" fillId="71" borderId="0" xfId="5536" applyFont="1" applyFill="1" applyAlignment="1">
      <alignment horizontal="center" vertical="center"/>
    </xf>
    <xf numFmtId="4" fontId="144" fillId="73" borderId="0" xfId="5536" applyNumberFormat="1" applyFont="1" applyFill="1" applyAlignment="1">
      <alignment horizontal="center" vertical="center"/>
    </xf>
    <xf numFmtId="0" fontId="146" fillId="63" borderId="28" xfId="0" applyFont="1" applyFill="1" applyBorder="1" applyAlignment="1">
      <alignment horizontal="center" vertical="center" wrapText="1"/>
    </xf>
    <xf numFmtId="0" fontId="176" fillId="71" borderId="29" xfId="0" applyFont="1" applyFill="1" applyBorder="1" applyAlignment="1">
      <alignment vertical="center" wrapText="1"/>
    </xf>
    <xf numFmtId="4" fontId="146" fillId="80" borderId="0" xfId="0" applyNumberFormat="1" applyFont="1" applyFill="1" applyAlignment="1">
      <alignment vertical="center" wrapText="1"/>
    </xf>
    <xf numFmtId="4" fontId="167" fillId="76" borderId="0" xfId="0" applyNumberFormat="1" applyFont="1" applyFill="1" applyAlignment="1">
      <alignment horizontal="justify" vertical="center" wrapText="1"/>
    </xf>
    <xf numFmtId="0" fontId="167" fillId="76" borderId="0" xfId="0" applyFont="1" applyFill="1" applyAlignment="1">
      <alignment horizontal="justify" vertical="center" wrapText="1"/>
    </xf>
    <xf numFmtId="4" fontId="146" fillId="80" borderId="48" xfId="0" applyNumberFormat="1" applyFont="1" applyFill="1" applyBorder="1" applyAlignment="1">
      <alignment vertical="center" wrapText="1"/>
    </xf>
    <xf numFmtId="0" fontId="163" fillId="78" borderId="0" xfId="0" applyFont="1" applyFill="1" applyAlignment="1">
      <alignment horizontal="center" vertical="center" wrapText="1"/>
    </xf>
    <xf numFmtId="9" fontId="163" fillId="78" borderId="0" xfId="0" applyNumberFormat="1" applyFont="1" applyFill="1" applyAlignment="1">
      <alignment horizontal="center" vertical="center" wrapText="1"/>
    </xf>
    <xf numFmtId="0" fontId="163" fillId="0" borderId="0" xfId="0" applyFont="1" applyAlignment="1">
      <alignment horizontal="center" vertical="center" wrapText="1"/>
    </xf>
    <xf numFmtId="9" fontId="163" fillId="0" borderId="0" xfId="0" applyNumberFormat="1" applyFont="1" applyAlignment="1">
      <alignment horizontal="center" vertical="center" wrapText="1"/>
    </xf>
    <xf numFmtId="0" fontId="148" fillId="71" borderId="0" xfId="0" applyFont="1" applyFill="1" applyAlignment="1">
      <alignment vertical="center" wrapText="1"/>
    </xf>
    <xf numFmtId="10" fontId="148" fillId="71" borderId="0" xfId="0" applyNumberFormat="1" applyFont="1" applyFill="1" applyAlignment="1">
      <alignment horizontal="center" vertical="center" wrapText="1"/>
    </xf>
    <xf numFmtId="4" fontId="144" fillId="76" borderId="0" xfId="0" applyNumberFormat="1" applyFont="1" applyFill="1" applyAlignment="1">
      <alignment horizontal="center" vertical="center" wrapText="1"/>
    </xf>
    <xf numFmtId="4" fontId="154" fillId="76" borderId="0" xfId="0" applyNumberFormat="1" applyFont="1" applyFill="1" applyAlignment="1">
      <alignment horizontal="center" vertical="center" wrapText="1"/>
    </xf>
    <xf numFmtId="10" fontId="154" fillId="76" borderId="0" xfId="0" applyNumberFormat="1" applyFont="1" applyFill="1" applyAlignment="1">
      <alignment horizontal="center" vertical="center" wrapText="1"/>
    </xf>
    <xf numFmtId="4" fontId="154" fillId="73" borderId="0" xfId="0" applyNumberFormat="1" applyFont="1" applyFill="1" applyAlignment="1">
      <alignment horizontal="center" vertical="center" wrapText="1"/>
    </xf>
    <xf numFmtId="10" fontId="154" fillId="73" borderId="0" xfId="0" applyNumberFormat="1" applyFont="1" applyFill="1" applyAlignment="1">
      <alignment horizontal="center" vertical="center" wrapText="1"/>
    </xf>
    <xf numFmtId="10" fontId="154" fillId="0" borderId="0" xfId="0" applyNumberFormat="1" applyFont="1" applyAlignment="1">
      <alignment horizontal="center" vertical="center"/>
    </xf>
    <xf numFmtId="0" fontId="154" fillId="73" borderId="0" xfId="0" applyFont="1" applyFill="1" applyAlignment="1">
      <alignment horizontal="center" vertical="center" wrapText="1"/>
    </xf>
    <xf numFmtId="4" fontId="179" fillId="71" borderId="26" xfId="0" applyNumberFormat="1" applyFont="1" applyFill="1" applyBorder="1" applyAlignment="1">
      <alignment horizontal="center" vertical="center" wrapText="1"/>
    </xf>
    <xf numFmtId="9" fontId="179" fillId="71" borderId="26" xfId="0" applyNumberFormat="1" applyFont="1" applyFill="1" applyBorder="1" applyAlignment="1">
      <alignment horizontal="center" vertical="center" wrapText="1"/>
    </xf>
    <xf numFmtId="0" fontId="169" fillId="0" borderId="0" xfId="0" applyFont="1" applyAlignment="1">
      <alignment vertical="center"/>
    </xf>
    <xf numFmtId="0" fontId="179" fillId="71" borderId="0" xfId="0" applyFont="1" applyFill="1" applyAlignment="1">
      <alignment vertical="center" wrapText="1"/>
    </xf>
    <xf numFmtId="0" fontId="179" fillId="74" borderId="0" xfId="0" applyFont="1" applyFill="1" applyAlignment="1">
      <alignment vertical="center" wrapText="1"/>
    </xf>
    <xf numFmtId="173" fontId="144" fillId="76" borderId="0" xfId="1853" applyNumberFormat="1" applyFont="1" applyFill="1" applyAlignment="1">
      <alignment vertical="center"/>
    </xf>
    <xf numFmtId="173" fontId="144" fillId="76" borderId="0" xfId="1853" applyNumberFormat="1" applyFont="1" applyFill="1" applyAlignment="1">
      <alignment horizontal="center" vertical="center" wrapText="1"/>
    </xf>
    <xf numFmtId="173" fontId="179" fillId="74" borderId="0" xfId="1853" applyNumberFormat="1" applyFont="1" applyFill="1" applyAlignment="1">
      <alignment vertical="center" wrapText="1"/>
    </xf>
    <xf numFmtId="0" fontId="167" fillId="76" borderId="0" xfId="0" applyFont="1" applyFill="1" applyAlignment="1">
      <alignment vertical="center" wrapText="1"/>
    </xf>
    <xf numFmtId="0" fontId="167" fillId="76" borderId="0" xfId="0" applyFont="1" applyFill="1" applyAlignment="1">
      <alignment horizontal="center" vertical="center" wrapText="1"/>
    </xf>
    <xf numFmtId="4" fontId="167" fillId="76" borderId="0" xfId="0" applyNumberFormat="1" applyFont="1" applyFill="1" applyAlignment="1">
      <alignment horizontal="center" vertical="center" wrapText="1"/>
    </xf>
    <xf numFmtId="0" fontId="167" fillId="73" borderId="0" xfId="0" applyFont="1" applyFill="1" applyAlignment="1">
      <alignment vertical="center" wrapText="1"/>
    </xf>
    <xf numFmtId="0" fontId="167" fillId="73" borderId="0" xfId="0" applyFont="1" applyFill="1" applyAlignment="1">
      <alignment horizontal="center" vertical="center" wrapText="1"/>
    </xf>
    <xf numFmtId="164" fontId="201" fillId="36" borderId="0" xfId="5540" applyNumberFormat="1" applyFont="1" applyFill="1" applyAlignment="1">
      <alignment horizontal="center" vertical="center" wrapText="1"/>
    </xf>
    <xf numFmtId="0" fontId="167" fillId="73" borderId="0" xfId="0" applyFont="1" applyFill="1" applyAlignment="1">
      <alignment horizontal="justify" vertical="center" wrapText="1"/>
    </xf>
    <xf numFmtId="4" fontId="167" fillId="73" borderId="0" xfId="0" applyNumberFormat="1" applyFont="1" applyFill="1" applyAlignment="1">
      <alignment horizontal="center" vertical="center" wrapText="1"/>
    </xf>
    <xf numFmtId="4" fontId="167" fillId="0" borderId="0" xfId="0" applyNumberFormat="1" applyFont="1" applyAlignment="1">
      <alignment horizontal="center" vertical="center" wrapText="1"/>
    </xf>
    <xf numFmtId="4" fontId="146" fillId="71" borderId="0" xfId="5544" applyNumberFormat="1" applyFont="1" applyFill="1" applyAlignment="1">
      <alignment horizontal="left" vertical="center" wrapText="1"/>
    </xf>
    <xf numFmtId="4" fontId="186" fillId="71" borderId="0" xfId="5545" applyNumberFormat="1" applyFont="1" applyFill="1" applyAlignment="1">
      <alignment horizontal="center" vertical="center" wrapText="1"/>
    </xf>
    <xf numFmtId="173" fontId="184" fillId="0" borderId="0" xfId="0" applyNumberFormat="1" applyFont="1"/>
    <xf numFmtId="186" fontId="184" fillId="0" borderId="0" xfId="0" applyNumberFormat="1" applyFont="1"/>
    <xf numFmtId="179" fontId="178" fillId="71" borderId="0" xfId="1352" applyNumberFormat="1" applyFont="1" applyFill="1" applyAlignment="1">
      <alignment horizontal="center" vertical="center" wrapText="1"/>
    </xf>
    <xf numFmtId="0" fontId="146" fillId="71" borderId="26" xfId="0" applyFont="1" applyFill="1" applyBorder="1" applyAlignment="1">
      <alignment vertical="center" wrapText="1"/>
    </xf>
    <xf numFmtId="0" fontId="146" fillId="77" borderId="0" xfId="0" applyFont="1" applyFill="1" applyAlignment="1">
      <alignment vertical="center" wrapText="1"/>
    </xf>
    <xf numFmtId="3" fontId="146" fillId="77" borderId="0" xfId="0" applyNumberFormat="1" applyFont="1" applyFill="1" applyAlignment="1">
      <alignment horizontal="center" vertical="center" wrapText="1"/>
    </xf>
    <xf numFmtId="9" fontId="146" fillId="77" borderId="0" xfId="0" applyNumberFormat="1" applyFont="1" applyFill="1" applyAlignment="1">
      <alignment horizontal="center" vertical="center" wrapText="1"/>
    </xf>
    <xf numFmtId="0" fontId="167" fillId="72" borderId="0" xfId="0" applyFont="1" applyFill="1" applyAlignment="1">
      <alignment vertical="center" wrapText="1"/>
    </xf>
    <xf numFmtId="3" fontId="167" fillId="72" borderId="0" xfId="0" applyNumberFormat="1" applyFont="1" applyFill="1" applyAlignment="1">
      <alignment horizontal="center" vertical="center" wrapText="1"/>
    </xf>
    <xf numFmtId="9" fontId="167" fillId="72" borderId="0" xfId="0" applyNumberFormat="1" applyFont="1" applyFill="1" applyAlignment="1">
      <alignment horizontal="center" vertical="center" wrapText="1"/>
    </xf>
    <xf numFmtId="3" fontId="167" fillId="0" borderId="0" xfId="0" applyNumberFormat="1" applyFont="1" applyAlignment="1">
      <alignment horizontal="center" vertical="center" wrapText="1"/>
    </xf>
    <xf numFmtId="0" fontId="146" fillId="77" borderId="27" xfId="0" applyFont="1" applyFill="1" applyBorder="1" applyAlignment="1">
      <alignment vertical="center" wrapText="1"/>
    </xf>
    <xf numFmtId="3" fontId="146" fillId="77" borderId="27" xfId="0" applyNumberFormat="1" applyFont="1" applyFill="1" applyBorder="1" applyAlignment="1">
      <alignment horizontal="center" vertical="center" wrapText="1"/>
    </xf>
    <xf numFmtId="9" fontId="146" fillId="77" borderId="27" xfId="0" applyNumberFormat="1" applyFont="1" applyFill="1" applyBorder="1" applyAlignment="1">
      <alignment horizontal="center" vertical="center" wrapText="1"/>
    </xf>
    <xf numFmtId="3" fontId="146" fillId="71" borderId="0" xfId="0" applyNumberFormat="1" applyFont="1" applyFill="1" applyAlignment="1">
      <alignment horizontal="center" vertical="center" wrapText="1"/>
    </xf>
    <xf numFmtId="179" fontId="146" fillId="71" borderId="0" xfId="0" applyNumberFormat="1" applyFont="1" applyFill="1" applyAlignment="1">
      <alignment horizontal="center" vertical="center" wrapText="1"/>
    </xf>
    <xf numFmtId="9" fontId="167" fillId="36" borderId="0" xfId="0" applyNumberFormat="1" applyFont="1" applyFill="1" applyAlignment="1">
      <alignment horizontal="center" vertical="center" wrapText="1"/>
    </xf>
    <xf numFmtId="164" fontId="127" fillId="0" borderId="0" xfId="0" applyNumberFormat="1" applyFont="1" applyAlignment="1">
      <alignment vertical="center"/>
    </xf>
    <xf numFmtId="173" fontId="152" fillId="0" borderId="0" xfId="5531" applyNumberFormat="1" applyFont="1"/>
    <xf numFmtId="10" fontId="163" fillId="0" borderId="0" xfId="0" applyNumberFormat="1" applyFont="1" applyAlignment="1">
      <alignment horizontal="center" vertical="center" wrapText="1"/>
    </xf>
    <xf numFmtId="10" fontId="163" fillId="73" borderId="0" xfId="0" applyNumberFormat="1" applyFont="1" applyFill="1" applyAlignment="1">
      <alignment horizontal="center" vertical="center" wrapText="1"/>
    </xf>
    <xf numFmtId="0" fontId="187" fillId="73" borderId="0" xfId="0" applyFont="1" applyFill="1" applyAlignment="1">
      <alignment vertical="center"/>
    </xf>
    <xf numFmtId="10" fontId="187" fillId="73" borderId="0" xfId="0" applyNumberFormat="1" applyFont="1" applyFill="1" applyAlignment="1">
      <alignment horizontal="center" vertical="center" wrapText="1"/>
    </xf>
    <xf numFmtId="0" fontId="187" fillId="0" borderId="0" xfId="0" applyFont="1" applyAlignment="1">
      <alignment vertical="center"/>
    </xf>
    <xf numFmtId="0" fontId="177" fillId="72" borderId="0" xfId="0" applyFont="1" applyFill="1" applyAlignment="1">
      <alignment vertical="center"/>
    </xf>
    <xf numFmtId="10" fontId="206" fillId="0" borderId="0" xfId="0" applyNumberFormat="1" applyFont="1" applyAlignment="1">
      <alignment horizontal="center" vertical="center" wrapText="1"/>
    </xf>
    <xf numFmtId="0" fontId="110" fillId="0" borderId="0" xfId="5541" applyFont="1"/>
    <xf numFmtId="173" fontId="207" fillId="0" borderId="0" xfId="1853" applyNumberFormat="1" applyFont="1" applyAlignment="1">
      <alignment horizontal="center"/>
    </xf>
    <xf numFmtId="173" fontId="130" fillId="36" borderId="0" xfId="1853" applyNumberFormat="1" applyFont="1" applyFill="1" applyAlignment="1">
      <alignment horizontal="center" vertical="center" wrapText="1"/>
    </xf>
    <xf numFmtId="0" fontId="163" fillId="0" borderId="40" xfId="0" applyFont="1" applyBorder="1" applyAlignment="1">
      <alignment vertical="center"/>
    </xf>
    <xf numFmtId="0" fontId="129" fillId="63" borderId="0" xfId="0" applyFont="1" applyFill="1" applyAlignment="1">
      <alignment horizontal="center" vertical="center"/>
    </xf>
    <xf numFmtId="0" fontId="129" fillId="63" borderId="21" xfId="0" applyFont="1" applyFill="1" applyBorder="1" applyAlignment="1">
      <alignment horizontal="center" vertical="center"/>
    </xf>
    <xf numFmtId="0" fontId="129" fillId="63" borderId="0" xfId="0" applyFont="1" applyFill="1" applyAlignment="1">
      <alignment horizontal="center" vertical="center" wrapText="1"/>
    </xf>
    <xf numFmtId="0" fontId="129" fillId="63" borderId="21" xfId="0" applyFont="1" applyFill="1" applyBorder="1" applyAlignment="1">
      <alignment horizontal="center" vertical="center" wrapText="1"/>
    </xf>
    <xf numFmtId="0" fontId="142" fillId="63" borderId="0" xfId="0" applyFont="1" applyFill="1" applyAlignment="1">
      <alignment horizontal="center" vertical="center"/>
    </xf>
    <xf numFmtId="0" fontId="129" fillId="63" borderId="0" xfId="0" applyFont="1" applyFill="1" applyAlignment="1">
      <alignment horizontal="left" vertical="center" wrapText="1"/>
    </xf>
    <xf numFmtId="0" fontId="126" fillId="63" borderId="12" xfId="0" applyFont="1" applyFill="1" applyBorder="1" applyAlignment="1">
      <alignment horizontal="center" vertical="center" wrapText="1"/>
    </xf>
    <xf numFmtId="0" fontId="126" fillId="63" borderId="0" xfId="0" applyFont="1" applyFill="1" applyAlignment="1">
      <alignment horizontal="center" vertical="center" wrapText="1"/>
    </xf>
    <xf numFmtId="0" fontId="126" fillId="63" borderId="0" xfId="0" applyFont="1" applyFill="1" applyAlignment="1">
      <alignment horizontal="center" vertical="center"/>
    </xf>
    <xf numFmtId="0" fontId="126" fillId="63" borderId="21" xfId="0" applyFont="1" applyFill="1" applyBorder="1" applyAlignment="1">
      <alignment horizontal="center" vertical="center"/>
    </xf>
    <xf numFmtId="0" fontId="126" fillId="63" borderId="0" xfId="0" applyFont="1" applyFill="1" applyAlignment="1">
      <alignment vertical="center"/>
    </xf>
    <xf numFmtId="0" fontId="126" fillId="63" borderId="21" xfId="0" applyFont="1" applyFill="1" applyBorder="1" applyAlignment="1">
      <alignment vertical="center"/>
    </xf>
    <xf numFmtId="0" fontId="126" fillId="63" borderId="22" xfId="0" applyFont="1" applyFill="1" applyBorder="1" applyAlignment="1">
      <alignment horizontal="center" vertical="center"/>
    </xf>
    <xf numFmtId="0" fontId="126" fillId="63" borderId="23" xfId="0" applyFont="1" applyFill="1" applyBorder="1" applyAlignment="1">
      <alignment horizontal="center" vertical="center"/>
    </xf>
    <xf numFmtId="0" fontId="179" fillId="71" borderId="26" xfId="0" applyFont="1" applyFill="1" applyBorder="1" applyAlignment="1">
      <alignment horizontal="center" vertical="center" wrapText="1"/>
    </xf>
    <xf numFmtId="0" fontId="144" fillId="72" borderId="27" xfId="0" applyFont="1" applyFill="1" applyBorder="1" applyAlignment="1">
      <alignment horizontal="center" vertical="center" wrapText="1"/>
    </xf>
    <xf numFmtId="0" fontId="144" fillId="72" borderId="0" xfId="0" applyFont="1" applyFill="1" applyAlignment="1">
      <alignment horizontal="center" vertical="center" wrapText="1"/>
    </xf>
    <xf numFmtId="0" fontId="144" fillId="72" borderId="27" xfId="0" applyFont="1" applyFill="1" applyBorder="1" applyAlignment="1">
      <alignment vertical="center" wrapText="1"/>
    </xf>
    <xf numFmtId="0" fontId="144" fillId="72" borderId="0" xfId="0" applyFont="1" applyFill="1" applyAlignment="1">
      <alignment vertical="center" wrapText="1"/>
    </xf>
    <xf numFmtId="164" fontId="144" fillId="72" borderId="27" xfId="1853" applyFont="1" applyFill="1" applyBorder="1" applyAlignment="1">
      <alignment horizontal="center" vertical="center" wrapText="1"/>
    </xf>
    <xf numFmtId="164" fontId="144" fillId="72" borderId="0" xfId="1853" applyFont="1" applyFill="1" applyBorder="1" applyAlignment="1">
      <alignment horizontal="center" vertical="center" wrapText="1"/>
    </xf>
    <xf numFmtId="0" fontId="182" fillId="36" borderId="0" xfId="5530" applyFont="1" applyFill="1" applyAlignment="1">
      <alignment horizontal="center" vertical="center"/>
    </xf>
    <xf numFmtId="0" fontId="145" fillId="36" borderId="0" xfId="5530" applyFont="1" applyFill="1" applyAlignment="1">
      <alignment horizontal="left" vertical="center" wrapText="1"/>
    </xf>
    <xf numFmtId="164" fontId="145" fillId="36" borderId="0" xfId="1853" applyFont="1" applyFill="1" applyAlignment="1">
      <alignment horizontal="center" vertical="center" wrapText="1"/>
    </xf>
    <xf numFmtId="0" fontId="130" fillId="65" borderId="0" xfId="0" applyFont="1" applyFill="1" applyAlignment="1">
      <alignment horizontal="left"/>
    </xf>
    <xf numFmtId="0" fontId="128" fillId="24" borderId="0" xfId="0" applyFont="1" applyFill="1" applyAlignment="1">
      <alignment horizontal="center" vertical="center"/>
    </xf>
    <xf numFmtId="0" fontId="130" fillId="65" borderId="11" xfId="0" applyFont="1" applyFill="1" applyBorder="1" applyAlignment="1">
      <alignment horizontal="left"/>
    </xf>
    <xf numFmtId="0" fontId="126" fillId="63" borderId="0" xfId="0" applyFont="1" applyFill="1" applyAlignment="1">
      <alignment horizontal="left" vertical="center" wrapText="1"/>
    </xf>
    <xf numFmtId="0" fontId="159" fillId="0" borderId="0" xfId="5533" applyFont="1" applyAlignment="1">
      <alignment horizontal="center"/>
    </xf>
    <xf numFmtId="0" fontId="146" fillId="71" borderId="0" xfId="5533" applyFont="1" applyFill="1" applyAlignment="1">
      <alignment horizontal="center" vertical="center" wrapText="1"/>
    </xf>
    <xf numFmtId="0" fontId="146" fillId="71" borderId="0" xfId="0" applyFont="1" applyFill="1" applyAlignment="1">
      <alignment horizontal="left" vertical="center" wrapText="1"/>
    </xf>
    <xf numFmtId="0" fontId="146" fillId="71" borderId="30" xfId="0" applyFont="1" applyFill="1" applyBorder="1" applyAlignment="1">
      <alignment horizontal="left" vertical="center" wrapText="1"/>
    </xf>
    <xf numFmtId="0" fontId="146" fillId="71" borderId="30" xfId="0" applyFont="1" applyFill="1" applyBorder="1" applyAlignment="1">
      <alignment horizontal="center" vertical="center" wrapText="1"/>
    </xf>
    <xf numFmtId="0" fontId="163" fillId="0" borderId="0" xfId="5536" applyFont="1" applyAlignment="1">
      <alignment horizontal="center"/>
    </xf>
    <xf numFmtId="0" fontId="144" fillId="0" borderId="27" xfId="0" applyFont="1" applyBorder="1" applyAlignment="1">
      <alignment horizontal="center" vertical="center" wrapText="1"/>
    </xf>
    <xf numFmtId="0" fontId="144" fillId="0" borderId="0" xfId="0" applyFont="1" applyAlignment="1">
      <alignment horizontal="center" vertical="center" wrapText="1"/>
    </xf>
    <xf numFmtId="0" fontId="144" fillId="0" borderId="27" xfId="0" applyFont="1" applyBorder="1" applyAlignment="1">
      <alignment vertical="center" wrapText="1"/>
    </xf>
    <xf numFmtId="0" fontId="144" fillId="0" borderId="0" xfId="0" applyFont="1" applyAlignment="1">
      <alignment vertical="center" wrapText="1"/>
    </xf>
    <xf numFmtId="0" fontId="144" fillId="73" borderId="0" xfId="0" applyFont="1" applyFill="1" applyAlignment="1">
      <alignment horizontal="center" vertical="center" wrapText="1"/>
    </xf>
    <xf numFmtId="0" fontId="144" fillId="73" borderId="0" xfId="0" applyFont="1" applyFill="1" applyAlignment="1">
      <alignment vertical="center" wrapText="1"/>
    </xf>
    <xf numFmtId="0" fontId="144" fillId="76" borderId="0" xfId="0" applyFont="1" applyFill="1" applyAlignment="1">
      <alignment vertical="center" wrapText="1"/>
    </xf>
    <xf numFmtId="0" fontId="160" fillId="0" borderId="0" xfId="5536" applyFont="1" applyAlignment="1">
      <alignment horizontal="center" vertical="center" wrapText="1"/>
    </xf>
    <xf numFmtId="0" fontId="144" fillId="72" borderId="27" xfId="5536" applyFont="1" applyFill="1" applyBorder="1" applyAlignment="1">
      <alignment horizontal="center" vertical="center"/>
    </xf>
    <xf numFmtId="0" fontId="144" fillId="72" borderId="0" xfId="5536" applyFont="1" applyFill="1" applyAlignment="1">
      <alignment horizontal="center" vertical="center"/>
    </xf>
    <xf numFmtId="0" fontId="144" fillId="72" borderId="27" xfId="5536" applyFont="1" applyFill="1" applyBorder="1" applyAlignment="1">
      <alignment vertical="center" wrapText="1"/>
    </xf>
    <xf numFmtId="0" fontId="144" fillId="72" borderId="0" xfId="5536" applyFont="1" applyFill="1" applyAlignment="1">
      <alignment vertical="center" wrapText="1"/>
    </xf>
    <xf numFmtId="0" fontId="163" fillId="0" borderId="0" xfId="5536" applyFont="1" applyAlignment="1">
      <alignment horizontal="center" vertical="center"/>
    </xf>
    <xf numFmtId="0" fontId="160" fillId="0" borderId="0" xfId="5536" applyFont="1" applyAlignment="1">
      <alignment horizontal="center"/>
    </xf>
    <xf numFmtId="0" fontId="163" fillId="0" borderId="0" xfId="5541" applyFont="1" applyAlignment="1">
      <alignment horizontal="center" vertical="center"/>
    </xf>
    <xf numFmtId="0" fontId="163" fillId="0" borderId="0" xfId="5536" applyFont="1" applyAlignment="1">
      <alignment horizontal="center" vertical="center" wrapText="1"/>
    </xf>
    <xf numFmtId="0" fontId="162" fillId="0" borderId="0" xfId="5536" applyFont="1" applyAlignment="1">
      <alignment horizontal="center" vertical="center" wrapText="1"/>
    </xf>
    <xf numFmtId="0" fontId="162" fillId="0" borderId="31" xfId="5536" applyFont="1" applyBorder="1" applyAlignment="1">
      <alignment horizontal="center" vertical="center" wrapText="1"/>
    </xf>
    <xf numFmtId="0" fontId="154" fillId="72" borderId="0" xfId="5536" applyFont="1" applyFill="1" applyAlignment="1">
      <alignment vertical="center" wrapText="1"/>
    </xf>
    <xf numFmtId="0" fontId="144" fillId="72" borderId="0" xfId="5536" applyFont="1" applyFill="1" applyAlignment="1">
      <alignment horizontal="center" vertical="center" wrapText="1"/>
    </xf>
    <xf numFmtId="0" fontId="146" fillId="79" borderId="36" xfId="0" applyFont="1" applyFill="1" applyBorder="1" applyAlignment="1">
      <alignment vertical="center"/>
    </xf>
    <xf numFmtId="0" fontId="146" fillId="79" borderId="37" xfId="0" applyFont="1" applyFill="1" applyBorder="1" applyAlignment="1">
      <alignment vertical="center"/>
    </xf>
    <xf numFmtId="0" fontId="146" fillId="79" borderId="33" xfId="0" applyFont="1" applyFill="1" applyBorder="1" applyAlignment="1">
      <alignment vertical="center"/>
    </xf>
    <xf numFmtId="0" fontId="179" fillId="71" borderId="0" xfId="0" applyFont="1" applyFill="1" applyAlignment="1">
      <alignment horizontal="center" vertical="center" wrapText="1"/>
    </xf>
    <xf numFmtId="173" fontId="148" fillId="71" borderId="0" xfId="1853" applyNumberFormat="1" applyFont="1" applyFill="1" applyAlignment="1">
      <alignment horizontal="center" vertical="center" wrapText="1"/>
    </xf>
    <xf numFmtId="173" fontId="148" fillId="71" borderId="26" xfId="1853" applyNumberFormat="1" applyFont="1" applyFill="1" applyBorder="1" applyAlignment="1">
      <alignment horizontal="center" vertical="center" wrapText="1"/>
    </xf>
    <xf numFmtId="173" fontId="148" fillId="28" borderId="0" xfId="1853" applyNumberFormat="1" applyFont="1" applyFill="1" applyAlignment="1">
      <alignment horizontal="center" vertical="center" wrapText="1"/>
    </xf>
    <xf numFmtId="173" fontId="148" fillId="28" borderId="26" xfId="1853" applyNumberFormat="1" applyFont="1" applyFill="1" applyBorder="1" applyAlignment="1">
      <alignment horizontal="center" vertical="center" wrapText="1"/>
    </xf>
    <xf numFmtId="0" fontId="148" fillId="71" borderId="0" xfId="0" applyFont="1" applyFill="1" applyAlignment="1">
      <alignment horizontal="left" vertical="center" wrapText="1"/>
    </xf>
    <xf numFmtId="0" fontId="148" fillId="71" borderId="26" xfId="0" applyFont="1" applyFill="1" applyBorder="1" applyAlignment="1">
      <alignment horizontal="left" vertical="center" wrapText="1"/>
    </xf>
    <xf numFmtId="0" fontId="146" fillId="63" borderId="49" xfId="0" applyFont="1" applyFill="1" applyBorder="1" applyAlignment="1">
      <alignment horizontal="center" vertical="center" wrapText="1"/>
    </xf>
    <xf numFmtId="0" fontId="146" fillId="63" borderId="0" xfId="0" applyFont="1" applyFill="1" applyAlignment="1">
      <alignment horizontal="center" vertical="center" wrapText="1"/>
    </xf>
    <xf numFmtId="0" fontId="146" fillId="63" borderId="28" xfId="0" applyFont="1" applyFill="1" applyBorder="1" applyAlignment="1">
      <alignment horizontal="center" vertical="center" wrapText="1"/>
    </xf>
    <xf numFmtId="0" fontId="146" fillId="71" borderId="0" xfId="0" applyFont="1" applyFill="1" applyAlignment="1">
      <alignment horizontal="center" vertical="center" wrapText="1"/>
    </xf>
    <xf numFmtId="4" fontId="146" fillId="71" borderId="0" xfId="0" applyNumberFormat="1" applyFont="1" applyFill="1" applyAlignment="1">
      <alignment horizontal="center" vertical="center" wrapText="1"/>
    </xf>
    <xf numFmtId="0" fontId="179" fillId="71" borderId="0" xfId="0" applyFont="1" applyFill="1" applyAlignment="1">
      <alignment vertical="center" wrapText="1"/>
    </xf>
    <xf numFmtId="0" fontId="179" fillId="71" borderId="26" xfId="0" applyFont="1" applyFill="1" applyBorder="1" applyAlignment="1">
      <alignment vertical="center" wrapText="1"/>
    </xf>
    <xf numFmtId="0" fontId="144" fillId="76" borderId="0" xfId="0" applyFont="1" applyFill="1" applyAlignment="1">
      <alignment vertical="center"/>
    </xf>
    <xf numFmtId="173" fontId="179" fillId="71" borderId="0" xfId="1853" applyNumberFormat="1" applyFont="1" applyFill="1" applyAlignment="1">
      <alignment horizontal="center" vertical="center" wrapText="1"/>
    </xf>
    <xf numFmtId="173" fontId="179" fillId="71" borderId="26" xfId="1853" applyNumberFormat="1" applyFont="1" applyFill="1" applyBorder="1" applyAlignment="1">
      <alignment horizontal="center" vertical="center" wrapText="1"/>
    </xf>
    <xf numFmtId="0" fontId="179" fillId="71" borderId="0" xfId="0" applyFont="1" applyFill="1" applyAlignment="1">
      <alignment horizontal="left" vertical="center" wrapText="1"/>
    </xf>
    <xf numFmtId="0" fontId="179" fillId="71" borderId="26" xfId="0" applyFont="1" applyFill="1" applyBorder="1" applyAlignment="1">
      <alignment horizontal="left" vertical="center" wrapText="1"/>
    </xf>
    <xf numFmtId="0" fontId="148" fillId="71" borderId="0" xfId="5539" applyFont="1" applyFill="1" applyAlignment="1">
      <alignment horizontal="left" vertical="center" wrapText="1"/>
    </xf>
    <xf numFmtId="0" fontId="148" fillId="71" borderId="26" xfId="5539" applyFont="1" applyFill="1" applyBorder="1" applyAlignment="1">
      <alignment horizontal="left" vertical="center" wrapText="1"/>
    </xf>
    <xf numFmtId="173" fontId="148" fillId="71" borderId="0" xfId="5540" applyNumberFormat="1" applyFont="1" applyFill="1" applyAlignment="1">
      <alignment horizontal="center" vertical="center" wrapText="1"/>
    </xf>
    <xf numFmtId="173" fontId="148" fillId="71" borderId="26" xfId="5540" applyNumberFormat="1" applyFont="1" applyFill="1" applyBorder="1" applyAlignment="1">
      <alignment horizontal="center" vertical="center" wrapText="1"/>
    </xf>
    <xf numFmtId="0" fontId="171" fillId="71" borderId="0" xfId="5536" applyFont="1" applyFill="1" applyAlignment="1">
      <alignment horizontal="center" vertical="center" wrapText="1"/>
    </xf>
    <xf numFmtId="0" fontId="160" fillId="0" borderId="0" xfId="5536" applyFont="1" applyAlignment="1">
      <alignment horizontal="center" wrapText="1"/>
    </xf>
    <xf numFmtId="0" fontId="151" fillId="63" borderId="0" xfId="5536" applyFont="1" applyFill="1" applyAlignment="1">
      <alignment horizontal="center" vertical="center" wrapText="1"/>
    </xf>
    <xf numFmtId="0" fontId="151" fillId="63" borderId="28" xfId="5536" applyFont="1" applyFill="1" applyBorder="1" applyAlignment="1">
      <alignment horizontal="center" vertical="center" wrapText="1"/>
    </xf>
    <xf numFmtId="0" fontId="151" fillId="63" borderId="49" xfId="0" applyFont="1" applyFill="1" applyBorder="1" applyAlignment="1">
      <alignment horizontal="center" vertical="center" wrapText="1"/>
    </xf>
    <xf numFmtId="0" fontId="151" fillId="63" borderId="0" xfId="0" applyFont="1" applyFill="1" applyAlignment="1">
      <alignment horizontal="center" vertical="center" wrapText="1"/>
    </xf>
    <xf numFmtId="0" fontId="151" fillId="63" borderId="28" xfId="0" applyFont="1" applyFill="1" applyBorder="1" applyAlignment="1">
      <alignment horizontal="center" vertical="center" wrapText="1"/>
    </xf>
    <xf numFmtId="0" fontId="148" fillId="71" borderId="0" xfId="0" applyFont="1" applyFill="1" applyAlignment="1">
      <alignment horizontal="center" vertical="center" wrapText="1"/>
    </xf>
    <xf numFmtId="0" fontId="167" fillId="73" borderId="48" xfId="0" applyFont="1" applyFill="1" applyBorder="1" applyAlignment="1">
      <alignment horizontal="left" vertical="center" wrapText="1"/>
    </xf>
    <xf numFmtId="0" fontId="167" fillId="73" borderId="0" xfId="0" applyFont="1" applyFill="1" applyAlignment="1">
      <alignment horizontal="left" vertical="center" wrapText="1"/>
    </xf>
    <xf numFmtId="0" fontId="167" fillId="0" borderId="0" xfId="0" applyFont="1" applyAlignment="1">
      <alignment horizontal="left" vertical="center" wrapText="1"/>
    </xf>
    <xf numFmtId="0" fontId="146" fillId="71" borderId="0" xfId="0" applyFont="1" applyFill="1" applyAlignment="1">
      <alignment vertical="center"/>
    </xf>
    <xf numFmtId="0" fontId="146" fillId="71" borderId="26" xfId="0" applyFont="1" applyFill="1" applyBorder="1" applyAlignment="1">
      <alignment vertical="center"/>
    </xf>
    <xf numFmtId="0" fontId="146" fillId="71" borderId="26" xfId="0" applyFont="1" applyFill="1" applyBorder="1" applyAlignment="1">
      <alignment horizontal="center" vertical="center" wrapText="1"/>
    </xf>
    <xf numFmtId="0" fontId="148" fillId="71" borderId="26" xfId="0" applyFont="1" applyFill="1" applyBorder="1" applyAlignment="1">
      <alignment horizontal="center" vertical="center" wrapText="1"/>
    </xf>
    <xf numFmtId="0" fontId="146" fillId="80" borderId="48" xfId="0" applyFont="1" applyFill="1" applyBorder="1" applyAlignment="1">
      <alignment vertical="center" wrapText="1"/>
    </xf>
    <xf numFmtId="10" fontId="163" fillId="78" borderId="48" xfId="1352" applyNumberFormat="1" applyFont="1" applyFill="1" applyBorder="1" applyAlignment="1">
      <alignment horizontal="center" vertical="center" wrapText="1"/>
    </xf>
    <xf numFmtId="10" fontId="163" fillId="78" borderId="0" xfId="1352" applyNumberFormat="1" applyFont="1" applyFill="1" applyAlignment="1">
      <alignment horizontal="center" vertical="center" wrapText="1"/>
    </xf>
    <xf numFmtId="164" fontId="167" fillId="0" borderId="0" xfId="1853" applyFont="1" applyAlignment="1">
      <alignment horizontal="center" vertical="center" wrapText="1"/>
    </xf>
    <xf numFmtId="10" fontId="163" fillId="0" borderId="0" xfId="1352" applyNumberFormat="1" applyFont="1" applyAlignment="1">
      <alignment horizontal="center" vertical="center" wrapText="1"/>
    </xf>
    <xf numFmtId="0" fontId="167" fillId="78" borderId="48" xfId="0" applyFont="1" applyFill="1" applyBorder="1" applyAlignment="1">
      <alignment horizontal="left" vertical="center" wrapText="1"/>
    </xf>
    <xf numFmtId="0" fontId="167" fillId="78" borderId="0" xfId="0" applyFont="1" applyFill="1" applyAlignment="1">
      <alignment horizontal="left" vertical="center" wrapText="1"/>
    </xf>
    <xf numFmtId="164" fontId="167" fillId="78" borderId="48" xfId="1853" applyFont="1" applyFill="1" applyBorder="1" applyAlignment="1">
      <alignment horizontal="center" vertical="center" wrapText="1"/>
    </xf>
    <xf numFmtId="164" fontId="167" fillId="78" borderId="0" xfId="1853" applyFont="1" applyFill="1" applyAlignment="1">
      <alignment horizontal="center" vertical="center" wrapText="1"/>
    </xf>
    <xf numFmtId="0" fontId="146" fillId="80" borderId="48" xfId="0" applyFont="1" applyFill="1" applyBorder="1" applyAlignment="1">
      <alignment horizontal="left" vertical="center" wrapText="1"/>
    </xf>
    <xf numFmtId="0" fontId="146" fillId="80" borderId="0" xfId="0" applyFont="1" applyFill="1" applyAlignment="1">
      <alignment horizontal="left" vertical="center" wrapText="1"/>
    </xf>
    <xf numFmtId="0" fontId="151" fillId="63" borderId="0" xfId="5531" applyFont="1" applyFill="1" applyAlignment="1">
      <alignment horizontal="center" vertical="center" wrapText="1"/>
    </xf>
    <xf numFmtId="0" fontId="151" fillId="63" borderId="28" xfId="5531" applyFont="1" applyFill="1" applyBorder="1" applyAlignment="1">
      <alignment horizontal="center" vertical="center" wrapText="1"/>
    </xf>
    <xf numFmtId="0" fontId="151" fillId="63" borderId="12" xfId="5531" applyFont="1" applyFill="1" applyBorder="1" applyAlignment="1">
      <alignment horizontal="center" vertical="center" wrapText="1"/>
    </xf>
    <xf numFmtId="0" fontId="167" fillId="78" borderId="0" xfId="0" applyFont="1" applyFill="1" applyAlignment="1">
      <alignment horizontal="justify" vertical="center" wrapText="1"/>
    </xf>
    <xf numFmtId="0" fontId="146" fillId="80" borderId="48" xfId="0" applyFont="1" applyFill="1" applyBorder="1" applyAlignment="1">
      <alignment horizontal="justify" vertical="center" wrapText="1"/>
    </xf>
    <xf numFmtId="0" fontId="167" fillId="0" borderId="0" xfId="0" applyFont="1" applyAlignment="1">
      <alignment horizontal="justify" vertical="center" wrapText="1"/>
    </xf>
    <xf numFmtId="0" fontId="146" fillId="80" borderId="0" xfId="0" applyFont="1" applyFill="1" applyAlignment="1">
      <alignment horizontal="justify" vertical="center" wrapText="1"/>
    </xf>
    <xf numFmtId="0" fontId="146" fillId="80" borderId="0" xfId="0" applyFont="1" applyFill="1" applyAlignment="1">
      <alignment vertical="center" wrapText="1"/>
    </xf>
    <xf numFmtId="0" fontId="188" fillId="71" borderId="45" xfId="0" applyFont="1" applyFill="1" applyBorder="1" applyAlignment="1">
      <alignment vertical="center"/>
    </xf>
    <xf numFmtId="0" fontId="188" fillId="71" borderId="46" xfId="0" applyFont="1" applyFill="1" applyBorder="1" applyAlignment="1">
      <alignment vertical="center"/>
    </xf>
    <xf numFmtId="10" fontId="146" fillId="71" borderId="45" xfId="0" applyNumberFormat="1" applyFont="1" applyFill="1" applyBorder="1" applyAlignment="1">
      <alignment horizontal="center" vertical="center"/>
    </xf>
    <xf numFmtId="10" fontId="146" fillId="71" borderId="46" xfId="0" applyNumberFormat="1" applyFont="1" applyFill="1" applyBorder="1" applyAlignment="1">
      <alignment horizontal="center" vertical="center"/>
    </xf>
    <xf numFmtId="0" fontId="130" fillId="65" borderId="11" xfId="0" applyFont="1" applyFill="1" applyBorder="1" applyAlignment="1">
      <alignment horizontal="left" vertical="center"/>
    </xf>
    <xf numFmtId="0" fontId="130" fillId="65" borderId="0" xfId="0" applyFont="1" applyFill="1" applyAlignment="1">
      <alignment horizontal="left" vertical="center"/>
    </xf>
    <xf numFmtId="0" fontId="138" fillId="0" borderId="0" xfId="0" applyFont="1" applyAlignment="1">
      <alignment horizontal="left" vertical="center" wrapText="1"/>
    </xf>
    <xf numFmtId="0" fontId="139" fillId="0" borderId="0" xfId="3" applyFont="1" applyAlignment="1">
      <alignment horizontal="left" vertical="center" wrapText="1"/>
    </xf>
    <xf numFmtId="4" fontId="171" fillId="71" borderId="0" xfId="5542" applyNumberFormat="1" applyFont="1" applyFill="1" applyAlignment="1">
      <alignment horizontal="right" vertical="center" wrapText="1"/>
    </xf>
    <xf numFmtId="0" fontId="146" fillId="63" borderId="28" xfId="0" applyFont="1" applyFill="1" applyBorder="1" applyAlignment="1">
      <alignment vertical="center" wrapText="1"/>
    </xf>
    <xf numFmtId="3" fontId="167" fillId="73" borderId="0" xfId="0" applyNumberFormat="1" applyFont="1" applyFill="1" applyAlignment="1">
      <alignment horizontal="center" vertical="center" wrapText="1"/>
    </xf>
    <xf numFmtId="9" fontId="167" fillId="73" borderId="0" xfId="0" applyNumberFormat="1" applyFont="1" applyFill="1" applyAlignment="1">
      <alignment horizontal="center" vertical="center" wrapText="1"/>
    </xf>
    <xf numFmtId="3" fontId="167" fillId="76" borderId="0" xfId="0" applyNumberFormat="1" applyFont="1" applyFill="1" applyAlignment="1">
      <alignment horizontal="center" vertical="center" wrapText="1"/>
    </xf>
    <xf numFmtId="9" fontId="167" fillId="76" borderId="0" xfId="0" applyNumberFormat="1" applyFont="1" applyFill="1" applyAlignment="1">
      <alignment horizontal="center" vertical="center" wrapText="1"/>
    </xf>
    <xf numFmtId="0" fontId="163" fillId="0" borderId="0" xfId="0" applyFont="1" applyAlignment="1">
      <alignment vertical="center"/>
    </xf>
    <xf numFmtId="0" fontId="167" fillId="72" borderId="0" xfId="0" applyFont="1" applyFill="1" applyAlignment="1">
      <alignment vertical="center"/>
    </xf>
    <xf numFmtId="0" fontId="167" fillId="72" borderId="0" xfId="0" applyFont="1" applyFill="1" applyAlignment="1">
      <alignment horizontal="center" vertical="center" wrapText="1"/>
    </xf>
    <xf numFmtId="0" fontId="176" fillId="72" borderId="0" xfId="0" applyFont="1" applyFill="1" applyAlignment="1">
      <alignment vertical="center" wrapText="1"/>
    </xf>
    <xf numFmtId="0" fontId="163" fillId="76" borderId="0" xfId="0" applyFont="1" applyFill="1" applyAlignment="1">
      <alignment vertical="center"/>
    </xf>
    <xf numFmtId="0" fontId="163" fillId="76" borderId="0" xfId="0" applyFont="1" applyFill="1" applyAlignment="1">
      <alignment horizontal="center" vertical="center" wrapText="1"/>
    </xf>
    <xf numFmtId="9" fontId="163" fillId="76" borderId="0" xfId="0" applyNumberFormat="1" applyFont="1" applyFill="1" applyAlignment="1">
      <alignment horizontal="center" vertical="center" wrapText="1"/>
    </xf>
    <xf numFmtId="0" fontId="176" fillId="72" borderId="0" xfId="0" applyFont="1" applyFill="1" applyAlignment="1">
      <alignment vertical="center"/>
    </xf>
    <xf numFmtId="0" fontId="146" fillId="82" borderId="0" xfId="0" applyFont="1" applyFill="1" applyAlignment="1">
      <alignment vertical="center"/>
    </xf>
    <xf numFmtId="0" fontId="146" fillId="82" borderId="0" xfId="0" applyFont="1" applyFill="1" applyAlignment="1">
      <alignment horizontal="center" vertical="center" wrapText="1"/>
    </xf>
    <xf numFmtId="10" fontId="146" fillId="82" borderId="0" xfId="0" applyNumberFormat="1" applyFont="1" applyFill="1" applyAlignment="1">
      <alignment horizontal="center" vertical="center" wrapText="1"/>
    </xf>
  </cellXfs>
  <cellStyles count="5548">
    <cellStyle name="20 % - Accent1" xfId="5380" builtinId="30" customBuiltin="1"/>
    <cellStyle name="20 % - Accent1 10 2" xfId="6" xr:uid="{00000000-0005-0000-0000-000000000000}"/>
    <cellStyle name="20 % - Accent1 10 3" xfId="7" xr:uid="{00000000-0005-0000-0000-000001000000}"/>
    <cellStyle name="20 % - Accent1 11 2" xfId="8" xr:uid="{00000000-0005-0000-0000-000002000000}"/>
    <cellStyle name="20 % - Accent1 11 3" xfId="9" xr:uid="{00000000-0005-0000-0000-000003000000}"/>
    <cellStyle name="20 % - Accent1 12 2" xfId="10" xr:uid="{00000000-0005-0000-0000-000004000000}"/>
    <cellStyle name="20 % - Accent1 12 3" xfId="11" xr:uid="{00000000-0005-0000-0000-000005000000}"/>
    <cellStyle name="20 % - Accent1 13 2" xfId="12" xr:uid="{00000000-0005-0000-0000-000006000000}"/>
    <cellStyle name="20 % - Accent1 13 3" xfId="13" xr:uid="{00000000-0005-0000-0000-000007000000}"/>
    <cellStyle name="20 % - Accent1 14 2" xfId="14" xr:uid="{00000000-0005-0000-0000-000008000000}"/>
    <cellStyle name="20 % - Accent1 14 3" xfId="15" xr:uid="{00000000-0005-0000-0000-000009000000}"/>
    <cellStyle name="20 % - Accent1 15 2" xfId="16" xr:uid="{00000000-0005-0000-0000-00000A000000}"/>
    <cellStyle name="20 % - Accent1 15 3" xfId="17" xr:uid="{00000000-0005-0000-0000-00000B000000}"/>
    <cellStyle name="20 % - Accent1 16 2" xfId="18" xr:uid="{00000000-0005-0000-0000-00000C000000}"/>
    <cellStyle name="20 % - Accent1 16 3" xfId="19" xr:uid="{00000000-0005-0000-0000-00000D000000}"/>
    <cellStyle name="20 % - Accent1 17 2" xfId="20" xr:uid="{00000000-0005-0000-0000-00000E000000}"/>
    <cellStyle name="20 % - Accent1 17 3" xfId="21" xr:uid="{00000000-0005-0000-0000-00000F000000}"/>
    <cellStyle name="20 % - Accent1 2 2" xfId="22" xr:uid="{00000000-0005-0000-0000-000010000000}"/>
    <cellStyle name="20 % - Accent1 2 3" xfId="23" xr:uid="{00000000-0005-0000-0000-000011000000}"/>
    <cellStyle name="20 % - Accent1 3 2" xfId="24" xr:uid="{00000000-0005-0000-0000-000012000000}"/>
    <cellStyle name="20 % - Accent1 3 3" xfId="25" xr:uid="{00000000-0005-0000-0000-000013000000}"/>
    <cellStyle name="20 % - Accent1 4 2" xfId="26" xr:uid="{00000000-0005-0000-0000-000014000000}"/>
    <cellStyle name="20 % - Accent1 4 3" xfId="27" xr:uid="{00000000-0005-0000-0000-000015000000}"/>
    <cellStyle name="20 % - Accent1 5 2" xfId="28" xr:uid="{00000000-0005-0000-0000-000016000000}"/>
    <cellStyle name="20 % - Accent1 5 3" xfId="29" xr:uid="{00000000-0005-0000-0000-000017000000}"/>
    <cellStyle name="20 % - Accent1 6 2" xfId="30" xr:uid="{00000000-0005-0000-0000-000018000000}"/>
    <cellStyle name="20 % - Accent1 6 3" xfId="31" xr:uid="{00000000-0005-0000-0000-000019000000}"/>
    <cellStyle name="20 % - Accent1 7 2" xfId="32" xr:uid="{00000000-0005-0000-0000-00001A000000}"/>
    <cellStyle name="20 % - Accent1 7 3" xfId="33" xr:uid="{00000000-0005-0000-0000-00001B000000}"/>
    <cellStyle name="20 % - Accent1 8 2" xfId="34" xr:uid="{00000000-0005-0000-0000-00001C000000}"/>
    <cellStyle name="20 % - Accent1 8 3" xfId="35" xr:uid="{00000000-0005-0000-0000-00001D000000}"/>
    <cellStyle name="20 % - Accent1 9 2" xfId="36" xr:uid="{00000000-0005-0000-0000-00001E000000}"/>
    <cellStyle name="20 % - Accent1 9 3" xfId="37" xr:uid="{00000000-0005-0000-0000-00001F000000}"/>
    <cellStyle name="20 % - Accent2" xfId="5382" builtinId="34" customBuiltin="1"/>
    <cellStyle name="20 % - Accent2 10 2" xfId="38" xr:uid="{00000000-0005-0000-0000-000020000000}"/>
    <cellStyle name="20 % - Accent2 10 3" xfId="39" xr:uid="{00000000-0005-0000-0000-000021000000}"/>
    <cellStyle name="20 % - Accent2 11 2" xfId="40" xr:uid="{00000000-0005-0000-0000-000022000000}"/>
    <cellStyle name="20 % - Accent2 11 3" xfId="41" xr:uid="{00000000-0005-0000-0000-000023000000}"/>
    <cellStyle name="20 % - Accent2 12 2" xfId="42" xr:uid="{00000000-0005-0000-0000-000024000000}"/>
    <cellStyle name="20 % - Accent2 12 3" xfId="43" xr:uid="{00000000-0005-0000-0000-000025000000}"/>
    <cellStyle name="20 % - Accent2 13 2" xfId="44" xr:uid="{00000000-0005-0000-0000-000026000000}"/>
    <cellStyle name="20 % - Accent2 13 3" xfId="45" xr:uid="{00000000-0005-0000-0000-000027000000}"/>
    <cellStyle name="20 % - Accent2 14 2" xfId="46" xr:uid="{00000000-0005-0000-0000-000028000000}"/>
    <cellStyle name="20 % - Accent2 14 3" xfId="47" xr:uid="{00000000-0005-0000-0000-000029000000}"/>
    <cellStyle name="20 % - Accent2 15 2" xfId="48" xr:uid="{00000000-0005-0000-0000-00002A000000}"/>
    <cellStyle name="20 % - Accent2 15 3" xfId="49" xr:uid="{00000000-0005-0000-0000-00002B000000}"/>
    <cellStyle name="20 % - Accent2 16 2" xfId="50" xr:uid="{00000000-0005-0000-0000-00002C000000}"/>
    <cellStyle name="20 % - Accent2 16 3" xfId="51" xr:uid="{00000000-0005-0000-0000-00002D000000}"/>
    <cellStyle name="20 % - Accent2 17 2" xfId="52" xr:uid="{00000000-0005-0000-0000-00002E000000}"/>
    <cellStyle name="20 % - Accent2 17 3" xfId="53" xr:uid="{00000000-0005-0000-0000-00002F000000}"/>
    <cellStyle name="20 % - Accent2 2 2" xfId="54" xr:uid="{00000000-0005-0000-0000-000030000000}"/>
    <cellStyle name="20 % - Accent2 2 3" xfId="55" xr:uid="{00000000-0005-0000-0000-000031000000}"/>
    <cellStyle name="20 % - Accent2 3 2" xfId="56" xr:uid="{00000000-0005-0000-0000-000032000000}"/>
    <cellStyle name="20 % - Accent2 3 3" xfId="57" xr:uid="{00000000-0005-0000-0000-000033000000}"/>
    <cellStyle name="20 % - Accent2 4 2" xfId="58" xr:uid="{00000000-0005-0000-0000-000034000000}"/>
    <cellStyle name="20 % - Accent2 4 3" xfId="59" xr:uid="{00000000-0005-0000-0000-000035000000}"/>
    <cellStyle name="20 % - Accent2 5 2" xfId="60" xr:uid="{00000000-0005-0000-0000-000036000000}"/>
    <cellStyle name="20 % - Accent2 5 3" xfId="61" xr:uid="{00000000-0005-0000-0000-000037000000}"/>
    <cellStyle name="20 % - Accent2 6 2" xfId="62" xr:uid="{00000000-0005-0000-0000-000038000000}"/>
    <cellStyle name="20 % - Accent2 6 3" xfId="63" xr:uid="{00000000-0005-0000-0000-000039000000}"/>
    <cellStyle name="20 % - Accent2 7 2" xfId="64" xr:uid="{00000000-0005-0000-0000-00003A000000}"/>
    <cellStyle name="20 % - Accent2 7 3" xfId="65" xr:uid="{00000000-0005-0000-0000-00003B000000}"/>
    <cellStyle name="20 % - Accent2 8 2" xfId="66" xr:uid="{00000000-0005-0000-0000-00003C000000}"/>
    <cellStyle name="20 % - Accent2 8 3" xfId="67" xr:uid="{00000000-0005-0000-0000-00003D000000}"/>
    <cellStyle name="20 % - Accent2 9 2" xfId="68" xr:uid="{00000000-0005-0000-0000-00003E000000}"/>
    <cellStyle name="20 % - Accent2 9 3" xfId="69" xr:uid="{00000000-0005-0000-0000-00003F000000}"/>
    <cellStyle name="20 % - Accent3" xfId="5384" builtinId="38" customBuiltin="1"/>
    <cellStyle name="20 % - Accent3 10 2" xfId="70" xr:uid="{00000000-0005-0000-0000-000040000000}"/>
    <cellStyle name="20 % - Accent3 10 3" xfId="71" xr:uid="{00000000-0005-0000-0000-000041000000}"/>
    <cellStyle name="20 % - Accent3 11 2" xfId="72" xr:uid="{00000000-0005-0000-0000-000042000000}"/>
    <cellStyle name="20 % - Accent3 11 3" xfId="73" xr:uid="{00000000-0005-0000-0000-000043000000}"/>
    <cellStyle name="20 % - Accent3 12 2" xfId="74" xr:uid="{00000000-0005-0000-0000-000044000000}"/>
    <cellStyle name="20 % - Accent3 12 3" xfId="75" xr:uid="{00000000-0005-0000-0000-000045000000}"/>
    <cellStyle name="20 % - Accent3 13 2" xfId="76" xr:uid="{00000000-0005-0000-0000-000046000000}"/>
    <cellStyle name="20 % - Accent3 13 3" xfId="77" xr:uid="{00000000-0005-0000-0000-000047000000}"/>
    <cellStyle name="20 % - Accent3 14 2" xfId="78" xr:uid="{00000000-0005-0000-0000-000048000000}"/>
    <cellStyle name="20 % - Accent3 14 3" xfId="79" xr:uid="{00000000-0005-0000-0000-000049000000}"/>
    <cellStyle name="20 % - Accent3 15 2" xfId="80" xr:uid="{00000000-0005-0000-0000-00004A000000}"/>
    <cellStyle name="20 % - Accent3 15 3" xfId="81" xr:uid="{00000000-0005-0000-0000-00004B000000}"/>
    <cellStyle name="20 % - Accent3 16 2" xfId="82" xr:uid="{00000000-0005-0000-0000-00004C000000}"/>
    <cellStyle name="20 % - Accent3 16 3" xfId="83" xr:uid="{00000000-0005-0000-0000-00004D000000}"/>
    <cellStyle name="20 % - Accent3 17 2" xfId="84" xr:uid="{00000000-0005-0000-0000-00004E000000}"/>
    <cellStyle name="20 % - Accent3 17 3" xfId="85" xr:uid="{00000000-0005-0000-0000-00004F000000}"/>
    <cellStyle name="20 % - Accent3 2 2" xfId="86" xr:uid="{00000000-0005-0000-0000-000050000000}"/>
    <cellStyle name="20 % - Accent3 2 3" xfId="87" xr:uid="{00000000-0005-0000-0000-000051000000}"/>
    <cellStyle name="20 % - Accent3 3 2" xfId="88" xr:uid="{00000000-0005-0000-0000-000052000000}"/>
    <cellStyle name="20 % - Accent3 3 3" xfId="89" xr:uid="{00000000-0005-0000-0000-000053000000}"/>
    <cellStyle name="20 % - Accent3 4 2" xfId="90" xr:uid="{00000000-0005-0000-0000-000054000000}"/>
    <cellStyle name="20 % - Accent3 4 3" xfId="91" xr:uid="{00000000-0005-0000-0000-000055000000}"/>
    <cellStyle name="20 % - Accent3 5 2" xfId="92" xr:uid="{00000000-0005-0000-0000-000056000000}"/>
    <cellStyle name="20 % - Accent3 5 3" xfId="93" xr:uid="{00000000-0005-0000-0000-000057000000}"/>
    <cellStyle name="20 % - Accent3 6 2" xfId="94" xr:uid="{00000000-0005-0000-0000-000058000000}"/>
    <cellStyle name="20 % - Accent3 6 3" xfId="95" xr:uid="{00000000-0005-0000-0000-000059000000}"/>
    <cellStyle name="20 % - Accent3 7 2" xfId="96" xr:uid="{00000000-0005-0000-0000-00005A000000}"/>
    <cellStyle name="20 % - Accent3 7 3" xfId="97" xr:uid="{00000000-0005-0000-0000-00005B000000}"/>
    <cellStyle name="20 % - Accent3 8 2" xfId="98" xr:uid="{00000000-0005-0000-0000-00005C000000}"/>
    <cellStyle name="20 % - Accent3 8 3" xfId="99" xr:uid="{00000000-0005-0000-0000-00005D000000}"/>
    <cellStyle name="20 % - Accent3 9 2" xfId="100" xr:uid="{00000000-0005-0000-0000-00005E000000}"/>
    <cellStyle name="20 % - Accent3 9 3" xfId="101" xr:uid="{00000000-0005-0000-0000-00005F000000}"/>
    <cellStyle name="20 % - Accent4" xfId="5386" builtinId="42" customBuiltin="1"/>
    <cellStyle name="20 % - Accent4 10 2" xfId="102" xr:uid="{00000000-0005-0000-0000-000060000000}"/>
    <cellStyle name="20 % - Accent4 10 3" xfId="103" xr:uid="{00000000-0005-0000-0000-000061000000}"/>
    <cellStyle name="20 % - Accent4 11 2" xfId="104" xr:uid="{00000000-0005-0000-0000-000062000000}"/>
    <cellStyle name="20 % - Accent4 11 3" xfId="105" xr:uid="{00000000-0005-0000-0000-000063000000}"/>
    <cellStyle name="20 % - Accent4 12 2" xfId="106" xr:uid="{00000000-0005-0000-0000-000064000000}"/>
    <cellStyle name="20 % - Accent4 12 3" xfId="107" xr:uid="{00000000-0005-0000-0000-000065000000}"/>
    <cellStyle name="20 % - Accent4 13 2" xfId="108" xr:uid="{00000000-0005-0000-0000-000066000000}"/>
    <cellStyle name="20 % - Accent4 13 3" xfId="109" xr:uid="{00000000-0005-0000-0000-000067000000}"/>
    <cellStyle name="20 % - Accent4 14 2" xfId="110" xr:uid="{00000000-0005-0000-0000-000068000000}"/>
    <cellStyle name="20 % - Accent4 14 3" xfId="111" xr:uid="{00000000-0005-0000-0000-000069000000}"/>
    <cellStyle name="20 % - Accent4 15 2" xfId="112" xr:uid="{00000000-0005-0000-0000-00006A000000}"/>
    <cellStyle name="20 % - Accent4 15 3" xfId="113" xr:uid="{00000000-0005-0000-0000-00006B000000}"/>
    <cellStyle name="20 % - Accent4 16 2" xfId="114" xr:uid="{00000000-0005-0000-0000-00006C000000}"/>
    <cellStyle name="20 % - Accent4 16 3" xfId="115" xr:uid="{00000000-0005-0000-0000-00006D000000}"/>
    <cellStyle name="20 % - Accent4 17 2" xfId="116" xr:uid="{00000000-0005-0000-0000-00006E000000}"/>
    <cellStyle name="20 % - Accent4 17 3" xfId="117" xr:uid="{00000000-0005-0000-0000-00006F000000}"/>
    <cellStyle name="20 % - Accent4 2 2" xfId="118" xr:uid="{00000000-0005-0000-0000-000070000000}"/>
    <cellStyle name="20 % - Accent4 2 3" xfId="119" xr:uid="{00000000-0005-0000-0000-000071000000}"/>
    <cellStyle name="20 % - Accent4 3 2" xfId="120" xr:uid="{00000000-0005-0000-0000-000072000000}"/>
    <cellStyle name="20 % - Accent4 3 3" xfId="121" xr:uid="{00000000-0005-0000-0000-000073000000}"/>
    <cellStyle name="20 % - Accent4 4 2" xfId="122" xr:uid="{00000000-0005-0000-0000-000074000000}"/>
    <cellStyle name="20 % - Accent4 4 3" xfId="123" xr:uid="{00000000-0005-0000-0000-000075000000}"/>
    <cellStyle name="20 % - Accent4 5 2" xfId="124" xr:uid="{00000000-0005-0000-0000-000076000000}"/>
    <cellStyle name="20 % - Accent4 5 3" xfId="125" xr:uid="{00000000-0005-0000-0000-000077000000}"/>
    <cellStyle name="20 % - Accent4 6 2" xfId="126" xr:uid="{00000000-0005-0000-0000-000078000000}"/>
    <cellStyle name="20 % - Accent4 6 3" xfId="127" xr:uid="{00000000-0005-0000-0000-000079000000}"/>
    <cellStyle name="20 % - Accent4 7 2" xfId="128" xr:uid="{00000000-0005-0000-0000-00007A000000}"/>
    <cellStyle name="20 % - Accent4 7 3" xfId="129" xr:uid="{00000000-0005-0000-0000-00007B000000}"/>
    <cellStyle name="20 % - Accent4 8 2" xfId="130" xr:uid="{00000000-0005-0000-0000-00007C000000}"/>
    <cellStyle name="20 % - Accent4 8 3" xfId="131" xr:uid="{00000000-0005-0000-0000-00007D000000}"/>
    <cellStyle name="20 % - Accent4 9 2" xfId="132" xr:uid="{00000000-0005-0000-0000-00007E000000}"/>
    <cellStyle name="20 % - Accent4 9 3" xfId="133" xr:uid="{00000000-0005-0000-0000-00007F000000}"/>
    <cellStyle name="20 % - Accent5" xfId="5388" builtinId="46" customBuiltin="1"/>
    <cellStyle name="20 % - Accent5 10 2" xfId="134" xr:uid="{00000000-0005-0000-0000-000080000000}"/>
    <cellStyle name="20 % - Accent5 10 3" xfId="135" xr:uid="{00000000-0005-0000-0000-000081000000}"/>
    <cellStyle name="20 % - Accent5 11 2" xfId="136" xr:uid="{00000000-0005-0000-0000-000082000000}"/>
    <cellStyle name="20 % - Accent5 11 3" xfId="137" xr:uid="{00000000-0005-0000-0000-000083000000}"/>
    <cellStyle name="20 % - Accent5 12 2" xfId="138" xr:uid="{00000000-0005-0000-0000-000084000000}"/>
    <cellStyle name="20 % - Accent5 12 3" xfId="139" xr:uid="{00000000-0005-0000-0000-000085000000}"/>
    <cellStyle name="20 % - Accent5 13 2" xfId="140" xr:uid="{00000000-0005-0000-0000-000086000000}"/>
    <cellStyle name="20 % - Accent5 13 3" xfId="141" xr:uid="{00000000-0005-0000-0000-000087000000}"/>
    <cellStyle name="20 % - Accent5 14 2" xfId="142" xr:uid="{00000000-0005-0000-0000-000088000000}"/>
    <cellStyle name="20 % - Accent5 14 3" xfId="143" xr:uid="{00000000-0005-0000-0000-000089000000}"/>
    <cellStyle name="20 % - Accent5 15 2" xfId="144" xr:uid="{00000000-0005-0000-0000-00008A000000}"/>
    <cellStyle name="20 % - Accent5 15 3" xfId="145" xr:uid="{00000000-0005-0000-0000-00008B000000}"/>
    <cellStyle name="20 % - Accent5 16 2" xfId="146" xr:uid="{00000000-0005-0000-0000-00008C000000}"/>
    <cellStyle name="20 % - Accent5 16 3" xfId="147" xr:uid="{00000000-0005-0000-0000-00008D000000}"/>
    <cellStyle name="20 % - Accent5 17 2" xfId="148" xr:uid="{00000000-0005-0000-0000-00008E000000}"/>
    <cellStyle name="20 % - Accent5 17 3" xfId="149" xr:uid="{00000000-0005-0000-0000-00008F000000}"/>
    <cellStyle name="20 % - Accent5 2 2" xfId="150" xr:uid="{00000000-0005-0000-0000-000090000000}"/>
    <cellStyle name="20 % - Accent5 2 3" xfId="151" xr:uid="{00000000-0005-0000-0000-000091000000}"/>
    <cellStyle name="20 % - Accent5 3 2" xfId="152" xr:uid="{00000000-0005-0000-0000-000092000000}"/>
    <cellStyle name="20 % - Accent5 3 3" xfId="153" xr:uid="{00000000-0005-0000-0000-000093000000}"/>
    <cellStyle name="20 % - Accent5 4 2" xfId="154" xr:uid="{00000000-0005-0000-0000-000094000000}"/>
    <cellStyle name="20 % - Accent5 4 3" xfId="155" xr:uid="{00000000-0005-0000-0000-000095000000}"/>
    <cellStyle name="20 % - Accent5 5 2" xfId="156" xr:uid="{00000000-0005-0000-0000-000096000000}"/>
    <cellStyle name="20 % - Accent5 5 3" xfId="157" xr:uid="{00000000-0005-0000-0000-000097000000}"/>
    <cellStyle name="20 % - Accent5 6 2" xfId="158" xr:uid="{00000000-0005-0000-0000-000098000000}"/>
    <cellStyle name="20 % - Accent5 6 3" xfId="159" xr:uid="{00000000-0005-0000-0000-000099000000}"/>
    <cellStyle name="20 % - Accent5 7 2" xfId="160" xr:uid="{00000000-0005-0000-0000-00009A000000}"/>
    <cellStyle name="20 % - Accent5 7 3" xfId="161" xr:uid="{00000000-0005-0000-0000-00009B000000}"/>
    <cellStyle name="20 % - Accent5 8 2" xfId="162" xr:uid="{00000000-0005-0000-0000-00009C000000}"/>
    <cellStyle name="20 % - Accent5 8 3" xfId="163" xr:uid="{00000000-0005-0000-0000-00009D000000}"/>
    <cellStyle name="20 % - Accent5 9 2" xfId="164" xr:uid="{00000000-0005-0000-0000-00009E000000}"/>
    <cellStyle name="20 % - Accent5 9 3" xfId="165" xr:uid="{00000000-0005-0000-0000-00009F000000}"/>
    <cellStyle name="20 % - Accent6" xfId="5390" builtinId="50" customBuiltin="1"/>
    <cellStyle name="20 % - Accent6 10 2" xfId="166" xr:uid="{00000000-0005-0000-0000-0000A0000000}"/>
    <cellStyle name="20 % - Accent6 10 3" xfId="167" xr:uid="{00000000-0005-0000-0000-0000A1000000}"/>
    <cellStyle name="20 % - Accent6 11 2" xfId="168" xr:uid="{00000000-0005-0000-0000-0000A2000000}"/>
    <cellStyle name="20 % - Accent6 11 3" xfId="169" xr:uid="{00000000-0005-0000-0000-0000A3000000}"/>
    <cellStyle name="20 % - Accent6 12 2" xfId="170" xr:uid="{00000000-0005-0000-0000-0000A4000000}"/>
    <cellStyle name="20 % - Accent6 12 3" xfId="171" xr:uid="{00000000-0005-0000-0000-0000A5000000}"/>
    <cellStyle name="20 % - Accent6 13 2" xfId="172" xr:uid="{00000000-0005-0000-0000-0000A6000000}"/>
    <cellStyle name="20 % - Accent6 13 3" xfId="173" xr:uid="{00000000-0005-0000-0000-0000A7000000}"/>
    <cellStyle name="20 % - Accent6 14 2" xfId="174" xr:uid="{00000000-0005-0000-0000-0000A8000000}"/>
    <cellStyle name="20 % - Accent6 14 3" xfId="175" xr:uid="{00000000-0005-0000-0000-0000A9000000}"/>
    <cellStyle name="20 % - Accent6 15 2" xfId="176" xr:uid="{00000000-0005-0000-0000-0000AA000000}"/>
    <cellStyle name="20 % - Accent6 15 3" xfId="177" xr:uid="{00000000-0005-0000-0000-0000AB000000}"/>
    <cellStyle name="20 % - Accent6 16 2" xfId="178" xr:uid="{00000000-0005-0000-0000-0000AC000000}"/>
    <cellStyle name="20 % - Accent6 16 3" xfId="179" xr:uid="{00000000-0005-0000-0000-0000AD000000}"/>
    <cellStyle name="20 % - Accent6 17 2" xfId="180" xr:uid="{00000000-0005-0000-0000-0000AE000000}"/>
    <cellStyle name="20 % - Accent6 17 3" xfId="181" xr:uid="{00000000-0005-0000-0000-0000AF000000}"/>
    <cellStyle name="20 % - Accent6 2 2" xfId="182" xr:uid="{00000000-0005-0000-0000-0000B0000000}"/>
    <cellStyle name="20 % - Accent6 2 3" xfId="183" xr:uid="{00000000-0005-0000-0000-0000B1000000}"/>
    <cellStyle name="20 % - Accent6 3 2" xfId="184" xr:uid="{00000000-0005-0000-0000-0000B2000000}"/>
    <cellStyle name="20 % - Accent6 3 3" xfId="185" xr:uid="{00000000-0005-0000-0000-0000B3000000}"/>
    <cellStyle name="20 % - Accent6 4 2" xfId="186" xr:uid="{00000000-0005-0000-0000-0000B4000000}"/>
    <cellStyle name="20 % - Accent6 4 3" xfId="187" xr:uid="{00000000-0005-0000-0000-0000B5000000}"/>
    <cellStyle name="20 % - Accent6 5 2" xfId="188" xr:uid="{00000000-0005-0000-0000-0000B6000000}"/>
    <cellStyle name="20 % - Accent6 5 3" xfId="189" xr:uid="{00000000-0005-0000-0000-0000B7000000}"/>
    <cellStyle name="20 % - Accent6 6 2" xfId="190" xr:uid="{00000000-0005-0000-0000-0000B8000000}"/>
    <cellStyle name="20 % - Accent6 6 3" xfId="191" xr:uid="{00000000-0005-0000-0000-0000B9000000}"/>
    <cellStyle name="20 % - Accent6 7 2" xfId="192" xr:uid="{00000000-0005-0000-0000-0000BA000000}"/>
    <cellStyle name="20 % - Accent6 7 3" xfId="193" xr:uid="{00000000-0005-0000-0000-0000BB000000}"/>
    <cellStyle name="20 % - Accent6 8 2" xfId="194" xr:uid="{00000000-0005-0000-0000-0000BC000000}"/>
    <cellStyle name="20 % - Accent6 8 3" xfId="195" xr:uid="{00000000-0005-0000-0000-0000BD000000}"/>
    <cellStyle name="20 % - Accent6 9 2" xfId="196" xr:uid="{00000000-0005-0000-0000-0000BE000000}"/>
    <cellStyle name="20 % - Accent6 9 3" xfId="197" xr:uid="{00000000-0005-0000-0000-0000BF000000}"/>
    <cellStyle name="20% - Accent1 2" xfId="5417" xr:uid="{00000000-0005-0000-0000-000001000000}"/>
    <cellStyle name="20% - Accent1 2 2" xfId="5460" xr:uid="{00000000-0005-0000-0000-000002000000}"/>
    <cellStyle name="20% - Accent1 3" xfId="5444" xr:uid="{00000000-0005-0000-0000-000003000000}"/>
    <cellStyle name="20% - Accent2 2" xfId="5419" xr:uid="{00000000-0005-0000-0000-000005000000}"/>
    <cellStyle name="20% - Accent2 2 2" xfId="5462" xr:uid="{00000000-0005-0000-0000-000006000000}"/>
    <cellStyle name="20% - Accent2 3" xfId="5446" xr:uid="{00000000-0005-0000-0000-000007000000}"/>
    <cellStyle name="20% - Accent3 2" xfId="5421" xr:uid="{00000000-0005-0000-0000-000009000000}"/>
    <cellStyle name="20% - Accent3 2 2" xfId="5464" xr:uid="{00000000-0005-0000-0000-00000A000000}"/>
    <cellStyle name="20% - Accent3 3" xfId="5448" xr:uid="{00000000-0005-0000-0000-00000B000000}"/>
    <cellStyle name="20% - Accent4 2" xfId="5423" xr:uid="{00000000-0005-0000-0000-00000D000000}"/>
    <cellStyle name="20% - Accent4 2 2" xfId="5466" xr:uid="{00000000-0005-0000-0000-00000E000000}"/>
    <cellStyle name="20% - Accent4 3" xfId="5450" xr:uid="{00000000-0005-0000-0000-00000F000000}"/>
    <cellStyle name="20% - Accent5 2" xfId="5425" xr:uid="{00000000-0005-0000-0000-000011000000}"/>
    <cellStyle name="20% - Accent5 2 2" xfId="5468" xr:uid="{00000000-0005-0000-0000-000012000000}"/>
    <cellStyle name="20% - Accent5 3" xfId="5452" xr:uid="{00000000-0005-0000-0000-000013000000}"/>
    <cellStyle name="20% - Accent6 2" xfId="5427" xr:uid="{00000000-0005-0000-0000-000015000000}"/>
    <cellStyle name="20% - Accent6 2 2" xfId="5470" xr:uid="{00000000-0005-0000-0000-000016000000}"/>
    <cellStyle name="20% - Accent6 3" xfId="5454" xr:uid="{00000000-0005-0000-0000-000017000000}"/>
    <cellStyle name="20% - 强调文字颜色 1" xfId="1363" xr:uid="{00000000-0005-0000-0000-0000C0000000}"/>
    <cellStyle name="20% - 强调文字颜色 2" xfId="1364" xr:uid="{00000000-0005-0000-0000-0000C1000000}"/>
    <cellStyle name="20% - 强调文字颜色 3" xfId="1365" xr:uid="{00000000-0005-0000-0000-0000C2000000}"/>
    <cellStyle name="20% - 强调文字颜色 4" xfId="1366" xr:uid="{00000000-0005-0000-0000-0000C3000000}"/>
    <cellStyle name="20% - 强调文字颜色 5" xfId="1367" xr:uid="{00000000-0005-0000-0000-0000C4000000}"/>
    <cellStyle name="20% - 强调文字颜色 6" xfId="1368" xr:uid="{00000000-0005-0000-0000-0000C5000000}"/>
    <cellStyle name="40 % - Accent1" xfId="5381" builtinId="31" customBuiltin="1"/>
    <cellStyle name="40 % - Accent1 10 2" xfId="198" xr:uid="{00000000-0005-0000-0000-0000C6000000}"/>
    <cellStyle name="40 % - Accent1 10 3" xfId="199" xr:uid="{00000000-0005-0000-0000-0000C7000000}"/>
    <cellStyle name="40 % - Accent1 11 2" xfId="200" xr:uid="{00000000-0005-0000-0000-0000C8000000}"/>
    <cellStyle name="40 % - Accent1 11 3" xfId="201" xr:uid="{00000000-0005-0000-0000-0000C9000000}"/>
    <cellStyle name="40 % - Accent1 12 2" xfId="202" xr:uid="{00000000-0005-0000-0000-0000CA000000}"/>
    <cellStyle name="40 % - Accent1 12 3" xfId="203" xr:uid="{00000000-0005-0000-0000-0000CB000000}"/>
    <cellStyle name="40 % - Accent1 13 2" xfId="204" xr:uid="{00000000-0005-0000-0000-0000CC000000}"/>
    <cellStyle name="40 % - Accent1 13 3" xfId="205" xr:uid="{00000000-0005-0000-0000-0000CD000000}"/>
    <cellStyle name="40 % - Accent1 14 2" xfId="206" xr:uid="{00000000-0005-0000-0000-0000CE000000}"/>
    <cellStyle name="40 % - Accent1 14 3" xfId="207" xr:uid="{00000000-0005-0000-0000-0000CF000000}"/>
    <cellStyle name="40 % - Accent1 15 2" xfId="208" xr:uid="{00000000-0005-0000-0000-0000D0000000}"/>
    <cellStyle name="40 % - Accent1 15 3" xfId="209" xr:uid="{00000000-0005-0000-0000-0000D1000000}"/>
    <cellStyle name="40 % - Accent1 16 2" xfId="210" xr:uid="{00000000-0005-0000-0000-0000D2000000}"/>
    <cellStyle name="40 % - Accent1 16 3" xfId="211" xr:uid="{00000000-0005-0000-0000-0000D3000000}"/>
    <cellStyle name="40 % - Accent1 17 2" xfId="212" xr:uid="{00000000-0005-0000-0000-0000D4000000}"/>
    <cellStyle name="40 % - Accent1 17 3" xfId="213" xr:uid="{00000000-0005-0000-0000-0000D5000000}"/>
    <cellStyle name="40 % - Accent1 2 2" xfId="214" xr:uid="{00000000-0005-0000-0000-0000D6000000}"/>
    <cellStyle name="40 % - Accent1 2 3" xfId="215" xr:uid="{00000000-0005-0000-0000-0000D7000000}"/>
    <cellStyle name="40 % - Accent1 3 2" xfId="216" xr:uid="{00000000-0005-0000-0000-0000D8000000}"/>
    <cellStyle name="40 % - Accent1 3 3" xfId="217" xr:uid="{00000000-0005-0000-0000-0000D9000000}"/>
    <cellStyle name="40 % - Accent1 4 2" xfId="218" xr:uid="{00000000-0005-0000-0000-0000DA000000}"/>
    <cellStyle name="40 % - Accent1 4 3" xfId="219" xr:uid="{00000000-0005-0000-0000-0000DB000000}"/>
    <cellStyle name="40 % - Accent1 5 2" xfId="220" xr:uid="{00000000-0005-0000-0000-0000DC000000}"/>
    <cellStyle name="40 % - Accent1 5 3" xfId="221" xr:uid="{00000000-0005-0000-0000-0000DD000000}"/>
    <cellStyle name="40 % - Accent1 6 2" xfId="222" xr:uid="{00000000-0005-0000-0000-0000DE000000}"/>
    <cellStyle name="40 % - Accent1 6 3" xfId="223" xr:uid="{00000000-0005-0000-0000-0000DF000000}"/>
    <cellStyle name="40 % - Accent1 7 2" xfId="224" xr:uid="{00000000-0005-0000-0000-0000E0000000}"/>
    <cellStyle name="40 % - Accent1 7 3" xfId="225" xr:uid="{00000000-0005-0000-0000-0000E1000000}"/>
    <cellStyle name="40 % - Accent1 8 2" xfId="226" xr:uid="{00000000-0005-0000-0000-0000E2000000}"/>
    <cellStyle name="40 % - Accent1 8 3" xfId="227" xr:uid="{00000000-0005-0000-0000-0000E3000000}"/>
    <cellStyle name="40 % - Accent1 9 2" xfId="228" xr:uid="{00000000-0005-0000-0000-0000E4000000}"/>
    <cellStyle name="40 % - Accent1 9 3" xfId="229" xr:uid="{00000000-0005-0000-0000-0000E5000000}"/>
    <cellStyle name="40 % - Accent2" xfId="5383" builtinId="35" customBuiltin="1"/>
    <cellStyle name="40 % - Accent2 10 2" xfId="230" xr:uid="{00000000-0005-0000-0000-0000E6000000}"/>
    <cellStyle name="40 % - Accent2 10 3" xfId="231" xr:uid="{00000000-0005-0000-0000-0000E7000000}"/>
    <cellStyle name="40 % - Accent2 11 2" xfId="232" xr:uid="{00000000-0005-0000-0000-0000E8000000}"/>
    <cellStyle name="40 % - Accent2 11 3" xfId="233" xr:uid="{00000000-0005-0000-0000-0000E9000000}"/>
    <cellStyle name="40 % - Accent2 12 2" xfId="234" xr:uid="{00000000-0005-0000-0000-0000EA000000}"/>
    <cellStyle name="40 % - Accent2 12 3" xfId="235" xr:uid="{00000000-0005-0000-0000-0000EB000000}"/>
    <cellStyle name="40 % - Accent2 13 2" xfId="236" xr:uid="{00000000-0005-0000-0000-0000EC000000}"/>
    <cellStyle name="40 % - Accent2 13 3" xfId="237" xr:uid="{00000000-0005-0000-0000-0000ED000000}"/>
    <cellStyle name="40 % - Accent2 14 2" xfId="238" xr:uid="{00000000-0005-0000-0000-0000EE000000}"/>
    <cellStyle name="40 % - Accent2 14 3" xfId="239" xr:uid="{00000000-0005-0000-0000-0000EF000000}"/>
    <cellStyle name="40 % - Accent2 15 2" xfId="240" xr:uid="{00000000-0005-0000-0000-0000F0000000}"/>
    <cellStyle name="40 % - Accent2 15 3" xfId="241" xr:uid="{00000000-0005-0000-0000-0000F1000000}"/>
    <cellStyle name="40 % - Accent2 16 2" xfId="242" xr:uid="{00000000-0005-0000-0000-0000F2000000}"/>
    <cellStyle name="40 % - Accent2 16 3" xfId="243" xr:uid="{00000000-0005-0000-0000-0000F3000000}"/>
    <cellStyle name="40 % - Accent2 17 2" xfId="244" xr:uid="{00000000-0005-0000-0000-0000F4000000}"/>
    <cellStyle name="40 % - Accent2 17 3" xfId="245" xr:uid="{00000000-0005-0000-0000-0000F5000000}"/>
    <cellStyle name="40 % - Accent2 2 2" xfId="246" xr:uid="{00000000-0005-0000-0000-0000F6000000}"/>
    <cellStyle name="40 % - Accent2 2 3" xfId="247" xr:uid="{00000000-0005-0000-0000-0000F7000000}"/>
    <cellStyle name="40 % - Accent2 3 2" xfId="248" xr:uid="{00000000-0005-0000-0000-0000F8000000}"/>
    <cellStyle name="40 % - Accent2 3 3" xfId="249" xr:uid="{00000000-0005-0000-0000-0000F9000000}"/>
    <cellStyle name="40 % - Accent2 4 2" xfId="250" xr:uid="{00000000-0005-0000-0000-0000FA000000}"/>
    <cellStyle name="40 % - Accent2 4 3" xfId="251" xr:uid="{00000000-0005-0000-0000-0000FB000000}"/>
    <cellStyle name="40 % - Accent2 5 2" xfId="252" xr:uid="{00000000-0005-0000-0000-0000FC000000}"/>
    <cellStyle name="40 % - Accent2 5 3" xfId="253" xr:uid="{00000000-0005-0000-0000-0000FD000000}"/>
    <cellStyle name="40 % - Accent2 6 2" xfId="254" xr:uid="{00000000-0005-0000-0000-0000FE000000}"/>
    <cellStyle name="40 % - Accent2 6 3" xfId="255" xr:uid="{00000000-0005-0000-0000-0000FF000000}"/>
    <cellStyle name="40 % - Accent2 7 2" xfId="256" xr:uid="{00000000-0005-0000-0000-000000010000}"/>
    <cellStyle name="40 % - Accent2 7 3" xfId="257" xr:uid="{00000000-0005-0000-0000-000001010000}"/>
    <cellStyle name="40 % - Accent2 8 2" xfId="258" xr:uid="{00000000-0005-0000-0000-000002010000}"/>
    <cellStyle name="40 % - Accent2 8 3" xfId="259" xr:uid="{00000000-0005-0000-0000-000003010000}"/>
    <cellStyle name="40 % - Accent2 9 2" xfId="260" xr:uid="{00000000-0005-0000-0000-000004010000}"/>
    <cellStyle name="40 % - Accent2 9 3" xfId="261" xr:uid="{00000000-0005-0000-0000-000005010000}"/>
    <cellStyle name="40 % - Accent3" xfId="5385" builtinId="39" customBuiltin="1"/>
    <cellStyle name="40 % - Accent3 10 2" xfId="262" xr:uid="{00000000-0005-0000-0000-000006010000}"/>
    <cellStyle name="40 % - Accent3 10 3" xfId="263" xr:uid="{00000000-0005-0000-0000-000007010000}"/>
    <cellStyle name="40 % - Accent3 11 2" xfId="264" xr:uid="{00000000-0005-0000-0000-000008010000}"/>
    <cellStyle name="40 % - Accent3 11 3" xfId="265" xr:uid="{00000000-0005-0000-0000-000009010000}"/>
    <cellStyle name="40 % - Accent3 12 2" xfId="266" xr:uid="{00000000-0005-0000-0000-00000A010000}"/>
    <cellStyle name="40 % - Accent3 12 3" xfId="267" xr:uid="{00000000-0005-0000-0000-00000B010000}"/>
    <cellStyle name="40 % - Accent3 13 2" xfId="268" xr:uid="{00000000-0005-0000-0000-00000C010000}"/>
    <cellStyle name="40 % - Accent3 13 3" xfId="269" xr:uid="{00000000-0005-0000-0000-00000D010000}"/>
    <cellStyle name="40 % - Accent3 14 2" xfId="270" xr:uid="{00000000-0005-0000-0000-00000E010000}"/>
    <cellStyle name="40 % - Accent3 14 3" xfId="271" xr:uid="{00000000-0005-0000-0000-00000F010000}"/>
    <cellStyle name="40 % - Accent3 15 2" xfId="272" xr:uid="{00000000-0005-0000-0000-000010010000}"/>
    <cellStyle name="40 % - Accent3 15 3" xfId="273" xr:uid="{00000000-0005-0000-0000-000011010000}"/>
    <cellStyle name="40 % - Accent3 16 2" xfId="274" xr:uid="{00000000-0005-0000-0000-000012010000}"/>
    <cellStyle name="40 % - Accent3 16 3" xfId="275" xr:uid="{00000000-0005-0000-0000-000013010000}"/>
    <cellStyle name="40 % - Accent3 17 2" xfId="276" xr:uid="{00000000-0005-0000-0000-000014010000}"/>
    <cellStyle name="40 % - Accent3 17 3" xfId="277" xr:uid="{00000000-0005-0000-0000-000015010000}"/>
    <cellStyle name="40 % - Accent3 2 2" xfId="278" xr:uid="{00000000-0005-0000-0000-000016010000}"/>
    <cellStyle name="40 % - Accent3 2 3" xfId="279" xr:uid="{00000000-0005-0000-0000-000017010000}"/>
    <cellStyle name="40 % - Accent3 3 2" xfId="280" xr:uid="{00000000-0005-0000-0000-000018010000}"/>
    <cellStyle name="40 % - Accent3 3 3" xfId="281" xr:uid="{00000000-0005-0000-0000-000019010000}"/>
    <cellStyle name="40 % - Accent3 4 2" xfId="282" xr:uid="{00000000-0005-0000-0000-00001A010000}"/>
    <cellStyle name="40 % - Accent3 4 3" xfId="283" xr:uid="{00000000-0005-0000-0000-00001B010000}"/>
    <cellStyle name="40 % - Accent3 5 2" xfId="284" xr:uid="{00000000-0005-0000-0000-00001C010000}"/>
    <cellStyle name="40 % - Accent3 5 3" xfId="285" xr:uid="{00000000-0005-0000-0000-00001D010000}"/>
    <cellStyle name="40 % - Accent3 6 2" xfId="286" xr:uid="{00000000-0005-0000-0000-00001E010000}"/>
    <cellStyle name="40 % - Accent3 6 3" xfId="287" xr:uid="{00000000-0005-0000-0000-00001F010000}"/>
    <cellStyle name="40 % - Accent3 7 2" xfId="288" xr:uid="{00000000-0005-0000-0000-000020010000}"/>
    <cellStyle name="40 % - Accent3 7 3" xfId="289" xr:uid="{00000000-0005-0000-0000-000021010000}"/>
    <cellStyle name="40 % - Accent3 8 2" xfId="290" xr:uid="{00000000-0005-0000-0000-000022010000}"/>
    <cellStyle name="40 % - Accent3 8 3" xfId="291" xr:uid="{00000000-0005-0000-0000-000023010000}"/>
    <cellStyle name="40 % - Accent3 9 2" xfId="292" xr:uid="{00000000-0005-0000-0000-000024010000}"/>
    <cellStyle name="40 % - Accent3 9 3" xfId="293" xr:uid="{00000000-0005-0000-0000-000025010000}"/>
    <cellStyle name="40 % - Accent4" xfId="5387" builtinId="43" customBuiltin="1"/>
    <cellStyle name="40 % - Accent4 10 2" xfId="294" xr:uid="{00000000-0005-0000-0000-000026010000}"/>
    <cellStyle name="40 % - Accent4 10 3" xfId="295" xr:uid="{00000000-0005-0000-0000-000027010000}"/>
    <cellStyle name="40 % - Accent4 11 2" xfId="296" xr:uid="{00000000-0005-0000-0000-000028010000}"/>
    <cellStyle name="40 % - Accent4 11 3" xfId="297" xr:uid="{00000000-0005-0000-0000-000029010000}"/>
    <cellStyle name="40 % - Accent4 12 2" xfId="298" xr:uid="{00000000-0005-0000-0000-00002A010000}"/>
    <cellStyle name="40 % - Accent4 12 3" xfId="299" xr:uid="{00000000-0005-0000-0000-00002B010000}"/>
    <cellStyle name="40 % - Accent4 13 2" xfId="300" xr:uid="{00000000-0005-0000-0000-00002C010000}"/>
    <cellStyle name="40 % - Accent4 13 3" xfId="301" xr:uid="{00000000-0005-0000-0000-00002D010000}"/>
    <cellStyle name="40 % - Accent4 14 2" xfId="302" xr:uid="{00000000-0005-0000-0000-00002E010000}"/>
    <cellStyle name="40 % - Accent4 14 3" xfId="303" xr:uid="{00000000-0005-0000-0000-00002F010000}"/>
    <cellStyle name="40 % - Accent4 15 2" xfId="304" xr:uid="{00000000-0005-0000-0000-000030010000}"/>
    <cellStyle name="40 % - Accent4 15 3" xfId="305" xr:uid="{00000000-0005-0000-0000-000031010000}"/>
    <cellStyle name="40 % - Accent4 16 2" xfId="306" xr:uid="{00000000-0005-0000-0000-000032010000}"/>
    <cellStyle name="40 % - Accent4 16 3" xfId="307" xr:uid="{00000000-0005-0000-0000-000033010000}"/>
    <cellStyle name="40 % - Accent4 17 2" xfId="308" xr:uid="{00000000-0005-0000-0000-000034010000}"/>
    <cellStyle name="40 % - Accent4 17 3" xfId="309" xr:uid="{00000000-0005-0000-0000-000035010000}"/>
    <cellStyle name="40 % - Accent4 2 2" xfId="310" xr:uid="{00000000-0005-0000-0000-000036010000}"/>
    <cellStyle name="40 % - Accent4 2 3" xfId="311" xr:uid="{00000000-0005-0000-0000-000037010000}"/>
    <cellStyle name="40 % - Accent4 3 2" xfId="312" xr:uid="{00000000-0005-0000-0000-000038010000}"/>
    <cellStyle name="40 % - Accent4 3 3" xfId="313" xr:uid="{00000000-0005-0000-0000-000039010000}"/>
    <cellStyle name="40 % - Accent4 4 2" xfId="314" xr:uid="{00000000-0005-0000-0000-00003A010000}"/>
    <cellStyle name="40 % - Accent4 4 3" xfId="315" xr:uid="{00000000-0005-0000-0000-00003B010000}"/>
    <cellStyle name="40 % - Accent4 5 2" xfId="316" xr:uid="{00000000-0005-0000-0000-00003C010000}"/>
    <cellStyle name="40 % - Accent4 5 3" xfId="317" xr:uid="{00000000-0005-0000-0000-00003D010000}"/>
    <cellStyle name="40 % - Accent4 6 2" xfId="318" xr:uid="{00000000-0005-0000-0000-00003E010000}"/>
    <cellStyle name="40 % - Accent4 6 3" xfId="319" xr:uid="{00000000-0005-0000-0000-00003F010000}"/>
    <cellStyle name="40 % - Accent4 7 2" xfId="320" xr:uid="{00000000-0005-0000-0000-000040010000}"/>
    <cellStyle name="40 % - Accent4 7 3" xfId="321" xr:uid="{00000000-0005-0000-0000-000041010000}"/>
    <cellStyle name="40 % - Accent4 8 2" xfId="322" xr:uid="{00000000-0005-0000-0000-000042010000}"/>
    <cellStyle name="40 % - Accent4 8 3" xfId="323" xr:uid="{00000000-0005-0000-0000-000043010000}"/>
    <cellStyle name="40 % - Accent4 9 2" xfId="324" xr:uid="{00000000-0005-0000-0000-000044010000}"/>
    <cellStyle name="40 % - Accent4 9 3" xfId="325" xr:uid="{00000000-0005-0000-0000-000045010000}"/>
    <cellStyle name="40 % - Accent5" xfId="5389" builtinId="47" customBuiltin="1"/>
    <cellStyle name="40 % - Accent5 10 2" xfId="326" xr:uid="{00000000-0005-0000-0000-000046010000}"/>
    <cellStyle name="40 % - Accent5 10 3" xfId="327" xr:uid="{00000000-0005-0000-0000-000047010000}"/>
    <cellStyle name="40 % - Accent5 11 2" xfId="328" xr:uid="{00000000-0005-0000-0000-000048010000}"/>
    <cellStyle name="40 % - Accent5 11 3" xfId="329" xr:uid="{00000000-0005-0000-0000-000049010000}"/>
    <cellStyle name="40 % - Accent5 12 2" xfId="330" xr:uid="{00000000-0005-0000-0000-00004A010000}"/>
    <cellStyle name="40 % - Accent5 12 3" xfId="331" xr:uid="{00000000-0005-0000-0000-00004B010000}"/>
    <cellStyle name="40 % - Accent5 13 2" xfId="332" xr:uid="{00000000-0005-0000-0000-00004C010000}"/>
    <cellStyle name="40 % - Accent5 13 3" xfId="333" xr:uid="{00000000-0005-0000-0000-00004D010000}"/>
    <cellStyle name="40 % - Accent5 14 2" xfId="334" xr:uid="{00000000-0005-0000-0000-00004E010000}"/>
    <cellStyle name="40 % - Accent5 14 3" xfId="335" xr:uid="{00000000-0005-0000-0000-00004F010000}"/>
    <cellStyle name="40 % - Accent5 15 2" xfId="336" xr:uid="{00000000-0005-0000-0000-000050010000}"/>
    <cellStyle name="40 % - Accent5 15 3" xfId="337" xr:uid="{00000000-0005-0000-0000-000051010000}"/>
    <cellStyle name="40 % - Accent5 16 2" xfId="338" xr:uid="{00000000-0005-0000-0000-000052010000}"/>
    <cellStyle name="40 % - Accent5 16 3" xfId="339" xr:uid="{00000000-0005-0000-0000-000053010000}"/>
    <cellStyle name="40 % - Accent5 17 2" xfId="340" xr:uid="{00000000-0005-0000-0000-000054010000}"/>
    <cellStyle name="40 % - Accent5 17 3" xfId="341" xr:uid="{00000000-0005-0000-0000-000055010000}"/>
    <cellStyle name="40 % - Accent5 2 2" xfId="342" xr:uid="{00000000-0005-0000-0000-000056010000}"/>
    <cellStyle name="40 % - Accent5 2 3" xfId="343" xr:uid="{00000000-0005-0000-0000-000057010000}"/>
    <cellStyle name="40 % - Accent5 3 2" xfId="344" xr:uid="{00000000-0005-0000-0000-000058010000}"/>
    <cellStyle name="40 % - Accent5 3 3" xfId="345" xr:uid="{00000000-0005-0000-0000-000059010000}"/>
    <cellStyle name="40 % - Accent5 4 2" xfId="346" xr:uid="{00000000-0005-0000-0000-00005A010000}"/>
    <cellStyle name="40 % - Accent5 4 3" xfId="347" xr:uid="{00000000-0005-0000-0000-00005B010000}"/>
    <cellStyle name="40 % - Accent5 5 2" xfId="348" xr:uid="{00000000-0005-0000-0000-00005C010000}"/>
    <cellStyle name="40 % - Accent5 5 3" xfId="349" xr:uid="{00000000-0005-0000-0000-00005D010000}"/>
    <cellStyle name="40 % - Accent5 6 2" xfId="350" xr:uid="{00000000-0005-0000-0000-00005E010000}"/>
    <cellStyle name="40 % - Accent5 6 3" xfId="351" xr:uid="{00000000-0005-0000-0000-00005F010000}"/>
    <cellStyle name="40 % - Accent5 7 2" xfId="352" xr:uid="{00000000-0005-0000-0000-000060010000}"/>
    <cellStyle name="40 % - Accent5 7 3" xfId="353" xr:uid="{00000000-0005-0000-0000-000061010000}"/>
    <cellStyle name="40 % - Accent5 8 2" xfId="354" xr:uid="{00000000-0005-0000-0000-000062010000}"/>
    <cellStyle name="40 % - Accent5 8 3" xfId="355" xr:uid="{00000000-0005-0000-0000-000063010000}"/>
    <cellStyle name="40 % - Accent5 9 2" xfId="356" xr:uid="{00000000-0005-0000-0000-000064010000}"/>
    <cellStyle name="40 % - Accent5 9 3" xfId="357" xr:uid="{00000000-0005-0000-0000-000065010000}"/>
    <cellStyle name="40 % - Accent6" xfId="5391" builtinId="51" customBuiltin="1"/>
    <cellStyle name="40 % - Accent6 10 2" xfId="358" xr:uid="{00000000-0005-0000-0000-000066010000}"/>
    <cellStyle name="40 % - Accent6 10 3" xfId="359" xr:uid="{00000000-0005-0000-0000-000067010000}"/>
    <cellStyle name="40 % - Accent6 11 2" xfId="360" xr:uid="{00000000-0005-0000-0000-000068010000}"/>
    <cellStyle name="40 % - Accent6 11 3" xfId="361" xr:uid="{00000000-0005-0000-0000-000069010000}"/>
    <cellStyle name="40 % - Accent6 12 2" xfId="362" xr:uid="{00000000-0005-0000-0000-00006A010000}"/>
    <cellStyle name="40 % - Accent6 12 3" xfId="363" xr:uid="{00000000-0005-0000-0000-00006B010000}"/>
    <cellStyle name="40 % - Accent6 13 2" xfId="364" xr:uid="{00000000-0005-0000-0000-00006C010000}"/>
    <cellStyle name="40 % - Accent6 13 3" xfId="365" xr:uid="{00000000-0005-0000-0000-00006D010000}"/>
    <cellStyle name="40 % - Accent6 14 2" xfId="366" xr:uid="{00000000-0005-0000-0000-00006E010000}"/>
    <cellStyle name="40 % - Accent6 14 3" xfId="367" xr:uid="{00000000-0005-0000-0000-00006F010000}"/>
    <cellStyle name="40 % - Accent6 15 2" xfId="368" xr:uid="{00000000-0005-0000-0000-000070010000}"/>
    <cellStyle name="40 % - Accent6 15 3" xfId="369" xr:uid="{00000000-0005-0000-0000-000071010000}"/>
    <cellStyle name="40 % - Accent6 16 2" xfId="370" xr:uid="{00000000-0005-0000-0000-000072010000}"/>
    <cellStyle name="40 % - Accent6 16 3" xfId="371" xr:uid="{00000000-0005-0000-0000-000073010000}"/>
    <cellStyle name="40 % - Accent6 17 2" xfId="372" xr:uid="{00000000-0005-0000-0000-000074010000}"/>
    <cellStyle name="40 % - Accent6 17 3" xfId="373" xr:uid="{00000000-0005-0000-0000-000075010000}"/>
    <cellStyle name="40 % - Accent6 2 2" xfId="374" xr:uid="{00000000-0005-0000-0000-000076010000}"/>
    <cellStyle name="40 % - Accent6 2 3" xfId="375" xr:uid="{00000000-0005-0000-0000-000077010000}"/>
    <cellStyle name="40 % - Accent6 3 2" xfId="376" xr:uid="{00000000-0005-0000-0000-000078010000}"/>
    <cellStyle name="40 % - Accent6 3 3" xfId="377" xr:uid="{00000000-0005-0000-0000-000079010000}"/>
    <cellStyle name="40 % - Accent6 4 2" xfId="378" xr:uid="{00000000-0005-0000-0000-00007A010000}"/>
    <cellStyle name="40 % - Accent6 4 3" xfId="379" xr:uid="{00000000-0005-0000-0000-00007B010000}"/>
    <cellStyle name="40 % - Accent6 5 2" xfId="380" xr:uid="{00000000-0005-0000-0000-00007C010000}"/>
    <cellStyle name="40 % - Accent6 5 3" xfId="381" xr:uid="{00000000-0005-0000-0000-00007D010000}"/>
    <cellStyle name="40 % - Accent6 6 2" xfId="382" xr:uid="{00000000-0005-0000-0000-00007E010000}"/>
    <cellStyle name="40 % - Accent6 6 3" xfId="383" xr:uid="{00000000-0005-0000-0000-00007F010000}"/>
    <cellStyle name="40 % - Accent6 7 2" xfId="384" xr:uid="{00000000-0005-0000-0000-000080010000}"/>
    <cellStyle name="40 % - Accent6 7 3" xfId="385" xr:uid="{00000000-0005-0000-0000-000081010000}"/>
    <cellStyle name="40 % - Accent6 8 2" xfId="386" xr:uid="{00000000-0005-0000-0000-000082010000}"/>
    <cellStyle name="40 % - Accent6 8 3" xfId="387" xr:uid="{00000000-0005-0000-0000-000083010000}"/>
    <cellStyle name="40 % - Accent6 9 2" xfId="388" xr:uid="{00000000-0005-0000-0000-000084010000}"/>
    <cellStyle name="40 % - Accent6 9 3" xfId="389" xr:uid="{00000000-0005-0000-0000-000085010000}"/>
    <cellStyle name="40% - Accent1 2" xfId="5418" xr:uid="{00000000-0005-0000-0000-000019000000}"/>
    <cellStyle name="40% - Accent1 2 2" xfId="5461" xr:uid="{00000000-0005-0000-0000-00001A000000}"/>
    <cellStyle name="40% - Accent1 3" xfId="5445" xr:uid="{00000000-0005-0000-0000-00001B000000}"/>
    <cellStyle name="40% - Accent2 2" xfId="5420" xr:uid="{00000000-0005-0000-0000-00001D000000}"/>
    <cellStyle name="40% - Accent2 2 2" xfId="5463" xr:uid="{00000000-0005-0000-0000-00001E000000}"/>
    <cellStyle name="40% - Accent2 3" xfId="5447" xr:uid="{00000000-0005-0000-0000-00001F000000}"/>
    <cellStyle name="40% - Accent3 2" xfId="5422" xr:uid="{00000000-0005-0000-0000-000021000000}"/>
    <cellStyle name="40% - Accent3 2 2" xfId="5465" xr:uid="{00000000-0005-0000-0000-000022000000}"/>
    <cellStyle name="40% - Accent3 3" xfId="5449" xr:uid="{00000000-0005-0000-0000-000023000000}"/>
    <cellStyle name="40% - Accent4 2" xfId="5424" xr:uid="{00000000-0005-0000-0000-000025000000}"/>
    <cellStyle name="40% - Accent4 2 2" xfId="5467" xr:uid="{00000000-0005-0000-0000-000026000000}"/>
    <cellStyle name="40% - Accent4 3" xfId="5451" xr:uid="{00000000-0005-0000-0000-000027000000}"/>
    <cellStyle name="40% - Accent5 2" xfId="5426" xr:uid="{00000000-0005-0000-0000-000029000000}"/>
    <cellStyle name="40% - Accent5 2 2" xfId="5469" xr:uid="{00000000-0005-0000-0000-00002A000000}"/>
    <cellStyle name="40% - Accent5 3" xfId="5453" xr:uid="{00000000-0005-0000-0000-00002B000000}"/>
    <cellStyle name="40% - Accent6 2" xfId="5428" xr:uid="{00000000-0005-0000-0000-00002D000000}"/>
    <cellStyle name="40% - Accent6 2 2" xfId="5471" xr:uid="{00000000-0005-0000-0000-00002E000000}"/>
    <cellStyle name="40% - Accent6 3" xfId="5455" xr:uid="{00000000-0005-0000-0000-00002F000000}"/>
    <cellStyle name="40% - 强调文字颜色 1" xfId="1369" xr:uid="{00000000-0005-0000-0000-000086010000}"/>
    <cellStyle name="40% - 强调文字颜色 2" xfId="1370" xr:uid="{00000000-0005-0000-0000-000087010000}"/>
    <cellStyle name="40% - 强调文字颜色 3" xfId="1371" xr:uid="{00000000-0005-0000-0000-000088010000}"/>
    <cellStyle name="40% - 强调文字颜色 4" xfId="1372" xr:uid="{00000000-0005-0000-0000-000089010000}"/>
    <cellStyle name="40% - 强调文字颜色 5" xfId="1373" xr:uid="{00000000-0005-0000-0000-00008A010000}"/>
    <cellStyle name="40% - 强调文字颜色 6" xfId="1374" xr:uid="{00000000-0005-0000-0000-00008B010000}"/>
    <cellStyle name="60 % - Accent1 10 2" xfId="390" xr:uid="{00000000-0005-0000-0000-00008C010000}"/>
    <cellStyle name="60 % - Accent1 10 3" xfId="391" xr:uid="{00000000-0005-0000-0000-00008D010000}"/>
    <cellStyle name="60 % - Accent1 11 2" xfId="392" xr:uid="{00000000-0005-0000-0000-00008E010000}"/>
    <cellStyle name="60 % - Accent1 11 3" xfId="393" xr:uid="{00000000-0005-0000-0000-00008F010000}"/>
    <cellStyle name="60 % - Accent1 12 2" xfId="394" xr:uid="{00000000-0005-0000-0000-000090010000}"/>
    <cellStyle name="60 % - Accent1 12 3" xfId="395" xr:uid="{00000000-0005-0000-0000-000091010000}"/>
    <cellStyle name="60 % - Accent1 13 2" xfId="396" xr:uid="{00000000-0005-0000-0000-000092010000}"/>
    <cellStyle name="60 % - Accent1 13 3" xfId="397" xr:uid="{00000000-0005-0000-0000-000093010000}"/>
    <cellStyle name="60 % - Accent1 14 2" xfId="398" xr:uid="{00000000-0005-0000-0000-000094010000}"/>
    <cellStyle name="60 % - Accent1 14 3" xfId="399" xr:uid="{00000000-0005-0000-0000-000095010000}"/>
    <cellStyle name="60 % - Accent1 15 2" xfId="400" xr:uid="{00000000-0005-0000-0000-000096010000}"/>
    <cellStyle name="60 % - Accent1 15 3" xfId="401" xr:uid="{00000000-0005-0000-0000-000097010000}"/>
    <cellStyle name="60 % - Accent1 16 2" xfId="402" xr:uid="{00000000-0005-0000-0000-000098010000}"/>
    <cellStyle name="60 % - Accent1 16 3" xfId="403" xr:uid="{00000000-0005-0000-0000-000099010000}"/>
    <cellStyle name="60 % - Accent1 17 2" xfId="404" xr:uid="{00000000-0005-0000-0000-00009A010000}"/>
    <cellStyle name="60 % - Accent1 17 3" xfId="405" xr:uid="{00000000-0005-0000-0000-00009B010000}"/>
    <cellStyle name="60 % - Accent1 2" xfId="5407" xr:uid="{00000000-0005-0000-0000-000041150000}"/>
    <cellStyle name="60 % - Accent1 2 2" xfId="406" xr:uid="{00000000-0005-0000-0000-00009C010000}"/>
    <cellStyle name="60 % - Accent1 2 3" xfId="407" xr:uid="{00000000-0005-0000-0000-00009D010000}"/>
    <cellStyle name="60 % - Accent1 3 2" xfId="408" xr:uid="{00000000-0005-0000-0000-00009E010000}"/>
    <cellStyle name="60 % - Accent1 3 3" xfId="409" xr:uid="{00000000-0005-0000-0000-00009F010000}"/>
    <cellStyle name="60 % - Accent1 4 2" xfId="410" xr:uid="{00000000-0005-0000-0000-0000A0010000}"/>
    <cellStyle name="60 % - Accent1 4 3" xfId="411" xr:uid="{00000000-0005-0000-0000-0000A1010000}"/>
    <cellStyle name="60 % - Accent1 5 2" xfId="412" xr:uid="{00000000-0005-0000-0000-0000A2010000}"/>
    <cellStyle name="60 % - Accent1 5 3" xfId="413" xr:uid="{00000000-0005-0000-0000-0000A3010000}"/>
    <cellStyle name="60 % - Accent1 6 2" xfId="414" xr:uid="{00000000-0005-0000-0000-0000A4010000}"/>
    <cellStyle name="60 % - Accent1 6 3" xfId="415" xr:uid="{00000000-0005-0000-0000-0000A5010000}"/>
    <cellStyle name="60 % - Accent1 7 2" xfId="416" xr:uid="{00000000-0005-0000-0000-0000A6010000}"/>
    <cellStyle name="60 % - Accent1 7 3" xfId="417" xr:uid="{00000000-0005-0000-0000-0000A7010000}"/>
    <cellStyle name="60 % - Accent1 8 2" xfId="418" xr:uid="{00000000-0005-0000-0000-0000A8010000}"/>
    <cellStyle name="60 % - Accent1 8 3" xfId="419" xr:uid="{00000000-0005-0000-0000-0000A9010000}"/>
    <cellStyle name="60 % - Accent1 9 2" xfId="420" xr:uid="{00000000-0005-0000-0000-0000AA010000}"/>
    <cellStyle name="60 % - Accent1 9 3" xfId="421" xr:uid="{00000000-0005-0000-0000-0000AB010000}"/>
    <cellStyle name="60 % - Accent2 10 2" xfId="422" xr:uid="{00000000-0005-0000-0000-0000AC010000}"/>
    <cellStyle name="60 % - Accent2 10 3" xfId="423" xr:uid="{00000000-0005-0000-0000-0000AD010000}"/>
    <cellStyle name="60 % - Accent2 11 2" xfId="424" xr:uid="{00000000-0005-0000-0000-0000AE010000}"/>
    <cellStyle name="60 % - Accent2 11 3" xfId="425" xr:uid="{00000000-0005-0000-0000-0000AF010000}"/>
    <cellStyle name="60 % - Accent2 12 2" xfId="426" xr:uid="{00000000-0005-0000-0000-0000B0010000}"/>
    <cellStyle name="60 % - Accent2 12 3" xfId="427" xr:uid="{00000000-0005-0000-0000-0000B1010000}"/>
    <cellStyle name="60 % - Accent2 13 2" xfId="428" xr:uid="{00000000-0005-0000-0000-0000B2010000}"/>
    <cellStyle name="60 % - Accent2 13 3" xfId="429" xr:uid="{00000000-0005-0000-0000-0000B3010000}"/>
    <cellStyle name="60 % - Accent2 14 2" xfId="430" xr:uid="{00000000-0005-0000-0000-0000B4010000}"/>
    <cellStyle name="60 % - Accent2 14 3" xfId="431" xr:uid="{00000000-0005-0000-0000-0000B5010000}"/>
    <cellStyle name="60 % - Accent2 15 2" xfId="432" xr:uid="{00000000-0005-0000-0000-0000B6010000}"/>
    <cellStyle name="60 % - Accent2 15 3" xfId="433" xr:uid="{00000000-0005-0000-0000-0000B7010000}"/>
    <cellStyle name="60 % - Accent2 16 2" xfId="434" xr:uid="{00000000-0005-0000-0000-0000B8010000}"/>
    <cellStyle name="60 % - Accent2 16 3" xfId="435" xr:uid="{00000000-0005-0000-0000-0000B9010000}"/>
    <cellStyle name="60 % - Accent2 17 2" xfId="436" xr:uid="{00000000-0005-0000-0000-0000BA010000}"/>
    <cellStyle name="60 % - Accent2 17 3" xfId="437" xr:uid="{00000000-0005-0000-0000-0000BB010000}"/>
    <cellStyle name="60 % - Accent2 2" xfId="5408" xr:uid="{00000000-0005-0000-0000-000042150000}"/>
    <cellStyle name="60 % - Accent2 2 2" xfId="438" xr:uid="{00000000-0005-0000-0000-0000BC010000}"/>
    <cellStyle name="60 % - Accent2 2 3" xfId="439" xr:uid="{00000000-0005-0000-0000-0000BD010000}"/>
    <cellStyle name="60 % - Accent2 3 2" xfId="440" xr:uid="{00000000-0005-0000-0000-0000BE010000}"/>
    <cellStyle name="60 % - Accent2 3 3" xfId="441" xr:uid="{00000000-0005-0000-0000-0000BF010000}"/>
    <cellStyle name="60 % - Accent2 4 2" xfId="442" xr:uid="{00000000-0005-0000-0000-0000C0010000}"/>
    <cellStyle name="60 % - Accent2 4 3" xfId="443" xr:uid="{00000000-0005-0000-0000-0000C1010000}"/>
    <cellStyle name="60 % - Accent2 5 2" xfId="444" xr:uid="{00000000-0005-0000-0000-0000C2010000}"/>
    <cellStyle name="60 % - Accent2 5 3" xfId="445" xr:uid="{00000000-0005-0000-0000-0000C3010000}"/>
    <cellStyle name="60 % - Accent2 6 2" xfId="446" xr:uid="{00000000-0005-0000-0000-0000C4010000}"/>
    <cellStyle name="60 % - Accent2 6 3" xfId="447" xr:uid="{00000000-0005-0000-0000-0000C5010000}"/>
    <cellStyle name="60 % - Accent2 7 2" xfId="448" xr:uid="{00000000-0005-0000-0000-0000C6010000}"/>
    <cellStyle name="60 % - Accent2 7 3" xfId="449" xr:uid="{00000000-0005-0000-0000-0000C7010000}"/>
    <cellStyle name="60 % - Accent2 8 2" xfId="450" xr:uid="{00000000-0005-0000-0000-0000C8010000}"/>
    <cellStyle name="60 % - Accent2 8 3" xfId="451" xr:uid="{00000000-0005-0000-0000-0000C9010000}"/>
    <cellStyle name="60 % - Accent2 9 2" xfId="452" xr:uid="{00000000-0005-0000-0000-0000CA010000}"/>
    <cellStyle name="60 % - Accent2 9 3" xfId="453" xr:uid="{00000000-0005-0000-0000-0000CB010000}"/>
    <cellStyle name="60 % - Accent3 10 2" xfId="454" xr:uid="{00000000-0005-0000-0000-0000CC010000}"/>
    <cellStyle name="60 % - Accent3 10 3" xfId="455" xr:uid="{00000000-0005-0000-0000-0000CD010000}"/>
    <cellStyle name="60 % - Accent3 11 2" xfId="456" xr:uid="{00000000-0005-0000-0000-0000CE010000}"/>
    <cellStyle name="60 % - Accent3 11 3" xfId="457" xr:uid="{00000000-0005-0000-0000-0000CF010000}"/>
    <cellStyle name="60 % - Accent3 12 2" xfId="458" xr:uid="{00000000-0005-0000-0000-0000D0010000}"/>
    <cellStyle name="60 % - Accent3 12 3" xfId="459" xr:uid="{00000000-0005-0000-0000-0000D1010000}"/>
    <cellStyle name="60 % - Accent3 13 2" xfId="460" xr:uid="{00000000-0005-0000-0000-0000D2010000}"/>
    <cellStyle name="60 % - Accent3 13 3" xfId="461" xr:uid="{00000000-0005-0000-0000-0000D3010000}"/>
    <cellStyle name="60 % - Accent3 14 2" xfId="462" xr:uid="{00000000-0005-0000-0000-0000D4010000}"/>
    <cellStyle name="60 % - Accent3 14 3" xfId="463" xr:uid="{00000000-0005-0000-0000-0000D5010000}"/>
    <cellStyle name="60 % - Accent3 15 2" xfId="464" xr:uid="{00000000-0005-0000-0000-0000D6010000}"/>
    <cellStyle name="60 % - Accent3 15 3" xfId="465" xr:uid="{00000000-0005-0000-0000-0000D7010000}"/>
    <cellStyle name="60 % - Accent3 16 2" xfId="466" xr:uid="{00000000-0005-0000-0000-0000D8010000}"/>
    <cellStyle name="60 % - Accent3 16 3" xfId="467" xr:uid="{00000000-0005-0000-0000-0000D9010000}"/>
    <cellStyle name="60 % - Accent3 17 2" xfId="468" xr:uid="{00000000-0005-0000-0000-0000DA010000}"/>
    <cellStyle name="60 % - Accent3 17 3" xfId="469" xr:uid="{00000000-0005-0000-0000-0000DB010000}"/>
    <cellStyle name="60 % - Accent3 2" xfId="5409" xr:uid="{00000000-0005-0000-0000-000043150000}"/>
    <cellStyle name="60 % - Accent3 2 2" xfId="470" xr:uid="{00000000-0005-0000-0000-0000DC010000}"/>
    <cellStyle name="60 % - Accent3 2 3" xfId="471" xr:uid="{00000000-0005-0000-0000-0000DD010000}"/>
    <cellStyle name="60 % - Accent3 3 2" xfId="472" xr:uid="{00000000-0005-0000-0000-0000DE010000}"/>
    <cellStyle name="60 % - Accent3 3 3" xfId="473" xr:uid="{00000000-0005-0000-0000-0000DF010000}"/>
    <cellStyle name="60 % - Accent3 4 2" xfId="474" xr:uid="{00000000-0005-0000-0000-0000E0010000}"/>
    <cellStyle name="60 % - Accent3 4 3" xfId="475" xr:uid="{00000000-0005-0000-0000-0000E1010000}"/>
    <cellStyle name="60 % - Accent3 5 2" xfId="476" xr:uid="{00000000-0005-0000-0000-0000E2010000}"/>
    <cellStyle name="60 % - Accent3 5 3" xfId="477" xr:uid="{00000000-0005-0000-0000-0000E3010000}"/>
    <cellStyle name="60 % - Accent3 6 2" xfId="478" xr:uid="{00000000-0005-0000-0000-0000E4010000}"/>
    <cellStyle name="60 % - Accent3 6 3" xfId="479" xr:uid="{00000000-0005-0000-0000-0000E5010000}"/>
    <cellStyle name="60 % - Accent3 7 2" xfId="480" xr:uid="{00000000-0005-0000-0000-0000E6010000}"/>
    <cellStyle name="60 % - Accent3 7 3" xfId="481" xr:uid="{00000000-0005-0000-0000-0000E7010000}"/>
    <cellStyle name="60 % - Accent3 8 2" xfId="482" xr:uid="{00000000-0005-0000-0000-0000E8010000}"/>
    <cellStyle name="60 % - Accent3 8 3" xfId="483" xr:uid="{00000000-0005-0000-0000-0000E9010000}"/>
    <cellStyle name="60 % - Accent3 9 2" xfId="484" xr:uid="{00000000-0005-0000-0000-0000EA010000}"/>
    <cellStyle name="60 % - Accent3 9 3" xfId="485" xr:uid="{00000000-0005-0000-0000-0000EB010000}"/>
    <cellStyle name="60 % - Accent4 10 2" xfId="486" xr:uid="{00000000-0005-0000-0000-0000EC010000}"/>
    <cellStyle name="60 % - Accent4 10 3" xfId="487" xr:uid="{00000000-0005-0000-0000-0000ED010000}"/>
    <cellStyle name="60 % - Accent4 11 2" xfId="488" xr:uid="{00000000-0005-0000-0000-0000EE010000}"/>
    <cellStyle name="60 % - Accent4 11 3" xfId="489" xr:uid="{00000000-0005-0000-0000-0000EF010000}"/>
    <cellStyle name="60 % - Accent4 12 2" xfId="490" xr:uid="{00000000-0005-0000-0000-0000F0010000}"/>
    <cellStyle name="60 % - Accent4 12 3" xfId="491" xr:uid="{00000000-0005-0000-0000-0000F1010000}"/>
    <cellStyle name="60 % - Accent4 13 2" xfId="492" xr:uid="{00000000-0005-0000-0000-0000F2010000}"/>
    <cellStyle name="60 % - Accent4 13 3" xfId="493" xr:uid="{00000000-0005-0000-0000-0000F3010000}"/>
    <cellStyle name="60 % - Accent4 14 2" xfId="494" xr:uid="{00000000-0005-0000-0000-0000F4010000}"/>
    <cellStyle name="60 % - Accent4 14 3" xfId="495" xr:uid="{00000000-0005-0000-0000-0000F5010000}"/>
    <cellStyle name="60 % - Accent4 15 2" xfId="496" xr:uid="{00000000-0005-0000-0000-0000F6010000}"/>
    <cellStyle name="60 % - Accent4 15 3" xfId="497" xr:uid="{00000000-0005-0000-0000-0000F7010000}"/>
    <cellStyle name="60 % - Accent4 16 2" xfId="498" xr:uid="{00000000-0005-0000-0000-0000F8010000}"/>
    <cellStyle name="60 % - Accent4 16 3" xfId="499" xr:uid="{00000000-0005-0000-0000-0000F9010000}"/>
    <cellStyle name="60 % - Accent4 17 2" xfId="500" xr:uid="{00000000-0005-0000-0000-0000FA010000}"/>
    <cellStyle name="60 % - Accent4 17 3" xfId="501" xr:uid="{00000000-0005-0000-0000-0000FB010000}"/>
    <cellStyle name="60 % - Accent4 2" xfId="5410" xr:uid="{00000000-0005-0000-0000-000044150000}"/>
    <cellStyle name="60 % - Accent4 2 2" xfId="502" xr:uid="{00000000-0005-0000-0000-0000FC010000}"/>
    <cellStyle name="60 % - Accent4 2 3" xfId="503" xr:uid="{00000000-0005-0000-0000-0000FD010000}"/>
    <cellStyle name="60 % - Accent4 3 2" xfId="504" xr:uid="{00000000-0005-0000-0000-0000FE010000}"/>
    <cellStyle name="60 % - Accent4 3 3" xfId="505" xr:uid="{00000000-0005-0000-0000-0000FF010000}"/>
    <cellStyle name="60 % - Accent4 4 2" xfId="506" xr:uid="{00000000-0005-0000-0000-000000020000}"/>
    <cellStyle name="60 % - Accent4 4 3" xfId="507" xr:uid="{00000000-0005-0000-0000-000001020000}"/>
    <cellStyle name="60 % - Accent4 5 2" xfId="508" xr:uid="{00000000-0005-0000-0000-000002020000}"/>
    <cellStyle name="60 % - Accent4 5 3" xfId="509" xr:uid="{00000000-0005-0000-0000-000003020000}"/>
    <cellStyle name="60 % - Accent4 6 2" xfId="510" xr:uid="{00000000-0005-0000-0000-000004020000}"/>
    <cellStyle name="60 % - Accent4 6 3" xfId="511" xr:uid="{00000000-0005-0000-0000-000005020000}"/>
    <cellStyle name="60 % - Accent4 7 2" xfId="512" xr:uid="{00000000-0005-0000-0000-000006020000}"/>
    <cellStyle name="60 % - Accent4 7 3" xfId="513" xr:uid="{00000000-0005-0000-0000-000007020000}"/>
    <cellStyle name="60 % - Accent4 8 2" xfId="514" xr:uid="{00000000-0005-0000-0000-000008020000}"/>
    <cellStyle name="60 % - Accent4 8 3" xfId="515" xr:uid="{00000000-0005-0000-0000-000009020000}"/>
    <cellStyle name="60 % - Accent4 9 2" xfId="516" xr:uid="{00000000-0005-0000-0000-00000A020000}"/>
    <cellStyle name="60 % - Accent4 9 3" xfId="517" xr:uid="{00000000-0005-0000-0000-00000B020000}"/>
    <cellStyle name="60 % - Accent5 10 2" xfId="518" xr:uid="{00000000-0005-0000-0000-00000C020000}"/>
    <cellStyle name="60 % - Accent5 10 3" xfId="519" xr:uid="{00000000-0005-0000-0000-00000D020000}"/>
    <cellStyle name="60 % - Accent5 11 2" xfId="520" xr:uid="{00000000-0005-0000-0000-00000E020000}"/>
    <cellStyle name="60 % - Accent5 11 3" xfId="521" xr:uid="{00000000-0005-0000-0000-00000F020000}"/>
    <cellStyle name="60 % - Accent5 12 2" xfId="522" xr:uid="{00000000-0005-0000-0000-000010020000}"/>
    <cellStyle name="60 % - Accent5 12 3" xfId="523" xr:uid="{00000000-0005-0000-0000-000011020000}"/>
    <cellStyle name="60 % - Accent5 13 2" xfId="524" xr:uid="{00000000-0005-0000-0000-000012020000}"/>
    <cellStyle name="60 % - Accent5 13 3" xfId="525" xr:uid="{00000000-0005-0000-0000-000013020000}"/>
    <cellStyle name="60 % - Accent5 14 2" xfId="526" xr:uid="{00000000-0005-0000-0000-000014020000}"/>
    <cellStyle name="60 % - Accent5 14 3" xfId="527" xr:uid="{00000000-0005-0000-0000-000015020000}"/>
    <cellStyle name="60 % - Accent5 15 2" xfId="528" xr:uid="{00000000-0005-0000-0000-000016020000}"/>
    <cellStyle name="60 % - Accent5 15 3" xfId="529" xr:uid="{00000000-0005-0000-0000-000017020000}"/>
    <cellStyle name="60 % - Accent5 16 2" xfId="530" xr:uid="{00000000-0005-0000-0000-000018020000}"/>
    <cellStyle name="60 % - Accent5 16 3" xfId="531" xr:uid="{00000000-0005-0000-0000-000019020000}"/>
    <cellStyle name="60 % - Accent5 17 2" xfId="532" xr:uid="{00000000-0005-0000-0000-00001A020000}"/>
    <cellStyle name="60 % - Accent5 17 3" xfId="533" xr:uid="{00000000-0005-0000-0000-00001B020000}"/>
    <cellStyle name="60 % - Accent5 2" xfId="5411" xr:uid="{00000000-0005-0000-0000-000045150000}"/>
    <cellStyle name="60 % - Accent5 2 2" xfId="534" xr:uid="{00000000-0005-0000-0000-00001C020000}"/>
    <cellStyle name="60 % - Accent5 2 3" xfId="535" xr:uid="{00000000-0005-0000-0000-00001D020000}"/>
    <cellStyle name="60 % - Accent5 3 2" xfId="536" xr:uid="{00000000-0005-0000-0000-00001E020000}"/>
    <cellStyle name="60 % - Accent5 3 3" xfId="537" xr:uid="{00000000-0005-0000-0000-00001F020000}"/>
    <cellStyle name="60 % - Accent5 4 2" xfId="538" xr:uid="{00000000-0005-0000-0000-000020020000}"/>
    <cellStyle name="60 % - Accent5 4 3" xfId="539" xr:uid="{00000000-0005-0000-0000-000021020000}"/>
    <cellStyle name="60 % - Accent5 5 2" xfId="540" xr:uid="{00000000-0005-0000-0000-000022020000}"/>
    <cellStyle name="60 % - Accent5 5 3" xfId="541" xr:uid="{00000000-0005-0000-0000-000023020000}"/>
    <cellStyle name="60 % - Accent5 6 2" xfId="542" xr:uid="{00000000-0005-0000-0000-000024020000}"/>
    <cellStyle name="60 % - Accent5 6 3" xfId="543" xr:uid="{00000000-0005-0000-0000-000025020000}"/>
    <cellStyle name="60 % - Accent5 7 2" xfId="544" xr:uid="{00000000-0005-0000-0000-000026020000}"/>
    <cellStyle name="60 % - Accent5 7 3" xfId="545" xr:uid="{00000000-0005-0000-0000-000027020000}"/>
    <cellStyle name="60 % - Accent5 8 2" xfId="546" xr:uid="{00000000-0005-0000-0000-000028020000}"/>
    <cellStyle name="60 % - Accent5 8 3" xfId="547" xr:uid="{00000000-0005-0000-0000-000029020000}"/>
    <cellStyle name="60 % - Accent5 9 2" xfId="548" xr:uid="{00000000-0005-0000-0000-00002A020000}"/>
    <cellStyle name="60 % - Accent5 9 3" xfId="549" xr:uid="{00000000-0005-0000-0000-00002B020000}"/>
    <cellStyle name="60 % - Accent6 10 2" xfId="550" xr:uid="{00000000-0005-0000-0000-00002C020000}"/>
    <cellStyle name="60 % - Accent6 10 3" xfId="551" xr:uid="{00000000-0005-0000-0000-00002D020000}"/>
    <cellStyle name="60 % - Accent6 11 2" xfId="552" xr:uid="{00000000-0005-0000-0000-00002E020000}"/>
    <cellStyle name="60 % - Accent6 11 3" xfId="553" xr:uid="{00000000-0005-0000-0000-00002F020000}"/>
    <cellStyle name="60 % - Accent6 12 2" xfId="554" xr:uid="{00000000-0005-0000-0000-000030020000}"/>
    <cellStyle name="60 % - Accent6 12 3" xfId="555" xr:uid="{00000000-0005-0000-0000-000031020000}"/>
    <cellStyle name="60 % - Accent6 13 2" xfId="556" xr:uid="{00000000-0005-0000-0000-000032020000}"/>
    <cellStyle name="60 % - Accent6 13 3" xfId="557" xr:uid="{00000000-0005-0000-0000-000033020000}"/>
    <cellStyle name="60 % - Accent6 14 2" xfId="558" xr:uid="{00000000-0005-0000-0000-000034020000}"/>
    <cellStyle name="60 % - Accent6 14 3" xfId="559" xr:uid="{00000000-0005-0000-0000-000035020000}"/>
    <cellStyle name="60 % - Accent6 15 2" xfId="560" xr:uid="{00000000-0005-0000-0000-000036020000}"/>
    <cellStyle name="60 % - Accent6 15 3" xfId="561" xr:uid="{00000000-0005-0000-0000-000037020000}"/>
    <cellStyle name="60 % - Accent6 16 2" xfId="562" xr:uid="{00000000-0005-0000-0000-000038020000}"/>
    <cellStyle name="60 % - Accent6 16 3" xfId="563" xr:uid="{00000000-0005-0000-0000-000039020000}"/>
    <cellStyle name="60 % - Accent6 17 2" xfId="564" xr:uid="{00000000-0005-0000-0000-00003A020000}"/>
    <cellStyle name="60 % - Accent6 17 3" xfId="565" xr:uid="{00000000-0005-0000-0000-00003B020000}"/>
    <cellStyle name="60 % - Accent6 2" xfId="5412" xr:uid="{00000000-0005-0000-0000-000046150000}"/>
    <cellStyle name="60 % - Accent6 2 2" xfId="566" xr:uid="{00000000-0005-0000-0000-00003C020000}"/>
    <cellStyle name="60 % - Accent6 2 3" xfId="567" xr:uid="{00000000-0005-0000-0000-00003D020000}"/>
    <cellStyle name="60 % - Accent6 3 2" xfId="568" xr:uid="{00000000-0005-0000-0000-00003E020000}"/>
    <cellStyle name="60 % - Accent6 3 3" xfId="569" xr:uid="{00000000-0005-0000-0000-00003F020000}"/>
    <cellStyle name="60 % - Accent6 4 2" xfId="570" xr:uid="{00000000-0005-0000-0000-000040020000}"/>
    <cellStyle name="60 % - Accent6 4 3" xfId="571" xr:uid="{00000000-0005-0000-0000-000041020000}"/>
    <cellStyle name="60 % - Accent6 5 2" xfId="572" xr:uid="{00000000-0005-0000-0000-000042020000}"/>
    <cellStyle name="60 % - Accent6 5 3" xfId="573" xr:uid="{00000000-0005-0000-0000-000043020000}"/>
    <cellStyle name="60 % - Accent6 6 2" xfId="574" xr:uid="{00000000-0005-0000-0000-000044020000}"/>
    <cellStyle name="60 % - Accent6 6 3" xfId="575" xr:uid="{00000000-0005-0000-0000-000045020000}"/>
    <cellStyle name="60 % - Accent6 7 2" xfId="576" xr:uid="{00000000-0005-0000-0000-000046020000}"/>
    <cellStyle name="60 % - Accent6 7 3" xfId="577" xr:uid="{00000000-0005-0000-0000-000047020000}"/>
    <cellStyle name="60 % - Accent6 8 2" xfId="578" xr:uid="{00000000-0005-0000-0000-000048020000}"/>
    <cellStyle name="60 % - Accent6 8 3" xfId="579" xr:uid="{00000000-0005-0000-0000-000049020000}"/>
    <cellStyle name="60 % - Accent6 9 2" xfId="580" xr:uid="{00000000-0005-0000-0000-00004A020000}"/>
    <cellStyle name="60 % - Accent6 9 3" xfId="581" xr:uid="{00000000-0005-0000-0000-00004B020000}"/>
    <cellStyle name="60% - 强调文字颜色 1" xfId="1375" xr:uid="{00000000-0005-0000-0000-00004C020000}"/>
    <cellStyle name="60% - 强调文字颜色 2" xfId="1376" xr:uid="{00000000-0005-0000-0000-00004D020000}"/>
    <cellStyle name="60% - 强调文字颜色 3" xfId="1377" xr:uid="{00000000-0005-0000-0000-00004E020000}"/>
    <cellStyle name="60% - 强调文字颜色 4" xfId="1378" xr:uid="{00000000-0005-0000-0000-00004F020000}"/>
    <cellStyle name="60% - 强调文字颜色 5" xfId="1379" xr:uid="{00000000-0005-0000-0000-000050020000}"/>
    <cellStyle name="60% - 强调文字颜色 6" xfId="1380" xr:uid="{00000000-0005-0000-0000-000051020000}"/>
    <cellStyle name="Accent1" xfId="2359" builtinId="29" customBuiltin="1"/>
    <cellStyle name="Accent1 10 2" xfId="582" xr:uid="{00000000-0005-0000-0000-000053020000}"/>
    <cellStyle name="Accent1 10 3" xfId="583" xr:uid="{00000000-0005-0000-0000-000054020000}"/>
    <cellStyle name="Accent1 11 2" xfId="584" xr:uid="{00000000-0005-0000-0000-000055020000}"/>
    <cellStyle name="Accent1 11 3" xfId="585" xr:uid="{00000000-0005-0000-0000-000056020000}"/>
    <cellStyle name="Accent1 12 2" xfId="586" xr:uid="{00000000-0005-0000-0000-000057020000}"/>
    <cellStyle name="Accent1 12 3" xfId="587" xr:uid="{00000000-0005-0000-0000-000058020000}"/>
    <cellStyle name="Accent1 13 2" xfId="588" xr:uid="{00000000-0005-0000-0000-000059020000}"/>
    <cellStyle name="Accent1 13 3" xfId="589" xr:uid="{00000000-0005-0000-0000-00005A020000}"/>
    <cellStyle name="Accent1 14 2" xfId="590" xr:uid="{00000000-0005-0000-0000-00005B020000}"/>
    <cellStyle name="Accent1 14 3" xfId="591" xr:uid="{00000000-0005-0000-0000-00005C020000}"/>
    <cellStyle name="Accent1 15 2" xfId="592" xr:uid="{00000000-0005-0000-0000-00005D020000}"/>
    <cellStyle name="Accent1 15 3" xfId="593" xr:uid="{00000000-0005-0000-0000-00005E020000}"/>
    <cellStyle name="Accent1 16 2" xfId="594" xr:uid="{00000000-0005-0000-0000-00005F020000}"/>
    <cellStyle name="Accent1 16 3" xfId="595" xr:uid="{00000000-0005-0000-0000-000060020000}"/>
    <cellStyle name="Accent1 17 2" xfId="596" xr:uid="{00000000-0005-0000-0000-000061020000}"/>
    <cellStyle name="Accent1 17 3" xfId="597" xr:uid="{00000000-0005-0000-0000-000062020000}"/>
    <cellStyle name="Accent1 2 2" xfId="598" xr:uid="{00000000-0005-0000-0000-000063020000}"/>
    <cellStyle name="Accent1 2 3" xfId="599" xr:uid="{00000000-0005-0000-0000-000064020000}"/>
    <cellStyle name="Accent1 3 2" xfId="600" xr:uid="{00000000-0005-0000-0000-000065020000}"/>
    <cellStyle name="Accent1 3 3" xfId="601" xr:uid="{00000000-0005-0000-0000-000066020000}"/>
    <cellStyle name="Accent1 4 2" xfId="602" xr:uid="{00000000-0005-0000-0000-000067020000}"/>
    <cellStyle name="Accent1 4 3" xfId="603" xr:uid="{00000000-0005-0000-0000-000068020000}"/>
    <cellStyle name="Accent1 5 2" xfId="604" xr:uid="{00000000-0005-0000-0000-000069020000}"/>
    <cellStyle name="Accent1 5 3" xfId="605" xr:uid="{00000000-0005-0000-0000-00006A020000}"/>
    <cellStyle name="Accent1 6 2" xfId="606" xr:uid="{00000000-0005-0000-0000-00006B020000}"/>
    <cellStyle name="Accent1 6 3" xfId="607" xr:uid="{00000000-0005-0000-0000-00006C020000}"/>
    <cellStyle name="Accent1 7 2" xfId="608" xr:uid="{00000000-0005-0000-0000-00006D020000}"/>
    <cellStyle name="Accent1 7 3" xfId="609" xr:uid="{00000000-0005-0000-0000-00006E020000}"/>
    <cellStyle name="Accent1 8 2" xfId="610" xr:uid="{00000000-0005-0000-0000-00006F020000}"/>
    <cellStyle name="Accent1 8 3" xfId="611" xr:uid="{00000000-0005-0000-0000-000070020000}"/>
    <cellStyle name="Accent1 9 2" xfId="612" xr:uid="{00000000-0005-0000-0000-000071020000}"/>
    <cellStyle name="Accent1 9 3" xfId="613" xr:uid="{00000000-0005-0000-0000-000072020000}"/>
    <cellStyle name="Accent2" xfId="2360" builtinId="33" customBuiltin="1"/>
    <cellStyle name="Accent2 10 2" xfId="614" xr:uid="{00000000-0005-0000-0000-000074020000}"/>
    <cellStyle name="Accent2 10 3" xfId="615" xr:uid="{00000000-0005-0000-0000-000075020000}"/>
    <cellStyle name="Accent2 11 2" xfId="616" xr:uid="{00000000-0005-0000-0000-000076020000}"/>
    <cellStyle name="Accent2 11 3" xfId="617" xr:uid="{00000000-0005-0000-0000-000077020000}"/>
    <cellStyle name="Accent2 12 2" xfId="618" xr:uid="{00000000-0005-0000-0000-000078020000}"/>
    <cellStyle name="Accent2 12 3" xfId="619" xr:uid="{00000000-0005-0000-0000-000079020000}"/>
    <cellStyle name="Accent2 13 2" xfId="620" xr:uid="{00000000-0005-0000-0000-00007A020000}"/>
    <cellStyle name="Accent2 13 3" xfId="621" xr:uid="{00000000-0005-0000-0000-00007B020000}"/>
    <cellStyle name="Accent2 14 2" xfId="622" xr:uid="{00000000-0005-0000-0000-00007C020000}"/>
    <cellStyle name="Accent2 14 3" xfId="623" xr:uid="{00000000-0005-0000-0000-00007D020000}"/>
    <cellStyle name="Accent2 15 2" xfId="624" xr:uid="{00000000-0005-0000-0000-00007E020000}"/>
    <cellStyle name="Accent2 15 3" xfId="625" xr:uid="{00000000-0005-0000-0000-00007F020000}"/>
    <cellStyle name="Accent2 16 2" xfId="626" xr:uid="{00000000-0005-0000-0000-000080020000}"/>
    <cellStyle name="Accent2 16 3" xfId="627" xr:uid="{00000000-0005-0000-0000-000081020000}"/>
    <cellStyle name="Accent2 17 2" xfId="628" xr:uid="{00000000-0005-0000-0000-000082020000}"/>
    <cellStyle name="Accent2 17 3" xfId="629" xr:uid="{00000000-0005-0000-0000-000083020000}"/>
    <cellStyle name="Accent2 2 2" xfId="630" xr:uid="{00000000-0005-0000-0000-000084020000}"/>
    <cellStyle name="Accent2 2 3" xfId="631" xr:uid="{00000000-0005-0000-0000-000085020000}"/>
    <cellStyle name="Accent2 3 2" xfId="632" xr:uid="{00000000-0005-0000-0000-000086020000}"/>
    <cellStyle name="Accent2 3 3" xfId="633" xr:uid="{00000000-0005-0000-0000-000087020000}"/>
    <cellStyle name="Accent2 4 2" xfId="634" xr:uid="{00000000-0005-0000-0000-000088020000}"/>
    <cellStyle name="Accent2 4 3" xfId="635" xr:uid="{00000000-0005-0000-0000-000089020000}"/>
    <cellStyle name="Accent2 5 2" xfId="636" xr:uid="{00000000-0005-0000-0000-00008A020000}"/>
    <cellStyle name="Accent2 5 3" xfId="637" xr:uid="{00000000-0005-0000-0000-00008B020000}"/>
    <cellStyle name="Accent2 6 2" xfId="638" xr:uid="{00000000-0005-0000-0000-00008C020000}"/>
    <cellStyle name="Accent2 6 3" xfId="639" xr:uid="{00000000-0005-0000-0000-00008D020000}"/>
    <cellStyle name="Accent2 7 2" xfId="640" xr:uid="{00000000-0005-0000-0000-00008E020000}"/>
    <cellStyle name="Accent2 7 3" xfId="641" xr:uid="{00000000-0005-0000-0000-00008F020000}"/>
    <cellStyle name="Accent2 8 2" xfId="642" xr:uid="{00000000-0005-0000-0000-000090020000}"/>
    <cellStyle name="Accent2 8 3" xfId="643" xr:uid="{00000000-0005-0000-0000-000091020000}"/>
    <cellStyle name="Accent2 9 2" xfId="644" xr:uid="{00000000-0005-0000-0000-000092020000}"/>
    <cellStyle name="Accent2 9 3" xfId="645" xr:uid="{00000000-0005-0000-0000-000093020000}"/>
    <cellStyle name="Accent3" xfId="2361" builtinId="37" customBuiltin="1"/>
    <cellStyle name="Accent3 10 2" xfId="646" xr:uid="{00000000-0005-0000-0000-000095020000}"/>
    <cellStyle name="Accent3 10 3" xfId="647" xr:uid="{00000000-0005-0000-0000-000096020000}"/>
    <cellStyle name="Accent3 11 2" xfId="648" xr:uid="{00000000-0005-0000-0000-000097020000}"/>
    <cellStyle name="Accent3 11 3" xfId="649" xr:uid="{00000000-0005-0000-0000-000098020000}"/>
    <cellStyle name="Accent3 12 2" xfId="650" xr:uid="{00000000-0005-0000-0000-000099020000}"/>
    <cellStyle name="Accent3 12 3" xfId="651" xr:uid="{00000000-0005-0000-0000-00009A020000}"/>
    <cellStyle name="Accent3 13 2" xfId="652" xr:uid="{00000000-0005-0000-0000-00009B020000}"/>
    <cellStyle name="Accent3 13 3" xfId="653" xr:uid="{00000000-0005-0000-0000-00009C020000}"/>
    <cellStyle name="Accent3 14 2" xfId="654" xr:uid="{00000000-0005-0000-0000-00009D020000}"/>
    <cellStyle name="Accent3 14 3" xfId="655" xr:uid="{00000000-0005-0000-0000-00009E020000}"/>
    <cellStyle name="Accent3 15 2" xfId="656" xr:uid="{00000000-0005-0000-0000-00009F020000}"/>
    <cellStyle name="Accent3 15 3" xfId="657" xr:uid="{00000000-0005-0000-0000-0000A0020000}"/>
    <cellStyle name="Accent3 16 2" xfId="658" xr:uid="{00000000-0005-0000-0000-0000A1020000}"/>
    <cellStyle name="Accent3 16 3" xfId="659" xr:uid="{00000000-0005-0000-0000-0000A2020000}"/>
    <cellStyle name="Accent3 17 2" xfId="660" xr:uid="{00000000-0005-0000-0000-0000A3020000}"/>
    <cellStyle name="Accent3 17 3" xfId="661" xr:uid="{00000000-0005-0000-0000-0000A4020000}"/>
    <cellStyle name="Accent3 2 2" xfId="662" xr:uid="{00000000-0005-0000-0000-0000A5020000}"/>
    <cellStyle name="Accent3 2 3" xfId="663" xr:uid="{00000000-0005-0000-0000-0000A6020000}"/>
    <cellStyle name="Accent3 3 2" xfId="664" xr:uid="{00000000-0005-0000-0000-0000A7020000}"/>
    <cellStyle name="Accent3 3 3" xfId="665" xr:uid="{00000000-0005-0000-0000-0000A8020000}"/>
    <cellStyle name="Accent3 4 2" xfId="666" xr:uid="{00000000-0005-0000-0000-0000A9020000}"/>
    <cellStyle name="Accent3 4 3" xfId="667" xr:uid="{00000000-0005-0000-0000-0000AA020000}"/>
    <cellStyle name="Accent3 5 2" xfId="668" xr:uid="{00000000-0005-0000-0000-0000AB020000}"/>
    <cellStyle name="Accent3 5 3" xfId="669" xr:uid="{00000000-0005-0000-0000-0000AC020000}"/>
    <cellStyle name="Accent3 6 2" xfId="670" xr:uid="{00000000-0005-0000-0000-0000AD020000}"/>
    <cellStyle name="Accent3 6 3" xfId="671" xr:uid="{00000000-0005-0000-0000-0000AE020000}"/>
    <cellStyle name="Accent3 7 2" xfId="672" xr:uid="{00000000-0005-0000-0000-0000AF020000}"/>
    <cellStyle name="Accent3 7 3" xfId="673" xr:uid="{00000000-0005-0000-0000-0000B0020000}"/>
    <cellStyle name="Accent3 8 2" xfId="674" xr:uid="{00000000-0005-0000-0000-0000B1020000}"/>
    <cellStyle name="Accent3 8 3" xfId="675" xr:uid="{00000000-0005-0000-0000-0000B2020000}"/>
    <cellStyle name="Accent3 9 2" xfId="676" xr:uid="{00000000-0005-0000-0000-0000B3020000}"/>
    <cellStyle name="Accent3 9 3" xfId="677" xr:uid="{00000000-0005-0000-0000-0000B4020000}"/>
    <cellStyle name="Accent4" xfId="2362" builtinId="41" customBuiltin="1"/>
    <cellStyle name="Accent4 10 2" xfId="678" xr:uid="{00000000-0005-0000-0000-0000B6020000}"/>
    <cellStyle name="Accent4 10 3" xfId="679" xr:uid="{00000000-0005-0000-0000-0000B7020000}"/>
    <cellStyle name="Accent4 11 2" xfId="680" xr:uid="{00000000-0005-0000-0000-0000B8020000}"/>
    <cellStyle name="Accent4 11 3" xfId="681" xr:uid="{00000000-0005-0000-0000-0000B9020000}"/>
    <cellStyle name="Accent4 12 2" xfId="682" xr:uid="{00000000-0005-0000-0000-0000BA020000}"/>
    <cellStyle name="Accent4 12 3" xfId="683" xr:uid="{00000000-0005-0000-0000-0000BB020000}"/>
    <cellStyle name="Accent4 13 2" xfId="684" xr:uid="{00000000-0005-0000-0000-0000BC020000}"/>
    <cellStyle name="Accent4 13 3" xfId="685" xr:uid="{00000000-0005-0000-0000-0000BD020000}"/>
    <cellStyle name="Accent4 14 2" xfId="686" xr:uid="{00000000-0005-0000-0000-0000BE020000}"/>
    <cellStyle name="Accent4 14 3" xfId="687" xr:uid="{00000000-0005-0000-0000-0000BF020000}"/>
    <cellStyle name="Accent4 15 2" xfId="688" xr:uid="{00000000-0005-0000-0000-0000C0020000}"/>
    <cellStyle name="Accent4 15 3" xfId="689" xr:uid="{00000000-0005-0000-0000-0000C1020000}"/>
    <cellStyle name="Accent4 16 2" xfId="690" xr:uid="{00000000-0005-0000-0000-0000C2020000}"/>
    <cellStyle name="Accent4 16 3" xfId="691" xr:uid="{00000000-0005-0000-0000-0000C3020000}"/>
    <cellStyle name="Accent4 17 2" xfId="692" xr:uid="{00000000-0005-0000-0000-0000C4020000}"/>
    <cellStyle name="Accent4 17 3" xfId="693" xr:uid="{00000000-0005-0000-0000-0000C5020000}"/>
    <cellStyle name="Accent4 2 2" xfId="694" xr:uid="{00000000-0005-0000-0000-0000C6020000}"/>
    <cellStyle name="Accent4 2 3" xfId="695" xr:uid="{00000000-0005-0000-0000-0000C7020000}"/>
    <cellStyle name="Accent4 3 2" xfId="696" xr:uid="{00000000-0005-0000-0000-0000C8020000}"/>
    <cellStyle name="Accent4 3 3" xfId="697" xr:uid="{00000000-0005-0000-0000-0000C9020000}"/>
    <cellStyle name="Accent4 4 2" xfId="698" xr:uid="{00000000-0005-0000-0000-0000CA020000}"/>
    <cellStyle name="Accent4 4 3" xfId="699" xr:uid="{00000000-0005-0000-0000-0000CB020000}"/>
    <cellStyle name="Accent4 5 2" xfId="700" xr:uid="{00000000-0005-0000-0000-0000CC020000}"/>
    <cellStyle name="Accent4 5 3" xfId="701" xr:uid="{00000000-0005-0000-0000-0000CD020000}"/>
    <cellStyle name="Accent4 6 2" xfId="702" xr:uid="{00000000-0005-0000-0000-0000CE020000}"/>
    <cellStyle name="Accent4 6 3" xfId="703" xr:uid="{00000000-0005-0000-0000-0000CF020000}"/>
    <cellStyle name="Accent4 7 2" xfId="704" xr:uid="{00000000-0005-0000-0000-0000D0020000}"/>
    <cellStyle name="Accent4 7 3" xfId="705" xr:uid="{00000000-0005-0000-0000-0000D1020000}"/>
    <cellStyle name="Accent4 8 2" xfId="706" xr:uid="{00000000-0005-0000-0000-0000D2020000}"/>
    <cellStyle name="Accent4 8 3" xfId="707" xr:uid="{00000000-0005-0000-0000-0000D3020000}"/>
    <cellStyle name="Accent4 9 2" xfId="708" xr:uid="{00000000-0005-0000-0000-0000D4020000}"/>
    <cellStyle name="Accent4 9 3" xfId="709" xr:uid="{00000000-0005-0000-0000-0000D5020000}"/>
    <cellStyle name="Accent5" xfId="2363" builtinId="45" customBuiltin="1"/>
    <cellStyle name="Accent5 10 2" xfId="710" xr:uid="{00000000-0005-0000-0000-0000D7020000}"/>
    <cellStyle name="Accent5 10 3" xfId="711" xr:uid="{00000000-0005-0000-0000-0000D8020000}"/>
    <cellStyle name="Accent5 11 2" xfId="712" xr:uid="{00000000-0005-0000-0000-0000D9020000}"/>
    <cellStyle name="Accent5 11 3" xfId="713" xr:uid="{00000000-0005-0000-0000-0000DA020000}"/>
    <cellStyle name="Accent5 12 2" xfId="714" xr:uid="{00000000-0005-0000-0000-0000DB020000}"/>
    <cellStyle name="Accent5 12 3" xfId="715" xr:uid="{00000000-0005-0000-0000-0000DC020000}"/>
    <cellStyle name="Accent5 13 2" xfId="716" xr:uid="{00000000-0005-0000-0000-0000DD020000}"/>
    <cellStyle name="Accent5 13 3" xfId="717" xr:uid="{00000000-0005-0000-0000-0000DE020000}"/>
    <cellStyle name="Accent5 14 2" xfId="718" xr:uid="{00000000-0005-0000-0000-0000DF020000}"/>
    <cellStyle name="Accent5 14 3" xfId="719" xr:uid="{00000000-0005-0000-0000-0000E0020000}"/>
    <cellStyle name="Accent5 15 2" xfId="720" xr:uid="{00000000-0005-0000-0000-0000E1020000}"/>
    <cellStyle name="Accent5 15 3" xfId="721" xr:uid="{00000000-0005-0000-0000-0000E2020000}"/>
    <cellStyle name="Accent5 16 2" xfId="722" xr:uid="{00000000-0005-0000-0000-0000E3020000}"/>
    <cellStyle name="Accent5 16 3" xfId="723" xr:uid="{00000000-0005-0000-0000-0000E4020000}"/>
    <cellStyle name="Accent5 17 2" xfId="724" xr:uid="{00000000-0005-0000-0000-0000E5020000}"/>
    <cellStyle name="Accent5 17 3" xfId="725" xr:uid="{00000000-0005-0000-0000-0000E6020000}"/>
    <cellStyle name="Accent5 2 2" xfId="726" xr:uid="{00000000-0005-0000-0000-0000E7020000}"/>
    <cellStyle name="Accent5 2 3" xfId="727" xr:uid="{00000000-0005-0000-0000-0000E8020000}"/>
    <cellStyle name="Accent5 3 2" xfId="728" xr:uid="{00000000-0005-0000-0000-0000E9020000}"/>
    <cellStyle name="Accent5 3 3" xfId="729" xr:uid="{00000000-0005-0000-0000-0000EA020000}"/>
    <cellStyle name="Accent5 4 2" xfId="730" xr:uid="{00000000-0005-0000-0000-0000EB020000}"/>
    <cellStyle name="Accent5 4 3" xfId="731" xr:uid="{00000000-0005-0000-0000-0000EC020000}"/>
    <cellStyle name="Accent5 5 2" xfId="732" xr:uid="{00000000-0005-0000-0000-0000ED020000}"/>
    <cellStyle name="Accent5 5 3" xfId="733" xr:uid="{00000000-0005-0000-0000-0000EE020000}"/>
    <cellStyle name="Accent5 6 2" xfId="734" xr:uid="{00000000-0005-0000-0000-0000EF020000}"/>
    <cellStyle name="Accent5 6 3" xfId="735" xr:uid="{00000000-0005-0000-0000-0000F0020000}"/>
    <cellStyle name="Accent5 7 2" xfId="736" xr:uid="{00000000-0005-0000-0000-0000F1020000}"/>
    <cellStyle name="Accent5 7 3" xfId="737" xr:uid="{00000000-0005-0000-0000-0000F2020000}"/>
    <cellStyle name="Accent5 8 2" xfId="738" xr:uid="{00000000-0005-0000-0000-0000F3020000}"/>
    <cellStyle name="Accent5 8 3" xfId="739" xr:uid="{00000000-0005-0000-0000-0000F4020000}"/>
    <cellStyle name="Accent5 9 2" xfId="740" xr:uid="{00000000-0005-0000-0000-0000F5020000}"/>
    <cellStyle name="Accent5 9 3" xfId="741" xr:uid="{00000000-0005-0000-0000-0000F6020000}"/>
    <cellStyle name="Accent6" xfId="2364" builtinId="49" customBuiltin="1"/>
    <cellStyle name="Accent6 10 2" xfId="742" xr:uid="{00000000-0005-0000-0000-0000F8020000}"/>
    <cellStyle name="Accent6 10 3" xfId="743" xr:uid="{00000000-0005-0000-0000-0000F9020000}"/>
    <cellStyle name="Accent6 11 2" xfId="744" xr:uid="{00000000-0005-0000-0000-0000FA020000}"/>
    <cellStyle name="Accent6 11 3" xfId="745" xr:uid="{00000000-0005-0000-0000-0000FB020000}"/>
    <cellStyle name="Accent6 12 2" xfId="746" xr:uid="{00000000-0005-0000-0000-0000FC020000}"/>
    <cellStyle name="Accent6 12 3" xfId="747" xr:uid="{00000000-0005-0000-0000-0000FD020000}"/>
    <cellStyle name="Accent6 13 2" xfId="748" xr:uid="{00000000-0005-0000-0000-0000FE020000}"/>
    <cellStyle name="Accent6 13 3" xfId="749" xr:uid="{00000000-0005-0000-0000-0000FF020000}"/>
    <cellStyle name="Accent6 14 2" xfId="750" xr:uid="{00000000-0005-0000-0000-000000030000}"/>
    <cellStyle name="Accent6 14 3" xfId="751" xr:uid="{00000000-0005-0000-0000-000001030000}"/>
    <cellStyle name="Accent6 15 2" xfId="752" xr:uid="{00000000-0005-0000-0000-000002030000}"/>
    <cellStyle name="Accent6 15 3" xfId="753" xr:uid="{00000000-0005-0000-0000-000003030000}"/>
    <cellStyle name="Accent6 16 2" xfId="754" xr:uid="{00000000-0005-0000-0000-000004030000}"/>
    <cellStyle name="Accent6 16 3" xfId="755" xr:uid="{00000000-0005-0000-0000-000005030000}"/>
    <cellStyle name="Accent6 17 2" xfId="756" xr:uid="{00000000-0005-0000-0000-000006030000}"/>
    <cellStyle name="Accent6 17 3" xfId="757" xr:uid="{00000000-0005-0000-0000-000007030000}"/>
    <cellStyle name="Accent6 2 2" xfId="758" xr:uid="{00000000-0005-0000-0000-000008030000}"/>
    <cellStyle name="Accent6 2 3" xfId="759" xr:uid="{00000000-0005-0000-0000-000009030000}"/>
    <cellStyle name="Accent6 3 2" xfId="760" xr:uid="{00000000-0005-0000-0000-00000A030000}"/>
    <cellStyle name="Accent6 3 3" xfId="761" xr:uid="{00000000-0005-0000-0000-00000B030000}"/>
    <cellStyle name="Accent6 4 2" xfId="762" xr:uid="{00000000-0005-0000-0000-00000C030000}"/>
    <cellStyle name="Accent6 4 3" xfId="763" xr:uid="{00000000-0005-0000-0000-00000D030000}"/>
    <cellStyle name="Accent6 5 2" xfId="764" xr:uid="{00000000-0005-0000-0000-00000E030000}"/>
    <cellStyle name="Accent6 5 3" xfId="765" xr:uid="{00000000-0005-0000-0000-00000F030000}"/>
    <cellStyle name="Accent6 6 2" xfId="766" xr:uid="{00000000-0005-0000-0000-000010030000}"/>
    <cellStyle name="Accent6 6 3" xfId="767" xr:uid="{00000000-0005-0000-0000-000011030000}"/>
    <cellStyle name="Accent6 7 2" xfId="768" xr:uid="{00000000-0005-0000-0000-000012030000}"/>
    <cellStyle name="Accent6 7 3" xfId="769" xr:uid="{00000000-0005-0000-0000-000013030000}"/>
    <cellStyle name="Accent6 8 2" xfId="770" xr:uid="{00000000-0005-0000-0000-000014030000}"/>
    <cellStyle name="Accent6 8 3" xfId="771" xr:uid="{00000000-0005-0000-0000-000015030000}"/>
    <cellStyle name="Accent6 9 2" xfId="772" xr:uid="{00000000-0005-0000-0000-000016030000}"/>
    <cellStyle name="Accent6 9 3" xfId="773" xr:uid="{00000000-0005-0000-0000-000017030000}"/>
    <cellStyle name="Avertissement" xfId="5378" builtinId="11" customBuiltin="1"/>
    <cellStyle name="Avertissement 10 2" xfId="774" xr:uid="{00000000-0005-0000-0000-000018030000}"/>
    <cellStyle name="Avertissement 10 3" xfId="775" xr:uid="{00000000-0005-0000-0000-000019030000}"/>
    <cellStyle name="Avertissement 11 2" xfId="776" xr:uid="{00000000-0005-0000-0000-00001A030000}"/>
    <cellStyle name="Avertissement 11 3" xfId="777" xr:uid="{00000000-0005-0000-0000-00001B030000}"/>
    <cellStyle name="Avertissement 12 2" xfId="778" xr:uid="{00000000-0005-0000-0000-00001C030000}"/>
    <cellStyle name="Avertissement 12 3" xfId="779" xr:uid="{00000000-0005-0000-0000-00001D030000}"/>
    <cellStyle name="Avertissement 13 2" xfId="780" xr:uid="{00000000-0005-0000-0000-00001E030000}"/>
    <cellStyle name="Avertissement 13 3" xfId="781" xr:uid="{00000000-0005-0000-0000-00001F030000}"/>
    <cellStyle name="Avertissement 14 2" xfId="782" xr:uid="{00000000-0005-0000-0000-000020030000}"/>
    <cellStyle name="Avertissement 14 3" xfId="783" xr:uid="{00000000-0005-0000-0000-000021030000}"/>
    <cellStyle name="Avertissement 15 2" xfId="784" xr:uid="{00000000-0005-0000-0000-000022030000}"/>
    <cellStyle name="Avertissement 15 3" xfId="785" xr:uid="{00000000-0005-0000-0000-000023030000}"/>
    <cellStyle name="Avertissement 16 2" xfId="786" xr:uid="{00000000-0005-0000-0000-000024030000}"/>
    <cellStyle name="Avertissement 16 3" xfId="787" xr:uid="{00000000-0005-0000-0000-000025030000}"/>
    <cellStyle name="Avertissement 17 2" xfId="788" xr:uid="{00000000-0005-0000-0000-000026030000}"/>
    <cellStyle name="Avertissement 17 3" xfId="789" xr:uid="{00000000-0005-0000-0000-000027030000}"/>
    <cellStyle name="Avertissement 2 2" xfId="790" xr:uid="{00000000-0005-0000-0000-000028030000}"/>
    <cellStyle name="Avertissement 2 3" xfId="791" xr:uid="{00000000-0005-0000-0000-000029030000}"/>
    <cellStyle name="Avertissement 3 2" xfId="792" xr:uid="{00000000-0005-0000-0000-00002A030000}"/>
    <cellStyle name="Avertissement 3 3" xfId="793" xr:uid="{00000000-0005-0000-0000-00002B030000}"/>
    <cellStyle name="Avertissement 4 2" xfId="794" xr:uid="{00000000-0005-0000-0000-00002C030000}"/>
    <cellStyle name="Avertissement 4 3" xfId="795" xr:uid="{00000000-0005-0000-0000-00002D030000}"/>
    <cellStyle name="Avertissement 5 2" xfId="796" xr:uid="{00000000-0005-0000-0000-00002E030000}"/>
    <cellStyle name="Avertissement 5 3" xfId="797" xr:uid="{00000000-0005-0000-0000-00002F030000}"/>
    <cellStyle name="Avertissement 6 2" xfId="798" xr:uid="{00000000-0005-0000-0000-000030030000}"/>
    <cellStyle name="Avertissement 6 3" xfId="799" xr:uid="{00000000-0005-0000-0000-000031030000}"/>
    <cellStyle name="Avertissement 7 2" xfId="800" xr:uid="{00000000-0005-0000-0000-000032030000}"/>
    <cellStyle name="Avertissement 7 3" xfId="801" xr:uid="{00000000-0005-0000-0000-000033030000}"/>
    <cellStyle name="Avertissement 8 2" xfId="802" xr:uid="{00000000-0005-0000-0000-000034030000}"/>
    <cellStyle name="Avertissement 8 3" xfId="803" xr:uid="{00000000-0005-0000-0000-000035030000}"/>
    <cellStyle name="Avertissement 9 2" xfId="804" xr:uid="{00000000-0005-0000-0000-000036030000}"/>
    <cellStyle name="Avertissement 9 3" xfId="805" xr:uid="{00000000-0005-0000-0000-000037030000}"/>
    <cellStyle name="Calcul" xfId="5375" builtinId="22" customBuiltin="1"/>
    <cellStyle name="Calcul 10 2" xfId="806" xr:uid="{00000000-0005-0000-0000-000038030000}"/>
    <cellStyle name="Calcul 10 3" xfId="807" xr:uid="{00000000-0005-0000-0000-000039030000}"/>
    <cellStyle name="Calcul 11 2" xfId="808" xr:uid="{00000000-0005-0000-0000-00003A030000}"/>
    <cellStyle name="Calcul 11 3" xfId="809" xr:uid="{00000000-0005-0000-0000-00003B030000}"/>
    <cellStyle name="Calcul 12 2" xfId="810" xr:uid="{00000000-0005-0000-0000-00003C030000}"/>
    <cellStyle name="Calcul 12 3" xfId="811" xr:uid="{00000000-0005-0000-0000-00003D030000}"/>
    <cellStyle name="Calcul 13 2" xfId="812" xr:uid="{00000000-0005-0000-0000-00003E030000}"/>
    <cellStyle name="Calcul 13 3" xfId="813" xr:uid="{00000000-0005-0000-0000-00003F030000}"/>
    <cellStyle name="Calcul 14 2" xfId="814" xr:uid="{00000000-0005-0000-0000-000040030000}"/>
    <cellStyle name="Calcul 14 3" xfId="815" xr:uid="{00000000-0005-0000-0000-000041030000}"/>
    <cellStyle name="Calcul 15 2" xfId="816" xr:uid="{00000000-0005-0000-0000-000042030000}"/>
    <cellStyle name="Calcul 15 3" xfId="817" xr:uid="{00000000-0005-0000-0000-000043030000}"/>
    <cellStyle name="Calcul 16 2" xfId="818" xr:uid="{00000000-0005-0000-0000-000044030000}"/>
    <cellStyle name="Calcul 16 3" xfId="819" xr:uid="{00000000-0005-0000-0000-000045030000}"/>
    <cellStyle name="Calcul 17 2" xfId="820" xr:uid="{00000000-0005-0000-0000-000046030000}"/>
    <cellStyle name="Calcul 17 3" xfId="821" xr:uid="{00000000-0005-0000-0000-000047030000}"/>
    <cellStyle name="Calcul 2 2" xfId="822" xr:uid="{00000000-0005-0000-0000-000048030000}"/>
    <cellStyle name="Calcul 2 3" xfId="823" xr:uid="{00000000-0005-0000-0000-000049030000}"/>
    <cellStyle name="Calcul 3 2" xfId="824" xr:uid="{00000000-0005-0000-0000-00004A030000}"/>
    <cellStyle name="Calcul 3 3" xfId="825" xr:uid="{00000000-0005-0000-0000-00004B030000}"/>
    <cellStyle name="Calcul 4 2" xfId="826" xr:uid="{00000000-0005-0000-0000-00004C030000}"/>
    <cellStyle name="Calcul 4 3" xfId="827" xr:uid="{00000000-0005-0000-0000-00004D030000}"/>
    <cellStyle name="Calcul 5 2" xfId="828" xr:uid="{00000000-0005-0000-0000-00004E030000}"/>
    <cellStyle name="Calcul 5 3" xfId="829" xr:uid="{00000000-0005-0000-0000-00004F030000}"/>
    <cellStyle name="Calcul 6 2" xfId="830" xr:uid="{00000000-0005-0000-0000-000050030000}"/>
    <cellStyle name="Calcul 6 3" xfId="831" xr:uid="{00000000-0005-0000-0000-000051030000}"/>
    <cellStyle name="Calcul 7 2" xfId="832" xr:uid="{00000000-0005-0000-0000-000052030000}"/>
    <cellStyle name="Calcul 7 3" xfId="833" xr:uid="{00000000-0005-0000-0000-000053030000}"/>
    <cellStyle name="Calcul 8 2" xfId="834" xr:uid="{00000000-0005-0000-0000-000054030000}"/>
    <cellStyle name="Calcul 8 3" xfId="835" xr:uid="{00000000-0005-0000-0000-000055030000}"/>
    <cellStyle name="Calcul 9 2" xfId="836" xr:uid="{00000000-0005-0000-0000-000056030000}"/>
    <cellStyle name="Calcul 9 3" xfId="837" xr:uid="{00000000-0005-0000-0000-000057030000}"/>
    <cellStyle name="Cellule liée" xfId="5376" builtinId="24" customBuiltin="1"/>
    <cellStyle name="Cellule liée 10 2" xfId="838" xr:uid="{00000000-0005-0000-0000-000058030000}"/>
    <cellStyle name="Cellule liée 10 3" xfId="839" xr:uid="{00000000-0005-0000-0000-000059030000}"/>
    <cellStyle name="Cellule liée 11 2" xfId="840" xr:uid="{00000000-0005-0000-0000-00005A030000}"/>
    <cellStyle name="Cellule liée 11 3" xfId="841" xr:uid="{00000000-0005-0000-0000-00005B030000}"/>
    <cellStyle name="Cellule liée 12 2" xfId="842" xr:uid="{00000000-0005-0000-0000-00005C030000}"/>
    <cellStyle name="Cellule liée 12 3" xfId="843" xr:uid="{00000000-0005-0000-0000-00005D030000}"/>
    <cellStyle name="Cellule liée 13 2" xfId="844" xr:uid="{00000000-0005-0000-0000-00005E030000}"/>
    <cellStyle name="Cellule liée 13 3" xfId="845" xr:uid="{00000000-0005-0000-0000-00005F030000}"/>
    <cellStyle name="Cellule liée 14 2" xfId="846" xr:uid="{00000000-0005-0000-0000-000060030000}"/>
    <cellStyle name="Cellule liée 14 3" xfId="847" xr:uid="{00000000-0005-0000-0000-000061030000}"/>
    <cellStyle name="Cellule liée 15 2" xfId="848" xr:uid="{00000000-0005-0000-0000-000062030000}"/>
    <cellStyle name="Cellule liée 15 3" xfId="849" xr:uid="{00000000-0005-0000-0000-000063030000}"/>
    <cellStyle name="Cellule liée 16 2" xfId="850" xr:uid="{00000000-0005-0000-0000-000064030000}"/>
    <cellStyle name="Cellule liée 16 3" xfId="851" xr:uid="{00000000-0005-0000-0000-000065030000}"/>
    <cellStyle name="Cellule liée 17 2" xfId="852" xr:uid="{00000000-0005-0000-0000-000066030000}"/>
    <cellStyle name="Cellule liée 17 3" xfId="853" xr:uid="{00000000-0005-0000-0000-000067030000}"/>
    <cellStyle name="Cellule liée 2 2" xfId="854" xr:uid="{00000000-0005-0000-0000-000068030000}"/>
    <cellStyle name="Cellule liée 2 3" xfId="855" xr:uid="{00000000-0005-0000-0000-000069030000}"/>
    <cellStyle name="Cellule liée 3 2" xfId="856" xr:uid="{00000000-0005-0000-0000-00006A030000}"/>
    <cellStyle name="Cellule liée 3 3" xfId="857" xr:uid="{00000000-0005-0000-0000-00006B030000}"/>
    <cellStyle name="Cellule liée 4 2" xfId="858" xr:uid="{00000000-0005-0000-0000-00006C030000}"/>
    <cellStyle name="Cellule liée 4 3" xfId="859" xr:uid="{00000000-0005-0000-0000-00006D030000}"/>
    <cellStyle name="Cellule liée 5 2" xfId="860" xr:uid="{00000000-0005-0000-0000-00006E030000}"/>
    <cellStyle name="Cellule liée 5 3" xfId="861" xr:uid="{00000000-0005-0000-0000-00006F030000}"/>
    <cellStyle name="Cellule liée 6 2" xfId="862" xr:uid="{00000000-0005-0000-0000-000070030000}"/>
    <cellStyle name="Cellule liée 6 3" xfId="863" xr:uid="{00000000-0005-0000-0000-000071030000}"/>
    <cellStyle name="Cellule liée 7 2" xfId="864" xr:uid="{00000000-0005-0000-0000-000072030000}"/>
    <cellStyle name="Cellule liée 7 3" xfId="865" xr:uid="{00000000-0005-0000-0000-000073030000}"/>
    <cellStyle name="Cellule liée 8 2" xfId="866" xr:uid="{00000000-0005-0000-0000-000074030000}"/>
    <cellStyle name="Cellule liée 8 3" xfId="867" xr:uid="{00000000-0005-0000-0000-000075030000}"/>
    <cellStyle name="Cellule liée 9 2" xfId="868" xr:uid="{00000000-0005-0000-0000-000076030000}"/>
    <cellStyle name="Cellule liée 9 3" xfId="869" xr:uid="{00000000-0005-0000-0000-000077030000}"/>
    <cellStyle name="Comma 11" xfId="1443" xr:uid="{00000000-0005-0000-0000-000078030000}"/>
    <cellStyle name="Comma 11 2" xfId="1884" xr:uid="{00000000-0005-0000-0000-000079030000}"/>
    <cellStyle name="Comma 11 2 2" xfId="2515" xr:uid="{00000000-0005-0000-0000-00007A030000}"/>
    <cellStyle name="Comma 2" xfId="1410" xr:uid="{00000000-0005-0000-0000-00007B030000}"/>
    <cellStyle name="Comma 2 2" xfId="1837" xr:uid="{00000000-0005-0000-0000-00007C030000}"/>
    <cellStyle name="Comma 2 2 2" xfId="1886" xr:uid="{00000000-0005-0000-0000-00007D030000}"/>
    <cellStyle name="Comma 2 2 2 2" xfId="3122" xr:uid="{00000000-0005-0000-0000-00007E030000}"/>
    <cellStyle name="Comma 2 2 2 2 2" xfId="3821" xr:uid="{00000000-0005-0000-0000-00007F030000}"/>
    <cellStyle name="Comma 2 2 2 2 2 2" xfId="5199" xr:uid="{00000000-0005-0000-0000-000080030000}"/>
    <cellStyle name="Comma 2 2 2 2 3" xfId="4510" xr:uid="{00000000-0005-0000-0000-000081030000}"/>
    <cellStyle name="Comma 2 2 2 3" xfId="2517" xr:uid="{00000000-0005-0000-0000-000082030000}"/>
    <cellStyle name="Comma 2 2 2 3 2" xfId="3595" xr:uid="{00000000-0005-0000-0000-000083030000}"/>
    <cellStyle name="Comma 2 2 2 3 2 2" xfId="4973" xr:uid="{00000000-0005-0000-0000-000084030000}"/>
    <cellStyle name="Comma 2 2 2 3 3" xfId="4284" xr:uid="{00000000-0005-0000-0000-000085030000}"/>
    <cellStyle name="Comma 2 2 2 4" xfId="3380" xr:uid="{00000000-0005-0000-0000-000086030000}"/>
    <cellStyle name="Comma 2 2 2 4 2" xfId="4758" xr:uid="{00000000-0005-0000-0000-000087030000}"/>
    <cellStyle name="Comma 2 2 2 5" xfId="4069" xr:uid="{00000000-0005-0000-0000-000088030000}"/>
    <cellStyle name="Comma 2 2 3" xfId="3104" xr:uid="{00000000-0005-0000-0000-000089030000}"/>
    <cellStyle name="Comma 2 2 3 2" xfId="3803" xr:uid="{00000000-0005-0000-0000-00008A030000}"/>
    <cellStyle name="Comma 2 2 3 2 2" xfId="5181" xr:uid="{00000000-0005-0000-0000-00008B030000}"/>
    <cellStyle name="Comma 2 2 3 3" xfId="4492" xr:uid="{00000000-0005-0000-0000-00008C030000}"/>
    <cellStyle name="Comma 2 2 4" xfId="2491" xr:uid="{00000000-0005-0000-0000-00008D030000}"/>
    <cellStyle name="Comma 2 2 4 2" xfId="3577" xr:uid="{00000000-0005-0000-0000-00008E030000}"/>
    <cellStyle name="Comma 2 2 4 2 2" xfId="4955" xr:uid="{00000000-0005-0000-0000-00008F030000}"/>
    <cellStyle name="Comma 2 2 4 3" xfId="4266" xr:uid="{00000000-0005-0000-0000-000090030000}"/>
    <cellStyle name="Comma 2 2 5" xfId="3362" xr:uid="{00000000-0005-0000-0000-000091030000}"/>
    <cellStyle name="Comma 2 2 5 2" xfId="4740" xr:uid="{00000000-0005-0000-0000-000092030000}"/>
    <cellStyle name="Comma 2 2 6" xfId="3983" xr:uid="{00000000-0005-0000-0000-000093030000}"/>
    <cellStyle name="Comma 2 2 6 2" xfId="5358" xr:uid="{00000000-0005-0000-0000-000094030000}"/>
    <cellStyle name="Comma 2 2 7" xfId="4051" xr:uid="{00000000-0005-0000-0000-000095030000}"/>
    <cellStyle name="Comma 2 2 8" xfId="5473" xr:uid="{00000000-0005-0000-0000-000041000000}"/>
    <cellStyle name="Comma 2 3" xfId="1885" xr:uid="{00000000-0005-0000-0000-000096030000}"/>
    <cellStyle name="Comma 2 3 2" xfId="2516" xr:uid="{00000000-0005-0000-0000-000097030000}"/>
    <cellStyle name="Comma 2 4" xfId="2357" xr:uid="{00000000-0005-0000-0000-000098030000}"/>
    <cellStyle name="Comma 2 4 2" xfId="3211" xr:uid="{00000000-0005-0000-0000-000099030000}"/>
    <cellStyle name="Comma 2 4 2 2" xfId="3910" xr:uid="{00000000-0005-0000-0000-00009A030000}"/>
    <cellStyle name="Comma 2 4 2 2 2" xfId="5288" xr:uid="{00000000-0005-0000-0000-00009B030000}"/>
    <cellStyle name="Comma 2 4 2 3" xfId="4599" xr:uid="{00000000-0005-0000-0000-00009C030000}"/>
    <cellStyle name="Comma 2 4 3" xfId="2978" xr:uid="{00000000-0005-0000-0000-00009D030000}"/>
    <cellStyle name="Comma 2 4 3 2" xfId="3684" xr:uid="{00000000-0005-0000-0000-00009E030000}"/>
    <cellStyle name="Comma 2 4 3 2 2" xfId="5062" xr:uid="{00000000-0005-0000-0000-00009F030000}"/>
    <cellStyle name="Comma 2 4 3 3" xfId="4373" xr:uid="{00000000-0005-0000-0000-0000A0030000}"/>
    <cellStyle name="Comma 2 4 4" xfId="3469" xr:uid="{00000000-0005-0000-0000-0000A1030000}"/>
    <cellStyle name="Comma 2 4 4 2" xfId="4847" xr:uid="{00000000-0005-0000-0000-0000A2030000}"/>
    <cellStyle name="Comma 2 4 5" xfId="4158" xr:uid="{00000000-0005-0000-0000-0000A3030000}"/>
    <cellStyle name="Comma 2 5" xfId="3974" xr:uid="{00000000-0005-0000-0000-0000A4030000}"/>
    <cellStyle name="Comma 2 5 2" xfId="5349" xr:uid="{00000000-0005-0000-0000-0000A5030000}"/>
    <cellStyle name="Comma 2 6" xfId="5430" xr:uid="{00000000-0005-0000-0000-000040000000}"/>
    <cellStyle name="Comma 3" xfId="1467" xr:uid="{00000000-0005-0000-0000-0000A6030000}"/>
    <cellStyle name="Comma 3 2" xfId="1887" xr:uid="{00000000-0005-0000-0000-0000A7030000}"/>
    <cellStyle name="Comma 3 2 2" xfId="2518" xr:uid="{00000000-0005-0000-0000-0000A8030000}"/>
    <cellStyle name="Comma 3 2 3" xfId="5476" xr:uid="{00000000-0005-0000-0000-000043000000}"/>
    <cellStyle name="Comma 3 3" xfId="5433" xr:uid="{00000000-0005-0000-0000-000042000000}"/>
    <cellStyle name="Comma 4" xfId="1850" xr:uid="{00000000-0005-0000-0000-0000A9030000}"/>
    <cellStyle name="Comma 4 2" xfId="1888" xr:uid="{00000000-0005-0000-0000-0000AA030000}"/>
    <cellStyle name="Comma 4 2 2" xfId="2519" xr:uid="{00000000-0005-0000-0000-0000AB030000}"/>
    <cellStyle name="Comma 5" xfId="3020" xr:uid="{00000000-0005-0000-0000-0000AC030000}"/>
    <cellStyle name="Comma 5 2" xfId="3722" xr:uid="{00000000-0005-0000-0000-0000AD030000}"/>
    <cellStyle name="Comma 5 2 2" xfId="5100" xr:uid="{00000000-0005-0000-0000-0000AE030000}"/>
    <cellStyle name="Comma 5 3" xfId="4411" xr:uid="{00000000-0005-0000-0000-0000AF030000}"/>
    <cellStyle name="Comma 6" xfId="3256" xr:uid="{00000000-0005-0000-0000-0000B0030000}"/>
    <cellStyle name="Comma 7" xfId="5515" xr:uid="{CF9A6C0B-AC30-4F93-A4B7-BA77E604C029}"/>
    <cellStyle name="Commentaire 10 2" xfId="870" xr:uid="{00000000-0005-0000-0000-0000B1030000}"/>
    <cellStyle name="Commentaire 10 3" xfId="871" xr:uid="{00000000-0005-0000-0000-0000B2030000}"/>
    <cellStyle name="Commentaire 11 2" xfId="872" xr:uid="{00000000-0005-0000-0000-0000B3030000}"/>
    <cellStyle name="Commentaire 11 3" xfId="873" xr:uid="{00000000-0005-0000-0000-0000B4030000}"/>
    <cellStyle name="Commentaire 12 2" xfId="874" xr:uid="{00000000-0005-0000-0000-0000B5030000}"/>
    <cellStyle name="Commentaire 12 3" xfId="875" xr:uid="{00000000-0005-0000-0000-0000B6030000}"/>
    <cellStyle name="Commentaire 13 2" xfId="876" xr:uid="{00000000-0005-0000-0000-0000B7030000}"/>
    <cellStyle name="Commentaire 13 3" xfId="877" xr:uid="{00000000-0005-0000-0000-0000B8030000}"/>
    <cellStyle name="Commentaire 14 2" xfId="878" xr:uid="{00000000-0005-0000-0000-0000B9030000}"/>
    <cellStyle name="Commentaire 14 3" xfId="879" xr:uid="{00000000-0005-0000-0000-0000BA030000}"/>
    <cellStyle name="Commentaire 15 2" xfId="880" xr:uid="{00000000-0005-0000-0000-0000BB030000}"/>
    <cellStyle name="Commentaire 15 3" xfId="881" xr:uid="{00000000-0005-0000-0000-0000BC030000}"/>
    <cellStyle name="Commentaire 16 2" xfId="882" xr:uid="{00000000-0005-0000-0000-0000BD030000}"/>
    <cellStyle name="Commentaire 16 3" xfId="883" xr:uid="{00000000-0005-0000-0000-0000BE030000}"/>
    <cellStyle name="Commentaire 17 2" xfId="884" xr:uid="{00000000-0005-0000-0000-0000BF030000}"/>
    <cellStyle name="Commentaire 17 3" xfId="885" xr:uid="{00000000-0005-0000-0000-0000C0030000}"/>
    <cellStyle name="Commentaire 2 2" xfId="886" xr:uid="{00000000-0005-0000-0000-0000C1030000}"/>
    <cellStyle name="Commentaire 2 3" xfId="887" xr:uid="{00000000-0005-0000-0000-0000C2030000}"/>
    <cellStyle name="Commentaire 3 2" xfId="888" xr:uid="{00000000-0005-0000-0000-0000C3030000}"/>
    <cellStyle name="Commentaire 3 3" xfId="889" xr:uid="{00000000-0005-0000-0000-0000C4030000}"/>
    <cellStyle name="Commentaire 4 2" xfId="890" xr:uid="{00000000-0005-0000-0000-0000C5030000}"/>
    <cellStyle name="Commentaire 4 3" xfId="891" xr:uid="{00000000-0005-0000-0000-0000C6030000}"/>
    <cellStyle name="Commentaire 5 2" xfId="892" xr:uid="{00000000-0005-0000-0000-0000C7030000}"/>
    <cellStyle name="Commentaire 5 3" xfId="893" xr:uid="{00000000-0005-0000-0000-0000C8030000}"/>
    <cellStyle name="Commentaire 6 2" xfId="894" xr:uid="{00000000-0005-0000-0000-0000C9030000}"/>
    <cellStyle name="Commentaire 6 3" xfId="895" xr:uid="{00000000-0005-0000-0000-0000CA030000}"/>
    <cellStyle name="Commentaire 7 2" xfId="896" xr:uid="{00000000-0005-0000-0000-0000CB030000}"/>
    <cellStyle name="Commentaire 7 3" xfId="897" xr:uid="{00000000-0005-0000-0000-0000CC030000}"/>
    <cellStyle name="Commentaire 8 2" xfId="898" xr:uid="{00000000-0005-0000-0000-0000CD030000}"/>
    <cellStyle name="Commentaire 8 3" xfId="899" xr:uid="{00000000-0005-0000-0000-0000CE030000}"/>
    <cellStyle name="Commentaire 9 2" xfId="900" xr:uid="{00000000-0005-0000-0000-0000CF030000}"/>
    <cellStyle name="Commentaire 9 3" xfId="901" xr:uid="{00000000-0005-0000-0000-0000D0030000}"/>
    <cellStyle name="Currency 2" xfId="5434" xr:uid="{00000000-0005-0000-0000-000045000000}"/>
    <cellStyle name="Currency 2 2" xfId="5477" xr:uid="{00000000-0005-0000-0000-000046000000}"/>
    <cellStyle name="Entrée" xfId="5373" builtinId="20" customBuiltin="1"/>
    <cellStyle name="Entrée 10 2" xfId="902" xr:uid="{00000000-0005-0000-0000-0000D1030000}"/>
    <cellStyle name="Entrée 10 3" xfId="903" xr:uid="{00000000-0005-0000-0000-0000D2030000}"/>
    <cellStyle name="Entrée 11 2" xfId="904" xr:uid="{00000000-0005-0000-0000-0000D3030000}"/>
    <cellStyle name="Entrée 11 3" xfId="905" xr:uid="{00000000-0005-0000-0000-0000D4030000}"/>
    <cellStyle name="Entrée 12 2" xfId="906" xr:uid="{00000000-0005-0000-0000-0000D5030000}"/>
    <cellStyle name="Entrée 12 3" xfId="907" xr:uid="{00000000-0005-0000-0000-0000D6030000}"/>
    <cellStyle name="Entrée 13 2" xfId="908" xr:uid="{00000000-0005-0000-0000-0000D7030000}"/>
    <cellStyle name="Entrée 13 3" xfId="909" xr:uid="{00000000-0005-0000-0000-0000D8030000}"/>
    <cellStyle name="Entrée 14 2" xfId="910" xr:uid="{00000000-0005-0000-0000-0000D9030000}"/>
    <cellStyle name="Entrée 14 3" xfId="911" xr:uid="{00000000-0005-0000-0000-0000DA030000}"/>
    <cellStyle name="Entrée 15 2" xfId="912" xr:uid="{00000000-0005-0000-0000-0000DB030000}"/>
    <cellStyle name="Entrée 15 3" xfId="913" xr:uid="{00000000-0005-0000-0000-0000DC030000}"/>
    <cellStyle name="Entrée 16 2" xfId="914" xr:uid="{00000000-0005-0000-0000-0000DD030000}"/>
    <cellStyle name="Entrée 16 3" xfId="915" xr:uid="{00000000-0005-0000-0000-0000DE030000}"/>
    <cellStyle name="Entrée 17 2" xfId="916" xr:uid="{00000000-0005-0000-0000-0000DF030000}"/>
    <cellStyle name="Entrée 17 3" xfId="917" xr:uid="{00000000-0005-0000-0000-0000E0030000}"/>
    <cellStyle name="Entrée 2 2" xfId="918" xr:uid="{00000000-0005-0000-0000-0000E1030000}"/>
    <cellStyle name="Entrée 2 3" xfId="919" xr:uid="{00000000-0005-0000-0000-0000E2030000}"/>
    <cellStyle name="Entrée 3 2" xfId="920" xr:uid="{00000000-0005-0000-0000-0000E3030000}"/>
    <cellStyle name="Entrée 3 3" xfId="921" xr:uid="{00000000-0005-0000-0000-0000E4030000}"/>
    <cellStyle name="Entrée 4 2" xfId="922" xr:uid="{00000000-0005-0000-0000-0000E5030000}"/>
    <cellStyle name="Entrée 4 3" xfId="923" xr:uid="{00000000-0005-0000-0000-0000E6030000}"/>
    <cellStyle name="Entrée 5 2" xfId="924" xr:uid="{00000000-0005-0000-0000-0000E7030000}"/>
    <cellStyle name="Entrée 5 3" xfId="925" xr:uid="{00000000-0005-0000-0000-0000E8030000}"/>
    <cellStyle name="Entrée 6 2" xfId="926" xr:uid="{00000000-0005-0000-0000-0000E9030000}"/>
    <cellStyle name="Entrée 6 3" xfId="927" xr:uid="{00000000-0005-0000-0000-0000EA030000}"/>
    <cellStyle name="Entrée 7 2" xfId="928" xr:uid="{00000000-0005-0000-0000-0000EB030000}"/>
    <cellStyle name="Entrée 7 3" xfId="929" xr:uid="{00000000-0005-0000-0000-0000EC030000}"/>
    <cellStyle name="Entrée 8 2" xfId="930" xr:uid="{00000000-0005-0000-0000-0000ED030000}"/>
    <cellStyle name="Entrée 8 3" xfId="931" xr:uid="{00000000-0005-0000-0000-0000EE030000}"/>
    <cellStyle name="Entrée 9 2" xfId="932" xr:uid="{00000000-0005-0000-0000-0000EF030000}"/>
    <cellStyle name="Entrée 9 3" xfId="933" xr:uid="{00000000-0005-0000-0000-0000F0030000}"/>
    <cellStyle name="Euro" xfId="934" xr:uid="{00000000-0005-0000-0000-0000F1030000}"/>
    <cellStyle name="Euro 2" xfId="1889" xr:uid="{00000000-0005-0000-0000-0000F2030000}"/>
    <cellStyle name="Euro 2 2" xfId="2520" xr:uid="{00000000-0005-0000-0000-0000F3030000}"/>
    <cellStyle name="Euro 3" xfId="2414" xr:uid="{00000000-0005-0000-0000-0000F4030000}"/>
    <cellStyle name="Hyperlink 2" xfId="3252" xr:uid="{00000000-0005-0000-0000-0000F5030000}"/>
    <cellStyle name="Insatisfaisant" xfId="5372" builtinId="27" customBuiltin="1"/>
    <cellStyle name="Insatisfaisant 10 2" xfId="935" xr:uid="{00000000-0005-0000-0000-0000F6030000}"/>
    <cellStyle name="Insatisfaisant 10 3" xfId="936" xr:uid="{00000000-0005-0000-0000-0000F7030000}"/>
    <cellStyle name="Insatisfaisant 11 2" xfId="937" xr:uid="{00000000-0005-0000-0000-0000F8030000}"/>
    <cellStyle name="Insatisfaisant 11 3" xfId="938" xr:uid="{00000000-0005-0000-0000-0000F9030000}"/>
    <cellStyle name="Insatisfaisant 12 2" xfId="939" xr:uid="{00000000-0005-0000-0000-0000FA030000}"/>
    <cellStyle name="Insatisfaisant 12 3" xfId="940" xr:uid="{00000000-0005-0000-0000-0000FB030000}"/>
    <cellStyle name="Insatisfaisant 13 2" xfId="941" xr:uid="{00000000-0005-0000-0000-0000FC030000}"/>
    <cellStyle name="Insatisfaisant 13 3" xfId="942" xr:uid="{00000000-0005-0000-0000-0000FD030000}"/>
    <cellStyle name="Insatisfaisant 14 2" xfId="943" xr:uid="{00000000-0005-0000-0000-0000FE030000}"/>
    <cellStyle name="Insatisfaisant 14 3" xfId="944" xr:uid="{00000000-0005-0000-0000-0000FF030000}"/>
    <cellStyle name="Insatisfaisant 15 2" xfId="945" xr:uid="{00000000-0005-0000-0000-000000040000}"/>
    <cellStyle name="Insatisfaisant 15 3" xfId="946" xr:uid="{00000000-0005-0000-0000-000001040000}"/>
    <cellStyle name="Insatisfaisant 16 2" xfId="947" xr:uid="{00000000-0005-0000-0000-000002040000}"/>
    <cellStyle name="Insatisfaisant 16 3" xfId="948" xr:uid="{00000000-0005-0000-0000-000003040000}"/>
    <cellStyle name="Insatisfaisant 17 2" xfId="949" xr:uid="{00000000-0005-0000-0000-000004040000}"/>
    <cellStyle name="Insatisfaisant 17 3" xfId="950" xr:uid="{00000000-0005-0000-0000-000005040000}"/>
    <cellStyle name="Insatisfaisant 2 2" xfId="951" xr:uid="{00000000-0005-0000-0000-000006040000}"/>
    <cellStyle name="Insatisfaisant 2 3" xfId="952" xr:uid="{00000000-0005-0000-0000-000007040000}"/>
    <cellStyle name="Insatisfaisant 3 2" xfId="953" xr:uid="{00000000-0005-0000-0000-000008040000}"/>
    <cellStyle name="Insatisfaisant 3 3" xfId="954" xr:uid="{00000000-0005-0000-0000-000009040000}"/>
    <cellStyle name="Insatisfaisant 4 2" xfId="955" xr:uid="{00000000-0005-0000-0000-00000A040000}"/>
    <cellStyle name="Insatisfaisant 4 3" xfId="956" xr:uid="{00000000-0005-0000-0000-00000B040000}"/>
    <cellStyle name="Insatisfaisant 5 2" xfId="957" xr:uid="{00000000-0005-0000-0000-00000C040000}"/>
    <cellStyle name="Insatisfaisant 5 3" xfId="958" xr:uid="{00000000-0005-0000-0000-00000D040000}"/>
    <cellStyle name="Insatisfaisant 6 2" xfId="959" xr:uid="{00000000-0005-0000-0000-00000E040000}"/>
    <cellStyle name="Insatisfaisant 6 3" xfId="960" xr:uid="{00000000-0005-0000-0000-00000F040000}"/>
    <cellStyle name="Insatisfaisant 7 2" xfId="961" xr:uid="{00000000-0005-0000-0000-000010040000}"/>
    <cellStyle name="Insatisfaisant 7 3" xfId="962" xr:uid="{00000000-0005-0000-0000-000011040000}"/>
    <cellStyle name="Insatisfaisant 8 2" xfId="963" xr:uid="{00000000-0005-0000-0000-000012040000}"/>
    <cellStyle name="Insatisfaisant 8 3" xfId="964" xr:uid="{00000000-0005-0000-0000-000013040000}"/>
    <cellStyle name="Insatisfaisant 9 2" xfId="965" xr:uid="{00000000-0005-0000-0000-000014040000}"/>
    <cellStyle name="Insatisfaisant 9 3" xfId="966" xr:uid="{00000000-0005-0000-0000-000015040000}"/>
    <cellStyle name="Lien hypertexte" xfId="1441" builtinId="8"/>
    <cellStyle name="Lien hypertexte 2" xfId="1354" xr:uid="{00000000-0005-0000-0000-000017040000}"/>
    <cellStyle name="Lien hypertexte 2 2" xfId="3028" xr:uid="{00000000-0005-0000-0000-000018040000}"/>
    <cellStyle name="Lien hypertexte 3" xfId="1866" xr:uid="{00000000-0005-0000-0000-000019040000}"/>
    <cellStyle name="Lien hypertexte 4" xfId="2335" xr:uid="{00000000-0005-0000-0000-00001A040000}"/>
    <cellStyle name="Lien hypertexte 5" xfId="2349" xr:uid="{00000000-0005-0000-0000-00001B040000}"/>
    <cellStyle name="Milliers" xfId="1853" builtinId="3"/>
    <cellStyle name="Milliers [0] 2" xfId="967" xr:uid="{00000000-0005-0000-0000-00001D040000}"/>
    <cellStyle name="Milliers [0] 3" xfId="968" xr:uid="{00000000-0005-0000-0000-00001E040000}"/>
    <cellStyle name="Milliers 10" xfId="1419" xr:uid="{00000000-0005-0000-0000-00001F040000}"/>
    <cellStyle name="Milliers 10 2" xfId="1890" xr:uid="{00000000-0005-0000-0000-000020040000}"/>
    <cellStyle name="Milliers 10 2 2" xfId="2521" xr:uid="{00000000-0005-0000-0000-000021040000}"/>
    <cellStyle name="Milliers 10 3" xfId="2428" xr:uid="{00000000-0005-0000-0000-000022040000}"/>
    <cellStyle name="Milliers 100" xfId="1574" xr:uid="{00000000-0005-0000-0000-000023040000}"/>
    <cellStyle name="Milliers 100 2" xfId="1891" xr:uid="{00000000-0005-0000-0000-000024040000}"/>
    <cellStyle name="Milliers 100 2 2" xfId="2522" xr:uid="{00000000-0005-0000-0000-000025040000}"/>
    <cellStyle name="Milliers 101" xfId="1575" xr:uid="{00000000-0005-0000-0000-000026040000}"/>
    <cellStyle name="Milliers 101 2" xfId="1892" xr:uid="{00000000-0005-0000-0000-000027040000}"/>
    <cellStyle name="Milliers 101 2 2" xfId="2523" xr:uid="{00000000-0005-0000-0000-000028040000}"/>
    <cellStyle name="Milliers 102" xfId="1576" xr:uid="{00000000-0005-0000-0000-000029040000}"/>
    <cellStyle name="Milliers 102 2" xfId="1893" xr:uid="{00000000-0005-0000-0000-00002A040000}"/>
    <cellStyle name="Milliers 102 2 2" xfId="2524" xr:uid="{00000000-0005-0000-0000-00002B040000}"/>
    <cellStyle name="Milliers 103" xfId="1577" xr:uid="{00000000-0005-0000-0000-00002C040000}"/>
    <cellStyle name="Milliers 103 2" xfId="1894" xr:uid="{00000000-0005-0000-0000-00002D040000}"/>
    <cellStyle name="Milliers 103 2 2" xfId="2525" xr:uid="{00000000-0005-0000-0000-00002E040000}"/>
    <cellStyle name="Milliers 104" xfId="1578" xr:uid="{00000000-0005-0000-0000-00002F040000}"/>
    <cellStyle name="Milliers 104 2" xfId="1895" xr:uid="{00000000-0005-0000-0000-000030040000}"/>
    <cellStyle name="Milliers 104 2 2" xfId="2526" xr:uid="{00000000-0005-0000-0000-000031040000}"/>
    <cellStyle name="Milliers 105" xfId="1579" xr:uid="{00000000-0005-0000-0000-000032040000}"/>
    <cellStyle name="Milliers 105 2" xfId="1896" xr:uid="{00000000-0005-0000-0000-000033040000}"/>
    <cellStyle name="Milliers 105 2 2" xfId="2527" xr:uid="{00000000-0005-0000-0000-000034040000}"/>
    <cellStyle name="Milliers 106" xfId="1580" xr:uid="{00000000-0005-0000-0000-000035040000}"/>
    <cellStyle name="Milliers 106 2" xfId="1897" xr:uid="{00000000-0005-0000-0000-000036040000}"/>
    <cellStyle name="Milliers 106 2 2" xfId="2528" xr:uid="{00000000-0005-0000-0000-000037040000}"/>
    <cellStyle name="Milliers 107" xfId="1581" xr:uid="{00000000-0005-0000-0000-000038040000}"/>
    <cellStyle name="Milliers 107 2" xfId="1898" xr:uid="{00000000-0005-0000-0000-000039040000}"/>
    <cellStyle name="Milliers 107 2 2" xfId="2529" xr:uid="{00000000-0005-0000-0000-00003A040000}"/>
    <cellStyle name="Milliers 108" xfId="1582" xr:uid="{00000000-0005-0000-0000-00003B040000}"/>
    <cellStyle name="Milliers 108 2" xfId="1899" xr:uid="{00000000-0005-0000-0000-00003C040000}"/>
    <cellStyle name="Milliers 108 2 2" xfId="2530" xr:uid="{00000000-0005-0000-0000-00003D040000}"/>
    <cellStyle name="Milliers 109" xfId="1583" xr:uid="{00000000-0005-0000-0000-00003E040000}"/>
    <cellStyle name="Milliers 109 2" xfId="1900" xr:uid="{00000000-0005-0000-0000-00003F040000}"/>
    <cellStyle name="Milliers 109 2 2" xfId="2531" xr:uid="{00000000-0005-0000-0000-000040040000}"/>
    <cellStyle name="Milliers 11" xfId="1422" xr:uid="{00000000-0005-0000-0000-000041040000}"/>
    <cellStyle name="Milliers 11 2" xfId="1901" xr:uid="{00000000-0005-0000-0000-000042040000}"/>
    <cellStyle name="Milliers 11 2 2" xfId="2532" xr:uid="{00000000-0005-0000-0000-000043040000}"/>
    <cellStyle name="Milliers 11 3" xfId="2431" xr:uid="{00000000-0005-0000-0000-000044040000}"/>
    <cellStyle name="Milliers 110" xfId="1584" xr:uid="{00000000-0005-0000-0000-000045040000}"/>
    <cellStyle name="Milliers 110 2" xfId="1902" xr:uid="{00000000-0005-0000-0000-000046040000}"/>
    <cellStyle name="Milliers 110 2 2" xfId="2533" xr:uid="{00000000-0005-0000-0000-000047040000}"/>
    <cellStyle name="Milliers 111" xfId="1585" xr:uid="{00000000-0005-0000-0000-000048040000}"/>
    <cellStyle name="Milliers 111 2" xfId="1903" xr:uid="{00000000-0005-0000-0000-000049040000}"/>
    <cellStyle name="Milliers 111 2 2" xfId="2534" xr:uid="{00000000-0005-0000-0000-00004A040000}"/>
    <cellStyle name="Milliers 112" xfId="1586" xr:uid="{00000000-0005-0000-0000-00004B040000}"/>
    <cellStyle name="Milliers 112 2" xfId="1904" xr:uid="{00000000-0005-0000-0000-00004C040000}"/>
    <cellStyle name="Milliers 112 2 2" xfId="2535" xr:uid="{00000000-0005-0000-0000-00004D040000}"/>
    <cellStyle name="Milliers 113" xfId="1587" xr:uid="{00000000-0005-0000-0000-00004E040000}"/>
    <cellStyle name="Milliers 113 2" xfId="1905" xr:uid="{00000000-0005-0000-0000-00004F040000}"/>
    <cellStyle name="Milliers 113 2 2" xfId="2536" xr:uid="{00000000-0005-0000-0000-000050040000}"/>
    <cellStyle name="Milliers 114" xfId="1588" xr:uid="{00000000-0005-0000-0000-000051040000}"/>
    <cellStyle name="Milliers 114 2" xfId="1906" xr:uid="{00000000-0005-0000-0000-000052040000}"/>
    <cellStyle name="Milliers 114 2 2" xfId="2537" xr:uid="{00000000-0005-0000-0000-000053040000}"/>
    <cellStyle name="Milliers 115" xfId="1589" xr:uid="{00000000-0005-0000-0000-000054040000}"/>
    <cellStyle name="Milliers 115 2" xfId="1907" xr:uid="{00000000-0005-0000-0000-000055040000}"/>
    <cellStyle name="Milliers 115 2 2" xfId="2538" xr:uid="{00000000-0005-0000-0000-000056040000}"/>
    <cellStyle name="Milliers 116" xfId="1590" xr:uid="{00000000-0005-0000-0000-000057040000}"/>
    <cellStyle name="Milliers 116 2" xfId="1908" xr:uid="{00000000-0005-0000-0000-000058040000}"/>
    <cellStyle name="Milliers 116 2 2" xfId="2539" xr:uid="{00000000-0005-0000-0000-000059040000}"/>
    <cellStyle name="Milliers 117" xfId="1591" xr:uid="{00000000-0005-0000-0000-00005A040000}"/>
    <cellStyle name="Milliers 117 2" xfId="1909" xr:uid="{00000000-0005-0000-0000-00005B040000}"/>
    <cellStyle name="Milliers 117 2 2" xfId="2540" xr:uid="{00000000-0005-0000-0000-00005C040000}"/>
    <cellStyle name="Milliers 118" xfId="1592" xr:uid="{00000000-0005-0000-0000-00005D040000}"/>
    <cellStyle name="Milliers 118 2" xfId="1910" xr:uid="{00000000-0005-0000-0000-00005E040000}"/>
    <cellStyle name="Milliers 118 2 2" xfId="2541" xr:uid="{00000000-0005-0000-0000-00005F040000}"/>
    <cellStyle name="Milliers 119" xfId="1593" xr:uid="{00000000-0005-0000-0000-000060040000}"/>
    <cellStyle name="Milliers 119 2" xfId="1911" xr:uid="{00000000-0005-0000-0000-000061040000}"/>
    <cellStyle name="Milliers 119 2 2" xfId="2542" xr:uid="{00000000-0005-0000-0000-000062040000}"/>
    <cellStyle name="Milliers 12" xfId="1431" xr:uid="{00000000-0005-0000-0000-000063040000}"/>
    <cellStyle name="Milliers 12 2" xfId="1912" xr:uid="{00000000-0005-0000-0000-000064040000}"/>
    <cellStyle name="Milliers 12 2 2" xfId="2543" xr:uid="{00000000-0005-0000-0000-000065040000}"/>
    <cellStyle name="Milliers 120" xfId="1594" xr:uid="{00000000-0005-0000-0000-000066040000}"/>
    <cellStyle name="Milliers 120 2" xfId="1913" xr:uid="{00000000-0005-0000-0000-000067040000}"/>
    <cellStyle name="Milliers 120 2 2" xfId="2544" xr:uid="{00000000-0005-0000-0000-000068040000}"/>
    <cellStyle name="Milliers 121" xfId="1595" xr:uid="{00000000-0005-0000-0000-000069040000}"/>
    <cellStyle name="Milliers 121 2" xfId="1914" xr:uid="{00000000-0005-0000-0000-00006A040000}"/>
    <cellStyle name="Milliers 121 2 2" xfId="2545" xr:uid="{00000000-0005-0000-0000-00006B040000}"/>
    <cellStyle name="Milliers 122" xfId="1596" xr:uid="{00000000-0005-0000-0000-00006C040000}"/>
    <cellStyle name="Milliers 122 2" xfId="1915" xr:uid="{00000000-0005-0000-0000-00006D040000}"/>
    <cellStyle name="Milliers 122 2 2" xfId="2546" xr:uid="{00000000-0005-0000-0000-00006E040000}"/>
    <cellStyle name="Milliers 123" xfId="1597" xr:uid="{00000000-0005-0000-0000-00006F040000}"/>
    <cellStyle name="Milliers 123 2" xfId="1916" xr:uid="{00000000-0005-0000-0000-000070040000}"/>
    <cellStyle name="Milliers 123 2 2" xfId="2547" xr:uid="{00000000-0005-0000-0000-000071040000}"/>
    <cellStyle name="Milliers 124" xfId="1598" xr:uid="{00000000-0005-0000-0000-000072040000}"/>
    <cellStyle name="Milliers 124 2" xfId="1917" xr:uid="{00000000-0005-0000-0000-000073040000}"/>
    <cellStyle name="Milliers 124 2 2" xfId="2548" xr:uid="{00000000-0005-0000-0000-000074040000}"/>
    <cellStyle name="Milliers 125" xfId="1599" xr:uid="{00000000-0005-0000-0000-000075040000}"/>
    <cellStyle name="Milliers 125 2" xfId="1918" xr:uid="{00000000-0005-0000-0000-000076040000}"/>
    <cellStyle name="Milliers 125 2 2" xfId="2549" xr:uid="{00000000-0005-0000-0000-000077040000}"/>
    <cellStyle name="Milliers 126" xfId="1600" xr:uid="{00000000-0005-0000-0000-000078040000}"/>
    <cellStyle name="Milliers 126 2" xfId="1919" xr:uid="{00000000-0005-0000-0000-000079040000}"/>
    <cellStyle name="Milliers 126 2 2" xfId="2550" xr:uid="{00000000-0005-0000-0000-00007A040000}"/>
    <cellStyle name="Milliers 127" xfId="1601" xr:uid="{00000000-0005-0000-0000-00007B040000}"/>
    <cellStyle name="Milliers 127 2" xfId="1920" xr:uid="{00000000-0005-0000-0000-00007C040000}"/>
    <cellStyle name="Milliers 127 2 2" xfId="2551" xr:uid="{00000000-0005-0000-0000-00007D040000}"/>
    <cellStyle name="Milliers 128" xfId="1602" xr:uid="{00000000-0005-0000-0000-00007E040000}"/>
    <cellStyle name="Milliers 128 2" xfId="1921" xr:uid="{00000000-0005-0000-0000-00007F040000}"/>
    <cellStyle name="Milliers 128 2 2" xfId="2552" xr:uid="{00000000-0005-0000-0000-000080040000}"/>
    <cellStyle name="Milliers 129" xfId="1603" xr:uid="{00000000-0005-0000-0000-000081040000}"/>
    <cellStyle name="Milliers 129 2" xfId="1922" xr:uid="{00000000-0005-0000-0000-000082040000}"/>
    <cellStyle name="Milliers 129 2 2" xfId="2553" xr:uid="{00000000-0005-0000-0000-000083040000}"/>
    <cellStyle name="Milliers 13" xfId="1432" xr:uid="{00000000-0005-0000-0000-000084040000}"/>
    <cellStyle name="Milliers 13 2" xfId="1923" xr:uid="{00000000-0005-0000-0000-000085040000}"/>
    <cellStyle name="Milliers 13 2 2" xfId="2554" xr:uid="{00000000-0005-0000-0000-000086040000}"/>
    <cellStyle name="Milliers 130" xfId="1604" xr:uid="{00000000-0005-0000-0000-000087040000}"/>
    <cellStyle name="Milliers 130 2" xfId="1924" xr:uid="{00000000-0005-0000-0000-000088040000}"/>
    <cellStyle name="Milliers 130 2 2" xfId="2555" xr:uid="{00000000-0005-0000-0000-000089040000}"/>
    <cellStyle name="Milliers 131" xfId="1605" xr:uid="{00000000-0005-0000-0000-00008A040000}"/>
    <cellStyle name="Milliers 131 2" xfId="1925" xr:uid="{00000000-0005-0000-0000-00008B040000}"/>
    <cellStyle name="Milliers 131 2 2" xfId="2556" xr:uid="{00000000-0005-0000-0000-00008C040000}"/>
    <cellStyle name="Milliers 132" xfId="1606" xr:uid="{00000000-0005-0000-0000-00008D040000}"/>
    <cellStyle name="Milliers 132 2" xfId="1926" xr:uid="{00000000-0005-0000-0000-00008E040000}"/>
    <cellStyle name="Milliers 132 2 2" xfId="2557" xr:uid="{00000000-0005-0000-0000-00008F040000}"/>
    <cellStyle name="Milliers 133" xfId="1607" xr:uid="{00000000-0005-0000-0000-000090040000}"/>
    <cellStyle name="Milliers 133 2" xfId="1927" xr:uid="{00000000-0005-0000-0000-000091040000}"/>
    <cellStyle name="Milliers 133 2 2" xfId="2558" xr:uid="{00000000-0005-0000-0000-000092040000}"/>
    <cellStyle name="Milliers 134" xfId="1608" xr:uid="{00000000-0005-0000-0000-000093040000}"/>
    <cellStyle name="Milliers 134 2" xfId="1928" xr:uid="{00000000-0005-0000-0000-000094040000}"/>
    <cellStyle name="Milliers 134 2 2" xfId="2559" xr:uid="{00000000-0005-0000-0000-000095040000}"/>
    <cellStyle name="Milliers 135" xfId="1609" xr:uid="{00000000-0005-0000-0000-000096040000}"/>
    <cellStyle name="Milliers 135 2" xfId="1929" xr:uid="{00000000-0005-0000-0000-000097040000}"/>
    <cellStyle name="Milliers 135 2 2" xfId="2560" xr:uid="{00000000-0005-0000-0000-000098040000}"/>
    <cellStyle name="Milliers 136" xfId="1610" xr:uid="{00000000-0005-0000-0000-000099040000}"/>
    <cellStyle name="Milliers 136 2" xfId="1930" xr:uid="{00000000-0005-0000-0000-00009A040000}"/>
    <cellStyle name="Milliers 136 2 2" xfId="2561" xr:uid="{00000000-0005-0000-0000-00009B040000}"/>
    <cellStyle name="Milliers 137" xfId="1611" xr:uid="{00000000-0005-0000-0000-00009C040000}"/>
    <cellStyle name="Milliers 137 2" xfId="1931" xr:uid="{00000000-0005-0000-0000-00009D040000}"/>
    <cellStyle name="Milliers 137 2 2" xfId="2562" xr:uid="{00000000-0005-0000-0000-00009E040000}"/>
    <cellStyle name="Milliers 138" xfId="1612" xr:uid="{00000000-0005-0000-0000-00009F040000}"/>
    <cellStyle name="Milliers 138 2" xfId="1932" xr:uid="{00000000-0005-0000-0000-0000A0040000}"/>
    <cellStyle name="Milliers 138 2 2" xfId="2563" xr:uid="{00000000-0005-0000-0000-0000A1040000}"/>
    <cellStyle name="Milliers 139" xfId="1613" xr:uid="{00000000-0005-0000-0000-0000A2040000}"/>
    <cellStyle name="Milliers 139 2" xfId="1933" xr:uid="{00000000-0005-0000-0000-0000A3040000}"/>
    <cellStyle name="Milliers 139 2 2" xfId="2564" xr:uid="{00000000-0005-0000-0000-0000A4040000}"/>
    <cellStyle name="Milliers 14" xfId="1433" xr:uid="{00000000-0005-0000-0000-0000A5040000}"/>
    <cellStyle name="Milliers 14 2" xfId="1934" xr:uid="{00000000-0005-0000-0000-0000A6040000}"/>
    <cellStyle name="Milliers 14 2 2" xfId="2565" xr:uid="{00000000-0005-0000-0000-0000A7040000}"/>
    <cellStyle name="Milliers 140" xfId="1614" xr:uid="{00000000-0005-0000-0000-0000A8040000}"/>
    <cellStyle name="Milliers 140 2" xfId="1935" xr:uid="{00000000-0005-0000-0000-0000A9040000}"/>
    <cellStyle name="Milliers 140 2 2" xfId="2566" xr:uid="{00000000-0005-0000-0000-0000AA040000}"/>
    <cellStyle name="Milliers 141" xfId="1615" xr:uid="{00000000-0005-0000-0000-0000AB040000}"/>
    <cellStyle name="Milliers 141 2" xfId="1936" xr:uid="{00000000-0005-0000-0000-0000AC040000}"/>
    <cellStyle name="Milliers 141 2 2" xfId="2567" xr:uid="{00000000-0005-0000-0000-0000AD040000}"/>
    <cellStyle name="Milliers 142" xfId="1616" xr:uid="{00000000-0005-0000-0000-0000AE040000}"/>
    <cellStyle name="Milliers 142 2" xfId="1937" xr:uid="{00000000-0005-0000-0000-0000AF040000}"/>
    <cellStyle name="Milliers 142 2 2" xfId="2568" xr:uid="{00000000-0005-0000-0000-0000B0040000}"/>
    <cellStyle name="Milliers 143" xfId="1617" xr:uid="{00000000-0005-0000-0000-0000B1040000}"/>
    <cellStyle name="Milliers 143 2" xfId="1938" xr:uid="{00000000-0005-0000-0000-0000B2040000}"/>
    <cellStyle name="Milliers 143 2 2" xfId="2569" xr:uid="{00000000-0005-0000-0000-0000B3040000}"/>
    <cellStyle name="Milliers 144" xfId="1618" xr:uid="{00000000-0005-0000-0000-0000B4040000}"/>
    <cellStyle name="Milliers 144 2" xfId="1939" xr:uid="{00000000-0005-0000-0000-0000B5040000}"/>
    <cellStyle name="Milliers 144 2 2" xfId="2570" xr:uid="{00000000-0005-0000-0000-0000B6040000}"/>
    <cellStyle name="Milliers 145" xfId="1619" xr:uid="{00000000-0005-0000-0000-0000B7040000}"/>
    <cellStyle name="Milliers 145 2" xfId="1940" xr:uid="{00000000-0005-0000-0000-0000B8040000}"/>
    <cellStyle name="Milliers 145 2 2" xfId="2571" xr:uid="{00000000-0005-0000-0000-0000B9040000}"/>
    <cellStyle name="Milliers 146" xfId="1620" xr:uid="{00000000-0005-0000-0000-0000BA040000}"/>
    <cellStyle name="Milliers 146 2" xfId="1941" xr:uid="{00000000-0005-0000-0000-0000BB040000}"/>
    <cellStyle name="Milliers 146 2 2" xfId="2572" xr:uid="{00000000-0005-0000-0000-0000BC040000}"/>
    <cellStyle name="Milliers 147" xfId="1621" xr:uid="{00000000-0005-0000-0000-0000BD040000}"/>
    <cellStyle name="Milliers 147 2" xfId="1942" xr:uid="{00000000-0005-0000-0000-0000BE040000}"/>
    <cellStyle name="Milliers 147 2 2" xfId="2573" xr:uid="{00000000-0005-0000-0000-0000BF040000}"/>
    <cellStyle name="Milliers 148" xfId="1622" xr:uid="{00000000-0005-0000-0000-0000C0040000}"/>
    <cellStyle name="Milliers 148 2" xfId="1943" xr:uid="{00000000-0005-0000-0000-0000C1040000}"/>
    <cellStyle name="Milliers 148 2 2" xfId="2574" xr:uid="{00000000-0005-0000-0000-0000C2040000}"/>
    <cellStyle name="Milliers 149" xfId="1623" xr:uid="{00000000-0005-0000-0000-0000C3040000}"/>
    <cellStyle name="Milliers 149 2" xfId="1944" xr:uid="{00000000-0005-0000-0000-0000C4040000}"/>
    <cellStyle name="Milliers 149 2 2" xfId="2575" xr:uid="{00000000-0005-0000-0000-0000C5040000}"/>
    <cellStyle name="Milliers 15" xfId="1466" xr:uid="{00000000-0005-0000-0000-0000C6040000}"/>
    <cellStyle name="Milliers 15 2" xfId="1945" xr:uid="{00000000-0005-0000-0000-0000C7040000}"/>
    <cellStyle name="Milliers 15 2 2" xfId="2576" xr:uid="{00000000-0005-0000-0000-0000C8040000}"/>
    <cellStyle name="Milliers 150" xfId="1624" xr:uid="{00000000-0005-0000-0000-0000C9040000}"/>
    <cellStyle name="Milliers 150 2" xfId="1946" xr:uid="{00000000-0005-0000-0000-0000CA040000}"/>
    <cellStyle name="Milliers 150 2 2" xfId="2577" xr:uid="{00000000-0005-0000-0000-0000CB040000}"/>
    <cellStyle name="Milliers 151" xfId="1625" xr:uid="{00000000-0005-0000-0000-0000CC040000}"/>
    <cellStyle name="Milliers 151 2" xfId="1947" xr:uid="{00000000-0005-0000-0000-0000CD040000}"/>
    <cellStyle name="Milliers 151 2 2" xfId="2578" xr:uid="{00000000-0005-0000-0000-0000CE040000}"/>
    <cellStyle name="Milliers 152" xfId="1626" xr:uid="{00000000-0005-0000-0000-0000CF040000}"/>
    <cellStyle name="Milliers 152 2" xfId="1948" xr:uid="{00000000-0005-0000-0000-0000D0040000}"/>
    <cellStyle name="Milliers 152 2 2" xfId="2579" xr:uid="{00000000-0005-0000-0000-0000D1040000}"/>
    <cellStyle name="Milliers 153" xfId="1627" xr:uid="{00000000-0005-0000-0000-0000D2040000}"/>
    <cellStyle name="Milliers 153 2" xfId="1949" xr:uid="{00000000-0005-0000-0000-0000D3040000}"/>
    <cellStyle name="Milliers 153 2 2" xfId="2580" xr:uid="{00000000-0005-0000-0000-0000D4040000}"/>
    <cellStyle name="Milliers 154" xfId="1628" xr:uid="{00000000-0005-0000-0000-0000D5040000}"/>
    <cellStyle name="Milliers 154 2" xfId="1950" xr:uid="{00000000-0005-0000-0000-0000D6040000}"/>
    <cellStyle name="Milliers 154 2 2" xfId="2581" xr:uid="{00000000-0005-0000-0000-0000D7040000}"/>
    <cellStyle name="Milliers 155" xfId="1629" xr:uid="{00000000-0005-0000-0000-0000D8040000}"/>
    <cellStyle name="Milliers 155 2" xfId="1951" xr:uid="{00000000-0005-0000-0000-0000D9040000}"/>
    <cellStyle name="Milliers 155 2 2" xfId="2582" xr:uid="{00000000-0005-0000-0000-0000DA040000}"/>
    <cellStyle name="Milliers 156" xfId="1630" xr:uid="{00000000-0005-0000-0000-0000DB040000}"/>
    <cellStyle name="Milliers 156 2" xfId="1952" xr:uid="{00000000-0005-0000-0000-0000DC040000}"/>
    <cellStyle name="Milliers 156 2 2" xfId="2583" xr:uid="{00000000-0005-0000-0000-0000DD040000}"/>
    <cellStyle name="Milliers 157" xfId="1631" xr:uid="{00000000-0005-0000-0000-0000DE040000}"/>
    <cellStyle name="Milliers 157 2" xfId="1953" xr:uid="{00000000-0005-0000-0000-0000DF040000}"/>
    <cellStyle name="Milliers 157 2 2" xfId="2584" xr:uid="{00000000-0005-0000-0000-0000E0040000}"/>
    <cellStyle name="Milliers 158" xfId="1632" xr:uid="{00000000-0005-0000-0000-0000E1040000}"/>
    <cellStyle name="Milliers 158 2" xfId="1954" xr:uid="{00000000-0005-0000-0000-0000E2040000}"/>
    <cellStyle name="Milliers 158 2 2" xfId="2585" xr:uid="{00000000-0005-0000-0000-0000E3040000}"/>
    <cellStyle name="Milliers 159" xfId="1633" xr:uid="{00000000-0005-0000-0000-0000E4040000}"/>
    <cellStyle name="Milliers 159 2" xfId="1955" xr:uid="{00000000-0005-0000-0000-0000E5040000}"/>
    <cellStyle name="Milliers 159 2 2" xfId="2586" xr:uid="{00000000-0005-0000-0000-0000E6040000}"/>
    <cellStyle name="Milliers 16" xfId="1468" xr:uid="{00000000-0005-0000-0000-0000E7040000}"/>
    <cellStyle name="Milliers 16 2" xfId="1956" xr:uid="{00000000-0005-0000-0000-0000E8040000}"/>
    <cellStyle name="Milliers 16 2 2" xfId="2587" xr:uid="{00000000-0005-0000-0000-0000E9040000}"/>
    <cellStyle name="Milliers 160" xfId="1634" xr:uid="{00000000-0005-0000-0000-0000EA040000}"/>
    <cellStyle name="Milliers 160 2" xfId="1957" xr:uid="{00000000-0005-0000-0000-0000EB040000}"/>
    <cellStyle name="Milliers 160 2 2" xfId="2588" xr:uid="{00000000-0005-0000-0000-0000EC040000}"/>
    <cellStyle name="Milliers 161" xfId="1635" xr:uid="{00000000-0005-0000-0000-0000ED040000}"/>
    <cellStyle name="Milliers 161 2" xfId="1958" xr:uid="{00000000-0005-0000-0000-0000EE040000}"/>
    <cellStyle name="Milliers 161 2 2" xfId="2589" xr:uid="{00000000-0005-0000-0000-0000EF040000}"/>
    <cellStyle name="Milliers 162" xfId="1636" xr:uid="{00000000-0005-0000-0000-0000F0040000}"/>
    <cellStyle name="Milliers 162 2" xfId="1959" xr:uid="{00000000-0005-0000-0000-0000F1040000}"/>
    <cellStyle name="Milliers 162 2 2" xfId="2590" xr:uid="{00000000-0005-0000-0000-0000F2040000}"/>
    <cellStyle name="Milliers 163" xfId="1637" xr:uid="{00000000-0005-0000-0000-0000F3040000}"/>
    <cellStyle name="Milliers 163 2" xfId="1960" xr:uid="{00000000-0005-0000-0000-0000F4040000}"/>
    <cellStyle name="Milliers 163 2 2" xfId="2591" xr:uid="{00000000-0005-0000-0000-0000F5040000}"/>
    <cellStyle name="Milliers 164" xfId="1638" xr:uid="{00000000-0005-0000-0000-0000F6040000}"/>
    <cellStyle name="Milliers 164 2" xfId="1961" xr:uid="{00000000-0005-0000-0000-0000F7040000}"/>
    <cellStyle name="Milliers 164 2 2" xfId="2592" xr:uid="{00000000-0005-0000-0000-0000F8040000}"/>
    <cellStyle name="Milliers 165" xfId="1639" xr:uid="{00000000-0005-0000-0000-0000F9040000}"/>
    <cellStyle name="Milliers 165 2" xfId="1962" xr:uid="{00000000-0005-0000-0000-0000FA040000}"/>
    <cellStyle name="Milliers 165 2 2" xfId="2593" xr:uid="{00000000-0005-0000-0000-0000FB040000}"/>
    <cellStyle name="Milliers 166" xfId="1640" xr:uid="{00000000-0005-0000-0000-0000FC040000}"/>
    <cellStyle name="Milliers 166 2" xfId="1963" xr:uid="{00000000-0005-0000-0000-0000FD040000}"/>
    <cellStyle name="Milliers 166 2 2" xfId="2594" xr:uid="{00000000-0005-0000-0000-0000FE040000}"/>
    <cellStyle name="Milliers 167" xfId="1641" xr:uid="{00000000-0005-0000-0000-0000FF040000}"/>
    <cellStyle name="Milliers 167 2" xfId="1964" xr:uid="{00000000-0005-0000-0000-000000050000}"/>
    <cellStyle name="Milliers 167 2 2" xfId="2595" xr:uid="{00000000-0005-0000-0000-000001050000}"/>
    <cellStyle name="Milliers 168" xfId="1642" xr:uid="{00000000-0005-0000-0000-000002050000}"/>
    <cellStyle name="Milliers 168 2" xfId="1965" xr:uid="{00000000-0005-0000-0000-000003050000}"/>
    <cellStyle name="Milliers 168 2 2" xfId="2596" xr:uid="{00000000-0005-0000-0000-000004050000}"/>
    <cellStyle name="Milliers 169" xfId="1643" xr:uid="{00000000-0005-0000-0000-000005050000}"/>
    <cellStyle name="Milliers 169 2" xfId="1966" xr:uid="{00000000-0005-0000-0000-000006050000}"/>
    <cellStyle name="Milliers 169 2 2" xfId="2597" xr:uid="{00000000-0005-0000-0000-000007050000}"/>
    <cellStyle name="Milliers 17" xfId="1469" xr:uid="{00000000-0005-0000-0000-000008050000}"/>
    <cellStyle name="Milliers 17 2" xfId="1967" xr:uid="{00000000-0005-0000-0000-000009050000}"/>
    <cellStyle name="Milliers 17 2 2" xfId="2598" xr:uid="{00000000-0005-0000-0000-00000A050000}"/>
    <cellStyle name="Milliers 170" xfId="1644" xr:uid="{00000000-0005-0000-0000-00000B050000}"/>
    <cellStyle name="Milliers 170 2" xfId="1968" xr:uid="{00000000-0005-0000-0000-00000C050000}"/>
    <cellStyle name="Milliers 170 2 2" xfId="2599" xr:uid="{00000000-0005-0000-0000-00000D050000}"/>
    <cellStyle name="Milliers 171" xfId="1645" xr:uid="{00000000-0005-0000-0000-00000E050000}"/>
    <cellStyle name="Milliers 171 2" xfId="1969" xr:uid="{00000000-0005-0000-0000-00000F050000}"/>
    <cellStyle name="Milliers 171 2 2" xfId="2600" xr:uid="{00000000-0005-0000-0000-000010050000}"/>
    <cellStyle name="Milliers 172" xfId="1646" xr:uid="{00000000-0005-0000-0000-000011050000}"/>
    <cellStyle name="Milliers 172 2" xfId="1970" xr:uid="{00000000-0005-0000-0000-000012050000}"/>
    <cellStyle name="Milliers 172 2 2" xfId="2601" xr:uid="{00000000-0005-0000-0000-000013050000}"/>
    <cellStyle name="Milliers 173" xfId="1647" xr:uid="{00000000-0005-0000-0000-000014050000}"/>
    <cellStyle name="Milliers 173 2" xfId="1971" xr:uid="{00000000-0005-0000-0000-000015050000}"/>
    <cellStyle name="Milliers 173 2 2" xfId="2602" xr:uid="{00000000-0005-0000-0000-000016050000}"/>
    <cellStyle name="Milliers 174" xfId="1648" xr:uid="{00000000-0005-0000-0000-000017050000}"/>
    <cellStyle name="Milliers 174 2" xfId="1972" xr:uid="{00000000-0005-0000-0000-000018050000}"/>
    <cellStyle name="Milliers 174 2 2" xfId="2603" xr:uid="{00000000-0005-0000-0000-000019050000}"/>
    <cellStyle name="Milliers 175" xfId="1649" xr:uid="{00000000-0005-0000-0000-00001A050000}"/>
    <cellStyle name="Milliers 175 2" xfId="1973" xr:uid="{00000000-0005-0000-0000-00001B050000}"/>
    <cellStyle name="Milliers 175 2 2" xfId="2604" xr:uid="{00000000-0005-0000-0000-00001C050000}"/>
    <cellStyle name="Milliers 176" xfId="1650" xr:uid="{00000000-0005-0000-0000-00001D050000}"/>
    <cellStyle name="Milliers 176 2" xfId="1974" xr:uid="{00000000-0005-0000-0000-00001E050000}"/>
    <cellStyle name="Milliers 176 2 2" xfId="2605" xr:uid="{00000000-0005-0000-0000-00001F050000}"/>
    <cellStyle name="Milliers 177" xfId="1651" xr:uid="{00000000-0005-0000-0000-000020050000}"/>
    <cellStyle name="Milliers 177 2" xfId="1975" xr:uid="{00000000-0005-0000-0000-000021050000}"/>
    <cellStyle name="Milliers 177 2 2" xfId="2606" xr:uid="{00000000-0005-0000-0000-000022050000}"/>
    <cellStyle name="Milliers 178" xfId="1652" xr:uid="{00000000-0005-0000-0000-000023050000}"/>
    <cellStyle name="Milliers 178 2" xfId="1976" xr:uid="{00000000-0005-0000-0000-000024050000}"/>
    <cellStyle name="Milliers 178 2 2" xfId="2607" xr:uid="{00000000-0005-0000-0000-000025050000}"/>
    <cellStyle name="Milliers 179" xfId="1653" xr:uid="{00000000-0005-0000-0000-000026050000}"/>
    <cellStyle name="Milliers 179 2" xfId="1977" xr:uid="{00000000-0005-0000-0000-000027050000}"/>
    <cellStyle name="Milliers 179 2 2" xfId="2608" xr:uid="{00000000-0005-0000-0000-000028050000}"/>
    <cellStyle name="Milliers 18" xfId="1470" xr:uid="{00000000-0005-0000-0000-000029050000}"/>
    <cellStyle name="Milliers 18 2" xfId="1978" xr:uid="{00000000-0005-0000-0000-00002A050000}"/>
    <cellStyle name="Milliers 18 2 2" xfId="2609" xr:uid="{00000000-0005-0000-0000-00002B050000}"/>
    <cellStyle name="Milliers 180" xfId="1654" xr:uid="{00000000-0005-0000-0000-00002C050000}"/>
    <cellStyle name="Milliers 180 2" xfId="1979" xr:uid="{00000000-0005-0000-0000-00002D050000}"/>
    <cellStyle name="Milliers 180 2 2" xfId="2610" xr:uid="{00000000-0005-0000-0000-00002E050000}"/>
    <cellStyle name="Milliers 181" xfId="1655" xr:uid="{00000000-0005-0000-0000-00002F050000}"/>
    <cellStyle name="Milliers 181 2" xfId="1980" xr:uid="{00000000-0005-0000-0000-000030050000}"/>
    <cellStyle name="Milliers 181 2 2" xfId="2611" xr:uid="{00000000-0005-0000-0000-000031050000}"/>
    <cellStyle name="Milliers 182" xfId="1656" xr:uid="{00000000-0005-0000-0000-000032050000}"/>
    <cellStyle name="Milliers 182 2" xfId="1981" xr:uid="{00000000-0005-0000-0000-000033050000}"/>
    <cellStyle name="Milliers 182 2 2" xfId="2612" xr:uid="{00000000-0005-0000-0000-000034050000}"/>
    <cellStyle name="Milliers 183" xfId="1657" xr:uid="{00000000-0005-0000-0000-000035050000}"/>
    <cellStyle name="Milliers 183 2" xfId="1982" xr:uid="{00000000-0005-0000-0000-000036050000}"/>
    <cellStyle name="Milliers 183 2 2" xfId="2613" xr:uid="{00000000-0005-0000-0000-000037050000}"/>
    <cellStyle name="Milliers 184" xfId="1658" xr:uid="{00000000-0005-0000-0000-000038050000}"/>
    <cellStyle name="Milliers 184 2" xfId="1983" xr:uid="{00000000-0005-0000-0000-000039050000}"/>
    <cellStyle name="Milliers 184 2 2" xfId="2614" xr:uid="{00000000-0005-0000-0000-00003A050000}"/>
    <cellStyle name="Milliers 185" xfId="1659" xr:uid="{00000000-0005-0000-0000-00003B050000}"/>
    <cellStyle name="Milliers 185 2" xfId="1984" xr:uid="{00000000-0005-0000-0000-00003C050000}"/>
    <cellStyle name="Milliers 185 2 2" xfId="2615" xr:uid="{00000000-0005-0000-0000-00003D050000}"/>
    <cellStyle name="Milliers 186" xfId="1660" xr:uid="{00000000-0005-0000-0000-00003E050000}"/>
    <cellStyle name="Milliers 186 2" xfId="1985" xr:uid="{00000000-0005-0000-0000-00003F050000}"/>
    <cellStyle name="Milliers 186 2 2" xfId="2616" xr:uid="{00000000-0005-0000-0000-000040050000}"/>
    <cellStyle name="Milliers 187" xfId="1661" xr:uid="{00000000-0005-0000-0000-000041050000}"/>
    <cellStyle name="Milliers 187 2" xfId="1986" xr:uid="{00000000-0005-0000-0000-000042050000}"/>
    <cellStyle name="Milliers 187 2 2" xfId="2617" xr:uid="{00000000-0005-0000-0000-000043050000}"/>
    <cellStyle name="Milliers 188" xfId="1662" xr:uid="{00000000-0005-0000-0000-000044050000}"/>
    <cellStyle name="Milliers 188 2" xfId="1987" xr:uid="{00000000-0005-0000-0000-000045050000}"/>
    <cellStyle name="Milliers 188 2 2" xfId="2618" xr:uid="{00000000-0005-0000-0000-000046050000}"/>
    <cellStyle name="Milliers 189" xfId="1663" xr:uid="{00000000-0005-0000-0000-000047050000}"/>
    <cellStyle name="Milliers 189 2" xfId="1988" xr:uid="{00000000-0005-0000-0000-000048050000}"/>
    <cellStyle name="Milliers 189 2 2" xfId="2619" xr:uid="{00000000-0005-0000-0000-000049050000}"/>
    <cellStyle name="Milliers 19" xfId="1471" xr:uid="{00000000-0005-0000-0000-00004A050000}"/>
    <cellStyle name="Milliers 19 2" xfId="1989" xr:uid="{00000000-0005-0000-0000-00004B050000}"/>
    <cellStyle name="Milliers 19 2 2" xfId="2620" xr:uid="{00000000-0005-0000-0000-00004C050000}"/>
    <cellStyle name="Milliers 190" xfId="1664" xr:uid="{00000000-0005-0000-0000-00004D050000}"/>
    <cellStyle name="Milliers 190 2" xfId="1990" xr:uid="{00000000-0005-0000-0000-00004E050000}"/>
    <cellStyle name="Milliers 190 2 2" xfId="2621" xr:uid="{00000000-0005-0000-0000-00004F050000}"/>
    <cellStyle name="Milliers 191" xfId="1665" xr:uid="{00000000-0005-0000-0000-000050050000}"/>
    <cellStyle name="Milliers 191 2" xfId="1991" xr:uid="{00000000-0005-0000-0000-000051050000}"/>
    <cellStyle name="Milliers 191 2 2" xfId="2622" xr:uid="{00000000-0005-0000-0000-000052050000}"/>
    <cellStyle name="Milliers 192" xfId="1666" xr:uid="{00000000-0005-0000-0000-000053050000}"/>
    <cellStyle name="Milliers 192 2" xfId="1992" xr:uid="{00000000-0005-0000-0000-000054050000}"/>
    <cellStyle name="Milliers 192 2 2" xfId="2623" xr:uid="{00000000-0005-0000-0000-000055050000}"/>
    <cellStyle name="Milliers 193" xfId="1667" xr:uid="{00000000-0005-0000-0000-000056050000}"/>
    <cellStyle name="Milliers 193 2" xfId="1993" xr:uid="{00000000-0005-0000-0000-000057050000}"/>
    <cellStyle name="Milliers 193 2 2" xfId="2624" xr:uid="{00000000-0005-0000-0000-000058050000}"/>
    <cellStyle name="Milliers 194" xfId="1668" xr:uid="{00000000-0005-0000-0000-000059050000}"/>
    <cellStyle name="Milliers 194 2" xfId="1994" xr:uid="{00000000-0005-0000-0000-00005A050000}"/>
    <cellStyle name="Milliers 194 2 2" xfId="2625" xr:uid="{00000000-0005-0000-0000-00005B050000}"/>
    <cellStyle name="Milliers 195" xfId="1669" xr:uid="{00000000-0005-0000-0000-00005C050000}"/>
    <cellStyle name="Milliers 195 2" xfId="1995" xr:uid="{00000000-0005-0000-0000-00005D050000}"/>
    <cellStyle name="Milliers 195 2 2" xfId="2626" xr:uid="{00000000-0005-0000-0000-00005E050000}"/>
    <cellStyle name="Milliers 196" xfId="1670" xr:uid="{00000000-0005-0000-0000-00005F050000}"/>
    <cellStyle name="Milliers 196 2" xfId="1996" xr:uid="{00000000-0005-0000-0000-000060050000}"/>
    <cellStyle name="Milliers 196 2 2" xfId="2627" xr:uid="{00000000-0005-0000-0000-000061050000}"/>
    <cellStyle name="Milliers 197" xfId="1671" xr:uid="{00000000-0005-0000-0000-000062050000}"/>
    <cellStyle name="Milliers 197 2" xfId="1997" xr:uid="{00000000-0005-0000-0000-000063050000}"/>
    <cellStyle name="Milliers 197 2 2" xfId="2628" xr:uid="{00000000-0005-0000-0000-000064050000}"/>
    <cellStyle name="Milliers 198" xfId="1672" xr:uid="{00000000-0005-0000-0000-000065050000}"/>
    <cellStyle name="Milliers 198 2" xfId="1998" xr:uid="{00000000-0005-0000-0000-000066050000}"/>
    <cellStyle name="Milliers 198 2 2" xfId="2629" xr:uid="{00000000-0005-0000-0000-000067050000}"/>
    <cellStyle name="Milliers 199" xfId="1673" xr:uid="{00000000-0005-0000-0000-000068050000}"/>
    <cellStyle name="Milliers 199 2" xfId="1999" xr:uid="{00000000-0005-0000-0000-000069050000}"/>
    <cellStyle name="Milliers 199 2 2" xfId="2630" xr:uid="{00000000-0005-0000-0000-00006A050000}"/>
    <cellStyle name="Milliers 2" xfId="969" xr:uid="{00000000-0005-0000-0000-00006B050000}"/>
    <cellStyle name="Milliers 2 10" xfId="2415" xr:uid="{00000000-0005-0000-0000-00006C050000}"/>
    <cellStyle name="Milliers 2 11" xfId="5404" xr:uid="{00000000-0005-0000-0000-000050000000}"/>
    <cellStyle name="Milliers 2 2" xfId="1360" xr:uid="{00000000-0005-0000-0000-00006D050000}"/>
    <cellStyle name="Milliers 2 2 2" xfId="2001" xr:uid="{00000000-0005-0000-0000-00006E050000}"/>
    <cellStyle name="Milliers 2 2 2 2" xfId="2632" xr:uid="{00000000-0005-0000-0000-00006F050000}"/>
    <cellStyle name="Milliers 2 2 3" xfId="2382" xr:uid="{00000000-0005-0000-0000-000070050000}"/>
    <cellStyle name="Milliers 2 2 3 2" xfId="3224" xr:uid="{00000000-0005-0000-0000-000071050000}"/>
    <cellStyle name="Milliers 2 2 3 2 2" xfId="3923" xr:uid="{00000000-0005-0000-0000-000072050000}"/>
    <cellStyle name="Milliers 2 2 3 2 2 2" xfId="5301" xr:uid="{00000000-0005-0000-0000-000073050000}"/>
    <cellStyle name="Milliers 2 2 3 2 3" xfId="4612" xr:uid="{00000000-0005-0000-0000-000074050000}"/>
    <cellStyle name="Milliers 2 2 3 3" xfId="2993" xr:uid="{00000000-0005-0000-0000-000075050000}"/>
    <cellStyle name="Milliers 2 2 3 3 2" xfId="3697" xr:uid="{00000000-0005-0000-0000-000076050000}"/>
    <cellStyle name="Milliers 2 2 3 3 2 2" xfId="5075" xr:uid="{00000000-0005-0000-0000-000077050000}"/>
    <cellStyle name="Milliers 2 2 3 3 3" xfId="4386" xr:uid="{00000000-0005-0000-0000-000078050000}"/>
    <cellStyle name="Milliers 2 2 3 4" xfId="3482" xr:uid="{00000000-0005-0000-0000-000079050000}"/>
    <cellStyle name="Milliers 2 2 3 4 2" xfId="4860" xr:uid="{00000000-0005-0000-0000-00007A050000}"/>
    <cellStyle name="Milliers 2 2 3 5" xfId="4171" xr:uid="{00000000-0005-0000-0000-00007B050000}"/>
    <cellStyle name="Milliers 2 2 4" xfId="2407" xr:uid="{00000000-0005-0000-0000-00007C050000}"/>
    <cellStyle name="Milliers 2 2 4 2" xfId="3247" xr:uid="{00000000-0005-0000-0000-00007D050000}"/>
    <cellStyle name="Milliers 2 2 4 2 2" xfId="3946" xr:uid="{00000000-0005-0000-0000-00007E050000}"/>
    <cellStyle name="Milliers 2 2 4 2 2 2" xfId="5324" xr:uid="{00000000-0005-0000-0000-00007F050000}"/>
    <cellStyle name="Milliers 2 2 4 2 3" xfId="4635" xr:uid="{00000000-0005-0000-0000-000080050000}"/>
    <cellStyle name="Milliers 2 2 4 3" xfId="3018" xr:uid="{00000000-0005-0000-0000-000081050000}"/>
    <cellStyle name="Milliers 2 2 4 3 2" xfId="3720" xr:uid="{00000000-0005-0000-0000-000082050000}"/>
    <cellStyle name="Milliers 2 2 4 3 2 2" xfId="5098" xr:uid="{00000000-0005-0000-0000-000083050000}"/>
    <cellStyle name="Milliers 2 2 4 3 3" xfId="4409" xr:uid="{00000000-0005-0000-0000-000084050000}"/>
    <cellStyle name="Milliers 2 2 4 4" xfId="3505" xr:uid="{00000000-0005-0000-0000-000085050000}"/>
    <cellStyle name="Milliers 2 2 4 4 2" xfId="4883" xr:uid="{00000000-0005-0000-0000-000086050000}"/>
    <cellStyle name="Milliers 2 2 4 5" xfId="4194" xr:uid="{00000000-0005-0000-0000-000087050000}"/>
    <cellStyle name="Milliers 2 3" xfId="1423" xr:uid="{00000000-0005-0000-0000-000088050000}"/>
    <cellStyle name="Milliers 2 3 2" xfId="2002" xr:uid="{00000000-0005-0000-0000-000089050000}"/>
    <cellStyle name="Milliers 2 3 2 2" xfId="2633" xr:uid="{00000000-0005-0000-0000-00008A050000}"/>
    <cellStyle name="Milliers 2 3 3" xfId="2432" xr:uid="{00000000-0005-0000-0000-00008B050000}"/>
    <cellStyle name="Milliers 2 4" xfId="2000" xr:uid="{00000000-0005-0000-0000-00008C050000}"/>
    <cellStyle name="Milliers 2 4 2" xfId="2631" xr:uid="{00000000-0005-0000-0000-00008D050000}"/>
    <cellStyle name="Milliers 2 5" xfId="2367" xr:uid="{00000000-0005-0000-0000-00008E050000}"/>
    <cellStyle name="Milliers 2 5 2" xfId="2981" xr:uid="{00000000-0005-0000-0000-00008F050000}"/>
    <cellStyle name="Milliers 2 6" xfId="2376" xr:uid="{00000000-0005-0000-0000-000090050000}"/>
    <cellStyle name="Milliers 2 6 2" xfId="3219" xr:uid="{00000000-0005-0000-0000-000091050000}"/>
    <cellStyle name="Milliers 2 6 2 2" xfId="3918" xr:uid="{00000000-0005-0000-0000-000092050000}"/>
    <cellStyle name="Milliers 2 6 2 2 2" xfId="5296" xr:uid="{00000000-0005-0000-0000-000093050000}"/>
    <cellStyle name="Milliers 2 6 2 3" xfId="4607" xr:uid="{00000000-0005-0000-0000-000094050000}"/>
    <cellStyle name="Milliers 2 6 3" xfId="2988" xr:uid="{00000000-0005-0000-0000-000095050000}"/>
    <cellStyle name="Milliers 2 6 3 2" xfId="3692" xr:uid="{00000000-0005-0000-0000-000096050000}"/>
    <cellStyle name="Milliers 2 6 3 2 2" xfId="5070" xr:uid="{00000000-0005-0000-0000-000097050000}"/>
    <cellStyle name="Milliers 2 6 3 3" xfId="4381" xr:uid="{00000000-0005-0000-0000-000098050000}"/>
    <cellStyle name="Milliers 2 6 4" xfId="3477" xr:uid="{00000000-0005-0000-0000-000099050000}"/>
    <cellStyle name="Milliers 2 6 4 2" xfId="4855" xr:uid="{00000000-0005-0000-0000-00009A050000}"/>
    <cellStyle name="Milliers 2 6 5" xfId="4166" xr:uid="{00000000-0005-0000-0000-00009B050000}"/>
    <cellStyle name="Milliers 2 7" xfId="2396" xr:uid="{00000000-0005-0000-0000-00009C050000}"/>
    <cellStyle name="Milliers 2 7 2" xfId="3007" xr:uid="{00000000-0005-0000-0000-00009D050000}"/>
    <cellStyle name="Milliers 2 8" xfId="2402" xr:uid="{00000000-0005-0000-0000-00009E050000}"/>
    <cellStyle name="Milliers 2 8 2" xfId="3242" xr:uid="{00000000-0005-0000-0000-00009F050000}"/>
    <cellStyle name="Milliers 2 8 2 2" xfId="3941" xr:uid="{00000000-0005-0000-0000-0000A0050000}"/>
    <cellStyle name="Milliers 2 8 2 2 2" xfId="5319" xr:uid="{00000000-0005-0000-0000-0000A1050000}"/>
    <cellStyle name="Milliers 2 8 2 3" xfId="4630" xr:uid="{00000000-0005-0000-0000-0000A2050000}"/>
    <cellStyle name="Milliers 2 8 3" xfId="3013" xr:uid="{00000000-0005-0000-0000-0000A3050000}"/>
    <cellStyle name="Milliers 2 8 3 2" xfId="3715" xr:uid="{00000000-0005-0000-0000-0000A4050000}"/>
    <cellStyle name="Milliers 2 8 3 2 2" xfId="5093" xr:uid="{00000000-0005-0000-0000-0000A5050000}"/>
    <cellStyle name="Milliers 2 8 3 3" xfId="4404" xr:uid="{00000000-0005-0000-0000-0000A6050000}"/>
    <cellStyle name="Milliers 2 8 4" xfId="3500" xr:uid="{00000000-0005-0000-0000-0000A7050000}"/>
    <cellStyle name="Milliers 2 8 4 2" xfId="4878" xr:uid="{00000000-0005-0000-0000-0000A8050000}"/>
    <cellStyle name="Milliers 2 8 5" xfId="4189" xr:uid="{00000000-0005-0000-0000-0000A9050000}"/>
    <cellStyle name="Milliers 2 9" xfId="2410" xr:uid="{00000000-0005-0000-0000-0000AA050000}"/>
    <cellStyle name="Milliers 20" xfId="1472" xr:uid="{00000000-0005-0000-0000-0000AB050000}"/>
    <cellStyle name="Milliers 20 2" xfId="2003" xr:uid="{00000000-0005-0000-0000-0000AC050000}"/>
    <cellStyle name="Milliers 20 2 2" xfId="2634" xr:uid="{00000000-0005-0000-0000-0000AD050000}"/>
    <cellStyle name="Milliers 200" xfId="1674" xr:uid="{00000000-0005-0000-0000-0000AE050000}"/>
    <cellStyle name="Milliers 200 2" xfId="2004" xr:uid="{00000000-0005-0000-0000-0000AF050000}"/>
    <cellStyle name="Milliers 200 2 2" xfId="2635" xr:uid="{00000000-0005-0000-0000-0000B0050000}"/>
    <cellStyle name="Milliers 201" xfId="1675" xr:uid="{00000000-0005-0000-0000-0000B1050000}"/>
    <cellStyle name="Milliers 201 2" xfId="2005" xr:uid="{00000000-0005-0000-0000-0000B2050000}"/>
    <cellStyle name="Milliers 201 2 2" xfId="2636" xr:uid="{00000000-0005-0000-0000-0000B3050000}"/>
    <cellStyle name="Milliers 202" xfId="1676" xr:uid="{00000000-0005-0000-0000-0000B4050000}"/>
    <cellStyle name="Milliers 202 2" xfId="2006" xr:uid="{00000000-0005-0000-0000-0000B5050000}"/>
    <cellStyle name="Milliers 202 2 2" xfId="2637" xr:uid="{00000000-0005-0000-0000-0000B6050000}"/>
    <cellStyle name="Milliers 203" xfId="1677" xr:uid="{00000000-0005-0000-0000-0000B7050000}"/>
    <cellStyle name="Milliers 203 2" xfId="2007" xr:uid="{00000000-0005-0000-0000-0000B8050000}"/>
    <cellStyle name="Milliers 203 2 2" xfId="2638" xr:uid="{00000000-0005-0000-0000-0000B9050000}"/>
    <cellStyle name="Milliers 204" xfId="1678" xr:uid="{00000000-0005-0000-0000-0000BA050000}"/>
    <cellStyle name="Milliers 204 2" xfId="2008" xr:uid="{00000000-0005-0000-0000-0000BB050000}"/>
    <cellStyle name="Milliers 204 2 2" xfId="2639" xr:uid="{00000000-0005-0000-0000-0000BC050000}"/>
    <cellStyle name="Milliers 205" xfId="1679" xr:uid="{00000000-0005-0000-0000-0000BD050000}"/>
    <cellStyle name="Milliers 205 2" xfId="2009" xr:uid="{00000000-0005-0000-0000-0000BE050000}"/>
    <cellStyle name="Milliers 205 2 2" xfId="2640" xr:uid="{00000000-0005-0000-0000-0000BF050000}"/>
    <cellStyle name="Milliers 206" xfId="1680" xr:uid="{00000000-0005-0000-0000-0000C0050000}"/>
    <cellStyle name="Milliers 206 2" xfId="2010" xr:uid="{00000000-0005-0000-0000-0000C1050000}"/>
    <cellStyle name="Milliers 206 2 2" xfId="2641" xr:uid="{00000000-0005-0000-0000-0000C2050000}"/>
    <cellStyle name="Milliers 207" xfId="1681" xr:uid="{00000000-0005-0000-0000-0000C3050000}"/>
    <cellStyle name="Milliers 207 2" xfId="2011" xr:uid="{00000000-0005-0000-0000-0000C4050000}"/>
    <cellStyle name="Milliers 207 2 2" xfId="2642" xr:uid="{00000000-0005-0000-0000-0000C5050000}"/>
    <cellStyle name="Milliers 208" xfId="1682" xr:uid="{00000000-0005-0000-0000-0000C6050000}"/>
    <cellStyle name="Milliers 208 2" xfId="2012" xr:uid="{00000000-0005-0000-0000-0000C7050000}"/>
    <cellStyle name="Milliers 208 2 2" xfId="2643" xr:uid="{00000000-0005-0000-0000-0000C8050000}"/>
    <cellStyle name="Milliers 209" xfId="1683" xr:uid="{00000000-0005-0000-0000-0000C9050000}"/>
    <cellStyle name="Milliers 209 2" xfId="2013" xr:uid="{00000000-0005-0000-0000-0000CA050000}"/>
    <cellStyle name="Milliers 209 2 2" xfId="2644" xr:uid="{00000000-0005-0000-0000-0000CB050000}"/>
    <cellStyle name="Milliers 21" xfId="1473" xr:uid="{00000000-0005-0000-0000-0000CC050000}"/>
    <cellStyle name="Milliers 21 2" xfId="2014" xr:uid="{00000000-0005-0000-0000-0000CD050000}"/>
    <cellStyle name="Milliers 21 2 2" xfId="2645" xr:uid="{00000000-0005-0000-0000-0000CE050000}"/>
    <cellStyle name="Milliers 210" xfId="1684" xr:uid="{00000000-0005-0000-0000-0000CF050000}"/>
    <cellStyle name="Milliers 210 2" xfId="2015" xr:uid="{00000000-0005-0000-0000-0000D0050000}"/>
    <cellStyle name="Milliers 210 2 2" xfId="2646" xr:uid="{00000000-0005-0000-0000-0000D1050000}"/>
    <cellStyle name="Milliers 211" xfId="1685" xr:uid="{00000000-0005-0000-0000-0000D2050000}"/>
    <cellStyle name="Milliers 211 2" xfId="2016" xr:uid="{00000000-0005-0000-0000-0000D3050000}"/>
    <cellStyle name="Milliers 211 2 2" xfId="2647" xr:uid="{00000000-0005-0000-0000-0000D4050000}"/>
    <cellStyle name="Milliers 212" xfId="1686" xr:uid="{00000000-0005-0000-0000-0000D5050000}"/>
    <cellStyle name="Milliers 212 2" xfId="2017" xr:uid="{00000000-0005-0000-0000-0000D6050000}"/>
    <cellStyle name="Milliers 212 2 2" xfId="2648" xr:uid="{00000000-0005-0000-0000-0000D7050000}"/>
    <cellStyle name="Milliers 213" xfId="1687" xr:uid="{00000000-0005-0000-0000-0000D8050000}"/>
    <cellStyle name="Milliers 213 2" xfId="2018" xr:uid="{00000000-0005-0000-0000-0000D9050000}"/>
    <cellStyle name="Milliers 213 2 2" xfId="2649" xr:uid="{00000000-0005-0000-0000-0000DA050000}"/>
    <cellStyle name="Milliers 214" xfId="1688" xr:uid="{00000000-0005-0000-0000-0000DB050000}"/>
    <cellStyle name="Milliers 214 2" xfId="2019" xr:uid="{00000000-0005-0000-0000-0000DC050000}"/>
    <cellStyle name="Milliers 214 2 2" xfId="2650" xr:uid="{00000000-0005-0000-0000-0000DD050000}"/>
    <cellStyle name="Milliers 215" xfId="1689" xr:uid="{00000000-0005-0000-0000-0000DE050000}"/>
    <cellStyle name="Milliers 215 2" xfId="2020" xr:uid="{00000000-0005-0000-0000-0000DF050000}"/>
    <cellStyle name="Milliers 215 2 2" xfId="2651" xr:uid="{00000000-0005-0000-0000-0000E0050000}"/>
    <cellStyle name="Milliers 216" xfId="1690" xr:uid="{00000000-0005-0000-0000-0000E1050000}"/>
    <cellStyle name="Milliers 216 2" xfId="2021" xr:uid="{00000000-0005-0000-0000-0000E2050000}"/>
    <cellStyle name="Milliers 216 2 2" xfId="2652" xr:uid="{00000000-0005-0000-0000-0000E3050000}"/>
    <cellStyle name="Milliers 217" xfId="1691" xr:uid="{00000000-0005-0000-0000-0000E4050000}"/>
    <cellStyle name="Milliers 217 2" xfId="2022" xr:uid="{00000000-0005-0000-0000-0000E5050000}"/>
    <cellStyle name="Milliers 217 2 2" xfId="2653" xr:uid="{00000000-0005-0000-0000-0000E6050000}"/>
    <cellStyle name="Milliers 218" xfId="1692" xr:uid="{00000000-0005-0000-0000-0000E7050000}"/>
    <cellStyle name="Milliers 218 2" xfId="2023" xr:uid="{00000000-0005-0000-0000-0000E8050000}"/>
    <cellStyle name="Milliers 218 2 2" xfId="2654" xr:uid="{00000000-0005-0000-0000-0000E9050000}"/>
    <cellStyle name="Milliers 219" xfId="1693" xr:uid="{00000000-0005-0000-0000-0000EA050000}"/>
    <cellStyle name="Milliers 219 2" xfId="2024" xr:uid="{00000000-0005-0000-0000-0000EB050000}"/>
    <cellStyle name="Milliers 219 2 2" xfId="2655" xr:uid="{00000000-0005-0000-0000-0000EC050000}"/>
    <cellStyle name="Milliers 22" xfId="1474" xr:uid="{00000000-0005-0000-0000-0000ED050000}"/>
    <cellStyle name="Milliers 22 2" xfId="2025" xr:uid="{00000000-0005-0000-0000-0000EE050000}"/>
    <cellStyle name="Milliers 22 2 2" xfId="2656" xr:uid="{00000000-0005-0000-0000-0000EF050000}"/>
    <cellStyle name="Milliers 220" xfId="1694" xr:uid="{00000000-0005-0000-0000-0000F0050000}"/>
    <cellStyle name="Milliers 220 2" xfId="2026" xr:uid="{00000000-0005-0000-0000-0000F1050000}"/>
    <cellStyle name="Milliers 220 2 2" xfId="2657" xr:uid="{00000000-0005-0000-0000-0000F2050000}"/>
    <cellStyle name="Milliers 221" xfId="1695" xr:uid="{00000000-0005-0000-0000-0000F3050000}"/>
    <cellStyle name="Milliers 221 2" xfId="2027" xr:uid="{00000000-0005-0000-0000-0000F4050000}"/>
    <cellStyle name="Milliers 221 2 2" xfId="2658" xr:uid="{00000000-0005-0000-0000-0000F5050000}"/>
    <cellStyle name="Milliers 222" xfId="1696" xr:uid="{00000000-0005-0000-0000-0000F6050000}"/>
    <cellStyle name="Milliers 222 2" xfId="2028" xr:uid="{00000000-0005-0000-0000-0000F7050000}"/>
    <cellStyle name="Milliers 222 2 2" xfId="2659" xr:uid="{00000000-0005-0000-0000-0000F8050000}"/>
    <cellStyle name="Milliers 223" xfId="1697" xr:uid="{00000000-0005-0000-0000-0000F9050000}"/>
    <cellStyle name="Milliers 223 2" xfId="2029" xr:uid="{00000000-0005-0000-0000-0000FA050000}"/>
    <cellStyle name="Milliers 223 2 2" xfId="2660" xr:uid="{00000000-0005-0000-0000-0000FB050000}"/>
    <cellStyle name="Milliers 224" xfId="1698" xr:uid="{00000000-0005-0000-0000-0000FC050000}"/>
    <cellStyle name="Milliers 224 2" xfId="2030" xr:uid="{00000000-0005-0000-0000-0000FD050000}"/>
    <cellStyle name="Milliers 224 2 2" xfId="2661" xr:uid="{00000000-0005-0000-0000-0000FE050000}"/>
    <cellStyle name="Milliers 225" xfId="1699" xr:uid="{00000000-0005-0000-0000-0000FF050000}"/>
    <cellStyle name="Milliers 225 2" xfId="2031" xr:uid="{00000000-0005-0000-0000-000000060000}"/>
    <cellStyle name="Milliers 225 2 2" xfId="2662" xr:uid="{00000000-0005-0000-0000-000001060000}"/>
    <cellStyle name="Milliers 226" xfId="1700" xr:uid="{00000000-0005-0000-0000-000002060000}"/>
    <cellStyle name="Milliers 226 2" xfId="2032" xr:uid="{00000000-0005-0000-0000-000003060000}"/>
    <cellStyle name="Milliers 226 2 2" xfId="2663" xr:uid="{00000000-0005-0000-0000-000004060000}"/>
    <cellStyle name="Milliers 227" xfId="1701" xr:uid="{00000000-0005-0000-0000-000005060000}"/>
    <cellStyle name="Milliers 227 2" xfId="2033" xr:uid="{00000000-0005-0000-0000-000006060000}"/>
    <cellStyle name="Milliers 227 2 2" xfId="2664" xr:uid="{00000000-0005-0000-0000-000007060000}"/>
    <cellStyle name="Milliers 228" xfId="1702" xr:uid="{00000000-0005-0000-0000-000008060000}"/>
    <cellStyle name="Milliers 228 2" xfId="2034" xr:uid="{00000000-0005-0000-0000-000009060000}"/>
    <cellStyle name="Milliers 228 2 2" xfId="2665" xr:uid="{00000000-0005-0000-0000-00000A060000}"/>
    <cellStyle name="Milliers 229" xfId="1703" xr:uid="{00000000-0005-0000-0000-00000B060000}"/>
    <cellStyle name="Milliers 229 2" xfId="2035" xr:uid="{00000000-0005-0000-0000-00000C060000}"/>
    <cellStyle name="Milliers 229 2 2" xfId="2666" xr:uid="{00000000-0005-0000-0000-00000D060000}"/>
    <cellStyle name="Milliers 23" xfId="1475" xr:uid="{00000000-0005-0000-0000-00000E060000}"/>
    <cellStyle name="Milliers 23 2" xfId="2036" xr:uid="{00000000-0005-0000-0000-00000F060000}"/>
    <cellStyle name="Milliers 23 2 2" xfId="2667" xr:uid="{00000000-0005-0000-0000-000010060000}"/>
    <cellStyle name="Milliers 230" xfId="1704" xr:uid="{00000000-0005-0000-0000-000011060000}"/>
    <cellStyle name="Milliers 230 2" xfId="2037" xr:uid="{00000000-0005-0000-0000-000012060000}"/>
    <cellStyle name="Milliers 230 2 2" xfId="2668" xr:uid="{00000000-0005-0000-0000-000013060000}"/>
    <cellStyle name="Milliers 231" xfId="1705" xr:uid="{00000000-0005-0000-0000-000014060000}"/>
    <cellStyle name="Milliers 231 2" xfId="2038" xr:uid="{00000000-0005-0000-0000-000015060000}"/>
    <cellStyle name="Milliers 231 2 2" xfId="2669" xr:uid="{00000000-0005-0000-0000-000016060000}"/>
    <cellStyle name="Milliers 232" xfId="1706" xr:uid="{00000000-0005-0000-0000-000017060000}"/>
    <cellStyle name="Milliers 232 2" xfId="2039" xr:uid="{00000000-0005-0000-0000-000018060000}"/>
    <cellStyle name="Milliers 232 2 2" xfId="2670" xr:uid="{00000000-0005-0000-0000-000019060000}"/>
    <cellStyle name="Milliers 233" xfId="1707" xr:uid="{00000000-0005-0000-0000-00001A060000}"/>
    <cellStyle name="Milliers 233 2" xfId="2040" xr:uid="{00000000-0005-0000-0000-00001B060000}"/>
    <cellStyle name="Milliers 233 2 2" xfId="2671" xr:uid="{00000000-0005-0000-0000-00001C060000}"/>
    <cellStyle name="Milliers 234" xfId="1708" xr:uid="{00000000-0005-0000-0000-00001D060000}"/>
    <cellStyle name="Milliers 234 2" xfId="2041" xr:uid="{00000000-0005-0000-0000-00001E060000}"/>
    <cellStyle name="Milliers 234 2 2" xfId="2672" xr:uid="{00000000-0005-0000-0000-00001F060000}"/>
    <cellStyle name="Milliers 235" xfId="1709" xr:uid="{00000000-0005-0000-0000-000020060000}"/>
    <cellStyle name="Milliers 235 2" xfId="2042" xr:uid="{00000000-0005-0000-0000-000021060000}"/>
    <cellStyle name="Milliers 235 2 2" xfId="2673" xr:uid="{00000000-0005-0000-0000-000022060000}"/>
    <cellStyle name="Milliers 236" xfId="1710" xr:uid="{00000000-0005-0000-0000-000023060000}"/>
    <cellStyle name="Milliers 236 2" xfId="2043" xr:uid="{00000000-0005-0000-0000-000024060000}"/>
    <cellStyle name="Milliers 236 2 2" xfId="2674" xr:uid="{00000000-0005-0000-0000-000025060000}"/>
    <cellStyle name="Milliers 237" xfId="1711" xr:uid="{00000000-0005-0000-0000-000026060000}"/>
    <cellStyle name="Milliers 237 2" xfId="2044" xr:uid="{00000000-0005-0000-0000-000027060000}"/>
    <cellStyle name="Milliers 237 2 2" xfId="2675" xr:uid="{00000000-0005-0000-0000-000028060000}"/>
    <cellStyle name="Milliers 238" xfId="1712" xr:uid="{00000000-0005-0000-0000-000029060000}"/>
    <cellStyle name="Milliers 238 2" xfId="2045" xr:uid="{00000000-0005-0000-0000-00002A060000}"/>
    <cellStyle name="Milliers 238 2 2" xfId="2676" xr:uid="{00000000-0005-0000-0000-00002B060000}"/>
    <cellStyle name="Milliers 239" xfId="1713" xr:uid="{00000000-0005-0000-0000-00002C060000}"/>
    <cellStyle name="Milliers 239 2" xfId="2046" xr:uid="{00000000-0005-0000-0000-00002D060000}"/>
    <cellStyle name="Milliers 239 2 2" xfId="2677" xr:uid="{00000000-0005-0000-0000-00002E060000}"/>
    <cellStyle name="Milliers 24" xfId="1476" xr:uid="{00000000-0005-0000-0000-00002F060000}"/>
    <cellStyle name="Milliers 24 2" xfId="2047" xr:uid="{00000000-0005-0000-0000-000030060000}"/>
    <cellStyle name="Milliers 24 2 2" xfId="2678" xr:uid="{00000000-0005-0000-0000-000031060000}"/>
    <cellStyle name="Milliers 240" xfId="1714" xr:uid="{00000000-0005-0000-0000-000032060000}"/>
    <cellStyle name="Milliers 240 2" xfId="2048" xr:uid="{00000000-0005-0000-0000-000033060000}"/>
    <cellStyle name="Milliers 240 2 2" xfId="2679" xr:uid="{00000000-0005-0000-0000-000034060000}"/>
    <cellStyle name="Milliers 241" xfId="1715" xr:uid="{00000000-0005-0000-0000-000035060000}"/>
    <cellStyle name="Milliers 241 2" xfId="2049" xr:uid="{00000000-0005-0000-0000-000036060000}"/>
    <cellStyle name="Milliers 241 2 2" xfId="2680" xr:uid="{00000000-0005-0000-0000-000037060000}"/>
    <cellStyle name="Milliers 242" xfId="1716" xr:uid="{00000000-0005-0000-0000-000038060000}"/>
    <cellStyle name="Milliers 242 2" xfId="2050" xr:uid="{00000000-0005-0000-0000-000039060000}"/>
    <cellStyle name="Milliers 242 2 2" xfId="2681" xr:uid="{00000000-0005-0000-0000-00003A060000}"/>
    <cellStyle name="Milliers 243" xfId="1717" xr:uid="{00000000-0005-0000-0000-00003B060000}"/>
    <cellStyle name="Milliers 243 2" xfId="2051" xr:uid="{00000000-0005-0000-0000-00003C060000}"/>
    <cellStyle name="Milliers 243 2 2" xfId="2682" xr:uid="{00000000-0005-0000-0000-00003D060000}"/>
    <cellStyle name="Milliers 244" xfId="1718" xr:uid="{00000000-0005-0000-0000-00003E060000}"/>
    <cellStyle name="Milliers 244 2" xfId="2052" xr:uid="{00000000-0005-0000-0000-00003F060000}"/>
    <cellStyle name="Milliers 244 2 2" xfId="2683" xr:uid="{00000000-0005-0000-0000-000040060000}"/>
    <cellStyle name="Milliers 245" xfId="1719" xr:uid="{00000000-0005-0000-0000-000041060000}"/>
    <cellStyle name="Milliers 245 2" xfId="2053" xr:uid="{00000000-0005-0000-0000-000042060000}"/>
    <cellStyle name="Milliers 245 2 2" xfId="2684" xr:uid="{00000000-0005-0000-0000-000043060000}"/>
    <cellStyle name="Milliers 246" xfId="1720" xr:uid="{00000000-0005-0000-0000-000044060000}"/>
    <cellStyle name="Milliers 246 2" xfId="2054" xr:uid="{00000000-0005-0000-0000-000045060000}"/>
    <cellStyle name="Milliers 246 2 2" xfId="2685" xr:uid="{00000000-0005-0000-0000-000046060000}"/>
    <cellStyle name="Milliers 247" xfId="1721" xr:uid="{00000000-0005-0000-0000-000047060000}"/>
    <cellStyle name="Milliers 247 2" xfId="2055" xr:uid="{00000000-0005-0000-0000-000048060000}"/>
    <cellStyle name="Milliers 247 2 2" xfId="2686" xr:uid="{00000000-0005-0000-0000-000049060000}"/>
    <cellStyle name="Milliers 248" xfId="1722" xr:uid="{00000000-0005-0000-0000-00004A060000}"/>
    <cellStyle name="Milliers 248 2" xfId="2056" xr:uid="{00000000-0005-0000-0000-00004B060000}"/>
    <cellStyle name="Milliers 248 2 2" xfId="2687" xr:uid="{00000000-0005-0000-0000-00004C060000}"/>
    <cellStyle name="Milliers 249" xfId="1723" xr:uid="{00000000-0005-0000-0000-00004D060000}"/>
    <cellStyle name="Milliers 249 2" xfId="2057" xr:uid="{00000000-0005-0000-0000-00004E060000}"/>
    <cellStyle name="Milliers 249 2 2" xfId="2688" xr:uid="{00000000-0005-0000-0000-00004F060000}"/>
    <cellStyle name="Milliers 25" xfId="1477" xr:uid="{00000000-0005-0000-0000-000050060000}"/>
    <cellStyle name="Milliers 25 2" xfId="2058" xr:uid="{00000000-0005-0000-0000-000051060000}"/>
    <cellStyle name="Milliers 25 2 2" xfId="2689" xr:uid="{00000000-0005-0000-0000-000052060000}"/>
    <cellStyle name="Milliers 250" xfId="1724" xr:uid="{00000000-0005-0000-0000-000053060000}"/>
    <cellStyle name="Milliers 250 2" xfId="2059" xr:uid="{00000000-0005-0000-0000-000054060000}"/>
    <cellStyle name="Milliers 250 2 2" xfId="2690" xr:uid="{00000000-0005-0000-0000-000055060000}"/>
    <cellStyle name="Milliers 251" xfId="1725" xr:uid="{00000000-0005-0000-0000-000056060000}"/>
    <cellStyle name="Milliers 251 2" xfId="2060" xr:uid="{00000000-0005-0000-0000-000057060000}"/>
    <cellStyle name="Milliers 251 2 2" xfId="2691" xr:uid="{00000000-0005-0000-0000-000058060000}"/>
    <cellStyle name="Milliers 252" xfId="1726" xr:uid="{00000000-0005-0000-0000-000059060000}"/>
    <cellStyle name="Milliers 252 2" xfId="2061" xr:uid="{00000000-0005-0000-0000-00005A060000}"/>
    <cellStyle name="Milliers 252 2 2" xfId="2692" xr:uid="{00000000-0005-0000-0000-00005B060000}"/>
    <cellStyle name="Milliers 253" xfId="1727" xr:uid="{00000000-0005-0000-0000-00005C060000}"/>
    <cellStyle name="Milliers 253 2" xfId="2062" xr:uid="{00000000-0005-0000-0000-00005D060000}"/>
    <cellStyle name="Milliers 253 2 2" xfId="2693" xr:uid="{00000000-0005-0000-0000-00005E060000}"/>
    <cellStyle name="Milliers 254" xfId="1728" xr:uid="{00000000-0005-0000-0000-00005F060000}"/>
    <cellStyle name="Milliers 254 2" xfId="2063" xr:uid="{00000000-0005-0000-0000-000060060000}"/>
    <cellStyle name="Milliers 254 2 2" xfId="2694" xr:uid="{00000000-0005-0000-0000-000061060000}"/>
    <cellStyle name="Milliers 255" xfId="1729" xr:uid="{00000000-0005-0000-0000-000062060000}"/>
    <cellStyle name="Milliers 255 2" xfId="2064" xr:uid="{00000000-0005-0000-0000-000063060000}"/>
    <cellStyle name="Milliers 255 2 2" xfId="2695" xr:uid="{00000000-0005-0000-0000-000064060000}"/>
    <cellStyle name="Milliers 256" xfId="1730" xr:uid="{00000000-0005-0000-0000-000065060000}"/>
    <cellStyle name="Milliers 256 2" xfId="2065" xr:uid="{00000000-0005-0000-0000-000066060000}"/>
    <cellStyle name="Milliers 256 2 2" xfId="2696" xr:uid="{00000000-0005-0000-0000-000067060000}"/>
    <cellStyle name="Milliers 257" xfId="1731" xr:uid="{00000000-0005-0000-0000-000068060000}"/>
    <cellStyle name="Milliers 257 2" xfId="2066" xr:uid="{00000000-0005-0000-0000-000069060000}"/>
    <cellStyle name="Milliers 257 2 2" xfId="2697" xr:uid="{00000000-0005-0000-0000-00006A060000}"/>
    <cellStyle name="Milliers 258" xfId="1732" xr:uid="{00000000-0005-0000-0000-00006B060000}"/>
    <cellStyle name="Milliers 258 2" xfId="2067" xr:uid="{00000000-0005-0000-0000-00006C060000}"/>
    <cellStyle name="Milliers 258 2 2" xfId="2698" xr:uid="{00000000-0005-0000-0000-00006D060000}"/>
    <cellStyle name="Milliers 259" xfId="1733" xr:uid="{00000000-0005-0000-0000-00006E060000}"/>
    <cellStyle name="Milliers 259 2" xfId="2068" xr:uid="{00000000-0005-0000-0000-00006F060000}"/>
    <cellStyle name="Milliers 259 2 2" xfId="2699" xr:uid="{00000000-0005-0000-0000-000070060000}"/>
    <cellStyle name="Milliers 26" xfId="1478" xr:uid="{00000000-0005-0000-0000-000071060000}"/>
    <cellStyle name="Milliers 26 2" xfId="2069" xr:uid="{00000000-0005-0000-0000-000072060000}"/>
    <cellStyle name="Milliers 26 2 2" xfId="2700" xr:uid="{00000000-0005-0000-0000-000073060000}"/>
    <cellStyle name="Milliers 260" xfId="1734" xr:uid="{00000000-0005-0000-0000-000074060000}"/>
    <cellStyle name="Milliers 260 2" xfId="2070" xr:uid="{00000000-0005-0000-0000-000075060000}"/>
    <cellStyle name="Milliers 260 2 2" xfId="2701" xr:uid="{00000000-0005-0000-0000-000076060000}"/>
    <cellStyle name="Milliers 261" xfId="1735" xr:uid="{00000000-0005-0000-0000-000077060000}"/>
    <cellStyle name="Milliers 261 2" xfId="2071" xr:uid="{00000000-0005-0000-0000-000078060000}"/>
    <cellStyle name="Milliers 261 2 2" xfId="2702" xr:uid="{00000000-0005-0000-0000-000079060000}"/>
    <cellStyle name="Milliers 262" xfId="1736" xr:uid="{00000000-0005-0000-0000-00007A060000}"/>
    <cellStyle name="Milliers 262 2" xfId="2072" xr:uid="{00000000-0005-0000-0000-00007B060000}"/>
    <cellStyle name="Milliers 262 2 2" xfId="2703" xr:uid="{00000000-0005-0000-0000-00007C060000}"/>
    <cellStyle name="Milliers 263" xfId="1737" xr:uid="{00000000-0005-0000-0000-00007D060000}"/>
    <cellStyle name="Milliers 263 2" xfId="2073" xr:uid="{00000000-0005-0000-0000-00007E060000}"/>
    <cellStyle name="Milliers 263 2 2" xfId="2704" xr:uid="{00000000-0005-0000-0000-00007F060000}"/>
    <cellStyle name="Milliers 264" xfId="1738" xr:uid="{00000000-0005-0000-0000-000080060000}"/>
    <cellStyle name="Milliers 264 2" xfId="2074" xr:uid="{00000000-0005-0000-0000-000081060000}"/>
    <cellStyle name="Milliers 264 2 2" xfId="2705" xr:uid="{00000000-0005-0000-0000-000082060000}"/>
    <cellStyle name="Milliers 265" xfId="1739" xr:uid="{00000000-0005-0000-0000-000083060000}"/>
    <cellStyle name="Milliers 265 2" xfId="2075" xr:uid="{00000000-0005-0000-0000-000084060000}"/>
    <cellStyle name="Milliers 265 2 2" xfId="2706" xr:uid="{00000000-0005-0000-0000-000085060000}"/>
    <cellStyle name="Milliers 266" xfId="1740" xr:uid="{00000000-0005-0000-0000-000086060000}"/>
    <cellStyle name="Milliers 266 2" xfId="2076" xr:uid="{00000000-0005-0000-0000-000087060000}"/>
    <cellStyle name="Milliers 266 2 2" xfId="2707" xr:uid="{00000000-0005-0000-0000-000088060000}"/>
    <cellStyle name="Milliers 267" xfId="1741" xr:uid="{00000000-0005-0000-0000-000089060000}"/>
    <cellStyle name="Milliers 267 2" xfId="2077" xr:uid="{00000000-0005-0000-0000-00008A060000}"/>
    <cellStyle name="Milliers 267 2 2" xfId="2708" xr:uid="{00000000-0005-0000-0000-00008B060000}"/>
    <cellStyle name="Milliers 268" xfId="1742" xr:uid="{00000000-0005-0000-0000-00008C060000}"/>
    <cellStyle name="Milliers 268 2" xfId="2078" xr:uid="{00000000-0005-0000-0000-00008D060000}"/>
    <cellStyle name="Milliers 268 2 2" xfId="2709" xr:uid="{00000000-0005-0000-0000-00008E060000}"/>
    <cellStyle name="Milliers 269" xfId="1743" xr:uid="{00000000-0005-0000-0000-00008F060000}"/>
    <cellStyle name="Milliers 269 2" xfId="2079" xr:uid="{00000000-0005-0000-0000-000090060000}"/>
    <cellStyle name="Milliers 269 2 2" xfId="2710" xr:uid="{00000000-0005-0000-0000-000091060000}"/>
    <cellStyle name="Milliers 27" xfId="1479" xr:uid="{00000000-0005-0000-0000-000092060000}"/>
    <cellStyle name="Milliers 27 2" xfId="2080" xr:uid="{00000000-0005-0000-0000-000093060000}"/>
    <cellStyle name="Milliers 27 2 2" xfId="2711" xr:uid="{00000000-0005-0000-0000-000094060000}"/>
    <cellStyle name="Milliers 270" xfId="1744" xr:uid="{00000000-0005-0000-0000-000095060000}"/>
    <cellStyle name="Milliers 270 2" xfId="2081" xr:uid="{00000000-0005-0000-0000-000096060000}"/>
    <cellStyle name="Milliers 270 2 2" xfId="2712" xr:uid="{00000000-0005-0000-0000-000097060000}"/>
    <cellStyle name="Milliers 271" xfId="1745" xr:uid="{00000000-0005-0000-0000-000098060000}"/>
    <cellStyle name="Milliers 271 2" xfId="2082" xr:uid="{00000000-0005-0000-0000-000099060000}"/>
    <cellStyle name="Milliers 271 2 2" xfId="2713" xr:uid="{00000000-0005-0000-0000-00009A060000}"/>
    <cellStyle name="Milliers 272" xfId="1746" xr:uid="{00000000-0005-0000-0000-00009B060000}"/>
    <cellStyle name="Milliers 272 2" xfId="2083" xr:uid="{00000000-0005-0000-0000-00009C060000}"/>
    <cellStyle name="Milliers 272 2 2" xfId="2714" xr:uid="{00000000-0005-0000-0000-00009D060000}"/>
    <cellStyle name="Milliers 273" xfId="1747" xr:uid="{00000000-0005-0000-0000-00009E060000}"/>
    <cellStyle name="Milliers 273 2" xfId="2084" xr:uid="{00000000-0005-0000-0000-00009F060000}"/>
    <cellStyle name="Milliers 273 2 2" xfId="2715" xr:uid="{00000000-0005-0000-0000-0000A0060000}"/>
    <cellStyle name="Milliers 274" xfId="1748" xr:uid="{00000000-0005-0000-0000-0000A1060000}"/>
    <cellStyle name="Milliers 274 2" xfId="2085" xr:uid="{00000000-0005-0000-0000-0000A2060000}"/>
    <cellStyle name="Milliers 274 2 2" xfId="2716" xr:uid="{00000000-0005-0000-0000-0000A3060000}"/>
    <cellStyle name="Milliers 275" xfId="1749" xr:uid="{00000000-0005-0000-0000-0000A4060000}"/>
    <cellStyle name="Milliers 275 2" xfId="2086" xr:uid="{00000000-0005-0000-0000-0000A5060000}"/>
    <cellStyle name="Milliers 275 2 2" xfId="2717" xr:uid="{00000000-0005-0000-0000-0000A6060000}"/>
    <cellStyle name="Milliers 276" xfId="1750" xr:uid="{00000000-0005-0000-0000-0000A7060000}"/>
    <cellStyle name="Milliers 276 2" xfId="2087" xr:uid="{00000000-0005-0000-0000-0000A8060000}"/>
    <cellStyle name="Milliers 276 2 2" xfId="2718" xr:uid="{00000000-0005-0000-0000-0000A9060000}"/>
    <cellStyle name="Milliers 277" xfId="1751" xr:uid="{00000000-0005-0000-0000-0000AA060000}"/>
    <cellStyle name="Milliers 277 2" xfId="2088" xr:uid="{00000000-0005-0000-0000-0000AB060000}"/>
    <cellStyle name="Milliers 277 2 2" xfId="2719" xr:uid="{00000000-0005-0000-0000-0000AC060000}"/>
    <cellStyle name="Milliers 278" xfId="1752" xr:uid="{00000000-0005-0000-0000-0000AD060000}"/>
    <cellStyle name="Milliers 278 2" xfId="2089" xr:uid="{00000000-0005-0000-0000-0000AE060000}"/>
    <cellStyle name="Milliers 278 2 2" xfId="2720" xr:uid="{00000000-0005-0000-0000-0000AF060000}"/>
    <cellStyle name="Milliers 279" xfId="1753" xr:uid="{00000000-0005-0000-0000-0000B0060000}"/>
    <cellStyle name="Milliers 279 2" xfId="2090" xr:uid="{00000000-0005-0000-0000-0000B1060000}"/>
    <cellStyle name="Milliers 279 2 2" xfId="2721" xr:uid="{00000000-0005-0000-0000-0000B2060000}"/>
    <cellStyle name="Milliers 28" xfId="1480" xr:uid="{00000000-0005-0000-0000-0000B3060000}"/>
    <cellStyle name="Milliers 28 2" xfId="2091" xr:uid="{00000000-0005-0000-0000-0000B4060000}"/>
    <cellStyle name="Milliers 28 2 2" xfId="2722" xr:uid="{00000000-0005-0000-0000-0000B5060000}"/>
    <cellStyle name="Milliers 280" xfId="1754" xr:uid="{00000000-0005-0000-0000-0000B6060000}"/>
    <cellStyle name="Milliers 280 2" xfId="2092" xr:uid="{00000000-0005-0000-0000-0000B7060000}"/>
    <cellStyle name="Milliers 280 2 2" xfId="2723" xr:uid="{00000000-0005-0000-0000-0000B8060000}"/>
    <cellStyle name="Milliers 281" xfId="1755" xr:uid="{00000000-0005-0000-0000-0000B9060000}"/>
    <cellStyle name="Milliers 281 2" xfId="2093" xr:uid="{00000000-0005-0000-0000-0000BA060000}"/>
    <cellStyle name="Milliers 281 2 2" xfId="2724" xr:uid="{00000000-0005-0000-0000-0000BB060000}"/>
    <cellStyle name="Milliers 282" xfId="1756" xr:uid="{00000000-0005-0000-0000-0000BC060000}"/>
    <cellStyle name="Milliers 282 2" xfId="2094" xr:uid="{00000000-0005-0000-0000-0000BD060000}"/>
    <cellStyle name="Milliers 282 2 2" xfId="2725" xr:uid="{00000000-0005-0000-0000-0000BE060000}"/>
    <cellStyle name="Milliers 283" xfId="1757" xr:uid="{00000000-0005-0000-0000-0000BF060000}"/>
    <cellStyle name="Milliers 283 2" xfId="2095" xr:uid="{00000000-0005-0000-0000-0000C0060000}"/>
    <cellStyle name="Milliers 283 2 2" xfId="2726" xr:uid="{00000000-0005-0000-0000-0000C1060000}"/>
    <cellStyle name="Milliers 284" xfId="1758" xr:uid="{00000000-0005-0000-0000-0000C2060000}"/>
    <cellStyle name="Milliers 284 2" xfId="2096" xr:uid="{00000000-0005-0000-0000-0000C3060000}"/>
    <cellStyle name="Milliers 284 2 2" xfId="2727" xr:uid="{00000000-0005-0000-0000-0000C4060000}"/>
    <cellStyle name="Milliers 285" xfId="1759" xr:uid="{00000000-0005-0000-0000-0000C5060000}"/>
    <cellStyle name="Milliers 285 2" xfId="2097" xr:uid="{00000000-0005-0000-0000-0000C6060000}"/>
    <cellStyle name="Milliers 285 2 2" xfId="2728" xr:uid="{00000000-0005-0000-0000-0000C7060000}"/>
    <cellStyle name="Milliers 286" xfId="1760" xr:uid="{00000000-0005-0000-0000-0000C8060000}"/>
    <cellStyle name="Milliers 286 2" xfId="2098" xr:uid="{00000000-0005-0000-0000-0000C9060000}"/>
    <cellStyle name="Milliers 286 2 2" xfId="2729" xr:uid="{00000000-0005-0000-0000-0000CA060000}"/>
    <cellStyle name="Milliers 287" xfId="1761" xr:uid="{00000000-0005-0000-0000-0000CB060000}"/>
    <cellStyle name="Milliers 287 2" xfId="2099" xr:uid="{00000000-0005-0000-0000-0000CC060000}"/>
    <cellStyle name="Milliers 287 2 2" xfId="2730" xr:uid="{00000000-0005-0000-0000-0000CD060000}"/>
    <cellStyle name="Milliers 288" xfId="1762" xr:uid="{00000000-0005-0000-0000-0000CE060000}"/>
    <cellStyle name="Milliers 288 2" xfId="2100" xr:uid="{00000000-0005-0000-0000-0000CF060000}"/>
    <cellStyle name="Milliers 288 2 2" xfId="2731" xr:uid="{00000000-0005-0000-0000-0000D0060000}"/>
    <cellStyle name="Milliers 289" xfId="1763" xr:uid="{00000000-0005-0000-0000-0000D1060000}"/>
    <cellStyle name="Milliers 289 2" xfId="2101" xr:uid="{00000000-0005-0000-0000-0000D2060000}"/>
    <cellStyle name="Milliers 289 2 2" xfId="2732" xr:uid="{00000000-0005-0000-0000-0000D3060000}"/>
    <cellStyle name="Milliers 29" xfId="1481" xr:uid="{00000000-0005-0000-0000-0000D4060000}"/>
    <cellStyle name="Milliers 29 2" xfId="2102" xr:uid="{00000000-0005-0000-0000-0000D5060000}"/>
    <cellStyle name="Milliers 29 2 2" xfId="2733" xr:uid="{00000000-0005-0000-0000-0000D6060000}"/>
    <cellStyle name="Milliers 290" xfId="1764" xr:uid="{00000000-0005-0000-0000-0000D7060000}"/>
    <cellStyle name="Milliers 290 2" xfId="2103" xr:uid="{00000000-0005-0000-0000-0000D8060000}"/>
    <cellStyle name="Milliers 290 2 2" xfId="2734" xr:uid="{00000000-0005-0000-0000-0000D9060000}"/>
    <cellStyle name="Milliers 291" xfId="1765" xr:uid="{00000000-0005-0000-0000-0000DA060000}"/>
    <cellStyle name="Milliers 291 2" xfId="2104" xr:uid="{00000000-0005-0000-0000-0000DB060000}"/>
    <cellStyle name="Milliers 291 2 2" xfId="2735" xr:uid="{00000000-0005-0000-0000-0000DC060000}"/>
    <cellStyle name="Milliers 292" xfId="1766" xr:uid="{00000000-0005-0000-0000-0000DD060000}"/>
    <cellStyle name="Milliers 292 2" xfId="2105" xr:uid="{00000000-0005-0000-0000-0000DE060000}"/>
    <cellStyle name="Milliers 292 2 2" xfId="2736" xr:uid="{00000000-0005-0000-0000-0000DF060000}"/>
    <cellStyle name="Milliers 293" xfId="1767" xr:uid="{00000000-0005-0000-0000-0000E0060000}"/>
    <cellStyle name="Milliers 293 2" xfId="2106" xr:uid="{00000000-0005-0000-0000-0000E1060000}"/>
    <cellStyle name="Milliers 293 2 2" xfId="2737" xr:uid="{00000000-0005-0000-0000-0000E2060000}"/>
    <cellStyle name="Milliers 294" xfId="1768" xr:uid="{00000000-0005-0000-0000-0000E3060000}"/>
    <cellStyle name="Milliers 294 2" xfId="2107" xr:uid="{00000000-0005-0000-0000-0000E4060000}"/>
    <cellStyle name="Milliers 294 2 2" xfId="2738" xr:uid="{00000000-0005-0000-0000-0000E5060000}"/>
    <cellStyle name="Milliers 295" xfId="1769" xr:uid="{00000000-0005-0000-0000-0000E6060000}"/>
    <cellStyle name="Milliers 295 2" xfId="2108" xr:uid="{00000000-0005-0000-0000-0000E7060000}"/>
    <cellStyle name="Milliers 295 2 2" xfId="2739" xr:uid="{00000000-0005-0000-0000-0000E8060000}"/>
    <cellStyle name="Milliers 296" xfId="1770" xr:uid="{00000000-0005-0000-0000-0000E9060000}"/>
    <cellStyle name="Milliers 296 2" xfId="2109" xr:uid="{00000000-0005-0000-0000-0000EA060000}"/>
    <cellStyle name="Milliers 296 2 2" xfId="2740" xr:uid="{00000000-0005-0000-0000-0000EB060000}"/>
    <cellStyle name="Milliers 297" xfId="1771" xr:uid="{00000000-0005-0000-0000-0000EC060000}"/>
    <cellStyle name="Milliers 297 2" xfId="2110" xr:uid="{00000000-0005-0000-0000-0000ED060000}"/>
    <cellStyle name="Milliers 297 2 2" xfId="2741" xr:uid="{00000000-0005-0000-0000-0000EE060000}"/>
    <cellStyle name="Milliers 298" xfId="1772" xr:uid="{00000000-0005-0000-0000-0000EF060000}"/>
    <cellStyle name="Milliers 298 2" xfId="2111" xr:uid="{00000000-0005-0000-0000-0000F0060000}"/>
    <cellStyle name="Milliers 298 2 2" xfId="2742" xr:uid="{00000000-0005-0000-0000-0000F1060000}"/>
    <cellStyle name="Milliers 299" xfId="1773" xr:uid="{00000000-0005-0000-0000-0000F2060000}"/>
    <cellStyle name="Milliers 299 2" xfId="2112" xr:uid="{00000000-0005-0000-0000-0000F3060000}"/>
    <cellStyle name="Milliers 299 2 2" xfId="2743" xr:uid="{00000000-0005-0000-0000-0000F4060000}"/>
    <cellStyle name="Milliers 3" xfId="970" xr:uid="{00000000-0005-0000-0000-0000F5060000}"/>
    <cellStyle name="Milliers 3 2" xfId="971" xr:uid="{00000000-0005-0000-0000-0000F6060000}"/>
    <cellStyle name="Milliers 3 2 2" xfId="2114" xr:uid="{00000000-0005-0000-0000-0000F7060000}"/>
    <cellStyle name="Milliers 3 2 2 2" xfId="2745" xr:uid="{00000000-0005-0000-0000-0000F8060000}"/>
    <cellStyle name="Milliers 3 2 3" xfId="2417" xr:uid="{00000000-0005-0000-0000-0000F9060000}"/>
    <cellStyle name="Milliers 3 3" xfId="2113" xr:uid="{00000000-0005-0000-0000-0000FA060000}"/>
    <cellStyle name="Milliers 3 3 2" xfId="2744" xr:uid="{00000000-0005-0000-0000-0000FB060000}"/>
    <cellStyle name="Milliers 3 4" xfId="3029" xr:uid="{00000000-0005-0000-0000-0000FC060000}"/>
    <cellStyle name="Milliers 3 4 2" xfId="3730" xr:uid="{00000000-0005-0000-0000-0000FD060000}"/>
    <cellStyle name="Milliers 3 4 2 2" xfId="5108" xr:uid="{00000000-0005-0000-0000-0000FE060000}"/>
    <cellStyle name="Milliers 3 4 3" xfId="4419" xr:uid="{00000000-0005-0000-0000-0000FF060000}"/>
    <cellStyle name="Milliers 3 5" xfId="2416" xr:uid="{00000000-0005-0000-0000-000000070000}"/>
    <cellStyle name="Milliers 30" xfId="1482" xr:uid="{00000000-0005-0000-0000-000001070000}"/>
    <cellStyle name="Milliers 30 2" xfId="2115" xr:uid="{00000000-0005-0000-0000-000002070000}"/>
    <cellStyle name="Milliers 30 2 2" xfId="2746" xr:uid="{00000000-0005-0000-0000-000003070000}"/>
    <cellStyle name="Milliers 300" xfId="1774" xr:uid="{00000000-0005-0000-0000-000004070000}"/>
    <cellStyle name="Milliers 300 2" xfId="2116" xr:uid="{00000000-0005-0000-0000-000005070000}"/>
    <cellStyle name="Milliers 300 2 2" xfId="2747" xr:uid="{00000000-0005-0000-0000-000006070000}"/>
    <cellStyle name="Milliers 301" xfId="1775" xr:uid="{00000000-0005-0000-0000-000007070000}"/>
    <cellStyle name="Milliers 301 2" xfId="2117" xr:uid="{00000000-0005-0000-0000-000008070000}"/>
    <cellStyle name="Milliers 301 2 2" xfId="2748" xr:uid="{00000000-0005-0000-0000-000009070000}"/>
    <cellStyle name="Milliers 302" xfId="1776" xr:uid="{00000000-0005-0000-0000-00000A070000}"/>
    <cellStyle name="Milliers 302 2" xfId="2118" xr:uid="{00000000-0005-0000-0000-00000B070000}"/>
    <cellStyle name="Milliers 302 2 2" xfId="2749" xr:uid="{00000000-0005-0000-0000-00000C070000}"/>
    <cellStyle name="Milliers 303" xfId="1777" xr:uid="{00000000-0005-0000-0000-00000D070000}"/>
    <cellStyle name="Milliers 303 2" xfId="2119" xr:uid="{00000000-0005-0000-0000-00000E070000}"/>
    <cellStyle name="Milliers 303 2 2" xfId="2750" xr:uid="{00000000-0005-0000-0000-00000F070000}"/>
    <cellStyle name="Milliers 304" xfId="1778" xr:uid="{00000000-0005-0000-0000-000010070000}"/>
    <cellStyle name="Milliers 304 2" xfId="2120" xr:uid="{00000000-0005-0000-0000-000011070000}"/>
    <cellStyle name="Milliers 304 2 2" xfId="2751" xr:uid="{00000000-0005-0000-0000-000012070000}"/>
    <cellStyle name="Milliers 305" xfId="1779" xr:uid="{00000000-0005-0000-0000-000013070000}"/>
    <cellStyle name="Milliers 305 2" xfId="2121" xr:uid="{00000000-0005-0000-0000-000014070000}"/>
    <cellStyle name="Milliers 305 2 2" xfId="2752" xr:uid="{00000000-0005-0000-0000-000015070000}"/>
    <cellStyle name="Milliers 306" xfId="1780" xr:uid="{00000000-0005-0000-0000-000016070000}"/>
    <cellStyle name="Milliers 306 2" xfId="2122" xr:uid="{00000000-0005-0000-0000-000017070000}"/>
    <cellStyle name="Milliers 306 2 2" xfId="2753" xr:uid="{00000000-0005-0000-0000-000018070000}"/>
    <cellStyle name="Milliers 307" xfId="1781" xr:uid="{00000000-0005-0000-0000-000019070000}"/>
    <cellStyle name="Milliers 307 2" xfId="2123" xr:uid="{00000000-0005-0000-0000-00001A070000}"/>
    <cellStyle name="Milliers 307 2 2" xfId="2754" xr:uid="{00000000-0005-0000-0000-00001B070000}"/>
    <cellStyle name="Milliers 308" xfId="1782" xr:uid="{00000000-0005-0000-0000-00001C070000}"/>
    <cellStyle name="Milliers 308 2" xfId="2124" xr:uid="{00000000-0005-0000-0000-00001D070000}"/>
    <cellStyle name="Milliers 308 2 2" xfId="2755" xr:uid="{00000000-0005-0000-0000-00001E070000}"/>
    <cellStyle name="Milliers 309" xfId="1783" xr:uid="{00000000-0005-0000-0000-00001F070000}"/>
    <cellStyle name="Milliers 309 2" xfId="2125" xr:uid="{00000000-0005-0000-0000-000020070000}"/>
    <cellStyle name="Milliers 309 2 2" xfId="2756" xr:uid="{00000000-0005-0000-0000-000021070000}"/>
    <cellStyle name="Milliers 31" xfId="1483" xr:uid="{00000000-0005-0000-0000-000022070000}"/>
    <cellStyle name="Milliers 31 2" xfId="2126" xr:uid="{00000000-0005-0000-0000-000023070000}"/>
    <cellStyle name="Milliers 31 2 2" xfId="2757" xr:uid="{00000000-0005-0000-0000-000024070000}"/>
    <cellStyle name="Milliers 310" xfId="1784" xr:uid="{00000000-0005-0000-0000-000025070000}"/>
    <cellStyle name="Milliers 310 2" xfId="2127" xr:uid="{00000000-0005-0000-0000-000026070000}"/>
    <cellStyle name="Milliers 310 2 2" xfId="2758" xr:uid="{00000000-0005-0000-0000-000027070000}"/>
    <cellStyle name="Milliers 311" xfId="1785" xr:uid="{00000000-0005-0000-0000-000028070000}"/>
    <cellStyle name="Milliers 311 2" xfId="2128" xr:uid="{00000000-0005-0000-0000-000029070000}"/>
    <cellStyle name="Milliers 311 2 2" xfId="2759" xr:uid="{00000000-0005-0000-0000-00002A070000}"/>
    <cellStyle name="Milliers 312" xfId="1786" xr:uid="{00000000-0005-0000-0000-00002B070000}"/>
    <cellStyle name="Milliers 312 2" xfId="2129" xr:uid="{00000000-0005-0000-0000-00002C070000}"/>
    <cellStyle name="Milliers 312 2 2" xfId="2760" xr:uid="{00000000-0005-0000-0000-00002D070000}"/>
    <cellStyle name="Milliers 313" xfId="1787" xr:uid="{00000000-0005-0000-0000-00002E070000}"/>
    <cellStyle name="Milliers 313 2" xfId="2130" xr:uid="{00000000-0005-0000-0000-00002F070000}"/>
    <cellStyle name="Milliers 313 2 2" xfId="2761" xr:uid="{00000000-0005-0000-0000-000030070000}"/>
    <cellStyle name="Milliers 314" xfId="1788" xr:uid="{00000000-0005-0000-0000-000031070000}"/>
    <cellStyle name="Milliers 314 2" xfId="2131" xr:uid="{00000000-0005-0000-0000-000032070000}"/>
    <cellStyle name="Milliers 314 2 2" xfId="2762" xr:uid="{00000000-0005-0000-0000-000033070000}"/>
    <cellStyle name="Milliers 315" xfId="1789" xr:uid="{00000000-0005-0000-0000-000034070000}"/>
    <cellStyle name="Milliers 315 2" xfId="2132" xr:uid="{00000000-0005-0000-0000-000035070000}"/>
    <cellStyle name="Milliers 315 2 2" xfId="2763" xr:uid="{00000000-0005-0000-0000-000036070000}"/>
    <cellStyle name="Milliers 316" xfId="1790" xr:uid="{00000000-0005-0000-0000-000037070000}"/>
    <cellStyle name="Milliers 316 2" xfId="2133" xr:uid="{00000000-0005-0000-0000-000038070000}"/>
    <cellStyle name="Milliers 316 2 2" xfId="2764" xr:uid="{00000000-0005-0000-0000-000039070000}"/>
    <cellStyle name="Milliers 317" xfId="1791" xr:uid="{00000000-0005-0000-0000-00003A070000}"/>
    <cellStyle name="Milliers 317 2" xfId="2134" xr:uid="{00000000-0005-0000-0000-00003B070000}"/>
    <cellStyle name="Milliers 317 2 2" xfId="2765" xr:uid="{00000000-0005-0000-0000-00003C070000}"/>
    <cellStyle name="Milliers 318" xfId="1792" xr:uid="{00000000-0005-0000-0000-00003D070000}"/>
    <cellStyle name="Milliers 318 2" xfId="2135" xr:uid="{00000000-0005-0000-0000-00003E070000}"/>
    <cellStyle name="Milliers 318 2 2" xfId="2766" xr:uid="{00000000-0005-0000-0000-00003F070000}"/>
    <cellStyle name="Milliers 319" xfId="1793" xr:uid="{00000000-0005-0000-0000-000040070000}"/>
    <cellStyle name="Milliers 319 2" xfId="2136" xr:uid="{00000000-0005-0000-0000-000041070000}"/>
    <cellStyle name="Milliers 319 2 2" xfId="2767" xr:uid="{00000000-0005-0000-0000-000042070000}"/>
    <cellStyle name="Milliers 32" xfId="1484" xr:uid="{00000000-0005-0000-0000-000043070000}"/>
    <cellStyle name="Milliers 32 2" xfId="2137" xr:uid="{00000000-0005-0000-0000-000044070000}"/>
    <cellStyle name="Milliers 32 2 2" xfId="2768" xr:uid="{00000000-0005-0000-0000-000045070000}"/>
    <cellStyle name="Milliers 320" xfId="1794" xr:uid="{00000000-0005-0000-0000-000046070000}"/>
    <cellStyle name="Milliers 320 2" xfId="2138" xr:uid="{00000000-0005-0000-0000-000047070000}"/>
    <cellStyle name="Milliers 320 2 2" xfId="2769" xr:uid="{00000000-0005-0000-0000-000048070000}"/>
    <cellStyle name="Milliers 321" xfId="1795" xr:uid="{00000000-0005-0000-0000-000049070000}"/>
    <cellStyle name="Milliers 321 2" xfId="2139" xr:uid="{00000000-0005-0000-0000-00004A070000}"/>
    <cellStyle name="Milliers 321 2 2" xfId="2770" xr:uid="{00000000-0005-0000-0000-00004B070000}"/>
    <cellStyle name="Milliers 322" xfId="1796" xr:uid="{00000000-0005-0000-0000-00004C070000}"/>
    <cellStyle name="Milliers 322 2" xfId="2140" xr:uid="{00000000-0005-0000-0000-00004D070000}"/>
    <cellStyle name="Milliers 322 2 2" xfId="2771" xr:uid="{00000000-0005-0000-0000-00004E070000}"/>
    <cellStyle name="Milliers 323" xfId="1797" xr:uid="{00000000-0005-0000-0000-00004F070000}"/>
    <cellStyle name="Milliers 323 2" xfId="2141" xr:uid="{00000000-0005-0000-0000-000050070000}"/>
    <cellStyle name="Milliers 323 2 2" xfId="2772" xr:uid="{00000000-0005-0000-0000-000051070000}"/>
    <cellStyle name="Milliers 324" xfId="1798" xr:uid="{00000000-0005-0000-0000-000052070000}"/>
    <cellStyle name="Milliers 324 2" xfId="2142" xr:uid="{00000000-0005-0000-0000-000053070000}"/>
    <cellStyle name="Milliers 324 2 2" xfId="2773" xr:uid="{00000000-0005-0000-0000-000054070000}"/>
    <cellStyle name="Milliers 325" xfId="1799" xr:uid="{00000000-0005-0000-0000-000055070000}"/>
    <cellStyle name="Milliers 325 2" xfId="2143" xr:uid="{00000000-0005-0000-0000-000056070000}"/>
    <cellStyle name="Milliers 325 2 2" xfId="2774" xr:uid="{00000000-0005-0000-0000-000057070000}"/>
    <cellStyle name="Milliers 326" xfId="1800" xr:uid="{00000000-0005-0000-0000-000058070000}"/>
    <cellStyle name="Milliers 326 2" xfId="2144" xr:uid="{00000000-0005-0000-0000-000059070000}"/>
    <cellStyle name="Milliers 326 2 2" xfId="2775" xr:uid="{00000000-0005-0000-0000-00005A070000}"/>
    <cellStyle name="Milliers 327" xfId="1801" xr:uid="{00000000-0005-0000-0000-00005B070000}"/>
    <cellStyle name="Milliers 327 2" xfId="2145" xr:uid="{00000000-0005-0000-0000-00005C070000}"/>
    <cellStyle name="Milliers 327 2 2" xfId="2776" xr:uid="{00000000-0005-0000-0000-00005D070000}"/>
    <cellStyle name="Milliers 328" xfId="1802" xr:uid="{00000000-0005-0000-0000-00005E070000}"/>
    <cellStyle name="Milliers 328 2" xfId="2146" xr:uid="{00000000-0005-0000-0000-00005F070000}"/>
    <cellStyle name="Milliers 328 2 2" xfId="2777" xr:uid="{00000000-0005-0000-0000-000060070000}"/>
    <cellStyle name="Milliers 329" xfId="1803" xr:uid="{00000000-0005-0000-0000-000061070000}"/>
    <cellStyle name="Milliers 329 2" xfId="2147" xr:uid="{00000000-0005-0000-0000-000062070000}"/>
    <cellStyle name="Milliers 329 2 2" xfId="2778" xr:uid="{00000000-0005-0000-0000-000063070000}"/>
    <cellStyle name="Milliers 33" xfId="1485" xr:uid="{00000000-0005-0000-0000-000064070000}"/>
    <cellStyle name="Milliers 33 2" xfId="2148" xr:uid="{00000000-0005-0000-0000-000065070000}"/>
    <cellStyle name="Milliers 33 2 2" xfId="2779" xr:uid="{00000000-0005-0000-0000-000066070000}"/>
    <cellStyle name="Milliers 330" xfId="1804" xr:uid="{00000000-0005-0000-0000-000067070000}"/>
    <cellStyle name="Milliers 330 2" xfId="2149" xr:uid="{00000000-0005-0000-0000-000068070000}"/>
    <cellStyle name="Milliers 330 2 2" xfId="2780" xr:uid="{00000000-0005-0000-0000-000069070000}"/>
    <cellStyle name="Milliers 331" xfId="1805" xr:uid="{00000000-0005-0000-0000-00006A070000}"/>
    <cellStyle name="Milliers 331 2" xfId="2150" xr:uid="{00000000-0005-0000-0000-00006B070000}"/>
    <cellStyle name="Milliers 331 2 2" xfId="2781" xr:uid="{00000000-0005-0000-0000-00006C070000}"/>
    <cellStyle name="Milliers 332" xfId="1806" xr:uid="{00000000-0005-0000-0000-00006D070000}"/>
    <cellStyle name="Milliers 332 2" xfId="2151" xr:uid="{00000000-0005-0000-0000-00006E070000}"/>
    <cellStyle name="Milliers 332 2 2" xfId="2782" xr:uid="{00000000-0005-0000-0000-00006F070000}"/>
    <cellStyle name="Milliers 333" xfId="1807" xr:uid="{00000000-0005-0000-0000-000070070000}"/>
    <cellStyle name="Milliers 333 2" xfId="2152" xr:uid="{00000000-0005-0000-0000-000071070000}"/>
    <cellStyle name="Milliers 333 2 2" xfId="2783" xr:uid="{00000000-0005-0000-0000-000072070000}"/>
    <cellStyle name="Milliers 334" xfId="1808" xr:uid="{00000000-0005-0000-0000-000073070000}"/>
    <cellStyle name="Milliers 334 2" xfId="2153" xr:uid="{00000000-0005-0000-0000-000074070000}"/>
    <cellStyle name="Milliers 334 2 2" xfId="2784" xr:uid="{00000000-0005-0000-0000-000075070000}"/>
    <cellStyle name="Milliers 335" xfId="1809" xr:uid="{00000000-0005-0000-0000-000076070000}"/>
    <cellStyle name="Milliers 335 2" xfId="2154" xr:uid="{00000000-0005-0000-0000-000077070000}"/>
    <cellStyle name="Milliers 335 2 2" xfId="2785" xr:uid="{00000000-0005-0000-0000-000078070000}"/>
    <cellStyle name="Milliers 336" xfId="1810" xr:uid="{00000000-0005-0000-0000-000079070000}"/>
    <cellStyle name="Milliers 336 2" xfId="2155" xr:uid="{00000000-0005-0000-0000-00007A070000}"/>
    <cellStyle name="Milliers 336 2 2" xfId="2786" xr:uid="{00000000-0005-0000-0000-00007B070000}"/>
    <cellStyle name="Milliers 337" xfId="1811" xr:uid="{00000000-0005-0000-0000-00007C070000}"/>
    <cellStyle name="Milliers 337 2" xfId="2156" xr:uid="{00000000-0005-0000-0000-00007D070000}"/>
    <cellStyle name="Milliers 337 2 2" xfId="2787" xr:uid="{00000000-0005-0000-0000-00007E070000}"/>
    <cellStyle name="Milliers 338" xfId="1812" xr:uid="{00000000-0005-0000-0000-00007F070000}"/>
    <cellStyle name="Milliers 338 2" xfId="2157" xr:uid="{00000000-0005-0000-0000-000080070000}"/>
    <cellStyle name="Milliers 338 2 2" xfId="2788" xr:uid="{00000000-0005-0000-0000-000081070000}"/>
    <cellStyle name="Milliers 339" xfId="1813" xr:uid="{00000000-0005-0000-0000-000082070000}"/>
    <cellStyle name="Milliers 339 2" xfId="2158" xr:uid="{00000000-0005-0000-0000-000083070000}"/>
    <cellStyle name="Milliers 339 2 2" xfId="2789" xr:uid="{00000000-0005-0000-0000-000084070000}"/>
    <cellStyle name="Milliers 34" xfId="1486" xr:uid="{00000000-0005-0000-0000-000085070000}"/>
    <cellStyle name="Milliers 34 2" xfId="2159" xr:uid="{00000000-0005-0000-0000-000086070000}"/>
    <cellStyle name="Milliers 34 2 2" xfId="2790" xr:uid="{00000000-0005-0000-0000-000087070000}"/>
    <cellStyle name="Milliers 340" xfId="1814" xr:uid="{00000000-0005-0000-0000-000088070000}"/>
    <cellStyle name="Milliers 340 2" xfId="2160" xr:uid="{00000000-0005-0000-0000-000089070000}"/>
    <cellStyle name="Milliers 340 2 2" xfId="2791" xr:uid="{00000000-0005-0000-0000-00008A070000}"/>
    <cellStyle name="Milliers 341" xfId="1815" xr:uid="{00000000-0005-0000-0000-00008B070000}"/>
    <cellStyle name="Milliers 341 2" xfId="2161" xr:uid="{00000000-0005-0000-0000-00008C070000}"/>
    <cellStyle name="Milliers 341 2 2" xfId="2792" xr:uid="{00000000-0005-0000-0000-00008D070000}"/>
    <cellStyle name="Milliers 342" xfId="1816" xr:uid="{00000000-0005-0000-0000-00008E070000}"/>
    <cellStyle name="Milliers 342 2" xfId="2162" xr:uid="{00000000-0005-0000-0000-00008F070000}"/>
    <cellStyle name="Milliers 342 2 2" xfId="2793" xr:uid="{00000000-0005-0000-0000-000090070000}"/>
    <cellStyle name="Milliers 343" xfId="1817" xr:uid="{00000000-0005-0000-0000-000091070000}"/>
    <cellStyle name="Milliers 343 2" xfId="2163" xr:uid="{00000000-0005-0000-0000-000092070000}"/>
    <cellStyle name="Milliers 343 2 2" xfId="2794" xr:uid="{00000000-0005-0000-0000-000093070000}"/>
    <cellStyle name="Milliers 344" xfId="1818" xr:uid="{00000000-0005-0000-0000-000094070000}"/>
    <cellStyle name="Milliers 344 2" xfId="2164" xr:uid="{00000000-0005-0000-0000-000095070000}"/>
    <cellStyle name="Milliers 344 2 2" xfId="2795" xr:uid="{00000000-0005-0000-0000-000096070000}"/>
    <cellStyle name="Milliers 345" xfId="1819" xr:uid="{00000000-0005-0000-0000-000097070000}"/>
    <cellStyle name="Milliers 345 2" xfId="2165" xr:uid="{00000000-0005-0000-0000-000098070000}"/>
    <cellStyle name="Milliers 345 2 2" xfId="2796" xr:uid="{00000000-0005-0000-0000-000099070000}"/>
    <cellStyle name="Milliers 346" xfId="1820" xr:uid="{00000000-0005-0000-0000-00009A070000}"/>
    <cellStyle name="Milliers 346 2" xfId="2166" xr:uid="{00000000-0005-0000-0000-00009B070000}"/>
    <cellStyle name="Milliers 346 2 2" xfId="2797" xr:uid="{00000000-0005-0000-0000-00009C070000}"/>
    <cellStyle name="Milliers 347" xfId="1821" xr:uid="{00000000-0005-0000-0000-00009D070000}"/>
    <cellStyle name="Milliers 347 2" xfId="2167" xr:uid="{00000000-0005-0000-0000-00009E070000}"/>
    <cellStyle name="Milliers 347 2 2" xfId="2798" xr:uid="{00000000-0005-0000-0000-00009F070000}"/>
    <cellStyle name="Milliers 348" xfId="1822" xr:uid="{00000000-0005-0000-0000-0000A0070000}"/>
    <cellStyle name="Milliers 348 2" xfId="2168" xr:uid="{00000000-0005-0000-0000-0000A1070000}"/>
    <cellStyle name="Milliers 348 2 2" xfId="2799" xr:uid="{00000000-0005-0000-0000-0000A2070000}"/>
    <cellStyle name="Milliers 349" xfId="1823" xr:uid="{00000000-0005-0000-0000-0000A3070000}"/>
    <cellStyle name="Milliers 349 2" xfId="2169" xr:uid="{00000000-0005-0000-0000-0000A4070000}"/>
    <cellStyle name="Milliers 349 2 2" xfId="2800" xr:uid="{00000000-0005-0000-0000-0000A5070000}"/>
    <cellStyle name="Milliers 35" xfId="1487" xr:uid="{00000000-0005-0000-0000-0000A6070000}"/>
    <cellStyle name="Milliers 35 2" xfId="2170" xr:uid="{00000000-0005-0000-0000-0000A7070000}"/>
    <cellStyle name="Milliers 35 2 2" xfId="2801" xr:uid="{00000000-0005-0000-0000-0000A8070000}"/>
    <cellStyle name="Milliers 350" xfId="1824" xr:uid="{00000000-0005-0000-0000-0000A9070000}"/>
    <cellStyle name="Milliers 350 2" xfId="2171" xr:uid="{00000000-0005-0000-0000-0000AA070000}"/>
    <cellStyle name="Milliers 350 2 2" xfId="2802" xr:uid="{00000000-0005-0000-0000-0000AB070000}"/>
    <cellStyle name="Milliers 351" xfId="1825" xr:uid="{00000000-0005-0000-0000-0000AC070000}"/>
    <cellStyle name="Milliers 351 2" xfId="2172" xr:uid="{00000000-0005-0000-0000-0000AD070000}"/>
    <cellStyle name="Milliers 351 2 2" xfId="2803" xr:uid="{00000000-0005-0000-0000-0000AE070000}"/>
    <cellStyle name="Milliers 352" xfId="1826" xr:uid="{00000000-0005-0000-0000-0000AF070000}"/>
    <cellStyle name="Milliers 352 2" xfId="2173" xr:uid="{00000000-0005-0000-0000-0000B0070000}"/>
    <cellStyle name="Milliers 352 2 2" xfId="2804" xr:uid="{00000000-0005-0000-0000-0000B1070000}"/>
    <cellStyle name="Milliers 353" xfId="1827" xr:uid="{00000000-0005-0000-0000-0000B2070000}"/>
    <cellStyle name="Milliers 353 2" xfId="2174" xr:uid="{00000000-0005-0000-0000-0000B3070000}"/>
    <cellStyle name="Milliers 353 2 2" xfId="2805" xr:uid="{00000000-0005-0000-0000-0000B4070000}"/>
    <cellStyle name="Milliers 354" xfId="1828" xr:uid="{00000000-0005-0000-0000-0000B5070000}"/>
    <cellStyle name="Milliers 354 2" xfId="2175" xr:uid="{00000000-0005-0000-0000-0000B6070000}"/>
    <cellStyle name="Milliers 354 2 2" xfId="2806" xr:uid="{00000000-0005-0000-0000-0000B7070000}"/>
    <cellStyle name="Milliers 355" xfId="1829" xr:uid="{00000000-0005-0000-0000-0000B8070000}"/>
    <cellStyle name="Milliers 355 2" xfId="2176" xr:uid="{00000000-0005-0000-0000-0000B9070000}"/>
    <cellStyle name="Milliers 355 2 2" xfId="2807" xr:uid="{00000000-0005-0000-0000-0000BA070000}"/>
    <cellStyle name="Milliers 356" xfId="1830" xr:uid="{00000000-0005-0000-0000-0000BB070000}"/>
    <cellStyle name="Milliers 356 2" xfId="2177" xr:uid="{00000000-0005-0000-0000-0000BC070000}"/>
    <cellStyle name="Milliers 356 2 2" xfId="2808" xr:uid="{00000000-0005-0000-0000-0000BD070000}"/>
    <cellStyle name="Milliers 357" xfId="1831" xr:uid="{00000000-0005-0000-0000-0000BE070000}"/>
    <cellStyle name="Milliers 357 2" xfId="2178" xr:uid="{00000000-0005-0000-0000-0000BF070000}"/>
    <cellStyle name="Milliers 357 2 2" xfId="2809" xr:uid="{00000000-0005-0000-0000-0000C0070000}"/>
    <cellStyle name="Milliers 358" xfId="1832" xr:uid="{00000000-0005-0000-0000-0000C1070000}"/>
    <cellStyle name="Milliers 358 2" xfId="2179" xr:uid="{00000000-0005-0000-0000-0000C2070000}"/>
    <cellStyle name="Milliers 358 2 2" xfId="2810" xr:uid="{00000000-0005-0000-0000-0000C3070000}"/>
    <cellStyle name="Milliers 359" xfId="1833" xr:uid="{00000000-0005-0000-0000-0000C4070000}"/>
    <cellStyle name="Milliers 359 2" xfId="2180" xr:uid="{00000000-0005-0000-0000-0000C5070000}"/>
    <cellStyle name="Milliers 359 2 2" xfId="2811" xr:uid="{00000000-0005-0000-0000-0000C6070000}"/>
    <cellStyle name="Milliers 36" xfId="1488" xr:uid="{00000000-0005-0000-0000-0000C7070000}"/>
    <cellStyle name="Milliers 36 2" xfId="2181" xr:uid="{00000000-0005-0000-0000-0000C8070000}"/>
    <cellStyle name="Milliers 36 2 2" xfId="2812" xr:uid="{00000000-0005-0000-0000-0000C9070000}"/>
    <cellStyle name="Milliers 360" xfId="1834" xr:uid="{00000000-0005-0000-0000-0000CA070000}"/>
    <cellStyle name="Milliers 360 2" xfId="2182" xr:uid="{00000000-0005-0000-0000-0000CB070000}"/>
    <cellStyle name="Milliers 360 2 2" xfId="2813" xr:uid="{00000000-0005-0000-0000-0000CC070000}"/>
    <cellStyle name="Milliers 361" xfId="1835" xr:uid="{00000000-0005-0000-0000-0000CD070000}"/>
    <cellStyle name="Milliers 361 2" xfId="2183" xr:uid="{00000000-0005-0000-0000-0000CE070000}"/>
    <cellStyle name="Milliers 361 2 2" xfId="2814" xr:uid="{00000000-0005-0000-0000-0000CF070000}"/>
    <cellStyle name="Milliers 362" xfId="1836" xr:uid="{00000000-0005-0000-0000-0000D0070000}"/>
    <cellStyle name="Milliers 362 2" xfId="2184" xr:uid="{00000000-0005-0000-0000-0000D1070000}"/>
    <cellStyle name="Milliers 362 2 2" xfId="2815" xr:uid="{00000000-0005-0000-0000-0000D2070000}"/>
    <cellStyle name="Milliers 363" xfId="1852" xr:uid="{00000000-0005-0000-0000-0000D3070000}"/>
    <cellStyle name="Milliers 363 2" xfId="2185" xr:uid="{00000000-0005-0000-0000-0000D4070000}"/>
    <cellStyle name="Milliers 363 2 2" xfId="3123" xr:uid="{00000000-0005-0000-0000-0000D5070000}"/>
    <cellStyle name="Milliers 363 2 2 2" xfId="3822" xr:uid="{00000000-0005-0000-0000-0000D6070000}"/>
    <cellStyle name="Milliers 363 2 2 2 2" xfId="5200" xr:uid="{00000000-0005-0000-0000-0000D7070000}"/>
    <cellStyle name="Milliers 363 2 2 3" xfId="4511" xr:uid="{00000000-0005-0000-0000-0000D8070000}"/>
    <cellStyle name="Milliers 363 2 3" xfId="2816" xr:uid="{00000000-0005-0000-0000-0000D9070000}"/>
    <cellStyle name="Milliers 363 2 3 2" xfId="3596" xr:uid="{00000000-0005-0000-0000-0000DA070000}"/>
    <cellStyle name="Milliers 363 2 3 2 2" xfId="4974" xr:uid="{00000000-0005-0000-0000-0000DB070000}"/>
    <cellStyle name="Milliers 363 2 3 3" xfId="4285" xr:uid="{00000000-0005-0000-0000-0000DC070000}"/>
    <cellStyle name="Milliers 363 2 4" xfId="3381" xr:uid="{00000000-0005-0000-0000-0000DD070000}"/>
    <cellStyle name="Milliers 363 2 4 2" xfId="4759" xr:uid="{00000000-0005-0000-0000-0000DE070000}"/>
    <cellStyle name="Milliers 363 2 5" xfId="4070" xr:uid="{00000000-0005-0000-0000-0000DF070000}"/>
    <cellStyle name="Milliers 363 3" xfId="3111" xr:uid="{00000000-0005-0000-0000-0000E0070000}"/>
    <cellStyle name="Milliers 363 3 2" xfId="3810" xr:uid="{00000000-0005-0000-0000-0000E1070000}"/>
    <cellStyle name="Milliers 363 3 2 2" xfId="5188" xr:uid="{00000000-0005-0000-0000-0000E2070000}"/>
    <cellStyle name="Milliers 363 3 3" xfId="4499" xr:uid="{00000000-0005-0000-0000-0000E3070000}"/>
    <cellStyle name="Milliers 363 4" xfId="2498" xr:uid="{00000000-0005-0000-0000-0000E4070000}"/>
    <cellStyle name="Milliers 363 4 2" xfId="3584" xr:uid="{00000000-0005-0000-0000-0000E5070000}"/>
    <cellStyle name="Milliers 363 4 2 2" xfId="4962" xr:uid="{00000000-0005-0000-0000-0000E6070000}"/>
    <cellStyle name="Milliers 363 4 3" xfId="4273" xr:uid="{00000000-0005-0000-0000-0000E7070000}"/>
    <cellStyle name="Milliers 363 5" xfId="3369" xr:uid="{00000000-0005-0000-0000-0000E8070000}"/>
    <cellStyle name="Milliers 363 5 2" xfId="4747" xr:uid="{00000000-0005-0000-0000-0000E9070000}"/>
    <cellStyle name="Milliers 363 6" xfId="4058" xr:uid="{00000000-0005-0000-0000-0000EA070000}"/>
    <cellStyle name="Milliers 364" xfId="1873" xr:uid="{00000000-0005-0000-0000-0000EB070000}"/>
    <cellStyle name="Milliers 364 2" xfId="2508" xr:uid="{00000000-0005-0000-0000-0000EC070000}"/>
    <cellStyle name="Milliers 365" xfId="1875" xr:uid="{00000000-0005-0000-0000-0000ED070000}"/>
    <cellStyle name="Milliers 365 2" xfId="2509" xr:uid="{00000000-0005-0000-0000-0000EE070000}"/>
    <cellStyle name="Milliers 366" xfId="1878" xr:uid="{00000000-0005-0000-0000-0000EF070000}"/>
    <cellStyle name="Milliers 366 2" xfId="2510" xr:uid="{00000000-0005-0000-0000-0000F0070000}"/>
    <cellStyle name="Milliers 367" xfId="1879" xr:uid="{00000000-0005-0000-0000-0000F1070000}"/>
    <cellStyle name="Milliers 367 2" xfId="2511" xr:uid="{00000000-0005-0000-0000-0000F2070000}"/>
    <cellStyle name="Milliers 368" xfId="1880" xr:uid="{00000000-0005-0000-0000-0000F3070000}"/>
    <cellStyle name="Milliers 368 2" xfId="2512" xr:uid="{00000000-0005-0000-0000-0000F4070000}"/>
    <cellStyle name="Milliers 369" xfId="2329" xr:uid="{00000000-0005-0000-0000-0000F5070000}"/>
    <cellStyle name="Milliers 369 2" xfId="2960" xr:uid="{00000000-0005-0000-0000-0000F6070000}"/>
    <cellStyle name="Milliers 37" xfId="1489" xr:uid="{00000000-0005-0000-0000-0000F7070000}"/>
    <cellStyle name="Milliers 37 2" xfId="2186" xr:uid="{00000000-0005-0000-0000-0000F8070000}"/>
    <cellStyle name="Milliers 37 2 2" xfId="2817" xr:uid="{00000000-0005-0000-0000-0000F9070000}"/>
    <cellStyle name="Milliers 370" xfId="2332" xr:uid="{00000000-0005-0000-0000-0000FA070000}"/>
    <cellStyle name="Milliers 370 2" xfId="3201" xr:uid="{00000000-0005-0000-0000-0000FB070000}"/>
    <cellStyle name="Milliers 370 2 2" xfId="3900" xr:uid="{00000000-0005-0000-0000-0000FC070000}"/>
    <cellStyle name="Milliers 370 2 2 2" xfId="5278" xr:uid="{00000000-0005-0000-0000-0000FD070000}"/>
    <cellStyle name="Milliers 370 2 3" xfId="4589" xr:uid="{00000000-0005-0000-0000-0000FE070000}"/>
    <cellStyle name="Milliers 370 3" xfId="2963" xr:uid="{00000000-0005-0000-0000-0000FF070000}"/>
    <cellStyle name="Milliers 370 3 2" xfId="3674" xr:uid="{00000000-0005-0000-0000-000000080000}"/>
    <cellStyle name="Milliers 370 3 2 2" xfId="5052" xr:uid="{00000000-0005-0000-0000-000001080000}"/>
    <cellStyle name="Milliers 370 3 3" xfId="4363" xr:uid="{00000000-0005-0000-0000-000002080000}"/>
    <cellStyle name="Milliers 370 4" xfId="3459" xr:uid="{00000000-0005-0000-0000-000003080000}"/>
    <cellStyle name="Milliers 370 4 2" xfId="4837" xr:uid="{00000000-0005-0000-0000-000004080000}"/>
    <cellStyle name="Milliers 370 5" xfId="4148" xr:uid="{00000000-0005-0000-0000-000005080000}"/>
    <cellStyle name="Milliers 371" xfId="2331" xr:uid="{00000000-0005-0000-0000-000006080000}"/>
    <cellStyle name="Milliers 371 2" xfId="3200" xr:uid="{00000000-0005-0000-0000-000007080000}"/>
    <cellStyle name="Milliers 371 2 2" xfId="3899" xr:uid="{00000000-0005-0000-0000-000008080000}"/>
    <cellStyle name="Milliers 371 2 2 2" xfId="5277" xr:uid="{00000000-0005-0000-0000-000009080000}"/>
    <cellStyle name="Milliers 371 2 3" xfId="4588" xr:uid="{00000000-0005-0000-0000-00000A080000}"/>
    <cellStyle name="Milliers 371 3" xfId="2962" xr:uid="{00000000-0005-0000-0000-00000B080000}"/>
    <cellStyle name="Milliers 371 3 2" xfId="3673" xr:uid="{00000000-0005-0000-0000-00000C080000}"/>
    <cellStyle name="Milliers 371 3 2 2" xfId="5051" xr:uid="{00000000-0005-0000-0000-00000D080000}"/>
    <cellStyle name="Milliers 371 3 3" xfId="4362" xr:uid="{00000000-0005-0000-0000-00000E080000}"/>
    <cellStyle name="Milliers 371 4" xfId="3458" xr:uid="{00000000-0005-0000-0000-00000F080000}"/>
    <cellStyle name="Milliers 371 4 2" xfId="4836" xr:uid="{00000000-0005-0000-0000-000010080000}"/>
    <cellStyle name="Milliers 371 5" xfId="4147" xr:uid="{00000000-0005-0000-0000-000011080000}"/>
    <cellStyle name="Milliers 372" xfId="2330" xr:uid="{00000000-0005-0000-0000-000012080000}"/>
    <cellStyle name="Milliers 372 2" xfId="3199" xr:uid="{00000000-0005-0000-0000-000013080000}"/>
    <cellStyle name="Milliers 372 2 2" xfId="3898" xr:uid="{00000000-0005-0000-0000-000014080000}"/>
    <cellStyle name="Milliers 372 2 2 2" xfId="5276" xr:uid="{00000000-0005-0000-0000-000015080000}"/>
    <cellStyle name="Milliers 372 2 3" xfId="4587" xr:uid="{00000000-0005-0000-0000-000016080000}"/>
    <cellStyle name="Milliers 372 3" xfId="2961" xr:uid="{00000000-0005-0000-0000-000017080000}"/>
    <cellStyle name="Milliers 372 3 2" xfId="3672" xr:uid="{00000000-0005-0000-0000-000018080000}"/>
    <cellStyle name="Milliers 372 3 2 2" xfId="5050" xr:uid="{00000000-0005-0000-0000-000019080000}"/>
    <cellStyle name="Milliers 372 3 3" xfId="4361" xr:uid="{00000000-0005-0000-0000-00001A080000}"/>
    <cellStyle name="Milliers 372 4" xfId="3457" xr:uid="{00000000-0005-0000-0000-00001B080000}"/>
    <cellStyle name="Milliers 372 4 2" xfId="4835" xr:uid="{00000000-0005-0000-0000-00001C080000}"/>
    <cellStyle name="Milliers 372 5" xfId="4146" xr:uid="{00000000-0005-0000-0000-00001D080000}"/>
    <cellStyle name="Milliers 373" xfId="2342" xr:uid="{00000000-0005-0000-0000-00001E080000}"/>
    <cellStyle name="Milliers 373 2" xfId="2970" xr:uid="{00000000-0005-0000-0000-00001F080000}"/>
    <cellStyle name="Milliers 374" xfId="2345" xr:uid="{00000000-0005-0000-0000-000020080000}"/>
    <cellStyle name="Milliers 374 2" xfId="2971" xr:uid="{00000000-0005-0000-0000-000021080000}"/>
    <cellStyle name="Milliers 375" xfId="2346" xr:uid="{00000000-0005-0000-0000-000022080000}"/>
    <cellStyle name="Milliers 375 2" xfId="2972" xr:uid="{00000000-0005-0000-0000-000023080000}"/>
    <cellStyle name="Milliers 376" xfId="2350" xr:uid="{00000000-0005-0000-0000-000024080000}"/>
    <cellStyle name="Milliers 376 2" xfId="2973" xr:uid="{00000000-0005-0000-0000-000025080000}"/>
    <cellStyle name="Milliers 377" xfId="2353" xr:uid="{00000000-0005-0000-0000-000026080000}"/>
    <cellStyle name="Milliers 377 2" xfId="2976" xr:uid="{00000000-0005-0000-0000-000027080000}"/>
    <cellStyle name="Milliers 378" xfId="2366" xr:uid="{00000000-0005-0000-0000-000028080000}"/>
    <cellStyle name="Milliers 378 2" xfId="3213" xr:uid="{00000000-0005-0000-0000-000029080000}"/>
    <cellStyle name="Milliers 378 2 2" xfId="3912" xr:uid="{00000000-0005-0000-0000-00002A080000}"/>
    <cellStyle name="Milliers 378 2 2 2" xfId="5290" xr:uid="{00000000-0005-0000-0000-00002B080000}"/>
    <cellStyle name="Milliers 378 2 3" xfId="4601" xr:uid="{00000000-0005-0000-0000-00002C080000}"/>
    <cellStyle name="Milliers 378 3" xfId="2980" xr:uid="{00000000-0005-0000-0000-00002D080000}"/>
    <cellStyle name="Milliers 378 3 2" xfId="3686" xr:uid="{00000000-0005-0000-0000-00002E080000}"/>
    <cellStyle name="Milliers 378 3 2 2" xfId="5064" xr:uid="{00000000-0005-0000-0000-00002F080000}"/>
    <cellStyle name="Milliers 378 3 3" xfId="4375" xr:uid="{00000000-0005-0000-0000-000030080000}"/>
    <cellStyle name="Milliers 378 4" xfId="3471" xr:uid="{00000000-0005-0000-0000-000031080000}"/>
    <cellStyle name="Milliers 378 4 2" xfId="4849" xr:uid="{00000000-0005-0000-0000-000032080000}"/>
    <cellStyle name="Milliers 378 5" xfId="4160" xr:uid="{00000000-0005-0000-0000-000033080000}"/>
    <cellStyle name="Milliers 379" xfId="2373" xr:uid="{00000000-0005-0000-0000-000034080000}"/>
    <cellStyle name="Milliers 379 2" xfId="3217" xr:uid="{00000000-0005-0000-0000-000035080000}"/>
    <cellStyle name="Milliers 379 2 2" xfId="3916" xr:uid="{00000000-0005-0000-0000-000036080000}"/>
    <cellStyle name="Milliers 379 2 2 2" xfId="5294" xr:uid="{00000000-0005-0000-0000-000037080000}"/>
    <cellStyle name="Milliers 379 2 3" xfId="4605" xr:uid="{00000000-0005-0000-0000-000038080000}"/>
    <cellStyle name="Milliers 379 3" xfId="2985" xr:uid="{00000000-0005-0000-0000-000039080000}"/>
    <cellStyle name="Milliers 379 3 2" xfId="3690" xr:uid="{00000000-0005-0000-0000-00003A080000}"/>
    <cellStyle name="Milliers 379 3 2 2" xfId="5068" xr:uid="{00000000-0005-0000-0000-00003B080000}"/>
    <cellStyle name="Milliers 379 3 3" xfId="4379" xr:uid="{00000000-0005-0000-0000-00003C080000}"/>
    <cellStyle name="Milliers 379 4" xfId="3475" xr:uid="{00000000-0005-0000-0000-00003D080000}"/>
    <cellStyle name="Milliers 379 4 2" xfId="4853" xr:uid="{00000000-0005-0000-0000-00003E080000}"/>
    <cellStyle name="Milliers 379 5" xfId="4164" xr:uid="{00000000-0005-0000-0000-00003F080000}"/>
    <cellStyle name="Milliers 38" xfId="1490" xr:uid="{00000000-0005-0000-0000-000040080000}"/>
    <cellStyle name="Milliers 38 2" xfId="2187" xr:uid="{00000000-0005-0000-0000-000041080000}"/>
    <cellStyle name="Milliers 38 2 2" xfId="2818" xr:uid="{00000000-0005-0000-0000-000042080000}"/>
    <cellStyle name="Milliers 380" xfId="2375" xr:uid="{00000000-0005-0000-0000-000043080000}"/>
    <cellStyle name="Milliers 380 2" xfId="2987" xr:uid="{00000000-0005-0000-0000-000044080000}"/>
    <cellStyle name="Milliers 381" xfId="2383" xr:uid="{00000000-0005-0000-0000-000045080000}"/>
    <cellStyle name="Milliers 381 2" xfId="3225" xr:uid="{00000000-0005-0000-0000-000046080000}"/>
    <cellStyle name="Milliers 381 2 2" xfId="3924" xr:uid="{00000000-0005-0000-0000-000047080000}"/>
    <cellStyle name="Milliers 381 2 2 2" xfId="5302" xr:uid="{00000000-0005-0000-0000-000048080000}"/>
    <cellStyle name="Milliers 381 2 3" xfId="4613" xr:uid="{00000000-0005-0000-0000-000049080000}"/>
    <cellStyle name="Milliers 381 3" xfId="2994" xr:uid="{00000000-0005-0000-0000-00004A080000}"/>
    <cellStyle name="Milliers 381 3 2" xfId="3698" xr:uid="{00000000-0005-0000-0000-00004B080000}"/>
    <cellStyle name="Milliers 381 3 2 2" xfId="5076" xr:uid="{00000000-0005-0000-0000-00004C080000}"/>
    <cellStyle name="Milliers 381 3 3" xfId="4387" xr:uid="{00000000-0005-0000-0000-00004D080000}"/>
    <cellStyle name="Milliers 381 4" xfId="3483" xr:uid="{00000000-0005-0000-0000-00004E080000}"/>
    <cellStyle name="Milliers 381 4 2" xfId="4861" xr:uid="{00000000-0005-0000-0000-00004F080000}"/>
    <cellStyle name="Milliers 381 5" xfId="4172" xr:uid="{00000000-0005-0000-0000-000050080000}"/>
    <cellStyle name="Milliers 382" xfId="2384" xr:uid="{00000000-0005-0000-0000-000051080000}"/>
    <cellStyle name="Milliers 382 2" xfId="3226" xr:uid="{00000000-0005-0000-0000-000052080000}"/>
    <cellStyle name="Milliers 382 2 2" xfId="3925" xr:uid="{00000000-0005-0000-0000-000053080000}"/>
    <cellStyle name="Milliers 382 2 2 2" xfId="5303" xr:uid="{00000000-0005-0000-0000-000054080000}"/>
    <cellStyle name="Milliers 382 2 3" xfId="4614" xr:uid="{00000000-0005-0000-0000-000055080000}"/>
    <cellStyle name="Milliers 382 3" xfId="2995" xr:uid="{00000000-0005-0000-0000-000056080000}"/>
    <cellStyle name="Milliers 382 3 2" xfId="3699" xr:uid="{00000000-0005-0000-0000-000057080000}"/>
    <cellStyle name="Milliers 382 3 2 2" xfId="5077" xr:uid="{00000000-0005-0000-0000-000058080000}"/>
    <cellStyle name="Milliers 382 3 3" xfId="4388" xr:uid="{00000000-0005-0000-0000-000059080000}"/>
    <cellStyle name="Milliers 382 4" xfId="3484" xr:uid="{00000000-0005-0000-0000-00005A080000}"/>
    <cellStyle name="Milliers 382 4 2" xfId="4862" xr:uid="{00000000-0005-0000-0000-00005B080000}"/>
    <cellStyle name="Milliers 382 5" xfId="4173" xr:uid="{00000000-0005-0000-0000-00005C080000}"/>
    <cellStyle name="Milliers 383" xfId="2401" xr:uid="{00000000-0005-0000-0000-00005D080000}"/>
    <cellStyle name="Milliers 383 2" xfId="3012" xr:uid="{00000000-0005-0000-0000-00005E080000}"/>
    <cellStyle name="Milliers 384" xfId="2499" xr:uid="{00000000-0005-0000-0000-00005F080000}"/>
    <cellStyle name="Milliers 385" xfId="3257" xr:uid="{00000000-0005-0000-0000-000060080000}"/>
    <cellStyle name="Milliers 386" xfId="3262" xr:uid="{00000000-0005-0000-0000-000061080000}"/>
    <cellStyle name="Milliers 387" xfId="3267" xr:uid="{00000000-0005-0000-0000-000062080000}"/>
    <cellStyle name="Milliers 388" xfId="3271" xr:uid="{00000000-0005-0000-0000-000063080000}"/>
    <cellStyle name="Milliers 389" xfId="3270" xr:uid="{00000000-0005-0000-0000-000064080000}"/>
    <cellStyle name="Milliers 39" xfId="1491" xr:uid="{00000000-0005-0000-0000-000065080000}"/>
    <cellStyle name="Milliers 39 2" xfId="2188" xr:uid="{00000000-0005-0000-0000-000066080000}"/>
    <cellStyle name="Milliers 39 2 2" xfId="2819" xr:uid="{00000000-0005-0000-0000-000067080000}"/>
    <cellStyle name="Milliers 390" xfId="3276" xr:uid="{00000000-0005-0000-0000-000068080000}"/>
    <cellStyle name="Milliers 391" xfId="3280" xr:uid="{00000000-0005-0000-0000-000069080000}"/>
    <cellStyle name="Milliers 392" xfId="3967" xr:uid="{00000000-0005-0000-0000-00006A080000}"/>
    <cellStyle name="Milliers 393" xfId="5399" xr:uid="{00000000-0005-0000-0000-00004D150000}"/>
    <cellStyle name="Milliers 394" xfId="5393" xr:uid="{00000000-0005-0000-0000-000073150000}"/>
    <cellStyle name="Milliers 395" xfId="5485" xr:uid="{00000000-0005-0000-0000-000074150000}"/>
    <cellStyle name="Milliers 396" xfId="5494" xr:uid="{00000000-0005-0000-0000-000075150000}"/>
    <cellStyle name="Milliers 397" xfId="5492" xr:uid="{00000000-0005-0000-0000-000076150000}"/>
    <cellStyle name="Milliers 398" xfId="5491" xr:uid="{00000000-0005-0000-0000-000077150000}"/>
    <cellStyle name="Milliers 399" xfId="5484" xr:uid="{00000000-0005-0000-0000-000078150000}"/>
    <cellStyle name="Milliers 4" xfId="972" xr:uid="{00000000-0005-0000-0000-00006B080000}"/>
    <cellStyle name="Milliers 40" xfId="1492" xr:uid="{00000000-0005-0000-0000-00006C080000}"/>
    <cellStyle name="Milliers 40 2" xfId="2189" xr:uid="{00000000-0005-0000-0000-00006D080000}"/>
    <cellStyle name="Milliers 40 2 2" xfId="2820" xr:uid="{00000000-0005-0000-0000-00006E080000}"/>
    <cellStyle name="Milliers 400" xfId="5394" xr:uid="{00000000-0005-0000-0000-000079150000}"/>
    <cellStyle name="Milliers 401" xfId="5493" xr:uid="{00000000-0005-0000-0000-00007A150000}"/>
    <cellStyle name="Milliers 402" xfId="5490" xr:uid="{00000000-0005-0000-0000-00007B150000}"/>
    <cellStyle name="Milliers 403" xfId="5487" xr:uid="{00000000-0005-0000-0000-00007C150000}"/>
    <cellStyle name="Milliers 404" xfId="5482" xr:uid="{00000000-0005-0000-0000-00007D150000}"/>
    <cellStyle name="Milliers 405" xfId="5488" xr:uid="{00000000-0005-0000-0000-00007E150000}"/>
    <cellStyle name="Milliers 406" xfId="5496" xr:uid="{00000000-0005-0000-0000-00007F150000}"/>
    <cellStyle name="Milliers 407" xfId="5486" xr:uid="{00000000-0005-0000-0000-000080150000}"/>
    <cellStyle name="Milliers 408" xfId="5395" xr:uid="{00000000-0005-0000-0000-000081150000}"/>
    <cellStyle name="Milliers 409" xfId="5483" xr:uid="{00000000-0005-0000-0000-000082150000}"/>
    <cellStyle name="Milliers 41" xfId="1493" xr:uid="{00000000-0005-0000-0000-00006F080000}"/>
    <cellStyle name="Milliers 41 2" xfId="2190" xr:uid="{00000000-0005-0000-0000-000070080000}"/>
    <cellStyle name="Milliers 41 2 2" xfId="2821" xr:uid="{00000000-0005-0000-0000-000071080000}"/>
    <cellStyle name="Milliers 410" xfId="5495" xr:uid="{00000000-0005-0000-0000-000083150000}"/>
    <cellStyle name="Milliers 411" xfId="5405" xr:uid="{00000000-0005-0000-0000-000084150000}"/>
    <cellStyle name="Milliers 412" xfId="5489" xr:uid="{00000000-0005-0000-0000-000085150000}"/>
    <cellStyle name="Milliers 413" xfId="5501" xr:uid="{2CDC212F-5CD1-4757-A6F0-FFEE26744D7B}"/>
    <cellStyle name="Milliers 414" xfId="5520" xr:uid="{00000000-0005-0000-0000-00009C150000}"/>
    <cellStyle name="Milliers 415" xfId="5521" xr:uid="{00000000-0005-0000-0000-0000A4150000}"/>
    <cellStyle name="Milliers 416" xfId="5529" xr:uid="{00000000-0005-0000-0000-0000A5150000}"/>
    <cellStyle name="Milliers 417" xfId="5532" xr:uid="{FBCBD5F0-52F7-4152-A291-34D7E8EFE59B}"/>
    <cellStyle name="Milliers 418" xfId="5535" xr:uid="{6DE84F4F-E0C5-407C-B973-30F22D0E37B6}"/>
    <cellStyle name="Milliers 418 2" xfId="5545" xr:uid="{103AA202-4267-4909-9599-CCF9EFB72BD8}"/>
    <cellStyle name="Milliers 419" xfId="5538" xr:uid="{AE69D398-EFE0-4B46-B254-9258263D2703}"/>
    <cellStyle name="Milliers 419 2" xfId="5542" xr:uid="{85C7ED09-F07E-466A-9E13-68A9FBBB383F}"/>
    <cellStyle name="Milliers 42" xfId="1494" xr:uid="{00000000-0005-0000-0000-000072080000}"/>
    <cellStyle name="Milliers 42 2" xfId="2191" xr:uid="{00000000-0005-0000-0000-000073080000}"/>
    <cellStyle name="Milliers 42 2 2" xfId="2822" xr:uid="{00000000-0005-0000-0000-000074080000}"/>
    <cellStyle name="Milliers 420" xfId="5540" xr:uid="{0C21CA6B-FCA8-4638-953E-C9D0DB54C528}"/>
    <cellStyle name="Milliers 43" xfId="1495" xr:uid="{00000000-0005-0000-0000-000075080000}"/>
    <cellStyle name="Milliers 43 2" xfId="2192" xr:uid="{00000000-0005-0000-0000-000076080000}"/>
    <cellStyle name="Milliers 43 2 2" xfId="2823" xr:uid="{00000000-0005-0000-0000-000077080000}"/>
    <cellStyle name="Milliers 44" xfId="1496" xr:uid="{00000000-0005-0000-0000-000078080000}"/>
    <cellStyle name="Milliers 44 2" xfId="2193" xr:uid="{00000000-0005-0000-0000-000079080000}"/>
    <cellStyle name="Milliers 44 2 2" xfId="2824" xr:uid="{00000000-0005-0000-0000-00007A080000}"/>
    <cellStyle name="Milliers 45" xfId="1519" xr:uid="{00000000-0005-0000-0000-00007B080000}"/>
    <cellStyle name="Milliers 45 2" xfId="2194" xr:uid="{00000000-0005-0000-0000-00007C080000}"/>
    <cellStyle name="Milliers 45 2 2" xfId="2825" xr:uid="{00000000-0005-0000-0000-00007D080000}"/>
    <cellStyle name="Milliers 46" xfId="1520" xr:uid="{00000000-0005-0000-0000-00007E080000}"/>
    <cellStyle name="Milliers 46 2" xfId="2195" xr:uid="{00000000-0005-0000-0000-00007F080000}"/>
    <cellStyle name="Milliers 46 2 2" xfId="2826" xr:uid="{00000000-0005-0000-0000-000080080000}"/>
    <cellStyle name="Milliers 47" xfId="1521" xr:uid="{00000000-0005-0000-0000-000081080000}"/>
    <cellStyle name="Milliers 47 2" xfId="2196" xr:uid="{00000000-0005-0000-0000-000082080000}"/>
    <cellStyle name="Milliers 47 2 2" xfId="2827" xr:uid="{00000000-0005-0000-0000-000083080000}"/>
    <cellStyle name="Milliers 48" xfId="1522" xr:uid="{00000000-0005-0000-0000-000084080000}"/>
    <cellStyle name="Milliers 48 2" xfId="2197" xr:uid="{00000000-0005-0000-0000-000085080000}"/>
    <cellStyle name="Milliers 48 2 2" xfId="2828" xr:uid="{00000000-0005-0000-0000-000086080000}"/>
    <cellStyle name="Milliers 49" xfId="1523" xr:uid="{00000000-0005-0000-0000-000087080000}"/>
    <cellStyle name="Milliers 49 2" xfId="2198" xr:uid="{00000000-0005-0000-0000-000088080000}"/>
    <cellStyle name="Milliers 49 2 2" xfId="2829" xr:uid="{00000000-0005-0000-0000-000089080000}"/>
    <cellStyle name="Milliers 5" xfId="973" xr:uid="{00000000-0005-0000-0000-00008A080000}"/>
    <cellStyle name="Milliers 50" xfId="1524" xr:uid="{00000000-0005-0000-0000-00008B080000}"/>
    <cellStyle name="Milliers 50 2" xfId="2199" xr:uid="{00000000-0005-0000-0000-00008C080000}"/>
    <cellStyle name="Milliers 50 2 2" xfId="2830" xr:uid="{00000000-0005-0000-0000-00008D080000}"/>
    <cellStyle name="Milliers 51" xfId="1525" xr:uid="{00000000-0005-0000-0000-00008E080000}"/>
    <cellStyle name="Milliers 51 2" xfId="2200" xr:uid="{00000000-0005-0000-0000-00008F080000}"/>
    <cellStyle name="Milliers 51 2 2" xfId="2831" xr:uid="{00000000-0005-0000-0000-000090080000}"/>
    <cellStyle name="Milliers 52" xfId="1526" xr:uid="{00000000-0005-0000-0000-000091080000}"/>
    <cellStyle name="Milliers 52 2" xfId="2201" xr:uid="{00000000-0005-0000-0000-000092080000}"/>
    <cellStyle name="Milliers 52 2 2" xfId="2832" xr:uid="{00000000-0005-0000-0000-000093080000}"/>
    <cellStyle name="Milliers 53" xfId="1527" xr:uid="{00000000-0005-0000-0000-000094080000}"/>
    <cellStyle name="Milliers 53 2" xfId="2202" xr:uid="{00000000-0005-0000-0000-000095080000}"/>
    <cellStyle name="Milliers 53 2 2" xfId="2833" xr:uid="{00000000-0005-0000-0000-000096080000}"/>
    <cellStyle name="Milliers 54" xfId="1528" xr:uid="{00000000-0005-0000-0000-000097080000}"/>
    <cellStyle name="Milliers 54 2" xfId="2203" xr:uid="{00000000-0005-0000-0000-000098080000}"/>
    <cellStyle name="Milliers 54 2 2" xfId="2834" xr:uid="{00000000-0005-0000-0000-000099080000}"/>
    <cellStyle name="Milliers 55" xfId="1529" xr:uid="{00000000-0005-0000-0000-00009A080000}"/>
    <cellStyle name="Milliers 55 2" xfId="2204" xr:uid="{00000000-0005-0000-0000-00009B080000}"/>
    <cellStyle name="Milliers 55 2 2" xfId="2835" xr:uid="{00000000-0005-0000-0000-00009C080000}"/>
    <cellStyle name="Milliers 56" xfId="1530" xr:uid="{00000000-0005-0000-0000-00009D080000}"/>
    <cellStyle name="Milliers 56 2" xfId="2205" xr:uid="{00000000-0005-0000-0000-00009E080000}"/>
    <cellStyle name="Milliers 56 2 2" xfId="2836" xr:uid="{00000000-0005-0000-0000-00009F080000}"/>
    <cellStyle name="Milliers 57" xfId="1531" xr:uid="{00000000-0005-0000-0000-0000A0080000}"/>
    <cellStyle name="Milliers 57 2" xfId="2206" xr:uid="{00000000-0005-0000-0000-0000A1080000}"/>
    <cellStyle name="Milliers 57 2 2" xfId="2837" xr:uid="{00000000-0005-0000-0000-0000A2080000}"/>
    <cellStyle name="Milliers 58" xfId="1532" xr:uid="{00000000-0005-0000-0000-0000A3080000}"/>
    <cellStyle name="Milliers 58 2" xfId="2207" xr:uid="{00000000-0005-0000-0000-0000A4080000}"/>
    <cellStyle name="Milliers 58 2 2" xfId="2838" xr:uid="{00000000-0005-0000-0000-0000A5080000}"/>
    <cellStyle name="Milliers 59" xfId="1533" xr:uid="{00000000-0005-0000-0000-0000A6080000}"/>
    <cellStyle name="Milliers 59 2" xfId="2208" xr:uid="{00000000-0005-0000-0000-0000A7080000}"/>
    <cellStyle name="Milliers 59 2 2" xfId="2839" xr:uid="{00000000-0005-0000-0000-0000A8080000}"/>
    <cellStyle name="Milliers 6" xfId="974" xr:uid="{00000000-0005-0000-0000-0000A9080000}"/>
    <cellStyle name="Milliers 60" xfId="1534" xr:uid="{00000000-0005-0000-0000-0000AA080000}"/>
    <cellStyle name="Milliers 60 2" xfId="2209" xr:uid="{00000000-0005-0000-0000-0000AB080000}"/>
    <cellStyle name="Milliers 60 2 2" xfId="2840" xr:uid="{00000000-0005-0000-0000-0000AC080000}"/>
    <cellStyle name="Milliers 61" xfId="1535" xr:uid="{00000000-0005-0000-0000-0000AD080000}"/>
    <cellStyle name="Milliers 61 2" xfId="2210" xr:uid="{00000000-0005-0000-0000-0000AE080000}"/>
    <cellStyle name="Milliers 61 2 2" xfId="2841" xr:uid="{00000000-0005-0000-0000-0000AF080000}"/>
    <cellStyle name="Milliers 62" xfId="1536" xr:uid="{00000000-0005-0000-0000-0000B0080000}"/>
    <cellStyle name="Milliers 62 2" xfId="2211" xr:uid="{00000000-0005-0000-0000-0000B1080000}"/>
    <cellStyle name="Milliers 62 2 2" xfId="2842" xr:uid="{00000000-0005-0000-0000-0000B2080000}"/>
    <cellStyle name="Milliers 63" xfId="1537" xr:uid="{00000000-0005-0000-0000-0000B3080000}"/>
    <cellStyle name="Milliers 63 2" xfId="2212" xr:uid="{00000000-0005-0000-0000-0000B4080000}"/>
    <cellStyle name="Milliers 63 2 2" xfId="2843" xr:uid="{00000000-0005-0000-0000-0000B5080000}"/>
    <cellStyle name="Milliers 64" xfId="1538" xr:uid="{00000000-0005-0000-0000-0000B6080000}"/>
    <cellStyle name="Milliers 64 2" xfId="2213" xr:uid="{00000000-0005-0000-0000-0000B7080000}"/>
    <cellStyle name="Milliers 64 2 2" xfId="2844" xr:uid="{00000000-0005-0000-0000-0000B8080000}"/>
    <cellStyle name="Milliers 65" xfId="1539" xr:uid="{00000000-0005-0000-0000-0000B9080000}"/>
    <cellStyle name="Milliers 65 2" xfId="2214" xr:uid="{00000000-0005-0000-0000-0000BA080000}"/>
    <cellStyle name="Milliers 65 2 2" xfId="2845" xr:uid="{00000000-0005-0000-0000-0000BB080000}"/>
    <cellStyle name="Milliers 66" xfId="1540" xr:uid="{00000000-0005-0000-0000-0000BC080000}"/>
    <cellStyle name="Milliers 66 2" xfId="2215" xr:uid="{00000000-0005-0000-0000-0000BD080000}"/>
    <cellStyle name="Milliers 66 2 2" xfId="2846" xr:uid="{00000000-0005-0000-0000-0000BE080000}"/>
    <cellStyle name="Milliers 67" xfId="1541" xr:uid="{00000000-0005-0000-0000-0000BF080000}"/>
    <cellStyle name="Milliers 67 2" xfId="2216" xr:uid="{00000000-0005-0000-0000-0000C0080000}"/>
    <cellStyle name="Milliers 67 2 2" xfId="2847" xr:uid="{00000000-0005-0000-0000-0000C1080000}"/>
    <cellStyle name="Milliers 68" xfId="1542" xr:uid="{00000000-0005-0000-0000-0000C2080000}"/>
    <cellStyle name="Milliers 68 2" xfId="2217" xr:uid="{00000000-0005-0000-0000-0000C3080000}"/>
    <cellStyle name="Milliers 68 2 2" xfId="2848" xr:uid="{00000000-0005-0000-0000-0000C4080000}"/>
    <cellStyle name="Milliers 69" xfId="1543" xr:uid="{00000000-0005-0000-0000-0000C5080000}"/>
    <cellStyle name="Milliers 69 2" xfId="2218" xr:uid="{00000000-0005-0000-0000-0000C6080000}"/>
    <cellStyle name="Milliers 69 2 2" xfId="2849" xr:uid="{00000000-0005-0000-0000-0000C7080000}"/>
    <cellStyle name="Milliers 7" xfId="975" xr:uid="{00000000-0005-0000-0000-0000C8080000}"/>
    <cellStyle name="Milliers 7 2" xfId="2219" xr:uid="{00000000-0005-0000-0000-0000C9080000}"/>
    <cellStyle name="Milliers 7 2 2" xfId="2850" xr:uid="{00000000-0005-0000-0000-0000CA080000}"/>
    <cellStyle name="Milliers 70" xfId="1544" xr:uid="{00000000-0005-0000-0000-0000CB080000}"/>
    <cellStyle name="Milliers 70 2" xfId="2220" xr:uid="{00000000-0005-0000-0000-0000CC080000}"/>
    <cellStyle name="Milliers 70 2 2" xfId="2851" xr:uid="{00000000-0005-0000-0000-0000CD080000}"/>
    <cellStyle name="Milliers 71" xfId="1545" xr:uid="{00000000-0005-0000-0000-0000CE080000}"/>
    <cellStyle name="Milliers 71 2" xfId="2221" xr:uid="{00000000-0005-0000-0000-0000CF080000}"/>
    <cellStyle name="Milliers 71 2 2" xfId="2852" xr:uid="{00000000-0005-0000-0000-0000D0080000}"/>
    <cellStyle name="Milliers 72" xfId="1546" xr:uid="{00000000-0005-0000-0000-0000D1080000}"/>
    <cellStyle name="Milliers 72 2" xfId="2222" xr:uid="{00000000-0005-0000-0000-0000D2080000}"/>
    <cellStyle name="Milliers 72 2 2" xfId="2853" xr:uid="{00000000-0005-0000-0000-0000D3080000}"/>
    <cellStyle name="Milliers 73" xfId="1547" xr:uid="{00000000-0005-0000-0000-0000D4080000}"/>
    <cellStyle name="Milliers 73 2" xfId="2223" xr:uid="{00000000-0005-0000-0000-0000D5080000}"/>
    <cellStyle name="Milliers 73 2 2" xfId="2854" xr:uid="{00000000-0005-0000-0000-0000D6080000}"/>
    <cellStyle name="Milliers 74" xfId="1548" xr:uid="{00000000-0005-0000-0000-0000D7080000}"/>
    <cellStyle name="Milliers 74 2" xfId="2224" xr:uid="{00000000-0005-0000-0000-0000D8080000}"/>
    <cellStyle name="Milliers 74 2 2" xfId="2855" xr:uid="{00000000-0005-0000-0000-0000D9080000}"/>
    <cellStyle name="Milliers 75" xfId="1549" xr:uid="{00000000-0005-0000-0000-0000DA080000}"/>
    <cellStyle name="Milliers 75 2" xfId="2225" xr:uid="{00000000-0005-0000-0000-0000DB080000}"/>
    <cellStyle name="Milliers 75 2 2" xfId="2856" xr:uid="{00000000-0005-0000-0000-0000DC080000}"/>
    <cellStyle name="Milliers 76" xfId="1550" xr:uid="{00000000-0005-0000-0000-0000DD080000}"/>
    <cellStyle name="Milliers 76 2" xfId="2226" xr:uid="{00000000-0005-0000-0000-0000DE080000}"/>
    <cellStyle name="Milliers 76 2 2" xfId="2857" xr:uid="{00000000-0005-0000-0000-0000DF080000}"/>
    <cellStyle name="Milliers 77" xfId="1551" xr:uid="{00000000-0005-0000-0000-0000E0080000}"/>
    <cellStyle name="Milliers 77 2" xfId="2227" xr:uid="{00000000-0005-0000-0000-0000E1080000}"/>
    <cellStyle name="Milliers 77 2 2" xfId="2858" xr:uid="{00000000-0005-0000-0000-0000E2080000}"/>
    <cellStyle name="Milliers 78" xfId="1552" xr:uid="{00000000-0005-0000-0000-0000E3080000}"/>
    <cellStyle name="Milliers 78 2" xfId="2228" xr:uid="{00000000-0005-0000-0000-0000E4080000}"/>
    <cellStyle name="Milliers 78 2 2" xfId="2859" xr:uid="{00000000-0005-0000-0000-0000E5080000}"/>
    <cellStyle name="Milliers 79" xfId="1553" xr:uid="{00000000-0005-0000-0000-0000E6080000}"/>
    <cellStyle name="Milliers 79 2" xfId="2229" xr:uid="{00000000-0005-0000-0000-0000E7080000}"/>
    <cellStyle name="Milliers 79 2 2" xfId="2860" xr:uid="{00000000-0005-0000-0000-0000E8080000}"/>
    <cellStyle name="Milliers 8" xfId="1353" xr:uid="{00000000-0005-0000-0000-0000E9080000}"/>
    <cellStyle name="Milliers 8 2" xfId="1414" xr:uid="{00000000-0005-0000-0000-0000EA080000}"/>
    <cellStyle name="Milliers 8 2 2" xfId="2231" xr:uid="{00000000-0005-0000-0000-0000EB080000}"/>
    <cellStyle name="Milliers 8 2 2 2" xfId="2862" xr:uid="{00000000-0005-0000-0000-0000EC080000}"/>
    <cellStyle name="Milliers 8 2 3" xfId="2426" xr:uid="{00000000-0005-0000-0000-0000ED080000}"/>
    <cellStyle name="Milliers 8 3" xfId="2230" xr:uid="{00000000-0005-0000-0000-0000EE080000}"/>
    <cellStyle name="Milliers 8 3 2" xfId="2861" xr:uid="{00000000-0005-0000-0000-0000EF080000}"/>
    <cellStyle name="Milliers 8 4" xfId="2420" xr:uid="{00000000-0005-0000-0000-0000F0080000}"/>
    <cellStyle name="Milliers 80" xfId="1554" xr:uid="{00000000-0005-0000-0000-0000F1080000}"/>
    <cellStyle name="Milliers 80 2" xfId="2232" xr:uid="{00000000-0005-0000-0000-0000F2080000}"/>
    <cellStyle name="Milliers 80 2 2" xfId="2863" xr:uid="{00000000-0005-0000-0000-0000F3080000}"/>
    <cellStyle name="Milliers 81" xfId="1555" xr:uid="{00000000-0005-0000-0000-0000F4080000}"/>
    <cellStyle name="Milliers 81 2" xfId="2233" xr:uid="{00000000-0005-0000-0000-0000F5080000}"/>
    <cellStyle name="Milliers 81 2 2" xfId="2864" xr:uid="{00000000-0005-0000-0000-0000F6080000}"/>
    <cellStyle name="Milliers 82" xfId="1556" xr:uid="{00000000-0005-0000-0000-0000F7080000}"/>
    <cellStyle name="Milliers 82 2" xfId="2234" xr:uid="{00000000-0005-0000-0000-0000F8080000}"/>
    <cellStyle name="Milliers 82 2 2" xfId="2865" xr:uid="{00000000-0005-0000-0000-0000F9080000}"/>
    <cellStyle name="Milliers 83" xfId="1557" xr:uid="{00000000-0005-0000-0000-0000FA080000}"/>
    <cellStyle name="Milliers 83 2" xfId="2235" xr:uid="{00000000-0005-0000-0000-0000FB080000}"/>
    <cellStyle name="Milliers 83 2 2" xfId="2866" xr:uid="{00000000-0005-0000-0000-0000FC080000}"/>
    <cellStyle name="Milliers 84" xfId="1558" xr:uid="{00000000-0005-0000-0000-0000FD080000}"/>
    <cellStyle name="Milliers 84 2" xfId="2236" xr:uid="{00000000-0005-0000-0000-0000FE080000}"/>
    <cellStyle name="Milliers 84 2 2" xfId="2867" xr:uid="{00000000-0005-0000-0000-0000FF080000}"/>
    <cellStyle name="Milliers 85" xfId="1559" xr:uid="{00000000-0005-0000-0000-000000090000}"/>
    <cellStyle name="Milliers 85 2" xfId="2237" xr:uid="{00000000-0005-0000-0000-000001090000}"/>
    <cellStyle name="Milliers 85 2 2" xfId="2868" xr:uid="{00000000-0005-0000-0000-000002090000}"/>
    <cellStyle name="Milliers 86" xfId="1560" xr:uid="{00000000-0005-0000-0000-000003090000}"/>
    <cellStyle name="Milliers 86 2" xfId="2238" xr:uid="{00000000-0005-0000-0000-000004090000}"/>
    <cellStyle name="Milliers 86 2 2" xfId="2869" xr:uid="{00000000-0005-0000-0000-000005090000}"/>
    <cellStyle name="Milliers 87" xfId="1561" xr:uid="{00000000-0005-0000-0000-000006090000}"/>
    <cellStyle name="Milliers 87 2" xfId="2239" xr:uid="{00000000-0005-0000-0000-000007090000}"/>
    <cellStyle name="Milliers 87 2 2" xfId="2870" xr:uid="{00000000-0005-0000-0000-000008090000}"/>
    <cellStyle name="Milliers 88" xfId="1562" xr:uid="{00000000-0005-0000-0000-000009090000}"/>
    <cellStyle name="Milliers 88 2" xfId="2240" xr:uid="{00000000-0005-0000-0000-00000A090000}"/>
    <cellStyle name="Milliers 88 2 2" xfId="2871" xr:uid="{00000000-0005-0000-0000-00000B090000}"/>
    <cellStyle name="Milliers 89" xfId="1563" xr:uid="{00000000-0005-0000-0000-00000C090000}"/>
    <cellStyle name="Milliers 89 2" xfId="2241" xr:uid="{00000000-0005-0000-0000-00000D090000}"/>
    <cellStyle name="Milliers 89 2 2" xfId="2872" xr:uid="{00000000-0005-0000-0000-00000E090000}"/>
    <cellStyle name="Milliers 9" xfId="1412" xr:uid="{00000000-0005-0000-0000-00000F090000}"/>
    <cellStyle name="Milliers 9 2" xfId="2242" xr:uid="{00000000-0005-0000-0000-000010090000}"/>
    <cellStyle name="Milliers 9 2 2" xfId="2873" xr:uid="{00000000-0005-0000-0000-000011090000}"/>
    <cellStyle name="Milliers 9 3" xfId="2424" xr:uid="{00000000-0005-0000-0000-000012090000}"/>
    <cellStyle name="Milliers 90" xfId="1564" xr:uid="{00000000-0005-0000-0000-000013090000}"/>
    <cellStyle name="Milliers 90 2" xfId="2243" xr:uid="{00000000-0005-0000-0000-000014090000}"/>
    <cellStyle name="Milliers 90 2 2" xfId="2874" xr:uid="{00000000-0005-0000-0000-000015090000}"/>
    <cellStyle name="Milliers 91" xfId="1565" xr:uid="{00000000-0005-0000-0000-000016090000}"/>
    <cellStyle name="Milliers 91 2" xfId="2244" xr:uid="{00000000-0005-0000-0000-000017090000}"/>
    <cellStyle name="Milliers 91 2 2" xfId="2875" xr:uid="{00000000-0005-0000-0000-000018090000}"/>
    <cellStyle name="Milliers 92" xfId="1566" xr:uid="{00000000-0005-0000-0000-000019090000}"/>
    <cellStyle name="Milliers 92 2" xfId="2245" xr:uid="{00000000-0005-0000-0000-00001A090000}"/>
    <cellStyle name="Milliers 92 2 2" xfId="2876" xr:uid="{00000000-0005-0000-0000-00001B090000}"/>
    <cellStyle name="Milliers 93" xfId="1567" xr:uid="{00000000-0005-0000-0000-00001C090000}"/>
    <cellStyle name="Milliers 93 2" xfId="2246" xr:uid="{00000000-0005-0000-0000-00001D090000}"/>
    <cellStyle name="Milliers 93 2 2" xfId="2877" xr:uid="{00000000-0005-0000-0000-00001E090000}"/>
    <cellStyle name="Milliers 94" xfId="1568" xr:uid="{00000000-0005-0000-0000-00001F090000}"/>
    <cellStyle name="Milliers 94 2" xfId="2247" xr:uid="{00000000-0005-0000-0000-000020090000}"/>
    <cellStyle name="Milliers 94 2 2" xfId="2878" xr:uid="{00000000-0005-0000-0000-000021090000}"/>
    <cellStyle name="Milliers 95" xfId="1569" xr:uid="{00000000-0005-0000-0000-000022090000}"/>
    <cellStyle name="Milliers 95 2" xfId="2248" xr:uid="{00000000-0005-0000-0000-000023090000}"/>
    <cellStyle name="Milliers 95 2 2" xfId="2879" xr:uid="{00000000-0005-0000-0000-000024090000}"/>
    <cellStyle name="Milliers 96" xfId="1570" xr:uid="{00000000-0005-0000-0000-000025090000}"/>
    <cellStyle name="Milliers 96 2" xfId="2249" xr:uid="{00000000-0005-0000-0000-000026090000}"/>
    <cellStyle name="Milliers 96 2 2" xfId="2880" xr:uid="{00000000-0005-0000-0000-000027090000}"/>
    <cellStyle name="Milliers 97" xfId="1571" xr:uid="{00000000-0005-0000-0000-000028090000}"/>
    <cellStyle name="Milliers 97 2" xfId="2250" xr:uid="{00000000-0005-0000-0000-000029090000}"/>
    <cellStyle name="Milliers 97 2 2" xfId="2881" xr:uid="{00000000-0005-0000-0000-00002A090000}"/>
    <cellStyle name="Milliers 98" xfId="1572" xr:uid="{00000000-0005-0000-0000-00002B090000}"/>
    <cellStyle name="Milliers 98 2" xfId="2251" xr:uid="{00000000-0005-0000-0000-00002C090000}"/>
    <cellStyle name="Milliers 98 2 2" xfId="2882" xr:uid="{00000000-0005-0000-0000-00002D090000}"/>
    <cellStyle name="Milliers 99" xfId="1573" xr:uid="{00000000-0005-0000-0000-00002E090000}"/>
    <cellStyle name="Milliers 99 2" xfId="2252" xr:uid="{00000000-0005-0000-0000-00002F090000}"/>
    <cellStyle name="Milliers 99 2 2" xfId="2883" xr:uid="{00000000-0005-0000-0000-000030090000}"/>
    <cellStyle name="Monétaire 2" xfId="976" xr:uid="{00000000-0005-0000-0000-000031090000}"/>
    <cellStyle name="Monétaire 2 2" xfId="2253" xr:uid="{00000000-0005-0000-0000-000032090000}"/>
    <cellStyle name="Monétaire 2 2 2" xfId="2884" xr:uid="{00000000-0005-0000-0000-000033090000}"/>
    <cellStyle name="Monétaire 2 3" xfId="2418" xr:uid="{00000000-0005-0000-0000-000034090000}"/>
    <cellStyle name="Monétaire 3" xfId="3970" xr:uid="{00000000-0005-0000-0000-000035090000}"/>
    <cellStyle name="Neutre 10 2" xfId="977" xr:uid="{00000000-0005-0000-0000-000036090000}"/>
    <cellStyle name="Neutre 10 3" xfId="978" xr:uid="{00000000-0005-0000-0000-000037090000}"/>
    <cellStyle name="Neutre 11 2" xfId="979" xr:uid="{00000000-0005-0000-0000-000038090000}"/>
    <cellStyle name="Neutre 11 3" xfId="980" xr:uid="{00000000-0005-0000-0000-000039090000}"/>
    <cellStyle name="Neutre 12 2" xfId="981" xr:uid="{00000000-0005-0000-0000-00003A090000}"/>
    <cellStyle name="Neutre 12 3" xfId="982" xr:uid="{00000000-0005-0000-0000-00003B090000}"/>
    <cellStyle name="Neutre 13 2" xfId="983" xr:uid="{00000000-0005-0000-0000-00003C090000}"/>
    <cellStyle name="Neutre 13 3" xfId="984" xr:uid="{00000000-0005-0000-0000-00003D090000}"/>
    <cellStyle name="Neutre 14 2" xfId="985" xr:uid="{00000000-0005-0000-0000-00003E090000}"/>
    <cellStyle name="Neutre 14 3" xfId="986" xr:uid="{00000000-0005-0000-0000-00003F090000}"/>
    <cellStyle name="Neutre 15 2" xfId="987" xr:uid="{00000000-0005-0000-0000-000040090000}"/>
    <cellStyle name="Neutre 15 3" xfId="988" xr:uid="{00000000-0005-0000-0000-000041090000}"/>
    <cellStyle name="Neutre 16 2" xfId="989" xr:uid="{00000000-0005-0000-0000-000042090000}"/>
    <cellStyle name="Neutre 16 3" xfId="990" xr:uid="{00000000-0005-0000-0000-000043090000}"/>
    <cellStyle name="Neutre 17 2" xfId="991" xr:uid="{00000000-0005-0000-0000-000044090000}"/>
    <cellStyle name="Neutre 17 3" xfId="992" xr:uid="{00000000-0005-0000-0000-000045090000}"/>
    <cellStyle name="Neutre 2" xfId="5406" xr:uid="{00000000-0005-0000-0000-00004F150000}"/>
    <cellStyle name="Neutre 2 2" xfId="993" xr:uid="{00000000-0005-0000-0000-000046090000}"/>
    <cellStyle name="Neutre 2 3" xfId="994" xr:uid="{00000000-0005-0000-0000-000047090000}"/>
    <cellStyle name="Neutre 3 2" xfId="995" xr:uid="{00000000-0005-0000-0000-000048090000}"/>
    <cellStyle name="Neutre 3 3" xfId="996" xr:uid="{00000000-0005-0000-0000-000049090000}"/>
    <cellStyle name="Neutre 4 2" xfId="997" xr:uid="{00000000-0005-0000-0000-00004A090000}"/>
    <cellStyle name="Neutre 4 3" xfId="998" xr:uid="{00000000-0005-0000-0000-00004B090000}"/>
    <cellStyle name="Neutre 5 2" xfId="999" xr:uid="{00000000-0005-0000-0000-00004C090000}"/>
    <cellStyle name="Neutre 5 3" xfId="1000" xr:uid="{00000000-0005-0000-0000-00004D090000}"/>
    <cellStyle name="Neutre 6 2" xfId="1001" xr:uid="{00000000-0005-0000-0000-00004E090000}"/>
    <cellStyle name="Neutre 6 3" xfId="1002" xr:uid="{00000000-0005-0000-0000-00004F090000}"/>
    <cellStyle name="Neutre 7 2" xfId="1003" xr:uid="{00000000-0005-0000-0000-000050090000}"/>
    <cellStyle name="Neutre 7 3" xfId="1004" xr:uid="{00000000-0005-0000-0000-000051090000}"/>
    <cellStyle name="Neutre 8 2" xfId="1005" xr:uid="{00000000-0005-0000-0000-000052090000}"/>
    <cellStyle name="Neutre 8 3" xfId="1006" xr:uid="{00000000-0005-0000-0000-000053090000}"/>
    <cellStyle name="Neutre 9 2" xfId="1007" xr:uid="{00000000-0005-0000-0000-000054090000}"/>
    <cellStyle name="Neutre 9 3" xfId="1008" xr:uid="{00000000-0005-0000-0000-000055090000}"/>
    <cellStyle name="Normal" xfId="0" builtinId="0"/>
    <cellStyle name="Normal 10" xfId="1009" xr:uid="{00000000-0005-0000-0000-000058090000}"/>
    <cellStyle name="Normal 10 2" xfId="1855" xr:uid="{00000000-0005-0000-0000-000059090000}"/>
    <cellStyle name="Normal 10 2 2" xfId="2254" xr:uid="{00000000-0005-0000-0000-00005A090000}"/>
    <cellStyle name="Normal 10 2 2 2" xfId="3124" xr:uid="{00000000-0005-0000-0000-00005B090000}"/>
    <cellStyle name="Normal 10 2 2 2 2" xfId="3823" xr:uid="{00000000-0005-0000-0000-00005C090000}"/>
    <cellStyle name="Normal 10 2 2 2 2 2" xfId="5201" xr:uid="{00000000-0005-0000-0000-00005D090000}"/>
    <cellStyle name="Normal 10 2 2 2 3" xfId="4512" xr:uid="{00000000-0005-0000-0000-00005E090000}"/>
    <cellStyle name="Normal 10 2 2 3" xfId="2885" xr:uid="{00000000-0005-0000-0000-00005F090000}"/>
    <cellStyle name="Normal 10 2 2 3 2" xfId="3597" xr:uid="{00000000-0005-0000-0000-000060090000}"/>
    <cellStyle name="Normal 10 2 2 3 2 2" xfId="4975" xr:uid="{00000000-0005-0000-0000-000061090000}"/>
    <cellStyle name="Normal 10 2 2 3 3" xfId="4286" xr:uid="{00000000-0005-0000-0000-000062090000}"/>
    <cellStyle name="Normal 10 2 2 4" xfId="3382" xr:uid="{00000000-0005-0000-0000-000063090000}"/>
    <cellStyle name="Normal 10 2 2 4 2" xfId="4760" xr:uid="{00000000-0005-0000-0000-000064090000}"/>
    <cellStyle name="Normal 10 2 2 5" xfId="4071" xr:uid="{00000000-0005-0000-0000-000065090000}"/>
    <cellStyle name="Normal 10 2 3" xfId="3113" xr:uid="{00000000-0005-0000-0000-000066090000}"/>
    <cellStyle name="Normal 10 2 3 2" xfId="3812" xr:uid="{00000000-0005-0000-0000-000067090000}"/>
    <cellStyle name="Normal 10 2 3 2 2" xfId="5190" xr:uid="{00000000-0005-0000-0000-000068090000}"/>
    <cellStyle name="Normal 10 2 3 3" xfId="4501" xr:uid="{00000000-0005-0000-0000-000069090000}"/>
    <cellStyle name="Normal 10 2 4" xfId="2501" xr:uid="{00000000-0005-0000-0000-00006A090000}"/>
    <cellStyle name="Normal 10 2 4 2" xfId="3586" xr:uid="{00000000-0005-0000-0000-00006B090000}"/>
    <cellStyle name="Normal 10 2 4 2 2" xfId="4964" xr:uid="{00000000-0005-0000-0000-00006C090000}"/>
    <cellStyle name="Normal 10 2 4 3" xfId="4275" xr:uid="{00000000-0005-0000-0000-00006D090000}"/>
    <cellStyle name="Normal 10 2 5" xfId="3371" xr:uid="{00000000-0005-0000-0000-00006E090000}"/>
    <cellStyle name="Normal 10 2 5 2" xfId="4749" xr:uid="{00000000-0005-0000-0000-00006F090000}"/>
    <cellStyle name="Normal 10 2 6" xfId="4060" xr:uid="{00000000-0005-0000-0000-000070090000}"/>
    <cellStyle name="Normal 10 2 7" xfId="5475" xr:uid="{00000000-0005-0000-0000-000054000000}"/>
    <cellStyle name="Normal 10 3" xfId="5432" xr:uid="{00000000-0005-0000-0000-000053000000}"/>
    <cellStyle name="Normal 11" xfId="1010" xr:uid="{00000000-0005-0000-0000-000071090000}"/>
    <cellStyle name="Normal 12" xfId="1011" xr:uid="{00000000-0005-0000-0000-000072090000}"/>
    <cellStyle name="Normal 12 3" xfId="1" xr:uid="{00000000-0005-0000-0000-000073090000}"/>
    <cellStyle name="Normal 13" xfId="1012" xr:uid="{00000000-0005-0000-0000-000074090000}"/>
    <cellStyle name="Normal 14" xfId="1013" xr:uid="{00000000-0005-0000-0000-000075090000}"/>
    <cellStyle name="Normal 15" xfId="1357" xr:uid="{00000000-0005-0000-0000-000076090000}"/>
    <cellStyle name="Normal 15 2" xfId="1417" xr:uid="{00000000-0005-0000-0000-000077090000}"/>
    <cellStyle name="Normal 16" xfId="1014" xr:uid="{00000000-0005-0000-0000-000078090000}"/>
    <cellStyle name="Normal 17" xfId="1015" xr:uid="{00000000-0005-0000-0000-000079090000}"/>
    <cellStyle name="Normal 18" xfId="1358" xr:uid="{00000000-0005-0000-0000-00007A090000}"/>
    <cellStyle name="Normal 18 2" xfId="1427" xr:uid="{00000000-0005-0000-0000-00007B090000}"/>
    <cellStyle name="Normal 18 2 2" xfId="1446" xr:uid="{00000000-0005-0000-0000-00007C090000}"/>
    <cellStyle name="Normal 18 2 2 2" xfId="2257" xr:uid="{00000000-0005-0000-0000-00007D090000}"/>
    <cellStyle name="Normal 18 2 2 2 2" xfId="3127" xr:uid="{00000000-0005-0000-0000-00007E090000}"/>
    <cellStyle name="Normal 18 2 2 2 2 2" xfId="3826" xr:uid="{00000000-0005-0000-0000-00007F090000}"/>
    <cellStyle name="Normal 18 2 2 2 2 2 2" xfId="5204" xr:uid="{00000000-0005-0000-0000-000080090000}"/>
    <cellStyle name="Normal 18 2 2 2 2 3" xfId="4515" xr:uid="{00000000-0005-0000-0000-000081090000}"/>
    <cellStyle name="Normal 18 2 2 2 3" xfId="2888" xr:uid="{00000000-0005-0000-0000-000082090000}"/>
    <cellStyle name="Normal 18 2 2 2 3 2" xfId="3600" xr:uid="{00000000-0005-0000-0000-000083090000}"/>
    <cellStyle name="Normal 18 2 2 2 3 2 2" xfId="4978" xr:uid="{00000000-0005-0000-0000-000084090000}"/>
    <cellStyle name="Normal 18 2 2 2 3 3" xfId="4289" xr:uid="{00000000-0005-0000-0000-000085090000}"/>
    <cellStyle name="Normal 18 2 2 2 4" xfId="3385" xr:uid="{00000000-0005-0000-0000-000086090000}"/>
    <cellStyle name="Normal 18 2 2 2 4 2" xfId="4763" xr:uid="{00000000-0005-0000-0000-000087090000}"/>
    <cellStyle name="Normal 18 2 2 2 5" xfId="4074" xr:uid="{00000000-0005-0000-0000-000088090000}"/>
    <cellStyle name="Normal 18 2 2 3" xfId="3062" xr:uid="{00000000-0005-0000-0000-000089090000}"/>
    <cellStyle name="Normal 18 2 2 3 2" xfId="3761" xr:uid="{00000000-0005-0000-0000-00008A090000}"/>
    <cellStyle name="Normal 18 2 2 3 2 2" xfId="5139" xr:uid="{00000000-0005-0000-0000-00008B090000}"/>
    <cellStyle name="Normal 18 2 2 3 3" xfId="4450" xr:uid="{00000000-0005-0000-0000-00008C090000}"/>
    <cellStyle name="Normal 18 2 2 4" xfId="2449" xr:uid="{00000000-0005-0000-0000-00008D090000}"/>
    <cellStyle name="Normal 18 2 2 4 2" xfId="3535" xr:uid="{00000000-0005-0000-0000-00008E090000}"/>
    <cellStyle name="Normal 18 2 2 4 2 2" xfId="4913" xr:uid="{00000000-0005-0000-0000-00008F090000}"/>
    <cellStyle name="Normal 18 2 2 4 3" xfId="4224" xr:uid="{00000000-0005-0000-0000-000090090000}"/>
    <cellStyle name="Normal 18 2 2 5" xfId="3320" xr:uid="{00000000-0005-0000-0000-000091090000}"/>
    <cellStyle name="Normal 18 2 2 5 2" xfId="4698" xr:uid="{00000000-0005-0000-0000-000092090000}"/>
    <cellStyle name="Normal 18 2 2 6" xfId="4009" xr:uid="{00000000-0005-0000-0000-000093090000}"/>
    <cellStyle name="Normal 18 2 3" xfId="1499" xr:uid="{00000000-0005-0000-0000-000094090000}"/>
    <cellStyle name="Normal 18 2 3 2" xfId="2258" xr:uid="{00000000-0005-0000-0000-000095090000}"/>
    <cellStyle name="Normal 18 2 3 2 2" xfId="3128" xr:uid="{00000000-0005-0000-0000-000096090000}"/>
    <cellStyle name="Normal 18 2 3 2 2 2" xfId="3827" xr:uid="{00000000-0005-0000-0000-000097090000}"/>
    <cellStyle name="Normal 18 2 3 2 2 2 2" xfId="5205" xr:uid="{00000000-0005-0000-0000-000098090000}"/>
    <cellStyle name="Normal 18 2 3 2 2 3" xfId="4516" xr:uid="{00000000-0005-0000-0000-000099090000}"/>
    <cellStyle name="Normal 18 2 3 2 3" xfId="2889" xr:uid="{00000000-0005-0000-0000-00009A090000}"/>
    <cellStyle name="Normal 18 2 3 2 3 2" xfId="3601" xr:uid="{00000000-0005-0000-0000-00009B090000}"/>
    <cellStyle name="Normal 18 2 3 2 3 2 2" xfId="4979" xr:uid="{00000000-0005-0000-0000-00009C090000}"/>
    <cellStyle name="Normal 18 2 3 2 3 3" xfId="4290" xr:uid="{00000000-0005-0000-0000-00009D090000}"/>
    <cellStyle name="Normal 18 2 3 2 4" xfId="3386" xr:uid="{00000000-0005-0000-0000-00009E090000}"/>
    <cellStyle name="Normal 18 2 3 2 4 2" xfId="4764" xr:uid="{00000000-0005-0000-0000-00009F090000}"/>
    <cellStyle name="Normal 18 2 3 2 5" xfId="4075" xr:uid="{00000000-0005-0000-0000-0000A0090000}"/>
    <cellStyle name="Normal 18 2 3 3" xfId="3084" xr:uid="{00000000-0005-0000-0000-0000A1090000}"/>
    <cellStyle name="Normal 18 2 3 3 2" xfId="3783" xr:uid="{00000000-0005-0000-0000-0000A2090000}"/>
    <cellStyle name="Normal 18 2 3 3 2 2" xfId="5161" xr:uid="{00000000-0005-0000-0000-0000A3090000}"/>
    <cellStyle name="Normal 18 2 3 3 3" xfId="4472" xr:uid="{00000000-0005-0000-0000-0000A4090000}"/>
    <cellStyle name="Normal 18 2 3 4" xfId="2471" xr:uid="{00000000-0005-0000-0000-0000A5090000}"/>
    <cellStyle name="Normal 18 2 3 4 2" xfId="3557" xr:uid="{00000000-0005-0000-0000-0000A6090000}"/>
    <cellStyle name="Normal 18 2 3 4 2 2" xfId="4935" xr:uid="{00000000-0005-0000-0000-0000A7090000}"/>
    <cellStyle name="Normal 18 2 3 4 3" xfId="4246" xr:uid="{00000000-0005-0000-0000-0000A8090000}"/>
    <cellStyle name="Normal 18 2 3 5" xfId="3342" xr:uid="{00000000-0005-0000-0000-0000A9090000}"/>
    <cellStyle name="Normal 18 2 3 5 2" xfId="4720" xr:uid="{00000000-0005-0000-0000-0000AA090000}"/>
    <cellStyle name="Normal 18 2 3 6" xfId="4031" xr:uid="{00000000-0005-0000-0000-0000AB090000}"/>
    <cellStyle name="Normal 18 2 4" xfId="2256" xr:uid="{00000000-0005-0000-0000-0000AC090000}"/>
    <cellStyle name="Normal 18 2 4 2" xfId="3126" xr:uid="{00000000-0005-0000-0000-0000AD090000}"/>
    <cellStyle name="Normal 18 2 4 2 2" xfId="3825" xr:uid="{00000000-0005-0000-0000-0000AE090000}"/>
    <cellStyle name="Normal 18 2 4 2 2 2" xfId="5203" xr:uid="{00000000-0005-0000-0000-0000AF090000}"/>
    <cellStyle name="Normal 18 2 4 2 3" xfId="4514" xr:uid="{00000000-0005-0000-0000-0000B0090000}"/>
    <cellStyle name="Normal 18 2 4 3" xfId="2887" xr:uid="{00000000-0005-0000-0000-0000B1090000}"/>
    <cellStyle name="Normal 18 2 4 3 2" xfId="3599" xr:uid="{00000000-0005-0000-0000-0000B2090000}"/>
    <cellStyle name="Normal 18 2 4 3 2 2" xfId="4977" xr:uid="{00000000-0005-0000-0000-0000B3090000}"/>
    <cellStyle name="Normal 18 2 4 3 3" xfId="4288" xr:uid="{00000000-0005-0000-0000-0000B4090000}"/>
    <cellStyle name="Normal 18 2 4 4" xfId="3384" xr:uid="{00000000-0005-0000-0000-0000B5090000}"/>
    <cellStyle name="Normal 18 2 4 4 2" xfId="4762" xr:uid="{00000000-0005-0000-0000-0000B6090000}"/>
    <cellStyle name="Normal 18 2 4 5" xfId="4073" xr:uid="{00000000-0005-0000-0000-0000B7090000}"/>
    <cellStyle name="Normal 18 2 5" xfId="3048" xr:uid="{00000000-0005-0000-0000-0000B8090000}"/>
    <cellStyle name="Normal 18 2 5 2" xfId="3747" xr:uid="{00000000-0005-0000-0000-0000B9090000}"/>
    <cellStyle name="Normal 18 2 5 2 2" xfId="5125" xr:uid="{00000000-0005-0000-0000-0000BA090000}"/>
    <cellStyle name="Normal 18 2 5 3" xfId="4436" xr:uid="{00000000-0005-0000-0000-0000BB090000}"/>
    <cellStyle name="Normal 18 2 6" xfId="2435" xr:uid="{00000000-0005-0000-0000-0000BC090000}"/>
    <cellStyle name="Normal 18 2 6 2" xfId="3521" xr:uid="{00000000-0005-0000-0000-0000BD090000}"/>
    <cellStyle name="Normal 18 2 6 2 2" xfId="4899" xr:uid="{00000000-0005-0000-0000-0000BE090000}"/>
    <cellStyle name="Normal 18 2 6 3" xfId="4210" xr:uid="{00000000-0005-0000-0000-0000BF090000}"/>
    <cellStyle name="Normal 18 2 7" xfId="3306" xr:uid="{00000000-0005-0000-0000-0000C0090000}"/>
    <cellStyle name="Normal 18 2 7 2" xfId="4684" xr:uid="{00000000-0005-0000-0000-0000C1090000}"/>
    <cellStyle name="Normal 18 2 8" xfId="3995" xr:uid="{00000000-0005-0000-0000-0000C2090000}"/>
    <cellStyle name="Normal 18 3" xfId="1445" xr:uid="{00000000-0005-0000-0000-0000C3090000}"/>
    <cellStyle name="Normal 18 3 2" xfId="2259" xr:uid="{00000000-0005-0000-0000-0000C4090000}"/>
    <cellStyle name="Normal 18 3 2 2" xfId="3129" xr:uid="{00000000-0005-0000-0000-0000C5090000}"/>
    <cellStyle name="Normal 18 3 2 2 2" xfId="3828" xr:uid="{00000000-0005-0000-0000-0000C6090000}"/>
    <cellStyle name="Normal 18 3 2 2 2 2" xfId="5206" xr:uid="{00000000-0005-0000-0000-0000C7090000}"/>
    <cellStyle name="Normal 18 3 2 2 3" xfId="4517" xr:uid="{00000000-0005-0000-0000-0000C8090000}"/>
    <cellStyle name="Normal 18 3 2 3" xfId="2890" xr:uid="{00000000-0005-0000-0000-0000C9090000}"/>
    <cellStyle name="Normal 18 3 2 3 2" xfId="3602" xr:uid="{00000000-0005-0000-0000-0000CA090000}"/>
    <cellStyle name="Normal 18 3 2 3 2 2" xfId="4980" xr:uid="{00000000-0005-0000-0000-0000CB090000}"/>
    <cellStyle name="Normal 18 3 2 3 3" xfId="4291" xr:uid="{00000000-0005-0000-0000-0000CC090000}"/>
    <cellStyle name="Normal 18 3 2 4" xfId="3387" xr:uid="{00000000-0005-0000-0000-0000CD090000}"/>
    <cellStyle name="Normal 18 3 2 4 2" xfId="4765" xr:uid="{00000000-0005-0000-0000-0000CE090000}"/>
    <cellStyle name="Normal 18 3 2 5" xfId="4076" xr:uid="{00000000-0005-0000-0000-0000CF090000}"/>
    <cellStyle name="Normal 18 3 3" xfId="3061" xr:uid="{00000000-0005-0000-0000-0000D0090000}"/>
    <cellStyle name="Normal 18 3 3 2" xfId="3760" xr:uid="{00000000-0005-0000-0000-0000D1090000}"/>
    <cellStyle name="Normal 18 3 3 2 2" xfId="5138" xr:uid="{00000000-0005-0000-0000-0000D2090000}"/>
    <cellStyle name="Normal 18 3 3 3" xfId="4449" xr:uid="{00000000-0005-0000-0000-0000D3090000}"/>
    <cellStyle name="Normal 18 3 4" xfId="2448" xr:uid="{00000000-0005-0000-0000-0000D4090000}"/>
    <cellStyle name="Normal 18 3 4 2" xfId="3534" xr:uid="{00000000-0005-0000-0000-0000D5090000}"/>
    <cellStyle name="Normal 18 3 4 2 2" xfId="4912" xr:uid="{00000000-0005-0000-0000-0000D6090000}"/>
    <cellStyle name="Normal 18 3 4 3" xfId="4223" xr:uid="{00000000-0005-0000-0000-0000D7090000}"/>
    <cellStyle name="Normal 18 3 5" xfId="3319" xr:uid="{00000000-0005-0000-0000-0000D8090000}"/>
    <cellStyle name="Normal 18 3 5 2" xfId="4697" xr:uid="{00000000-0005-0000-0000-0000D9090000}"/>
    <cellStyle name="Normal 18 3 6" xfId="4008" xr:uid="{00000000-0005-0000-0000-0000DA090000}"/>
    <cellStyle name="Normal 18 4" xfId="1498" xr:uid="{00000000-0005-0000-0000-0000DB090000}"/>
    <cellStyle name="Normal 18 4 2" xfId="2260" xr:uid="{00000000-0005-0000-0000-0000DC090000}"/>
    <cellStyle name="Normal 18 4 2 2" xfId="3130" xr:uid="{00000000-0005-0000-0000-0000DD090000}"/>
    <cellStyle name="Normal 18 4 2 2 2" xfId="3829" xr:uid="{00000000-0005-0000-0000-0000DE090000}"/>
    <cellStyle name="Normal 18 4 2 2 2 2" xfId="5207" xr:uid="{00000000-0005-0000-0000-0000DF090000}"/>
    <cellStyle name="Normal 18 4 2 2 3" xfId="4518" xr:uid="{00000000-0005-0000-0000-0000E0090000}"/>
    <cellStyle name="Normal 18 4 2 3" xfId="2891" xr:uid="{00000000-0005-0000-0000-0000E1090000}"/>
    <cellStyle name="Normal 18 4 2 3 2" xfId="3603" xr:uid="{00000000-0005-0000-0000-0000E2090000}"/>
    <cellStyle name="Normal 18 4 2 3 2 2" xfId="4981" xr:uid="{00000000-0005-0000-0000-0000E3090000}"/>
    <cellStyle name="Normal 18 4 2 3 3" xfId="4292" xr:uid="{00000000-0005-0000-0000-0000E4090000}"/>
    <cellStyle name="Normal 18 4 2 4" xfId="3388" xr:uid="{00000000-0005-0000-0000-0000E5090000}"/>
    <cellStyle name="Normal 18 4 2 4 2" xfId="4766" xr:uid="{00000000-0005-0000-0000-0000E6090000}"/>
    <cellStyle name="Normal 18 4 2 5" xfId="4077" xr:uid="{00000000-0005-0000-0000-0000E7090000}"/>
    <cellStyle name="Normal 18 4 3" xfId="3083" xr:uid="{00000000-0005-0000-0000-0000E8090000}"/>
    <cellStyle name="Normal 18 4 3 2" xfId="3782" xr:uid="{00000000-0005-0000-0000-0000E9090000}"/>
    <cellStyle name="Normal 18 4 3 2 2" xfId="5160" xr:uid="{00000000-0005-0000-0000-0000EA090000}"/>
    <cellStyle name="Normal 18 4 3 3" xfId="4471" xr:uid="{00000000-0005-0000-0000-0000EB090000}"/>
    <cellStyle name="Normal 18 4 4" xfId="2470" xr:uid="{00000000-0005-0000-0000-0000EC090000}"/>
    <cellStyle name="Normal 18 4 4 2" xfId="3556" xr:uid="{00000000-0005-0000-0000-0000ED090000}"/>
    <cellStyle name="Normal 18 4 4 2 2" xfId="4934" xr:uid="{00000000-0005-0000-0000-0000EE090000}"/>
    <cellStyle name="Normal 18 4 4 3" xfId="4245" xr:uid="{00000000-0005-0000-0000-0000EF090000}"/>
    <cellStyle name="Normal 18 4 5" xfId="3341" xr:uid="{00000000-0005-0000-0000-0000F0090000}"/>
    <cellStyle name="Normal 18 4 5 2" xfId="4719" xr:uid="{00000000-0005-0000-0000-0000F1090000}"/>
    <cellStyle name="Normal 18 4 6" xfId="4030" xr:uid="{00000000-0005-0000-0000-0000F2090000}"/>
    <cellStyle name="Normal 18 5" xfId="2255" xr:uid="{00000000-0005-0000-0000-0000F3090000}"/>
    <cellStyle name="Normal 18 5 2" xfId="3125" xr:uid="{00000000-0005-0000-0000-0000F4090000}"/>
    <cellStyle name="Normal 18 5 2 2" xfId="3824" xr:uid="{00000000-0005-0000-0000-0000F5090000}"/>
    <cellStyle name="Normal 18 5 2 2 2" xfId="5202" xr:uid="{00000000-0005-0000-0000-0000F6090000}"/>
    <cellStyle name="Normal 18 5 2 3" xfId="4513" xr:uid="{00000000-0005-0000-0000-0000F7090000}"/>
    <cellStyle name="Normal 18 5 3" xfId="2886" xr:uid="{00000000-0005-0000-0000-0000F8090000}"/>
    <cellStyle name="Normal 18 5 3 2" xfId="3598" xr:uid="{00000000-0005-0000-0000-0000F9090000}"/>
    <cellStyle name="Normal 18 5 3 2 2" xfId="4976" xr:uid="{00000000-0005-0000-0000-0000FA090000}"/>
    <cellStyle name="Normal 18 5 3 3" xfId="4287" xr:uid="{00000000-0005-0000-0000-0000FB090000}"/>
    <cellStyle name="Normal 18 5 4" xfId="3383" xr:uid="{00000000-0005-0000-0000-0000FC090000}"/>
    <cellStyle name="Normal 18 5 4 2" xfId="4761" xr:uid="{00000000-0005-0000-0000-0000FD090000}"/>
    <cellStyle name="Normal 18 5 5" xfId="4072" xr:uid="{00000000-0005-0000-0000-0000FE090000}"/>
    <cellStyle name="Normal 18 6" xfId="3040" xr:uid="{00000000-0005-0000-0000-0000FF090000}"/>
    <cellStyle name="Normal 18 6 2" xfId="3739" xr:uid="{00000000-0005-0000-0000-0000000A0000}"/>
    <cellStyle name="Normal 18 6 2 2" xfId="5117" xr:uid="{00000000-0005-0000-0000-0000010A0000}"/>
    <cellStyle name="Normal 18 6 3" xfId="4428" xr:uid="{00000000-0005-0000-0000-0000020A0000}"/>
    <cellStyle name="Normal 18 7" xfId="2422" xr:uid="{00000000-0005-0000-0000-0000030A0000}"/>
    <cellStyle name="Normal 18 7 2" xfId="3513" xr:uid="{00000000-0005-0000-0000-0000040A0000}"/>
    <cellStyle name="Normal 18 7 2 2" xfId="4891" xr:uid="{00000000-0005-0000-0000-0000050A0000}"/>
    <cellStyle name="Normal 18 7 3" xfId="4202" xr:uid="{00000000-0005-0000-0000-0000060A0000}"/>
    <cellStyle name="Normal 18 8" xfId="3298" xr:uid="{00000000-0005-0000-0000-0000070A0000}"/>
    <cellStyle name="Normal 18 8 2" xfId="4676" xr:uid="{00000000-0005-0000-0000-0000080A0000}"/>
    <cellStyle name="Normal 18 9" xfId="3987" xr:uid="{00000000-0005-0000-0000-0000090A0000}"/>
    <cellStyle name="Normal 19" xfId="2" xr:uid="{00000000-0005-0000-0000-00000A0A0000}"/>
    <cellStyle name="Normal 2" xfId="3" xr:uid="{00000000-0005-0000-0000-00000B0A0000}"/>
    <cellStyle name="Normal 2 10" xfId="1447" xr:uid="{00000000-0005-0000-0000-00000C0A0000}"/>
    <cellStyle name="Normal 2 10 2" xfId="2261" xr:uid="{00000000-0005-0000-0000-00000D0A0000}"/>
    <cellStyle name="Normal 2 10 2 2" xfId="3131" xr:uid="{00000000-0005-0000-0000-00000E0A0000}"/>
    <cellStyle name="Normal 2 10 2 2 2" xfId="3830" xr:uid="{00000000-0005-0000-0000-00000F0A0000}"/>
    <cellStyle name="Normal 2 10 2 2 2 2" xfId="5208" xr:uid="{00000000-0005-0000-0000-0000100A0000}"/>
    <cellStyle name="Normal 2 10 2 2 3" xfId="4519" xr:uid="{00000000-0005-0000-0000-0000110A0000}"/>
    <cellStyle name="Normal 2 10 2 3" xfId="2892" xr:uid="{00000000-0005-0000-0000-0000120A0000}"/>
    <cellStyle name="Normal 2 10 2 3 2" xfId="3604" xr:uid="{00000000-0005-0000-0000-0000130A0000}"/>
    <cellStyle name="Normal 2 10 2 3 2 2" xfId="4982" xr:uid="{00000000-0005-0000-0000-0000140A0000}"/>
    <cellStyle name="Normal 2 10 2 3 3" xfId="4293" xr:uid="{00000000-0005-0000-0000-0000150A0000}"/>
    <cellStyle name="Normal 2 10 2 4" xfId="3389" xr:uid="{00000000-0005-0000-0000-0000160A0000}"/>
    <cellStyle name="Normal 2 10 2 4 2" xfId="4767" xr:uid="{00000000-0005-0000-0000-0000170A0000}"/>
    <cellStyle name="Normal 2 10 2 5" xfId="4078" xr:uid="{00000000-0005-0000-0000-0000180A0000}"/>
    <cellStyle name="Normal 2 10 3" xfId="3063" xr:uid="{00000000-0005-0000-0000-0000190A0000}"/>
    <cellStyle name="Normal 2 10 3 2" xfId="3762" xr:uid="{00000000-0005-0000-0000-00001A0A0000}"/>
    <cellStyle name="Normal 2 10 3 2 2" xfId="5140" xr:uid="{00000000-0005-0000-0000-00001B0A0000}"/>
    <cellStyle name="Normal 2 10 3 3" xfId="4451" xr:uid="{00000000-0005-0000-0000-00001C0A0000}"/>
    <cellStyle name="Normal 2 10 4" xfId="2450" xr:uid="{00000000-0005-0000-0000-00001D0A0000}"/>
    <cellStyle name="Normal 2 10 4 2" xfId="3536" xr:uid="{00000000-0005-0000-0000-00001E0A0000}"/>
    <cellStyle name="Normal 2 10 4 2 2" xfId="4914" xr:uid="{00000000-0005-0000-0000-00001F0A0000}"/>
    <cellStyle name="Normal 2 10 4 3" xfId="4225" xr:uid="{00000000-0005-0000-0000-0000200A0000}"/>
    <cellStyle name="Normal 2 10 5" xfId="3321" xr:uid="{00000000-0005-0000-0000-0000210A0000}"/>
    <cellStyle name="Normal 2 10 5 2" xfId="4699" xr:uid="{00000000-0005-0000-0000-0000220A0000}"/>
    <cellStyle name="Normal 2 10 6" xfId="4010" xr:uid="{00000000-0005-0000-0000-0000230A0000}"/>
    <cellStyle name="Normal 2 11" xfId="1500" xr:uid="{00000000-0005-0000-0000-0000240A0000}"/>
    <cellStyle name="Normal 2 11 2" xfId="2262" xr:uid="{00000000-0005-0000-0000-0000250A0000}"/>
    <cellStyle name="Normal 2 11 2 2" xfId="3132" xr:uid="{00000000-0005-0000-0000-0000260A0000}"/>
    <cellStyle name="Normal 2 11 2 2 2" xfId="3831" xr:uid="{00000000-0005-0000-0000-0000270A0000}"/>
    <cellStyle name="Normal 2 11 2 2 2 2" xfId="5209" xr:uid="{00000000-0005-0000-0000-0000280A0000}"/>
    <cellStyle name="Normal 2 11 2 2 3" xfId="4520" xr:uid="{00000000-0005-0000-0000-0000290A0000}"/>
    <cellStyle name="Normal 2 11 2 3" xfId="2893" xr:uid="{00000000-0005-0000-0000-00002A0A0000}"/>
    <cellStyle name="Normal 2 11 2 3 2" xfId="3605" xr:uid="{00000000-0005-0000-0000-00002B0A0000}"/>
    <cellStyle name="Normal 2 11 2 3 2 2" xfId="4983" xr:uid="{00000000-0005-0000-0000-00002C0A0000}"/>
    <cellStyle name="Normal 2 11 2 3 3" xfId="4294" xr:uid="{00000000-0005-0000-0000-00002D0A0000}"/>
    <cellStyle name="Normal 2 11 2 4" xfId="3390" xr:uid="{00000000-0005-0000-0000-00002E0A0000}"/>
    <cellStyle name="Normal 2 11 2 4 2" xfId="4768" xr:uid="{00000000-0005-0000-0000-00002F0A0000}"/>
    <cellStyle name="Normal 2 11 2 5" xfId="4079" xr:uid="{00000000-0005-0000-0000-0000300A0000}"/>
    <cellStyle name="Normal 2 11 3" xfId="3085" xr:uid="{00000000-0005-0000-0000-0000310A0000}"/>
    <cellStyle name="Normal 2 11 3 2" xfId="3784" xr:uid="{00000000-0005-0000-0000-0000320A0000}"/>
    <cellStyle name="Normal 2 11 3 2 2" xfId="5162" xr:uid="{00000000-0005-0000-0000-0000330A0000}"/>
    <cellStyle name="Normal 2 11 3 3" xfId="4473" xr:uid="{00000000-0005-0000-0000-0000340A0000}"/>
    <cellStyle name="Normal 2 11 4" xfId="2472" xr:uid="{00000000-0005-0000-0000-0000350A0000}"/>
    <cellStyle name="Normal 2 11 4 2" xfId="3558" xr:uid="{00000000-0005-0000-0000-0000360A0000}"/>
    <cellStyle name="Normal 2 11 4 2 2" xfId="4936" xr:uid="{00000000-0005-0000-0000-0000370A0000}"/>
    <cellStyle name="Normal 2 11 4 3" xfId="4247" xr:uid="{00000000-0005-0000-0000-0000380A0000}"/>
    <cellStyle name="Normal 2 11 5" xfId="3343" xr:uid="{00000000-0005-0000-0000-0000390A0000}"/>
    <cellStyle name="Normal 2 11 5 2" xfId="4721" xr:uid="{00000000-0005-0000-0000-00003A0A0000}"/>
    <cellStyle name="Normal 2 11 6" xfId="4032" xr:uid="{00000000-0005-0000-0000-00003B0A0000}"/>
    <cellStyle name="Normal 2 12" xfId="1846" xr:uid="{00000000-0005-0000-0000-00003C0A0000}"/>
    <cellStyle name="Normal 2 13" xfId="1862" xr:uid="{00000000-0005-0000-0000-00003D0A0000}"/>
    <cellStyle name="Normal 2 13 2" xfId="3118" xr:uid="{00000000-0005-0000-0000-00003E0A0000}"/>
    <cellStyle name="Normal 2 13 2 2" xfId="3817" xr:uid="{00000000-0005-0000-0000-00003F0A0000}"/>
    <cellStyle name="Normal 2 13 2 2 2" xfId="5195" xr:uid="{00000000-0005-0000-0000-0000400A0000}"/>
    <cellStyle name="Normal 2 13 2 3" xfId="4506" xr:uid="{00000000-0005-0000-0000-0000410A0000}"/>
    <cellStyle name="Normal 2 13 3" xfId="2506" xr:uid="{00000000-0005-0000-0000-0000420A0000}"/>
    <cellStyle name="Normal 2 13 3 2" xfId="3591" xr:uid="{00000000-0005-0000-0000-0000430A0000}"/>
    <cellStyle name="Normal 2 13 3 2 2" xfId="4969" xr:uid="{00000000-0005-0000-0000-0000440A0000}"/>
    <cellStyle name="Normal 2 13 3 3" xfId="4280" xr:uid="{00000000-0005-0000-0000-0000450A0000}"/>
    <cellStyle name="Normal 2 13 4" xfId="3376" xr:uid="{00000000-0005-0000-0000-0000460A0000}"/>
    <cellStyle name="Normal 2 13 4 2" xfId="4754" xr:uid="{00000000-0005-0000-0000-0000470A0000}"/>
    <cellStyle name="Normal 2 13 5" xfId="4065" xr:uid="{00000000-0005-0000-0000-0000480A0000}"/>
    <cellStyle name="Normal 2 14" xfId="1871" xr:uid="{00000000-0005-0000-0000-0000490A0000}"/>
    <cellStyle name="Normal 2 14 2" xfId="3119" xr:uid="{00000000-0005-0000-0000-00004A0A0000}"/>
    <cellStyle name="Normal 2 14 2 2" xfId="3818" xr:uid="{00000000-0005-0000-0000-00004B0A0000}"/>
    <cellStyle name="Normal 2 14 2 2 2" xfId="5196" xr:uid="{00000000-0005-0000-0000-00004C0A0000}"/>
    <cellStyle name="Normal 2 14 2 3" xfId="4507" xr:uid="{00000000-0005-0000-0000-00004D0A0000}"/>
    <cellStyle name="Normal 2 14 3" xfId="2507" xr:uid="{00000000-0005-0000-0000-00004E0A0000}"/>
    <cellStyle name="Normal 2 14 3 2" xfId="3592" xr:uid="{00000000-0005-0000-0000-00004F0A0000}"/>
    <cellStyle name="Normal 2 14 3 2 2" xfId="4970" xr:uid="{00000000-0005-0000-0000-0000500A0000}"/>
    <cellStyle name="Normal 2 14 3 3" xfId="4281" xr:uid="{00000000-0005-0000-0000-0000510A0000}"/>
    <cellStyle name="Normal 2 14 4" xfId="3377" xr:uid="{00000000-0005-0000-0000-0000520A0000}"/>
    <cellStyle name="Normal 2 14 4 2" xfId="4755" xr:uid="{00000000-0005-0000-0000-0000530A0000}"/>
    <cellStyle name="Normal 2 14 5" xfId="4066" xr:uid="{00000000-0005-0000-0000-0000540A0000}"/>
    <cellStyle name="Normal 2 15" xfId="1881" xr:uid="{00000000-0005-0000-0000-0000550A0000}"/>
    <cellStyle name="Normal 2 15 2" xfId="3120" xr:uid="{00000000-0005-0000-0000-0000560A0000}"/>
    <cellStyle name="Normal 2 15 2 2" xfId="3819" xr:uid="{00000000-0005-0000-0000-0000570A0000}"/>
    <cellStyle name="Normal 2 15 2 2 2" xfId="5197" xr:uid="{00000000-0005-0000-0000-0000580A0000}"/>
    <cellStyle name="Normal 2 15 2 3" xfId="4508" xr:uid="{00000000-0005-0000-0000-0000590A0000}"/>
    <cellStyle name="Normal 2 15 3" xfId="2513" xr:uid="{00000000-0005-0000-0000-00005A0A0000}"/>
    <cellStyle name="Normal 2 15 3 2" xfId="3593" xr:uid="{00000000-0005-0000-0000-00005B0A0000}"/>
    <cellStyle name="Normal 2 15 3 2 2" xfId="4971" xr:uid="{00000000-0005-0000-0000-00005C0A0000}"/>
    <cellStyle name="Normal 2 15 3 3" xfId="4282" xr:uid="{00000000-0005-0000-0000-00005D0A0000}"/>
    <cellStyle name="Normal 2 15 4" xfId="3378" xr:uid="{00000000-0005-0000-0000-00005E0A0000}"/>
    <cellStyle name="Normal 2 15 4 2" xfId="4756" xr:uid="{00000000-0005-0000-0000-00005F0A0000}"/>
    <cellStyle name="Normal 2 15 5" xfId="4067" xr:uid="{00000000-0005-0000-0000-0000600A0000}"/>
    <cellStyle name="Normal 2 16" xfId="2334" xr:uid="{00000000-0005-0000-0000-0000610A0000}"/>
    <cellStyle name="Normal 2 16 2" xfId="3203" xr:uid="{00000000-0005-0000-0000-0000620A0000}"/>
    <cellStyle name="Normal 2 16 2 2" xfId="3902" xr:uid="{00000000-0005-0000-0000-0000630A0000}"/>
    <cellStyle name="Normal 2 16 2 2 2" xfId="5280" xr:uid="{00000000-0005-0000-0000-0000640A0000}"/>
    <cellStyle name="Normal 2 16 2 3" xfId="4591" xr:uid="{00000000-0005-0000-0000-0000650A0000}"/>
    <cellStyle name="Normal 2 16 3" xfId="2965" xr:uid="{00000000-0005-0000-0000-0000660A0000}"/>
    <cellStyle name="Normal 2 16 3 2" xfId="3676" xr:uid="{00000000-0005-0000-0000-0000670A0000}"/>
    <cellStyle name="Normal 2 16 3 2 2" xfId="5054" xr:uid="{00000000-0005-0000-0000-0000680A0000}"/>
    <cellStyle name="Normal 2 16 3 3" xfId="4365" xr:uid="{00000000-0005-0000-0000-0000690A0000}"/>
    <cellStyle name="Normal 2 16 4" xfId="3461" xr:uid="{00000000-0005-0000-0000-00006A0A0000}"/>
    <cellStyle name="Normal 2 16 4 2" xfId="4839" xr:uid="{00000000-0005-0000-0000-00006B0A0000}"/>
    <cellStyle name="Normal 2 16 5" xfId="4150" xr:uid="{00000000-0005-0000-0000-00006C0A0000}"/>
    <cellStyle name="Normal 2 17" xfId="2337" xr:uid="{00000000-0005-0000-0000-00006D0A0000}"/>
    <cellStyle name="Normal 2 17 2" xfId="3204" xr:uid="{00000000-0005-0000-0000-00006E0A0000}"/>
    <cellStyle name="Normal 2 17 2 2" xfId="3903" xr:uid="{00000000-0005-0000-0000-00006F0A0000}"/>
    <cellStyle name="Normal 2 17 2 2 2" xfId="5281" xr:uid="{00000000-0005-0000-0000-0000700A0000}"/>
    <cellStyle name="Normal 2 17 2 3" xfId="4592" xr:uid="{00000000-0005-0000-0000-0000710A0000}"/>
    <cellStyle name="Normal 2 17 3" xfId="2966" xr:uid="{00000000-0005-0000-0000-0000720A0000}"/>
    <cellStyle name="Normal 2 17 3 2" xfId="3677" xr:uid="{00000000-0005-0000-0000-0000730A0000}"/>
    <cellStyle name="Normal 2 17 3 2 2" xfId="5055" xr:uid="{00000000-0005-0000-0000-0000740A0000}"/>
    <cellStyle name="Normal 2 17 3 3" xfId="4366" xr:uid="{00000000-0005-0000-0000-0000750A0000}"/>
    <cellStyle name="Normal 2 17 4" xfId="3462" xr:uid="{00000000-0005-0000-0000-0000760A0000}"/>
    <cellStyle name="Normal 2 17 4 2" xfId="4840" xr:uid="{00000000-0005-0000-0000-0000770A0000}"/>
    <cellStyle name="Normal 2 17 5" xfId="4151" xr:uid="{00000000-0005-0000-0000-0000780A0000}"/>
    <cellStyle name="Normal 2 18" xfId="2351" xr:uid="{00000000-0005-0000-0000-0000790A0000}"/>
    <cellStyle name="Normal 2 18 2" xfId="3208" xr:uid="{00000000-0005-0000-0000-00007A0A0000}"/>
    <cellStyle name="Normal 2 18 2 2" xfId="3907" xr:uid="{00000000-0005-0000-0000-00007B0A0000}"/>
    <cellStyle name="Normal 2 18 2 2 2" xfId="5285" xr:uid="{00000000-0005-0000-0000-00007C0A0000}"/>
    <cellStyle name="Normal 2 18 2 3" xfId="4596" xr:uid="{00000000-0005-0000-0000-00007D0A0000}"/>
    <cellStyle name="Normal 2 18 3" xfId="2974" xr:uid="{00000000-0005-0000-0000-00007E0A0000}"/>
    <cellStyle name="Normal 2 18 3 2" xfId="3681" xr:uid="{00000000-0005-0000-0000-00007F0A0000}"/>
    <cellStyle name="Normal 2 18 3 2 2" xfId="5059" xr:uid="{00000000-0005-0000-0000-0000800A0000}"/>
    <cellStyle name="Normal 2 18 3 3" xfId="4370" xr:uid="{00000000-0005-0000-0000-0000810A0000}"/>
    <cellStyle name="Normal 2 18 4" xfId="3466" xr:uid="{00000000-0005-0000-0000-0000820A0000}"/>
    <cellStyle name="Normal 2 18 4 2" xfId="4844" xr:uid="{00000000-0005-0000-0000-0000830A0000}"/>
    <cellStyle name="Normal 2 18 5" xfId="4155" xr:uid="{00000000-0005-0000-0000-0000840A0000}"/>
    <cellStyle name="Normal 2 19" xfId="2368" xr:uid="{00000000-0005-0000-0000-0000850A0000}"/>
    <cellStyle name="Normal 2 2" xfId="1016" xr:uid="{00000000-0005-0000-0000-0000860A0000}"/>
    <cellStyle name="Normal 2 2 10" xfId="3024" xr:uid="{00000000-0005-0000-0000-0000870A0000}"/>
    <cellStyle name="Normal 2 2 10 2" xfId="3726" xr:uid="{00000000-0005-0000-0000-0000880A0000}"/>
    <cellStyle name="Normal 2 2 10 2 2" xfId="5104" xr:uid="{00000000-0005-0000-0000-0000890A0000}"/>
    <cellStyle name="Normal 2 2 10 3" xfId="4415" xr:uid="{00000000-0005-0000-0000-00008A0A0000}"/>
    <cellStyle name="Normal 2 2 11" xfId="3253" xr:uid="{00000000-0005-0000-0000-00008B0A0000}"/>
    <cellStyle name="Normal 2 2 11 2" xfId="3950" xr:uid="{00000000-0005-0000-0000-00008C0A0000}"/>
    <cellStyle name="Normal 2 2 11 2 2" xfId="5328" xr:uid="{00000000-0005-0000-0000-00008D0A0000}"/>
    <cellStyle name="Normal 2 2 11 3" xfId="4639" xr:uid="{00000000-0005-0000-0000-00008E0A0000}"/>
    <cellStyle name="Normal 2 2 12" xfId="3259" xr:uid="{00000000-0005-0000-0000-00008F0A0000}"/>
    <cellStyle name="Normal 2 2 12 2" xfId="3954" xr:uid="{00000000-0005-0000-0000-0000900A0000}"/>
    <cellStyle name="Normal 2 2 12 2 2" xfId="5332" xr:uid="{00000000-0005-0000-0000-0000910A0000}"/>
    <cellStyle name="Normal 2 2 12 3" xfId="4643" xr:uid="{00000000-0005-0000-0000-0000920A0000}"/>
    <cellStyle name="Normal 2 2 13" xfId="3264" xr:uid="{00000000-0005-0000-0000-0000930A0000}"/>
    <cellStyle name="Normal 2 2 13 2" xfId="3958" xr:uid="{00000000-0005-0000-0000-0000940A0000}"/>
    <cellStyle name="Normal 2 2 13 2 2" xfId="5336" xr:uid="{00000000-0005-0000-0000-0000950A0000}"/>
    <cellStyle name="Normal 2 2 13 3" xfId="4647" xr:uid="{00000000-0005-0000-0000-0000960A0000}"/>
    <cellStyle name="Normal 2 2 14" xfId="3273" xr:uid="{00000000-0005-0000-0000-0000970A0000}"/>
    <cellStyle name="Normal 2 2 14 2" xfId="4653" xr:uid="{00000000-0005-0000-0000-0000980A0000}"/>
    <cellStyle name="Normal 2 2 15" xfId="3282" xr:uid="{00000000-0005-0000-0000-0000990A0000}"/>
    <cellStyle name="Normal 2 2 15 2" xfId="4660" xr:uid="{00000000-0005-0000-0000-00009A0A0000}"/>
    <cellStyle name="Normal 2 2 16" xfId="3964" xr:uid="{00000000-0005-0000-0000-00009B0A0000}"/>
    <cellStyle name="Normal 2 2 16 2" xfId="5342" xr:uid="{00000000-0005-0000-0000-00009C0A0000}"/>
    <cellStyle name="Normal 2 2 17" xfId="5360" xr:uid="{00000000-0005-0000-0000-00009D0A0000}"/>
    <cellStyle name="Normal 2 2 18" xfId="5396" xr:uid="{00000000-0005-0000-0000-000058000000}"/>
    <cellStyle name="Normal 2 2 19" xfId="5498" xr:uid="{6751948E-1192-4340-B5EC-D94D715CB22F}"/>
    <cellStyle name="Normal 2 2 2" xfId="1854" xr:uid="{00000000-0005-0000-0000-00009E0A0000}"/>
    <cellStyle name="Normal 2 2 2 10" xfId="3283" xr:uid="{00000000-0005-0000-0000-00009F0A0000}"/>
    <cellStyle name="Normal 2 2 2 10 2" xfId="4661" xr:uid="{00000000-0005-0000-0000-0000A00A0000}"/>
    <cellStyle name="Normal 2 2 2 11" xfId="3370" xr:uid="{00000000-0005-0000-0000-0000A10A0000}"/>
    <cellStyle name="Normal 2 2 2 11 2" xfId="4748" xr:uid="{00000000-0005-0000-0000-0000A20A0000}"/>
    <cellStyle name="Normal 2 2 2 12" xfId="3969" xr:uid="{00000000-0005-0000-0000-0000A30A0000}"/>
    <cellStyle name="Normal 2 2 2 12 2" xfId="5346" xr:uid="{00000000-0005-0000-0000-0000A40A0000}"/>
    <cellStyle name="Normal 2 2 2 13" xfId="4059" xr:uid="{00000000-0005-0000-0000-0000A50A0000}"/>
    <cellStyle name="Normal 2 2 2 14" xfId="5364" xr:uid="{00000000-0005-0000-0000-0000A60A0000}"/>
    <cellStyle name="Normal 2 2 2 15" xfId="5401" xr:uid="{00000000-0005-0000-0000-000059000000}"/>
    <cellStyle name="Normal 2 2 2 16" xfId="5503" xr:uid="{13B5B97A-4F07-4FB4-97E4-747948D2EF11}"/>
    <cellStyle name="Normal 2 2 2 2" xfId="2263" xr:uid="{00000000-0005-0000-0000-0000A70A0000}"/>
    <cellStyle name="Normal 2 2 2 2 2" xfId="3133" xr:uid="{00000000-0005-0000-0000-0000A80A0000}"/>
    <cellStyle name="Normal 2 2 2 2 2 2" xfId="3832" xr:uid="{00000000-0005-0000-0000-0000A90A0000}"/>
    <cellStyle name="Normal 2 2 2 2 2 2 2" xfId="5210" xr:uid="{00000000-0005-0000-0000-0000AA0A0000}"/>
    <cellStyle name="Normal 2 2 2 2 2 3" xfId="4521" xr:uid="{00000000-0005-0000-0000-0000AB0A0000}"/>
    <cellStyle name="Normal 2 2 2 2 3" xfId="2894" xr:uid="{00000000-0005-0000-0000-0000AC0A0000}"/>
    <cellStyle name="Normal 2 2 2 2 3 2" xfId="3606" xr:uid="{00000000-0005-0000-0000-0000AD0A0000}"/>
    <cellStyle name="Normal 2 2 2 2 3 2 2" xfId="4984" xr:uid="{00000000-0005-0000-0000-0000AE0A0000}"/>
    <cellStyle name="Normal 2 2 2 2 3 3" xfId="4295" xr:uid="{00000000-0005-0000-0000-0000AF0A0000}"/>
    <cellStyle name="Normal 2 2 2 2 4" xfId="3291" xr:uid="{00000000-0005-0000-0000-0000B00A0000}"/>
    <cellStyle name="Normal 2 2 2 2 4 2" xfId="4669" xr:uid="{00000000-0005-0000-0000-0000B10A0000}"/>
    <cellStyle name="Normal 2 2 2 2 5" xfId="3391" xr:uid="{00000000-0005-0000-0000-0000B20A0000}"/>
    <cellStyle name="Normal 2 2 2 2 5 2" xfId="4769" xr:uid="{00000000-0005-0000-0000-0000B30A0000}"/>
    <cellStyle name="Normal 2 2 2 2 6" xfId="3980" xr:uid="{00000000-0005-0000-0000-0000B40A0000}"/>
    <cellStyle name="Normal 2 2 2 2 6 2" xfId="5355" xr:uid="{00000000-0005-0000-0000-0000B50A0000}"/>
    <cellStyle name="Normal 2 2 2 2 7" xfId="4080" xr:uid="{00000000-0005-0000-0000-0000B60A0000}"/>
    <cellStyle name="Normal 2 2 2 2 8" xfId="5441" xr:uid="{00000000-0005-0000-0000-00005A000000}"/>
    <cellStyle name="Normal 2 2 2 3" xfId="2379" xr:uid="{00000000-0005-0000-0000-0000B70A0000}"/>
    <cellStyle name="Normal 2 2 2 3 2" xfId="3221" xr:uid="{00000000-0005-0000-0000-0000B80A0000}"/>
    <cellStyle name="Normal 2 2 2 3 2 2" xfId="3920" xr:uid="{00000000-0005-0000-0000-0000B90A0000}"/>
    <cellStyle name="Normal 2 2 2 3 2 2 2" xfId="5298" xr:uid="{00000000-0005-0000-0000-0000BA0A0000}"/>
    <cellStyle name="Normal 2 2 2 3 2 3" xfId="4609" xr:uid="{00000000-0005-0000-0000-0000BB0A0000}"/>
    <cellStyle name="Normal 2 2 2 3 3" xfId="2990" xr:uid="{00000000-0005-0000-0000-0000BC0A0000}"/>
    <cellStyle name="Normal 2 2 2 3 3 2" xfId="3694" xr:uid="{00000000-0005-0000-0000-0000BD0A0000}"/>
    <cellStyle name="Normal 2 2 2 3 3 2 2" xfId="5072" xr:uid="{00000000-0005-0000-0000-0000BE0A0000}"/>
    <cellStyle name="Normal 2 2 2 3 3 3" xfId="4383" xr:uid="{00000000-0005-0000-0000-0000BF0A0000}"/>
    <cellStyle name="Normal 2 2 2 3 4" xfId="3479" xr:uid="{00000000-0005-0000-0000-0000C00A0000}"/>
    <cellStyle name="Normal 2 2 2 3 4 2" xfId="4857" xr:uid="{00000000-0005-0000-0000-0000C10A0000}"/>
    <cellStyle name="Normal 2 2 2 3 5" xfId="4168" xr:uid="{00000000-0005-0000-0000-0000C20A0000}"/>
    <cellStyle name="Normal 2 2 2 4" xfId="2404" xr:uid="{00000000-0005-0000-0000-0000C30A0000}"/>
    <cellStyle name="Normal 2 2 2 4 2" xfId="3244" xr:uid="{00000000-0005-0000-0000-0000C40A0000}"/>
    <cellStyle name="Normal 2 2 2 4 2 2" xfId="3943" xr:uid="{00000000-0005-0000-0000-0000C50A0000}"/>
    <cellStyle name="Normal 2 2 2 4 2 2 2" xfId="5321" xr:uid="{00000000-0005-0000-0000-0000C60A0000}"/>
    <cellStyle name="Normal 2 2 2 4 2 3" xfId="4632" xr:uid="{00000000-0005-0000-0000-0000C70A0000}"/>
    <cellStyle name="Normal 2 2 2 4 3" xfId="3015" xr:uid="{00000000-0005-0000-0000-0000C80A0000}"/>
    <cellStyle name="Normal 2 2 2 4 3 2" xfId="3717" xr:uid="{00000000-0005-0000-0000-0000C90A0000}"/>
    <cellStyle name="Normal 2 2 2 4 3 2 2" xfId="5095" xr:uid="{00000000-0005-0000-0000-0000CA0A0000}"/>
    <cellStyle name="Normal 2 2 2 4 3 3" xfId="4406" xr:uid="{00000000-0005-0000-0000-0000CB0A0000}"/>
    <cellStyle name="Normal 2 2 2 4 4" xfId="3502" xr:uid="{00000000-0005-0000-0000-0000CC0A0000}"/>
    <cellStyle name="Normal 2 2 2 4 4 2" xfId="4880" xr:uid="{00000000-0005-0000-0000-0000CD0A0000}"/>
    <cellStyle name="Normal 2 2 2 4 5" xfId="4191" xr:uid="{00000000-0005-0000-0000-0000CE0A0000}"/>
    <cellStyle name="Normal 2 2 2 5" xfId="3031" xr:uid="{00000000-0005-0000-0000-0000CF0A0000}"/>
    <cellStyle name="Normal 2 2 2 5 2" xfId="3731" xr:uid="{00000000-0005-0000-0000-0000D00A0000}"/>
    <cellStyle name="Normal 2 2 2 5 2 2" xfId="5109" xr:uid="{00000000-0005-0000-0000-0000D10A0000}"/>
    <cellStyle name="Normal 2 2 2 5 3" xfId="4420" xr:uid="{00000000-0005-0000-0000-0000D20A0000}"/>
    <cellStyle name="Normal 2 2 2 6" xfId="3112" xr:uid="{00000000-0005-0000-0000-0000D30A0000}"/>
    <cellStyle name="Normal 2 2 2 6 2" xfId="3811" xr:uid="{00000000-0005-0000-0000-0000D40A0000}"/>
    <cellStyle name="Normal 2 2 2 6 2 2" xfId="5189" xr:uid="{00000000-0005-0000-0000-0000D50A0000}"/>
    <cellStyle name="Normal 2 2 2 6 3" xfId="4500" xr:uid="{00000000-0005-0000-0000-0000D60A0000}"/>
    <cellStyle name="Normal 2 2 2 7" xfId="2500" xr:uid="{00000000-0005-0000-0000-0000D70A0000}"/>
    <cellStyle name="Normal 2 2 2 7 2" xfId="3585" xr:uid="{00000000-0005-0000-0000-0000D80A0000}"/>
    <cellStyle name="Normal 2 2 2 7 2 2" xfId="4963" xr:uid="{00000000-0005-0000-0000-0000D90A0000}"/>
    <cellStyle name="Normal 2 2 2 7 3" xfId="4274" xr:uid="{00000000-0005-0000-0000-0000DA0A0000}"/>
    <cellStyle name="Normal 2 2 2 8" xfId="3265" xr:uid="{00000000-0005-0000-0000-0000DB0A0000}"/>
    <cellStyle name="Normal 2 2 2 8 2" xfId="3959" xr:uid="{00000000-0005-0000-0000-0000DC0A0000}"/>
    <cellStyle name="Normal 2 2 2 8 2 2" xfId="5337" xr:uid="{00000000-0005-0000-0000-0000DD0A0000}"/>
    <cellStyle name="Normal 2 2 2 8 3" xfId="4648" xr:uid="{00000000-0005-0000-0000-0000DE0A0000}"/>
    <cellStyle name="Normal 2 2 2 9" xfId="3278" xr:uid="{00000000-0005-0000-0000-0000DF0A0000}"/>
    <cellStyle name="Normal 2 2 2 9 2" xfId="4657" xr:uid="{00000000-0005-0000-0000-0000E00A0000}"/>
    <cellStyle name="Normal 2 2 20" xfId="5511" xr:uid="{2B0351D0-BA04-4767-9A79-4355D0DEE517}"/>
    <cellStyle name="Normal 2 2 21" xfId="5524" xr:uid="{00000000-0005-0000-0000-000007000000}"/>
    <cellStyle name="Normal 2 2 3" xfId="2339" xr:uid="{00000000-0005-0000-0000-0000E10A0000}"/>
    <cellStyle name="Normal 2 2 3 2" xfId="1857" xr:uid="{00000000-0005-0000-0000-0000E20A0000}"/>
    <cellStyle name="Normal 2 2 3 2 2" xfId="2264" xr:uid="{00000000-0005-0000-0000-0000E30A0000}"/>
    <cellStyle name="Normal 2 2 3 2 2 2" xfId="3134" xr:uid="{00000000-0005-0000-0000-0000E40A0000}"/>
    <cellStyle name="Normal 2 2 3 2 2 2 2" xfId="3833" xr:uid="{00000000-0005-0000-0000-0000E50A0000}"/>
    <cellStyle name="Normal 2 2 3 2 2 2 2 2" xfId="5211" xr:uid="{00000000-0005-0000-0000-0000E60A0000}"/>
    <cellStyle name="Normal 2 2 3 2 2 2 3" xfId="4522" xr:uid="{00000000-0005-0000-0000-0000E70A0000}"/>
    <cellStyle name="Normal 2 2 3 2 2 3" xfId="2895" xr:uid="{00000000-0005-0000-0000-0000E80A0000}"/>
    <cellStyle name="Normal 2 2 3 2 2 3 2" xfId="3607" xr:uid="{00000000-0005-0000-0000-0000E90A0000}"/>
    <cellStyle name="Normal 2 2 3 2 2 3 2 2" xfId="4985" xr:uid="{00000000-0005-0000-0000-0000EA0A0000}"/>
    <cellStyle name="Normal 2 2 3 2 2 3 3" xfId="4296" xr:uid="{00000000-0005-0000-0000-0000EB0A0000}"/>
    <cellStyle name="Normal 2 2 3 2 2 4" xfId="3392" xr:uid="{00000000-0005-0000-0000-0000EC0A0000}"/>
    <cellStyle name="Normal 2 2 3 2 2 4 2" xfId="4770" xr:uid="{00000000-0005-0000-0000-0000ED0A0000}"/>
    <cellStyle name="Normal 2 2 3 2 2 5" xfId="4081" xr:uid="{00000000-0005-0000-0000-0000EE0A0000}"/>
    <cellStyle name="Normal 2 2 3 2 3" xfId="3114" xr:uid="{00000000-0005-0000-0000-0000EF0A0000}"/>
    <cellStyle name="Normal 2 2 3 2 3 2" xfId="3813" xr:uid="{00000000-0005-0000-0000-0000F00A0000}"/>
    <cellStyle name="Normal 2 2 3 2 3 2 2" xfId="5191" xr:uid="{00000000-0005-0000-0000-0000F10A0000}"/>
    <cellStyle name="Normal 2 2 3 2 3 3" xfId="4502" xr:uid="{00000000-0005-0000-0000-0000F20A0000}"/>
    <cellStyle name="Normal 2 2 3 2 4" xfId="2502" xr:uid="{00000000-0005-0000-0000-0000F30A0000}"/>
    <cellStyle name="Normal 2 2 3 2 4 2" xfId="3587" xr:uid="{00000000-0005-0000-0000-0000F40A0000}"/>
    <cellStyle name="Normal 2 2 3 2 4 2 2" xfId="4965" xr:uid="{00000000-0005-0000-0000-0000F50A0000}"/>
    <cellStyle name="Normal 2 2 3 2 4 3" xfId="4276" xr:uid="{00000000-0005-0000-0000-0000F60A0000}"/>
    <cellStyle name="Normal 2 2 3 2 5" xfId="3372" xr:uid="{00000000-0005-0000-0000-0000F70A0000}"/>
    <cellStyle name="Normal 2 2 3 2 5 2" xfId="4750" xr:uid="{00000000-0005-0000-0000-0000F80A0000}"/>
    <cellStyle name="Normal 2 2 3 2 6" xfId="3982" xr:uid="{00000000-0005-0000-0000-0000F90A0000}"/>
    <cellStyle name="Normal 2 2 3 2 6 2" xfId="5357" xr:uid="{00000000-0005-0000-0000-0000FA0A0000}"/>
    <cellStyle name="Normal 2 2 3 2 7" xfId="4061" xr:uid="{00000000-0005-0000-0000-0000FB0A0000}"/>
    <cellStyle name="Normal 2 2 3 3" xfId="3205" xr:uid="{00000000-0005-0000-0000-0000FC0A0000}"/>
    <cellStyle name="Normal 2 2 3 3 2" xfId="3904" xr:uid="{00000000-0005-0000-0000-0000FD0A0000}"/>
    <cellStyle name="Normal 2 2 3 3 2 2" xfId="5282" xr:uid="{00000000-0005-0000-0000-0000FE0A0000}"/>
    <cellStyle name="Normal 2 2 3 3 3" xfId="4593" xr:uid="{00000000-0005-0000-0000-0000FF0A0000}"/>
    <cellStyle name="Normal 2 2 3 4" xfId="2967" xr:uid="{00000000-0005-0000-0000-0000000B0000}"/>
    <cellStyle name="Normal 2 2 3 4 2" xfId="3678" xr:uid="{00000000-0005-0000-0000-0000010B0000}"/>
    <cellStyle name="Normal 2 2 3 4 2 2" xfId="5056" xr:uid="{00000000-0005-0000-0000-0000020B0000}"/>
    <cellStyle name="Normal 2 2 3 4 3" xfId="4367" xr:uid="{00000000-0005-0000-0000-0000030B0000}"/>
    <cellStyle name="Normal 2 2 3 5" xfId="3290" xr:uid="{00000000-0005-0000-0000-0000040B0000}"/>
    <cellStyle name="Normal 2 2 3 5 2" xfId="4668" xr:uid="{00000000-0005-0000-0000-0000050B0000}"/>
    <cellStyle name="Normal 2 2 3 6" xfId="3463" xr:uid="{00000000-0005-0000-0000-0000060B0000}"/>
    <cellStyle name="Normal 2 2 3 6 2" xfId="4841" xr:uid="{00000000-0005-0000-0000-0000070B0000}"/>
    <cellStyle name="Normal 2 2 3 7" xfId="3972" xr:uid="{00000000-0005-0000-0000-0000080B0000}"/>
    <cellStyle name="Normal 2 2 3 7 2" xfId="5348" xr:uid="{00000000-0005-0000-0000-0000090B0000}"/>
    <cellStyle name="Normal 2 2 3 8" xfId="4152" xr:uid="{00000000-0005-0000-0000-00000A0B0000}"/>
    <cellStyle name="Normal 2 2 3 9" xfId="5437" xr:uid="{00000000-0005-0000-0000-00005B000000}"/>
    <cellStyle name="Normal 2 2 4" xfId="2352" xr:uid="{00000000-0005-0000-0000-00000B0B0000}"/>
    <cellStyle name="Normal 2 2 4 2" xfId="3209" xr:uid="{00000000-0005-0000-0000-00000C0B0000}"/>
    <cellStyle name="Normal 2 2 4 2 2" xfId="3908" xr:uid="{00000000-0005-0000-0000-00000D0B0000}"/>
    <cellStyle name="Normal 2 2 4 2 2 2" xfId="5286" xr:uid="{00000000-0005-0000-0000-00000E0B0000}"/>
    <cellStyle name="Normal 2 2 4 2 3" xfId="4597" xr:uid="{00000000-0005-0000-0000-00000F0B0000}"/>
    <cellStyle name="Normal 2 2 4 3" xfId="2975" xr:uid="{00000000-0005-0000-0000-0000100B0000}"/>
    <cellStyle name="Normal 2 2 4 3 2" xfId="3682" xr:uid="{00000000-0005-0000-0000-0000110B0000}"/>
    <cellStyle name="Normal 2 2 4 3 2 2" xfId="5060" xr:uid="{00000000-0005-0000-0000-0000120B0000}"/>
    <cellStyle name="Normal 2 2 4 3 3" xfId="4371" xr:uid="{00000000-0005-0000-0000-0000130B0000}"/>
    <cellStyle name="Normal 2 2 4 4" xfId="3467" xr:uid="{00000000-0005-0000-0000-0000140B0000}"/>
    <cellStyle name="Normal 2 2 4 4 2" xfId="4845" xr:uid="{00000000-0005-0000-0000-0000150B0000}"/>
    <cellStyle name="Normal 2 2 4 5" xfId="3976" xr:uid="{00000000-0005-0000-0000-0000160B0000}"/>
    <cellStyle name="Normal 2 2 4 5 2" xfId="5351" xr:uid="{00000000-0005-0000-0000-0000170B0000}"/>
    <cellStyle name="Normal 2 2 4 6" xfId="4156" xr:uid="{00000000-0005-0000-0000-0000180B0000}"/>
    <cellStyle name="Normal 2 2 5" xfId="2369" xr:uid="{00000000-0005-0000-0000-0000190B0000}"/>
    <cellStyle name="Normal 2 2 5 2" xfId="3214" xr:uid="{00000000-0005-0000-0000-00001A0B0000}"/>
    <cellStyle name="Normal 2 2 5 2 2" xfId="3913" xr:uid="{00000000-0005-0000-0000-00001B0B0000}"/>
    <cellStyle name="Normal 2 2 5 2 2 2" xfId="5291" xr:uid="{00000000-0005-0000-0000-00001C0B0000}"/>
    <cellStyle name="Normal 2 2 5 2 3" xfId="4602" xr:uid="{00000000-0005-0000-0000-00001D0B0000}"/>
    <cellStyle name="Normal 2 2 5 3" xfId="2982" xr:uid="{00000000-0005-0000-0000-00001E0B0000}"/>
    <cellStyle name="Normal 2 2 5 3 2" xfId="3687" xr:uid="{00000000-0005-0000-0000-00001F0B0000}"/>
    <cellStyle name="Normal 2 2 5 3 2 2" xfId="5065" xr:uid="{00000000-0005-0000-0000-0000200B0000}"/>
    <cellStyle name="Normal 2 2 5 3 3" xfId="4376" xr:uid="{00000000-0005-0000-0000-0000210B0000}"/>
    <cellStyle name="Normal 2 2 5 4" xfId="3472" xr:uid="{00000000-0005-0000-0000-0000220B0000}"/>
    <cellStyle name="Normal 2 2 5 4 2" xfId="4850" xr:uid="{00000000-0005-0000-0000-0000230B0000}"/>
    <cellStyle name="Normal 2 2 5 5" xfId="4161" xr:uid="{00000000-0005-0000-0000-0000240B0000}"/>
    <cellStyle name="Normal 2 2 6" xfId="2386" xr:uid="{00000000-0005-0000-0000-0000250B0000}"/>
    <cellStyle name="Normal 2 2 6 2" xfId="3228" xr:uid="{00000000-0005-0000-0000-0000260B0000}"/>
    <cellStyle name="Normal 2 2 6 2 2" xfId="3927" xr:uid="{00000000-0005-0000-0000-0000270B0000}"/>
    <cellStyle name="Normal 2 2 6 2 2 2" xfId="5305" xr:uid="{00000000-0005-0000-0000-0000280B0000}"/>
    <cellStyle name="Normal 2 2 6 2 3" xfId="4616" xr:uid="{00000000-0005-0000-0000-0000290B0000}"/>
    <cellStyle name="Normal 2 2 6 3" xfId="2997" xr:uid="{00000000-0005-0000-0000-00002A0B0000}"/>
    <cellStyle name="Normal 2 2 6 3 2" xfId="3701" xr:uid="{00000000-0005-0000-0000-00002B0B0000}"/>
    <cellStyle name="Normal 2 2 6 3 2 2" xfId="5079" xr:uid="{00000000-0005-0000-0000-00002C0B0000}"/>
    <cellStyle name="Normal 2 2 6 3 3" xfId="4390" xr:uid="{00000000-0005-0000-0000-00002D0B0000}"/>
    <cellStyle name="Normal 2 2 6 4" xfId="3486" xr:uid="{00000000-0005-0000-0000-00002E0B0000}"/>
    <cellStyle name="Normal 2 2 6 4 2" xfId="4864" xr:uid="{00000000-0005-0000-0000-00002F0B0000}"/>
    <cellStyle name="Normal 2 2 6 5" xfId="4175" xr:uid="{00000000-0005-0000-0000-0000300B0000}"/>
    <cellStyle name="Normal 2 2 6 6" xfId="5528" xr:uid="{457A7173-72E5-4482-873C-25200393E850}"/>
    <cellStyle name="Normal 2 2 7" xfId="2393" xr:uid="{00000000-0005-0000-0000-0000310B0000}"/>
    <cellStyle name="Normal 2 2 7 2" xfId="3235" xr:uid="{00000000-0005-0000-0000-0000320B0000}"/>
    <cellStyle name="Normal 2 2 7 2 2" xfId="3934" xr:uid="{00000000-0005-0000-0000-0000330B0000}"/>
    <cellStyle name="Normal 2 2 7 2 2 2" xfId="5312" xr:uid="{00000000-0005-0000-0000-0000340B0000}"/>
    <cellStyle name="Normal 2 2 7 2 3" xfId="4623" xr:uid="{00000000-0005-0000-0000-0000350B0000}"/>
    <cellStyle name="Normal 2 2 7 3" xfId="3004" xr:uid="{00000000-0005-0000-0000-0000360B0000}"/>
    <cellStyle name="Normal 2 2 7 3 2" xfId="3708" xr:uid="{00000000-0005-0000-0000-0000370B0000}"/>
    <cellStyle name="Normal 2 2 7 3 2 2" xfId="5086" xr:uid="{00000000-0005-0000-0000-0000380B0000}"/>
    <cellStyle name="Normal 2 2 7 3 3" xfId="4397" xr:uid="{00000000-0005-0000-0000-0000390B0000}"/>
    <cellStyle name="Normal 2 2 7 4" xfId="3493" xr:uid="{00000000-0005-0000-0000-00003A0B0000}"/>
    <cellStyle name="Normal 2 2 7 4 2" xfId="4871" xr:uid="{00000000-0005-0000-0000-00003B0B0000}"/>
    <cellStyle name="Normal 2 2 7 5" xfId="4182" xr:uid="{00000000-0005-0000-0000-00003C0B0000}"/>
    <cellStyle name="Normal 2 2 8" xfId="2398" xr:uid="{00000000-0005-0000-0000-00003D0B0000}"/>
    <cellStyle name="Normal 2 2 8 2" xfId="3239" xr:uid="{00000000-0005-0000-0000-00003E0B0000}"/>
    <cellStyle name="Normal 2 2 8 2 2" xfId="3938" xr:uid="{00000000-0005-0000-0000-00003F0B0000}"/>
    <cellStyle name="Normal 2 2 8 2 2 2" xfId="5316" xr:uid="{00000000-0005-0000-0000-0000400B0000}"/>
    <cellStyle name="Normal 2 2 8 2 3" xfId="4627" xr:uid="{00000000-0005-0000-0000-0000410B0000}"/>
    <cellStyle name="Normal 2 2 8 3" xfId="3009" xr:uid="{00000000-0005-0000-0000-0000420B0000}"/>
    <cellStyle name="Normal 2 2 8 3 2" xfId="3712" xr:uid="{00000000-0005-0000-0000-0000430B0000}"/>
    <cellStyle name="Normal 2 2 8 3 2 2" xfId="5090" xr:uid="{00000000-0005-0000-0000-0000440B0000}"/>
    <cellStyle name="Normal 2 2 8 3 3" xfId="4401" xr:uid="{00000000-0005-0000-0000-0000450B0000}"/>
    <cellStyle name="Normal 2 2 8 4" xfId="3497" xr:uid="{00000000-0005-0000-0000-0000460B0000}"/>
    <cellStyle name="Normal 2 2 8 4 2" xfId="4875" xr:uid="{00000000-0005-0000-0000-0000470B0000}"/>
    <cellStyle name="Normal 2 2 8 5" xfId="4186" xr:uid="{00000000-0005-0000-0000-0000480B0000}"/>
    <cellStyle name="Normal 2 2 9" xfId="2411" xr:uid="{00000000-0005-0000-0000-0000490B0000}"/>
    <cellStyle name="Normal 2 2 9 2" xfId="3021" xr:uid="{00000000-0005-0000-0000-00004A0B0000}"/>
    <cellStyle name="Normal 2 2 9 2 2" xfId="3723" xr:uid="{00000000-0005-0000-0000-00004B0B0000}"/>
    <cellStyle name="Normal 2 2 9 2 2 2" xfId="5101" xr:uid="{00000000-0005-0000-0000-00004C0B0000}"/>
    <cellStyle name="Normal 2 2 9 2 3" xfId="4412" xr:uid="{00000000-0005-0000-0000-00004D0B0000}"/>
    <cellStyle name="Normal 2 2 9 3" xfId="3508" xr:uid="{00000000-0005-0000-0000-00004E0B0000}"/>
    <cellStyle name="Normal 2 2 9 3 2" xfId="4886" xr:uid="{00000000-0005-0000-0000-00004F0B0000}"/>
    <cellStyle name="Normal 2 2 9 4" xfId="4197" xr:uid="{00000000-0005-0000-0000-0000500B0000}"/>
    <cellStyle name="Normal 2 20" xfId="2385" xr:uid="{00000000-0005-0000-0000-0000510B0000}"/>
    <cellStyle name="Normal 2 20 2" xfId="3227" xr:uid="{00000000-0005-0000-0000-0000520B0000}"/>
    <cellStyle name="Normal 2 20 2 2" xfId="3926" xr:uid="{00000000-0005-0000-0000-0000530B0000}"/>
    <cellStyle name="Normal 2 20 2 2 2" xfId="5304" xr:uid="{00000000-0005-0000-0000-0000540B0000}"/>
    <cellStyle name="Normal 2 20 2 3" xfId="4615" xr:uid="{00000000-0005-0000-0000-0000550B0000}"/>
    <cellStyle name="Normal 2 20 3" xfId="2996" xr:uid="{00000000-0005-0000-0000-0000560B0000}"/>
    <cellStyle name="Normal 2 20 3 2" xfId="3700" xr:uid="{00000000-0005-0000-0000-0000570B0000}"/>
    <cellStyle name="Normal 2 20 3 2 2" xfId="5078" xr:uid="{00000000-0005-0000-0000-0000580B0000}"/>
    <cellStyle name="Normal 2 20 3 3" xfId="4389" xr:uid="{00000000-0005-0000-0000-0000590B0000}"/>
    <cellStyle name="Normal 2 20 4" xfId="3485" xr:uid="{00000000-0005-0000-0000-00005A0B0000}"/>
    <cellStyle name="Normal 2 20 4 2" xfId="4863" xr:uid="{00000000-0005-0000-0000-00005B0B0000}"/>
    <cellStyle name="Normal 2 20 5" xfId="4174" xr:uid="{00000000-0005-0000-0000-00005C0B0000}"/>
    <cellStyle name="Normal 2 21" xfId="2390" xr:uid="{00000000-0005-0000-0000-00005D0B0000}"/>
    <cellStyle name="Normal 2 21 2" xfId="3232" xr:uid="{00000000-0005-0000-0000-00005E0B0000}"/>
    <cellStyle name="Normal 2 21 2 2" xfId="3931" xr:uid="{00000000-0005-0000-0000-00005F0B0000}"/>
    <cellStyle name="Normal 2 21 2 2 2" xfId="5309" xr:uid="{00000000-0005-0000-0000-0000600B0000}"/>
    <cellStyle name="Normal 2 21 2 3" xfId="4620" xr:uid="{00000000-0005-0000-0000-0000610B0000}"/>
    <cellStyle name="Normal 2 21 3" xfId="3001" xr:uid="{00000000-0005-0000-0000-0000620B0000}"/>
    <cellStyle name="Normal 2 21 3 2" xfId="3705" xr:uid="{00000000-0005-0000-0000-0000630B0000}"/>
    <cellStyle name="Normal 2 21 3 2 2" xfId="5083" xr:uid="{00000000-0005-0000-0000-0000640B0000}"/>
    <cellStyle name="Normal 2 21 3 3" xfId="4394" xr:uid="{00000000-0005-0000-0000-0000650B0000}"/>
    <cellStyle name="Normal 2 21 4" xfId="3490" xr:uid="{00000000-0005-0000-0000-0000660B0000}"/>
    <cellStyle name="Normal 2 21 4 2" xfId="4868" xr:uid="{00000000-0005-0000-0000-0000670B0000}"/>
    <cellStyle name="Normal 2 21 5" xfId="4179" xr:uid="{00000000-0005-0000-0000-0000680B0000}"/>
    <cellStyle name="Normal 2 22" xfId="2391" xr:uid="{00000000-0005-0000-0000-0000690B0000}"/>
    <cellStyle name="Normal 2 22 2" xfId="3233" xr:uid="{00000000-0005-0000-0000-00006A0B0000}"/>
    <cellStyle name="Normal 2 22 2 2" xfId="3932" xr:uid="{00000000-0005-0000-0000-00006B0B0000}"/>
    <cellStyle name="Normal 2 22 2 2 2" xfId="5310" xr:uid="{00000000-0005-0000-0000-00006C0B0000}"/>
    <cellStyle name="Normal 2 22 2 3" xfId="4621" xr:uid="{00000000-0005-0000-0000-00006D0B0000}"/>
    <cellStyle name="Normal 2 22 3" xfId="3002" xr:uid="{00000000-0005-0000-0000-00006E0B0000}"/>
    <cellStyle name="Normal 2 22 3 2" xfId="3706" xr:uid="{00000000-0005-0000-0000-00006F0B0000}"/>
    <cellStyle name="Normal 2 22 3 2 2" xfId="5084" xr:uid="{00000000-0005-0000-0000-0000700B0000}"/>
    <cellStyle name="Normal 2 22 3 3" xfId="4395" xr:uid="{00000000-0005-0000-0000-0000710B0000}"/>
    <cellStyle name="Normal 2 22 4" xfId="3491" xr:uid="{00000000-0005-0000-0000-0000720B0000}"/>
    <cellStyle name="Normal 2 22 4 2" xfId="4869" xr:uid="{00000000-0005-0000-0000-0000730B0000}"/>
    <cellStyle name="Normal 2 22 5" xfId="4180" xr:uid="{00000000-0005-0000-0000-0000740B0000}"/>
    <cellStyle name="Normal 2 23" xfId="2397" xr:uid="{00000000-0005-0000-0000-0000750B0000}"/>
    <cellStyle name="Normal 2 23 2" xfId="3238" xr:uid="{00000000-0005-0000-0000-0000760B0000}"/>
    <cellStyle name="Normal 2 23 2 2" xfId="3937" xr:uid="{00000000-0005-0000-0000-0000770B0000}"/>
    <cellStyle name="Normal 2 23 2 2 2" xfId="5315" xr:uid="{00000000-0005-0000-0000-0000780B0000}"/>
    <cellStyle name="Normal 2 23 2 3" xfId="4626" xr:uid="{00000000-0005-0000-0000-0000790B0000}"/>
    <cellStyle name="Normal 2 23 3" xfId="3008" xr:uid="{00000000-0005-0000-0000-00007A0B0000}"/>
    <cellStyle name="Normal 2 23 3 2" xfId="3711" xr:uid="{00000000-0005-0000-0000-00007B0B0000}"/>
    <cellStyle name="Normal 2 23 3 2 2" xfId="5089" xr:uid="{00000000-0005-0000-0000-00007C0B0000}"/>
    <cellStyle name="Normal 2 23 3 3" xfId="4400" xr:uid="{00000000-0005-0000-0000-00007D0B0000}"/>
    <cellStyle name="Normal 2 23 4" xfId="3496" xr:uid="{00000000-0005-0000-0000-00007E0B0000}"/>
    <cellStyle name="Normal 2 23 4 2" xfId="4874" xr:uid="{00000000-0005-0000-0000-00007F0B0000}"/>
    <cellStyle name="Normal 2 23 5" xfId="4185" xr:uid="{00000000-0005-0000-0000-0000800B0000}"/>
    <cellStyle name="Normal 2 24" xfId="3023" xr:uid="{00000000-0005-0000-0000-0000810B0000}"/>
    <cellStyle name="Normal 2 24 2" xfId="3725" xr:uid="{00000000-0005-0000-0000-0000820B0000}"/>
    <cellStyle name="Normal 2 24 2 2" xfId="5103" xr:uid="{00000000-0005-0000-0000-0000830B0000}"/>
    <cellStyle name="Normal 2 24 3" xfId="4414" xr:uid="{00000000-0005-0000-0000-0000840B0000}"/>
    <cellStyle name="Normal 2 25" xfId="3037" xr:uid="{00000000-0005-0000-0000-0000850B0000}"/>
    <cellStyle name="Normal 2 25 2" xfId="3736" xr:uid="{00000000-0005-0000-0000-0000860B0000}"/>
    <cellStyle name="Normal 2 25 2 2" xfId="5114" xr:uid="{00000000-0005-0000-0000-0000870B0000}"/>
    <cellStyle name="Normal 2 25 3" xfId="4425" xr:uid="{00000000-0005-0000-0000-0000880B0000}"/>
    <cellStyle name="Normal 2 26" xfId="3250" xr:uid="{00000000-0005-0000-0000-0000890B0000}"/>
    <cellStyle name="Normal 2 26 2" xfId="3949" xr:uid="{00000000-0005-0000-0000-00008A0B0000}"/>
    <cellStyle name="Normal 2 26 2 2" xfId="5327" xr:uid="{00000000-0005-0000-0000-00008B0B0000}"/>
    <cellStyle name="Normal 2 26 3" xfId="4638" xr:uid="{00000000-0005-0000-0000-00008C0B0000}"/>
    <cellStyle name="Normal 2 27" xfId="2413" xr:uid="{00000000-0005-0000-0000-00008D0B0000}"/>
    <cellStyle name="Normal 2 27 2" xfId="3510" xr:uid="{00000000-0005-0000-0000-00008E0B0000}"/>
    <cellStyle name="Normal 2 27 2 2" xfId="4888" xr:uid="{00000000-0005-0000-0000-00008F0B0000}"/>
    <cellStyle name="Normal 2 27 3" xfId="4199" xr:uid="{00000000-0005-0000-0000-0000900B0000}"/>
    <cellStyle name="Normal 2 28" xfId="3258" xr:uid="{00000000-0005-0000-0000-0000910B0000}"/>
    <cellStyle name="Normal 2 28 2" xfId="3953" xr:uid="{00000000-0005-0000-0000-0000920B0000}"/>
    <cellStyle name="Normal 2 28 2 2" xfId="5331" xr:uid="{00000000-0005-0000-0000-0000930B0000}"/>
    <cellStyle name="Normal 2 28 3" xfId="4642" xr:uid="{00000000-0005-0000-0000-0000940B0000}"/>
    <cellStyle name="Normal 2 29" xfId="3263" xr:uid="{00000000-0005-0000-0000-0000950B0000}"/>
    <cellStyle name="Normal 2 29 2" xfId="3957" xr:uid="{00000000-0005-0000-0000-0000960B0000}"/>
    <cellStyle name="Normal 2 29 2 2" xfId="5335" xr:uid="{00000000-0005-0000-0000-0000970B0000}"/>
    <cellStyle name="Normal 2 29 3" xfId="4646" xr:uid="{00000000-0005-0000-0000-0000980B0000}"/>
    <cellStyle name="Normal 2 3" xfId="1017" xr:uid="{00000000-0005-0000-0000-0000990B0000}"/>
    <cellStyle name="Normal 2 3 10" xfId="5502" xr:uid="{B465F6BC-E480-4022-BDB0-8F5F75F46678}"/>
    <cellStyle name="Normal 2 3 11" xfId="5509" xr:uid="{61A729F5-7065-4940-8DE0-FC8C57A022D8}"/>
    <cellStyle name="Normal 2 3 12" xfId="5523" xr:uid="{00000000-0005-0000-0000-000008000000}"/>
    <cellStyle name="Normal 2 3 2" xfId="1883" xr:uid="{00000000-0005-0000-0000-00009A0B0000}"/>
    <cellStyle name="Normal 2 3 2 2" xfId="3121" xr:uid="{00000000-0005-0000-0000-00009B0B0000}"/>
    <cellStyle name="Normal 2 3 2 2 2" xfId="3820" xr:uid="{00000000-0005-0000-0000-00009C0B0000}"/>
    <cellStyle name="Normal 2 3 2 2 2 2" xfId="5198" xr:uid="{00000000-0005-0000-0000-00009D0B0000}"/>
    <cellStyle name="Normal 2 3 2 2 3" xfId="4509" xr:uid="{00000000-0005-0000-0000-00009E0B0000}"/>
    <cellStyle name="Normal 2 3 2 3" xfId="2514" xr:uid="{00000000-0005-0000-0000-00009F0B0000}"/>
    <cellStyle name="Normal 2 3 2 3 2" xfId="3594" xr:uid="{00000000-0005-0000-0000-0000A00B0000}"/>
    <cellStyle name="Normal 2 3 2 3 2 2" xfId="4972" xr:uid="{00000000-0005-0000-0000-0000A10B0000}"/>
    <cellStyle name="Normal 2 3 2 3 3" xfId="4283" xr:uid="{00000000-0005-0000-0000-0000A20B0000}"/>
    <cellStyle name="Normal 2 3 2 4" xfId="3292" xr:uid="{00000000-0005-0000-0000-0000A30B0000}"/>
    <cellStyle name="Normal 2 3 2 4 2" xfId="4670" xr:uid="{00000000-0005-0000-0000-0000A40B0000}"/>
    <cellStyle name="Normal 2 3 2 5" xfId="3379" xr:uid="{00000000-0005-0000-0000-0000A50B0000}"/>
    <cellStyle name="Normal 2 3 2 5 2" xfId="4757" xr:uid="{00000000-0005-0000-0000-0000A60B0000}"/>
    <cellStyle name="Normal 2 3 2 6" xfId="3979" xr:uid="{00000000-0005-0000-0000-0000A70B0000}"/>
    <cellStyle name="Normal 2 3 2 6 2" xfId="5354" xr:uid="{00000000-0005-0000-0000-0000A80B0000}"/>
    <cellStyle name="Normal 2 3 2 7" xfId="4068" xr:uid="{00000000-0005-0000-0000-0000A90B0000}"/>
    <cellStyle name="Normal 2 3 2 8" xfId="5440" xr:uid="{00000000-0005-0000-0000-00005D000000}"/>
    <cellStyle name="Normal 2 3 3" xfId="3026" xr:uid="{00000000-0005-0000-0000-0000AA0B0000}"/>
    <cellStyle name="Normal 2 3 3 2" xfId="3728" xr:uid="{00000000-0005-0000-0000-0000AB0B0000}"/>
    <cellStyle name="Normal 2 3 3 2 2" xfId="5106" xr:uid="{00000000-0005-0000-0000-0000AC0B0000}"/>
    <cellStyle name="Normal 2 3 3 3" xfId="4417" xr:uid="{00000000-0005-0000-0000-0000AD0B0000}"/>
    <cellStyle name="Normal 2 3 4" xfId="3266" xr:uid="{00000000-0005-0000-0000-0000AE0B0000}"/>
    <cellStyle name="Normal 2 3 4 2" xfId="3960" xr:uid="{00000000-0005-0000-0000-0000AF0B0000}"/>
    <cellStyle name="Normal 2 3 4 2 2" xfId="5338" xr:uid="{00000000-0005-0000-0000-0000B00B0000}"/>
    <cellStyle name="Normal 2 3 4 3" xfId="4649" xr:uid="{00000000-0005-0000-0000-0000B10B0000}"/>
    <cellStyle name="Normal 2 3 5" xfId="3277" xr:uid="{00000000-0005-0000-0000-0000B20B0000}"/>
    <cellStyle name="Normal 2 3 5 2" xfId="4656" xr:uid="{00000000-0005-0000-0000-0000B30B0000}"/>
    <cellStyle name="Normal 2 3 6" xfId="3284" xr:uid="{00000000-0005-0000-0000-0000B40B0000}"/>
    <cellStyle name="Normal 2 3 6 2" xfId="4662" xr:uid="{00000000-0005-0000-0000-0000B50B0000}"/>
    <cellStyle name="Normal 2 3 7" xfId="3968" xr:uid="{00000000-0005-0000-0000-0000B60B0000}"/>
    <cellStyle name="Normal 2 3 7 2" xfId="5345" xr:uid="{00000000-0005-0000-0000-0000B70B0000}"/>
    <cellStyle name="Normal 2 3 8" xfId="5363" xr:uid="{00000000-0005-0000-0000-0000B80B0000}"/>
    <cellStyle name="Normal 2 3 9" xfId="5400" xr:uid="{00000000-0005-0000-0000-00005C000000}"/>
    <cellStyle name="Normal 2 30" xfId="3272" xr:uid="{00000000-0005-0000-0000-0000B90B0000}"/>
    <cellStyle name="Normal 2 30 2" xfId="4652" xr:uid="{00000000-0005-0000-0000-0000BA0B0000}"/>
    <cellStyle name="Normal 2 31" xfId="3281" xr:uid="{00000000-0005-0000-0000-0000BB0B0000}"/>
    <cellStyle name="Normal 2 31 2" xfId="4659" xr:uid="{00000000-0005-0000-0000-0000BC0B0000}"/>
    <cellStyle name="Normal 2 32" xfId="3295" xr:uid="{00000000-0005-0000-0000-0000BD0B0000}"/>
    <cellStyle name="Normal 2 32 2" xfId="4673" xr:uid="{00000000-0005-0000-0000-0000BE0B0000}"/>
    <cellStyle name="Normal 2 33" xfId="3963" xr:uid="{00000000-0005-0000-0000-0000BF0B0000}"/>
    <cellStyle name="Normal 2 33 2" xfId="5341" xr:uid="{00000000-0005-0000-0000-0000C00B0000}"/>
    <cellStyle name="Normal 2 34" xfId="3984" xr:uid="{00000000-0005-0000-0000-0000C10B0000}"/>
    <cellStyle name="Normal 2 35" xfId="5359" xr:uid="{00000000-0005-0000-0000-0000C20B0000}"/>
    <cellStyle name="Normal 2 36" xfId="5392" xr:uid="{00000000-0005-0000-0000-000057000000}"/>
    <cellStyle name="Normal 2 37" xfId="5497" xr:uid="{998A5E01-D343-494A-8385-8F39F6875D1D}"/>
    <cellStyle name="Normal 2 38" xfId="5507" xr:uid="{EBC1712F-85E6-4190-B0CF-7A3D4F94BCF0}"/>
    <cellStyle name="Normal 2 39" xfId="5517" xr:uid="{00000000-0005-0000-0000-000002000000}"/>
    <cellStyle name="Normal 2 4" xfId="1018" xr:uid="{00000000-0005-0000-0000-0000C30B0000}"/>
    <cellStyle name="Normal 2 4 2" xfId="1019" xr:uid="{00000000-0005-0000-0000-0000C40B0000}"/>
    <cellStyle name="Normal 2 4 2 2" xfId="3981" xr:uid="{00000000-0005-0000-0000-0000C50B0000}"/>
    <cellStyle name="Normal 2 4 2 2 2" xfId="5356" xr:uid="{00000000-0005-0000-0000-0000C60B0000}"/>
    <cellStyle name="Normal 2 4 2 3" xfId="5442" xr:uid="{00000000-0005-0000-0000-00005F000000}"/>
    <cellStyle name="Normal 2 4 3" xfId="3030" xr:uid="{00000000-0005-0000-0000-0000C70B0000}"/>
    <cellStyle name="Normal 2 4 4" xfId="3288" xr:uid="{00000000-0005-0000-0000-0000C80B0000}"/>
    <cellStyle name="Normal 2 4 4 2" xfId="4666" xr:uid="{00000000-0005-0000-0000-0000C90B0000}"/>
    <cellStyle name="Normal 2 4 5" xfId="3971" xr:uid="{00000000-0005-0000-0000-0000CA0B0000}"/>
    <cellStyle name="Normal 2 4 5 2" xfId="5347" xr:uid="{00000000-0005-0000-0000-0000CB0B0000}"/>
    <cellStyle name="Normal 2 4 6" xfId="5402" xr:uid="{00000000-0005-0000-0000-00005E000000}"/>
    <cellStyle name="Normal 2 4 7" xfId="5506" xr:uid="{046F53C6-531E-4BAD-889F-591A16CDCD77}"/>
    <cellStyle name="Normal 2 40" xfId="5519" xr:uid="{00000000-0005-0000-0000-000001000000}"/>
    <cellStyle name="Normal 2 41" xfId="5522" xr:uid="{00000000-0005-0000-0000-000006000000}"/>
    <cellStyle name="Normal 2 5" xfId="4" xr:uid="{00000000-0005-0000-0000-0000CC0B0000}"/>
    <cellStyle name="Normal 2 6" xfId="1359" xr:uid="{00000000-0005-0000-0000-0000CD0B0000}"/>
    <cellStyle name="Normal 2 6 10" xfId="3299" xr:uid="{00000000-0005-0000-0000-0000CE0B0000}"/>
    <cellStyle name="Normal 2 6 10 2" xfId="4677" xr:uid="{00000000-0005-0000-0000-0000CF0B0000}"/>
    <cellStyle name="Normal 2 6 11" xfId="3973" xr:uid="{00000000-0005-0000-0000-0000D00B0000}"/>
    <cellStyle name="Normal 2 6 12" xfId="3988" xr:uid="{00000000-0005-0000-0000-0000D10B0000}"/>
    <cellStyle name="Normal 2 6 13" xfId="5479" xr:uid="{00000000-0005-0000-0000-000061000000}"/>
    <cellStyle name="Normal 2 6 2" xfId="1428" xr:uid="{00000000-0005-0000-0000-0000D20B0000}"/>
    <cellStyle name="Normal 2 6 2 2" xfId="1449" xr:uid="{00000000-0005-0000-0000-0000D30B0000}"/>
    <cellStyle name="Normal 2 6 2 2 2" xfId="2267" xr:uid="{00000000-0005-0000-0000-0000D40B0000}"/>
    <cellStyle name="Normal 2 6 2 2 2 2" xfId="3137" xr:uid="{00000000-0005-0000-0000-0000D50B0000}"/>
    <cellStyle name="Normal 2 6 2 2 2 2 2" xfId="3836" xr:uid="{00000000-0005-0000-0000-0000D60B0000}"/>
    <cellStyle name="Normal 2 6 2 2 2 2 2 2" xfId="5214" xr:uid="{00000000-0005-0000-0000-0000D70B0000}"/>
    <cellStyle name="Normal 2 6 2 2 2 2 3" xfId="4525" xr:uid="{00000000-0005-0000-0000-0000D80B0000}"/>
    <cellStyle name="Normal 2 6 2 2 2 3" xfId="2898" xr:uid="{00000000-0005-0000-0000-0000D90B0000}"/>
    <cellStyle name="Normal 2 6 2 2 2 3 2" xfId="3610" xr:uid="{00000000-0005-0000-0000-0000DA0B0000}"/>
    <cellStyle name="Normal 2 6 2 2 2 3 2 2" xfId="4988" xr:uid="{00000000-0005-0000-0000-0000DB0B0000}"/>
    <cellStyle name="Normal 2 6 2 2 2 3 3" xfId="4299" xr:uid="{00000000-0005-0000-0000-0000DC0B0000}"/>
    <cellStyle name="Normal 2 6 2 2 2 4" xfId="3395" xr:uid="{00000000-0005-0000-0000-0000DD0B0000}"/>
    <cellStyle name="Normal 2 6 2 2 2 4 2" xfId="4773" xr:uid="{00000000-0005-0000-0000-0000DE0B0000}"/>
    <cellStyle name="Normal 2 6 2 2 2 5" xfId="4084" xr:uid="{00000000-0005-0000-0000-0000DF0B0000}"/>
    <cellStyle name="Normal 2 6 2 2 3" xfId="3065" xr:uid="{00000000-0005-0000-0000-0000E00B0000}"/>
    <cellStyle name="Normal 2 6 2 2 3 2" xfId="3764" xr:uid="{00000000-0005-0000-0000-0000E10B0000}"/>
    <cellStyle name="Normal 2 6 2 2 3 2 2" xfId="5142" xr:uid="{00000000-0005-0000-0000-0000E20B0000}"/>
    <cellStyle name="Normal 2 6 2 2 3 3" xfId="4453" xr:uid="{00000000-0005-0000-0000-0000E30B0000}"/>
    <cellStyle name="Normal 2 6 2 2 4" xfId="2452" xr:uid="{00000000-0005-0000-0000-0000E40B0000}"/>
    <cellStyle name="Normal 2 6 2 2 4 2" xfId="3538" xr:uid="{00000000-0005-0000-0000-0000E50B0000}"/>
    <cellStyle name="Normal 2 6 2 2 4 2 2" xfId="4916" xr:uid="{00000000-0005-0000-0000-0000E60B0000}"/>
    <cellStyle name="Normal 2 6 2 2 4 3" xfId="4227" xr:uid="{00000000-0005-0000-0000-0000E70B0000}"/>
    <cellStyle name="Normal 2 6 2 2 5" xfId="3323" xr:uid="{00000000-0005-0000-0000-0000E80B0000}"/>
    <cellStyle name="Normal 2 6 2 2 5 2" xfId="4701" xr:uid="{00000000-0005-0000-0000-0000E90B0000}"/>
    <cellStyle name="Normal 2 6 2 2 6" xfId="4012" xr:uid="{00000000-0005-0000-0000-0000EA0B0000}"/>
    <cellStyle name="Normal 2 6 2 3" xfId="1502" xr:uid="{00000000-0005-0000-0000-0000EB0B0000}"/>
    <cellStyle name="Normal 2 6 2 3 2" xfId="2268" xr:uid="{00000000-0005-0000-0000-0000EC0B0000}"/>
    <cellStyle name="Normal 2 6 2 3 2 2" xfId="3138" xr:uid="{00000000-0005-0000-0000-0000ED0B0000}"/>
    <cellStyle name="Normal 2 6 2 3 2 2 2" xfId="3837" xr:uid="{00000000-0005-0000-0000-0000EE0B0000}"/>
    <cellStyle name="Normal 2 6 2 3 2 2 2 2" xfId="5215" xr:uid="{00000000-0005-0000-0000-0000EF0B0000}"/>
    <cellStyle name="Normal 2 6 2 3 2 2 3" xfId="4526" xr:uid="{00000000-0005-0000-0000-0000F00B0000}"/>
    <cellStyle name="Normal 2 6 2 3 2 3" xfId="2899" xr:uid="{00000000-0005-0000-0000-0000F10B0000}"/>
    <cellStyle name="Normal 2 6 2 3 2 3 2" xfId="3611" xr:uid="{00000000-0005-0000-0000-0000F20B0000}"/>
    <cellStyle name="Normal 2 6 2 3 2 3 2 2" xfId="4989" xr:uid="{00000000-0005-0000-0000-0000F30B0000}"/>
    <cellStyle name="Normal 2 6 2 3 2 3 3" xfId="4300" xr:uid="{00000000-0005-0000-0000-0000F40B0000}"/>
    <cellStyle name="Normal 2 6 2 3 2 4" xfId="3396" xr:uid="{00000000-0005-0000-0000-0000F50B0000}"/>
    <cellStyle name="Normal 2 6 2 3 2 4 2" xfId="4774" xr:uid="{00000000-0005-0000-0000-0000F60B0000}"/>
    <cellStyle name="Normal 2 6 2 3 2 5" xfId="4085" xr:uid="{00000000-0005-0000-0000-0000F70B0000}"/>
    <cellStyle name="Normal 2 6 2 3 3" xfId="3087" xr:uid="{00000000-0005-0000-0000-0000F80B0000}"/>
    <cellStyle name="Normal 2 6 2 3 3 2" xfId="3786" xr:uid="{00000000-0005-0000-0000-0000F90B0000}"/>
    <cellStyle name="Normal 2 6 2 3 3 2 2" xfId="5164" xr:uid="{00000000-0005-0000-0000-0000FA0B0000}"/>
    <cellStyle name="Normal 2 6 2 3 3 3" xfId="4475" xr:uid="{00000000-0005-0000-0000-0000FB0B0000}"/>
    <cellStyle name="Normal 2 6 2 3 4" xfId="2474" xr:uid="{00000000-0005-0000-0000-0000FC0B0000}"/>
    <cellStyle name="Normal 2 6 2 3 4 2" xfId="3560" xr:uid="{00000000-0005-0000-0000-0000FD0B0000}"/>
    <cellStyle name="Normal 2 6 2 3 4 2 2" xfId="4938" xr:uid="{00000000-0005-0000-0000-0000FE0B0000}"/>
    <cellStyle name="Normal 2 6 2 3 4 3" xfId="4249" xr:uid="{00000000-0005-0000-0000-0000FF0B0000}"/>
    <cellStyle name="Normal 2 6 2 3 5" xfId="3345" xr:uid="{00000000-0005-0000-0000-0000000C0000}"/>
    <cellStyle name="Normal 2 6 2 3 5 2" xfId="4723" xr:uid="{00000000-0005-0000-0000-0000010C0000}"/>
    <cellStyle name="Normal 2 6 2 3 6" xfId="4034" xr:uid="{00000000-0005-0000-0000-0000020C0000}"/>
    <cellStyle name="Normal 2 6 2 4" xfId="2266" xr:uid="{00000000-0005-0000-0000-0000030C0000}"/>
    <cellStyle name="Normal 2 6 2 4 2" xfId="3136" xr:uid="{00000000-0005-0000-0000-0000040C0000}"/>
    <cellStyle name="Normal 2 6 2 4 2 2" xfId="3835" xr:uid="{00000000-0005-0000-0000-0000050C0000}"/>
    <cellStyle name="Normal 2 6 2 4 2 2 2" xfId="5213" xr:uid="{00000000-0005-0000-0000-0000060C0000}"/>
    <cellStyle name="Normal 2 6 2 4 2 3" xfId="4524" xr:uid="{00000000-0005-0000-0000-0000070C0000}"/>
    <cellStyle name="Normal 2 6 2 4 3" xfId="2897" xr:uid="{00000000-0005-0000-0000-0000080C0000}"/>
    <cellStyle name="Normal 2 6 2 4 3 2" xfId="3609" xr:uid="{00000000-0005-0000-0000-0000090C0000}"/>
    <cellStyle name="Normal 2 6 2 4 3 2 2" xfId="4987" xr:uid="{00000000-0005-0000-0000-00000A0C0000}"/>
    <cellStyle name="Normal 2 6 2 4 3 3" xfId="4298" xr:uid="{00000000-0005-0000-0000-00000B0C0000}"/>
    <cellStyle name="Normal 2 6 2 4 4" xfId="3394" xr:uid="{00000000-0005-0000-0000-00000C0C0000}"/>
    <cellStyle name="Normal 2 6 2 4 4 2" xfId="4772" xr:uid="{00000000-0005-0000-0000-00000D0C0000}"/>
    <cellStyle name="Normal 2 6 2 4 5" xfId="4083" xr:uid="{00000000-0005-0000-0000-00000E0C0000}"/>
    <cellStyle name="Normal 2 6 2 5" xfId="3049" xr:uid="{00000000-0005-0000-0000-00000F0C0000}"/>
    <cellStyle name="Normal 2 6 2 5 2" xfId="3748" xr:uid="{00000000-0005-0000-0000-0000100C0000}"/>
    <cellStyle name="Normal 2 6 2 5 2 2" xfId="5126" xr:uid="{00000000-0005-0000-0000-0000110C0000}"/>
    <cellStyle name="Normal 2 6 2 5 3" xfId="4437" xr:uid="{00000000-0005-0000-0000-0000120C0000}"/>
    <cellStyle name="Normal 2 6 2 6" xfId="2436" xr:uid="{00000000-0005-0000-0000-0000130C0000}"/>
    <cellStyle name="Normal 2 6 2 6 2" xfId="3522" xr:uid="{00000000-0005-0000-0000-0000140C0000}"/>
    <cellStyle name="Normal 2 6 2 6 2 2" xfId="4900" xr:uid="{00000000-0005-0000-0000-0000150C0000}"/>
    <cellStyle name="Normal 2 6 2 6 3" xfId="4211" xr:uid="{00000000-0005-0000-0000-0000160C0000}"/>
    <cellStyle name="Normal 2 6 2 7" xfId="3307" xr:uid="{00000000-0005-0000-0000-0000170C0000}"/>
    <cellStyle name="Normal 2 6 2 7 2" xfId="4685" xr:uid="{00000000-0005-0000-0000-0000180C0000}"/>
    <cellStyle name="Normal 2 6 2 8" xfId="3996" xr:uid="{00000000-0005-0000-0000-0000190C0000}"/>
    <cellStyle name="Normal 2 6 3" xfId="1448" xr:uid="{00000000-0005-0000-0000-00001A0C0000}"/>
    <cellStyle name="Normal 2 6 3 2" xfId="2269" xr:uid="{00000000-0005-0000-0000-00001B0C0000}"/>
    <cellStyle name="Normal 2 6 3 2 2" xfId="3139" xr:uid="{00000000-0005-0000-0000-00001C0C0000}"/>
    <cellStyle name="Normal 2 6 3 2 2 2" xfId="3838" xr:uid="{00000000-0005-0000-0000-00001D0C0000}"/>
    <cellStyle name="Normal 2 6 3 2 2 2 2" xfId="5216" xr:uid="{00000000-0005-0000-0000-00001E0C0000}"/>
    <cellStyle name="Normal 2 6 3 2 2 3" xfId="4527" xr:uid="{00000000-0005-0000-0000-00001F0C0000}"/>
    <cellStyle name="Normal 2 6 3 2 3" xfId="2900" xr:uid="{00000000-0005-0000-0000-0000200C0000}"/>
    <cellStyle name="Normal 2 6 3 2 3 2" xfId="3612" xr:uid="{00000000-0005-0000-0000-0000210C0000}"/>
    <cellStyle name="Normal 2 6 3 2 3 2 2" xfId="4990" xr:uid="{00000000-0005-0000-0000-0000220C0000}"/>
    <cellStyle name="Normal 2 6 3 2 3 3" xfId="4301" xr:uid="{00000000-0005-0000-0000-0000230C0000}"/>
    <cellStyle name="Normal 2 6 3 2 4" xfId="3397" xr:uid="{00000000-0005-0000-0000-0000240C0000}"/>
    <cellStyle name="Normal 2 6 3 2 4 2" xfId="4775" xr:uid="{00000000-0005-0000-0000-0000250C0000}"/>
    <cellStyle name="Normal 2 6 3 2 5" xfId="4086" xr:uid="{00000000-0005-0000-0000-0000260C0000}"/>
    <cellStyle name="Normal 2 6 3 3" xfId="3064" xr:uid="{00000000-0005-0000-0000-0000270C0000}"/>
    <cellStyle name="Normal 2 6 3 3 2" xfId="3763" xr:uid="{00000000-0005-0000-0000-0000280C0000}"/>
    <cellStyle name="Normal 2 6 3 3 2 2" xfId="5141" xr:uid="{00000000-0005-0000-0000-0000290C0000}"/>
    <cellStyle name="Normal 2 6 3 3 3" xfId="4452" xr:uid="{00000000-0005-0000-0000-00002A0C0000}"/>
    <cellStyle name="Normal 2 6 3 4" xfId="2451" xr:uid="{00000000-0005-0000-0000-00002B0C0000}"/>
    <cellStyle name="Normal 2 6 3 4 2" xfId="3537" xr:uid="{00000000-0005-0000-0000-00002C0C0000}"/>
    <cellStyle name="Normal 2 6 3 4 2 2" xfId="4915" xr:uid="{00000000-0005-0000-0000-00002D0C0000}"/>
    <cellStyle name="Normal 2 6 3 4 3" xfId="4226" xr:uid="{00000000-0005-0000-0000-00002E0C0000}"/>
    <cellStyle name="Normal 2 6 3 5" xfId="3322" xr:uid="{00000000-0005-0000-0000-00002F0C0000}"/>
    <cellStyle name="Normal 2 6 3 5 2" xfId="4700" xr:uid="{00000000-0005-0000-0000-0000300C0000}"/>
    <cellStyle name="Normal 2 6 3 6" xfId="4011" xr:uid="{00000000-0005-0000-0000-0000310C0000}"/>
    <cellStyle name="Normal 2 6 4" xfId="1501" xr:uid="{00000000-0005-0000-0000-0000320C0000}"/>
    <cellStyle name="Normal 2 6 4 2" xfId="2270" xr:uid="{00000000-0005-0000-0000-0000330C0000}"/>
    <cellStyle name="Normal 2 6 4 2 2" xfId="3140" xr:uid="{00000000-0005-0000-0000-0000340C0000}"/>
    <cellStyle name="Normal 2 6 4 2 2 2" xfId="3839" xr:uid="{00000000-0005-0000-0000-0000350C0000}"/>
    <cellStyle name="Normal 2 6 4 2 2 2 2" xfId="5217" xr:uid="{00000000-0005-0000-0000-0000360C0000}"/>
    <cellStyle name="Normal 2 6 4 2 2 3" xfId="4528" xr:uid="{00000000-0005-0000-0000-0000370C0000}"/>
    <cellStyle name="Normal 2 6 4 2 3" xfId="2901" xr:uid="{00000000-0005-0000-0000-0000380C0000}"/>
    <cellStyle name="Normal 2 6 4 2 3 2" xfId="3613" xr:uid="{00000000-0005-0000-0000-0000390C0000}"/>
    <cellStyle name="Normal 2 6 4 2 3 2 2" xfId="4991" xr:uid="{00000000-0005-0000-0000-00003A0C0000}"/>
    <cellStyle name="Normal 2 6 4 2 3 3" xfId="4302" xr:uid="{00000000-0005-0000-0000-00003B0C0000}"/>
    <cellStyle name="Normal 2 6 4 2 4" xfId="3398" xr:uid="{00000000-0005-0000-0000-00003C0C0000}"/>
    <cellStyle name="Normal 2 6 4 2 4 2" xfId="4776" xr:uid="{00000000-0005-0000-0000-00003D0C0000}"/>
    <cellStyle name="Normal 2 6 4 2 5" xfId="4087" xr:uid="{00000000-0005-0000-0000-00003E0C0000}"/>
    <cellStyle name="Normal 2 6 4 3" xfId="3086" xr:uid="{00000000-0005-0000-0000-00003F0C0000}"/>
    <cellStyle name="Normal 2 6 4 3 2" xfId="3785" xr:uid="{00000000-0005-0000-0000-0000400C0000}"/>
    <cellStyle name="Normal 2 6 4 3 2 2" xfId="5163" xr:uid="{00000000-0005-0000-0000-0000410C0000}"/>
    <cellStyle name="Normal 2 6 4 3 3" xfId="4474" xr:uid="{00000000-0005-0000-0000-0000420C0000}"/>
    <cellStyle name="Normal 2 6 4 4" xfId="2473" xr:uid="{00000000-0005-0000-0000-0000430C0000}"/>
    <cellStyle name="Normal 2 6 4 4 2" xfId="3559" xr:uid="{00000000-0005-0000-0000-0000440C0000}"/>
    <cellStyle name="Normal 2 6 4 4 2 2" xfId="4937" xr:uid="{00000000-0005-0000-0000-0000450C0000}"/>
    <cellStyle name="Normal 2 6 4 4 3" xfId="4248" xr:uid="{00000000-0005-0000-0000-0000460C0000}"/>
    <cellStyle name="Normal 2 6 4 5" xfId="3344" xr:uid="{00000000-0005-0000-0000-0000470C0000}"/>
    <cellStyle name="Normal 2 6 4 5 2" xfId="4722" xr:uid="{00000000-0005-0000-0000-0000480C0000}"/>
    <cellStyle name="Normal 2 6 4 6" xfId="4033" xr:uid="{00000000-0005-0000-0000-0000490C0000}"/>
    <cellStyle name="Normal 2 6 5" xfId="2265" xr:uid="{00000000-0005-0000-0000-00004A0C0000}"/>
    <cellStyle name="Normal 2 6 5 2" xfId="3135" xr:uid="{00000000-0005-0000-0000-00004B0C0000}"/>
    <cellStyle name="Normal 2 6 5 2 2" xfId="3834" xr:uid="{00000000-0005-0000-0000-00004C0C0000}"/>
    <cellStyle name="Normal 2 6 5 2 2 2" xfId="5212" xr:uid="{00000000-0005-0000-0000-00004D0C0000}"/>
    <cellStyle name="Normal 2 6 5 2 3" xfId="4523" xr:uid="{00000000-0005-0000-0000-00004E0C0000}"/>
    <cellStyle name="Normal 2 6 5 3" xfId="2896" xr:uid="{00000000-0005-0000-0000-00004F0C0000}"/>
    <cellStyle name="Normal 2 6 5 3 2" xfId="3608" xr:uid="{00000000-0005-0000-0000-0000500C0000}"/>
    <cellStyle name="Normal 2 6 5 3 2 2" xfId="4986" xr:uid="{00000000-0005-0000-0000-0000510C0000}"/>
    <cellStyle name="Normal 2 6 5 3 3" xfId="4297" xr:uid="{00000000-0005-0000-0000-0000520C0000}"/>
    <cellStyle name="Normal 2 6 5 4" xfId="3393" xr:uid="{00000000-0005-0000-0000-0000530C0000}"/>
    <cellStyle name="Normal 2 6 5 4 2" xfId="4771" xr:uid="{00000000-0005-0000-0000-0000540C0000}"/>
    <cellStyle name="Normal 2 6 5 5" xfId="4082" xr:uid="{00000000-0005-0000-0000-0000550C0000}"/>
    <cellStyle name="Normal 2 6 6" xfId="3036" xr:uid="{00000000-0005-0000-0000-0000560C0000}"/>
    <cellStyle name="Normal 2 6 6 2" xfId="3735" xr:uid="{00000000-0005-0000-0000-0000570C0000}"/>
    <cellStyle name="Normal 2 6 6 2 2" xfId="5113" xr:uid="{00000000-0005-0000-0000-0000580C0000}"/>
    <cellStyle name="Normal 2 6 6 3" xfId="4424" xr:uid="{00000000-0005-0000-0000-0000590C0000}"/>
    <cellStyle name="Normal 2 6 7" xfId="3041" xr:uid="{00000000-0005-0000-0000-00005A0C0000}"/>
    <cellStyle name="Normal 2 6 7 2" xfId="3740" xr:uid="{00000000-0005-0000-0000-00005B0C0000}"/>
    <cellStyle name="Normal 2 6 7 2 2" xfId="5118" xr:uid="{00000000-0005-0000-0000-00005C0C0000}"/>
    <cellStyle name="Normal 2 6 7 3" xfId="4429" xr:uid="{00000000-0005-0000-0000-00005D0C0000}"/>
    <cellStyle name="Normal 2 6 8" xfId="2423" xr:uid="{00000000-0005-0000-0000-00005E0C0000}"/>
    <cellStyle name="Normal 2 6 8 2" xfId="3514" xr:uid="{00000000-0005-0000-0000-00005F0C0000}"/>
    <cellStyle name="Normal 2 6 8 2 2" xfId="4892" xr:uid="{00000000-0005-0000-0000-0000600C0000}"/>
    <cellStyle name="Normal 2 6 8 3" xfId="4203" xr:uid="{00000000-0005-0000-0000-0000610C0000}"/>
    <cellStyle name="Normal 2 6 9" xfId="3289" xr:uid="{00000000-0005-0000-0000-0000620C0000}"/>
    <cellStyle name="Normal 2 6 9 2" xfId="4667" xr:uid="{00000000-0005-0000-0000-0000630C0000}"/>
    <cellStyle name="Normal 2 7" xfId="1381" xr:uid="{00000000-0005-0000-0000-0000640C0000}"/>
    <cellStyle name="Normal 2 7 2" xfId="3975" xr:uid="{00000000-0005-0000-0000-0000650C0000}"/>
    <cellStyle name="Normal 2 7 2 2" xfId="5350" xr:uid="{00000000-0005-0000-0000-0000660C0000}"/>
    <cellStyle name="Normal 2 7 3" xfId="5436" xr:uid="{00000000-0005-0000-0000-000062000000}"/>
    <cellStyle name="Normal 2 8" xfId="1421" xr:uid="{00000000-0005-0000-0000-0000670C0000}"/>
    <cellStyle name="Normal 2 8 2" xfId="1450" xr:uid="{00000000-0005-0000-0000-0000680C0000}"/>
    <cellStyle name="Normal 2 8 2 2" xfId="2272" xr:uid="{00000000-0005-0000-0000-0000690C0000}"/>
    <cellStyle name="Normal 2 8 2 2 2" xfId="3142" xr:uid="{00000000-0005-0000-0000-00006A0C0000}"/>
    <cellStyle name="Normal 2 8 2 2 2 2" xfId="3841" xr:uid="{00000000-0005-0000-0000-00006B0C0000}"/>
    <cellStyle name="Normal 2 8 2 2 2 2 2" xfId="5219" xr:uid="{00000000-0005-0000-0000-00006C0C0000}"/>
    <cellStyle name="Normal 2 8 2 2 2 3" xfId="4530" xr:uid="{00000000-0005-0000-0000-00006D0C0000}"/>
    <cellStyle name="Normal 2 8 2 2 3" xfId="2903" xr:uid="{00000000-0005-0000-0000-00006E0C0000}"/>
    <cellStyle name="Normal 2 8 2 2 3 2" xfId="3615" xr:uid="{00000000-0005-0000-0000-00006F0C0000}"/>
    <cellStyle name="Normal 2 8 2 2 3 2 2" xfId="4993" xr:uid="{00000000-0005-0000-0000-0000700C0000}"/>
    <cellStyle name="Normal 2 8 2 2 3 3" xfId="4304" xr:uid="{00000000-0005-0000-0000-0000710C0000}"/>
    <cellStyle name="Normal 2 8 2 2 4" xfId="3400" xr:uid="{00000000-0005-0000-0000-0000720C0000}"/>
    <cellStyle name="Normal 2 8 2 2 4 2" xfId="4778" xr:uid="{00000000-0005-0000-0000-0000730C0000}"/>
    <cellStyle name="Normal 2 8 2 2 5" xfId="4089" xr:uid="{00000000-0005-0000-0000-0000740C0000}"/>
    <cellStyle name="Normal 2 8 2 3" xfId="3066" xr:uid="{00000000-0005-0000-0000-0000750C0000}"/>
    <cellStyle name="Normal 2 8 2 3 2" xfId="3765" xr:uid="{00000000-0005-0000-0000-0000760C0000}"/>
    <cellStyle name="Normal 2 8 2 3 2 2" xfId="5143" xr:uid="{00000000-0005-0000-0000-0000770C0000}"/>
    <cellStyle name="Normal 2 8 2 3 3" xfId="4454" xr:uid="{00000000-0005-0000-0000-0000780C0000}"/>
    <cellStyle name="Normal 2 8 2 4" xfId="2453" xr:uid="{00000000-0005-0000-0000-0000790C0000}"/>
    <cellStyle name="Normal 2 8 2 4 2" xfId="3539" xr:uid="{00000000-0005-0000-0000-00007A0C0000}"/>
    <cellStyle name="Normal 2 8 2 4 2 2" xfId="4917" xr:uid="{00000000-0005-0000-0000-00007B0C0000}"/>
    <cellStyle name="Normal 2 8 2 4 3" xfId="4228" xr:uid="{00000000-0005-0000-0000-00007C0C0000}"/>
    <cellStyle name="Normal 2 8 2 5" xfId="3324" xr:uid="{00000000-0005-0000-0000-00007D0C0000}"/>
    <cellStyle name="Normal 2 8 2 5 2" xfId="4702" xr:uid="{00000000-0005-0000-0000-00007E0C0000}"/>
    <cellStyle name="Normal 2 8 2 6" xfId="4013" xr:uid="{00000000-0005-0000-0000-00007F0C0000}"/>
    <cellStyle name="Normal 2 8 3" xfId="1503" xr:uid="{00000000-0005-0000-0000-0000800C0000}"/>
    <cellStyle name="Normal 2 8 3 2" xfId="2273" xr:uid="{00000000-0005-0000-0000-0000810C0000}"/>
    <cellStyle name="Normal 2 8 3 2 2" xfId="3143" xr:uid="{00000000-0005-0000-0000-0000820C0000}"/>
    <cellStyle name="Normal 2 8 3 2 2 2" xfId="3842" xr:uid="{00000000-0005-0000-0000-0000830C0000}"/>
    <cellStyle name="Normal 2 8 3 2 2 2 2" xfId="5220" xr:uid="{00000000-0005-0000-0000-0000840C0000}"/>
    <cellStyle name="Normal 2 8 3 2 2 3" xfId="4531" xr:uid="{00000000-0005-0000-0000-0000850C0000}"/>
    <cellStyle name="Normal 2 8 3 2 3" xfId="2904" xr:uid="{00000000-0005-0000-0000-0000860C0000}"/>
    <cellStyle name="Normal 2 8 3 2 3 2" xfId="3616" xr:uid="{00000000-0005-0000-0000-0000870C0000}"/>
    <cellStyle name="Normal 2 8 3 2 3 2 2" xfId="4994" xr:uid="{00000000-0005-0000-0000-0000880C0000}"/>
    <cellStyle name="Normal 2 8 3 2 3 3" xfId="4305" xr:uid="{00000000-0005-0000-0000-0000890C0000}"/>
    <cellStyle name="Normal 2 8 3 2 4" xfId="3401" xr:uid="{00000000-0005-0000-0000-00008A0C0000}"/>
    <cellStyle name="Normal 2 8 3 2 4 2" xfId="4779" xr:uid="{00000000-0005-0000-0000-00008B0C0000}"/>
    <cellStyle name="Normal 2 8 3 2 5" xfId="4090" xr:uid="{00000000-0005-0000-0000-00008C0C0000}"/>
    <cellStyle name="Normal 2 8 3 3" xfId="3088" xr:uid="{00000000-0005-0000-0000-00008D0C0000}"/>
    <cellStyle name="Normal 2 8 3 3 2" xfId="3787" xr:uid="{00000000-0005-0000-0000-00008E0C0000}"/>
    <cellStyle name="Normal 2 8 3 3 2 2" xfId="5165" xr:uid="{00000000-0005-0000-0000-00008F0C0000}"/>
    <cellStyle name="Normal 2 8 3 3 3" xfId="4476" xr:uid="{00000000-0005-0000-0000-0000900C0000}"/>
    <cellStyle name="Normal 2 8 3 4" xfId="2475" xr:uid="{00000000-0005-0000-0000-0000910C0000}"/>
    <cellStyle name="Normal 2 8 3 4 2" xfId="3561" xr:uid="{00000000-0005-0000-0000-0000920C0000}"/>
    <cellStyle name="Normal 2 8 3 4 2 2" xfId="4939" xr:uid="{00000000-0005-0000-0000-0000930C0000}"/>
    <cellStyle name="Normal 2 8 3 4 3" xfId="4250" xr:uid="{00000000-0005-0000-0000-0000940C0000}"/>
    <cellStyle name="Normal 2 8 3 5" xfId="3346" xr:uid="{00000000-0005-0000-0000-0000950C0000}"/>
    <cellStyle name="Normal 2 8 3 5 2" xfId="4724" xr:uid="{00000000-0005-0000-0000-0000960C0000}"/>
    <cellStyle name="Normal 2 8 3 6" xfId="4035" xr:uid="{00000000-0005-0000-0000-0000970C0000}"/>
    <cellStyle name="Normal 2 8 4" xfId="2271" xr:uid="{00000000-0005-0000-0000-0000980C0000}"/>
    <cellStyle name="Normal 2 8 4 2" xfId="3141" xr:uid="{00000000-0005-0000-0000-0000990C0000}"/>
    <cellStyle name="Normal 2 8 4 2 2" xfId="3840" xr:uid="{00000000-0005-0000-0000-00009A0C0000}"/>
    <cellStyle name="Normal 2 8 4 2 2 2" xfId="5218" xr:uid="{00000000-0005-0000-0000-00009B0C0000}"/>
    <cellStyle name="Normal 2 8 4 2 3" xfId="4529" xr:uid="{00000000-0005-0000-0000-00009C0C0000}"/>
    <cellStyle name="Normal 2 8 4 3" xfId="2902" xr:uid="{00000000-0005-0000-0000-00009D0C0000}"/>
    <cellStyle name="Normal 2 8 4 3 2" xfId="3614" xr:uid="{00000000-0005-0000-0000-00009E0C0000}"/>
    <cellStyle name="Normal 2 8 4 3 2 2" xfId="4992" xr:uid="{00000000-0005-0000-0000-00009F0C0000}"/>
    <cellStyle name="Normal 2 8 4 3 3" xfId="4303" xr:uid="{00000000-0005-0000-0000-0000A00C0000}"/>
    <cellStyle name="Normal 2 8 4 4" xfId="3399" xr:uid="{00000000-0005-0000-0000-0000A10C0000}"/>
    <cellStyle name="Normal 2 8 4 4 2" xfId="4777" xr:uid="{00000000-0005-0000-0000-0000A20C0000}"/>
    <cellStyle name="Normal 2 8 4 5" xfId="4088" xr:uid="{00000000-0005-0000-0000-0000A30C0000}"/>
    <cellStyle name="Normal 2 8 5" xfId="3045" xr:uid="{00000000-0005-0000-0000-0000A40C0000}"/>
    <cellStyle name="Normal 2 8 5 2" xfId="3744" xr:uid="{00000000-0005-0000-0000-0000A50C0000}"/>
    <cellStyle name="Normal 2 8 5 2 2" xfId="5122" xr:uid="{00000000-0005-0000-0000-0000A60C0000}"/>
    <cellStyle name="Normal 2 8 5 3" xfId="4433" xr:uid="{00000000-0005-0000-0000-0000A70C0000}"/>
    <cellStyle name="Normal 2 8 6" xfId="2430" xr:uid="{00000000-0005-0000-0000-0000A80C0000}"/>
    <cellStyle name="Normal 2 8 6 2" xfId="3518" xr:uid="{00000000-0005-0000-0000-0000A90C0000}"/>
    <cellStyle name="Normal 2 8 6 2 2" xfId="4896" xr:uid="{00000000-0005-0000-0000-0000AA0C0000}"/>
    <cellStyle name="Normal 2 8 6 3" xfId="4207" xr:uid="{00000000-0005-0000-0000-0000AB0C0000}"/>
    <cellStyle name="Normal 2 8 7" xfId="3303" xr:uid="{00000000-0005-0000-0000-0000AC0C0000}"/>
    <cellStyle name="Normal 2 8 7 2" xfId="4681" xr:uid="{00000000-0005-0000-0000-0000AD0C0000}"/>
    <cellStyle name="Normal 2 8 8" xfId="3992" xr:uid="{00000000-0005-0000-0000-0000AE0C0000}"/>
    <cellStyle name="Normal 2 9" xfId="1435" xr:uid="{00000000-0005-0000-0000-0000AF0C0000}"/>
    <cellStyle name="Normal 2 9 2" xfId="1451" xr:uid="{00000000-0005-0000-0000-0000B00C0000}"/>
    <cellStyle name="Normal 2 9 2 2" xfId="2275" xr:uid="{00000000-0005-0000-0000-0000B10C0000}"/>
    <cellStyle name="Normal 2 9 2 2 2" xfId="3145" xr:uid="{00000000-0005-0000-0000-0000B20C0000}"/>
    <cellStyle name="Normal 2 9 2 2 2 2" xfId="3844" xr:uid="{00000000-0005-0000-0000-0000B30C0000}"/>
    <cellStyle name="Normal 2 9 2 2 2 2 2" xfId="5222" xr:uid="{00000000-0005-0000-0000-0000B40C0000}"/>
    <cellStyle name="Normal 2 9 2 2 2 3" xfId="4533" xr:uid="{00000000-0005-0000-0000-0000B50C0000}"/>
    <cellStyle name="Normal 2 9 2 2 3" xfId="2906" xr:uid="{00000000-0005-0000-0000-0000B60C0000}"/>
    <cellStyle name="Normal 2 9 2 2 3 2" xfId="3618" xr:uid="{00000000-0005-0000-0000-0000B70C0000}"/>
    <cellStyle name="Normal 2 9 2 2 3 2 2" xfId="4996" xr:uid="{00000000-0005-0000-0000-0000B80C0000}"/>
    <cellStyle name="Normal 2 9 2 2 3 3" xfId="4307" xr:uid="{00000000-0005-0000-0000-0000B90C0000}"/>
    <cellStyle name="Normal 2 9 2 2 4" xfId="3403" xr:uid="{00000000-0005-0000-0000-0000BA0C0000}"/>
    <cellStyle name="Normal 2 9 2 2 4 2" xfId="4781" xr:uid="{00000000-0005-0000-0000-0000BB0C0000}"/>
    <cellStyle name="Normal 2 9 2 2 5" xfId="4092" xr:uid="{00000000-0005-0000-0000-0000BC0C0000}"/>
    <cellStyle name="Normal 2 9 2 3" xfId="3067" xr:uid="{00000000-0005-0000-0000-0000BD0C0000}"/>
    <cellStyle name="Normal 2 9 2 3 2" xfId="3766" xr:uid="{00000000-0005-0000-0000-0000BE0C0000}"/>
    <cellStyle name="Normal 2 9 2 3 2 2" xfId="5144" xr:uid="{00000000-0005-0000-0000-0000BF0C0000}"/>
    <cellStyle name="Normal 2 9 2 3 3" xfId="4455" xr:uid="{00000000-0005-0000-0000-0000C00C0000}"/>
    <cellStyle name="Normal 2 9 2 4" xfId="2454" xr:uid="{00000000-0005-0000-0000-0000C10C0000}"/>
    <cellStyle name="Normal 2 9 2 4 2" xfId="3540" xr:uid="{00000000-0005-0000-0000-0000C20C0000}"/>
    <cellStyle name="Normal 2 9 2 4 2 2" xfId="4918" xr:uid="{00000000-0005-0000-0000-0000C30C0000}"/>
    <cellStyle name="Normal 2 9 2 4 3" xfId="4229" xr:uid="{00000000-0005-0000-0000-0000C40C0000}"/>
    <cellStyle name="Normal 2 9 2 5" xfId="3325" xr:uid="{00000000-0005-0000-0000-0000C50C0000}"/>
    <cellStyle name="Normal 2 9 2 5 2" xfId="4703" xr:uid="{00000000-0005-0000-0000-0000C60C0000}"/>
    <cellStyle name="Normal 2 9 2 6" xfId="4014" xr:uid="{00000000-0005-0000-0000-0000C70C0000}"/>
    <cellStyle name="Normal 2 9 3" xfId="1504" xr:uid="{00000000-0005-0000-0000-0000C80C0000}"/>
    <cellStyle name="Normal 2 9 3 2" xfId="2276" xr:uid="{00000000-0005-0000-0000-0000C90C0000}"/>
    <cellStyle name="Normal 2 9 3 2 2" xfId="3146" xr:uid="{00000000-0005-0000-0000-0000CA0C0000}"/>
    <cellStyle name="Normal 2 9 3 2 2 2" xfId="3845" xr:uid="{00000000-0005-0000-0000-0000CB0C0000}"/>
    <cellStyle name="Normal 2 9 3 2 2 2 2" xfId="5223" xr:uid="{00000000-0005-0000-0000-0000CC0C0000}"/>
    <cellStyle name="Normal 2 9 3 2 2 3" xfId="4534" xr:uid="{00000000-0005-0000-0000-0000CD0C0000}"/>
    <cellStyle name="Normal 2 9 3 2 3" xfId="2907" xr:uid="{00000000-0005-0000-0000-0000CE0C0000}"/>
    <cellStyle name="Normal 2 9 3 2 3 2" xfId="3619" xr:uid="{00000000-0005-0000-0000-0000CF0C0000}"/>
    <cellStyle name="Normal 2 9 3 2 3 2 2" xfId="4997" xr:uid="{00000000-0005-0000-0000-0000D00C0000}"/>
    <cellStyle name="Normal 2 9 3 2 3 3" xfId="4308" xr:uid="{00000000-0005-0000-0000-0000D10C0000}"/>
    <cellStyle name="Normal 2 9 3 2 4" xfId="3404" xr:uid="{00000000-0005-0000-0000-0000D20C0000}"/>
    <cellStyle name="Normal 2 9 3 2 4 2" xfId="4782" xr:uid="{00000000-0005-0000-0000-0000D30C0000}"/>
    <cellStyle name="Normal 2 9 3 2 5" xfId="4093" xr:uid="{00000000-0005-0000-0000-0000D40C0000}"/>
    <cellStyle name="Normal 2 9 3 3" xfId="3089" xr:uid="{00000000-0005-0000-0000-0000D50C0000}"/>
    <cellStyle name="Normal 2 9 3 3 2" xfId="3788" xr:uid="{00000000-0005-0000-0000-0000D60C0000}"/>
    <cellStyle name="Normal 2 9 3 3 2 2" xfId="5166" xr:uid="{00000000-0005-0000-0000-0000D70C0000}"/>
    <cellStyle name="Normal 2 9 3 3 3" xfId="4477" xr:uid="{00000000-0005-0000-0000-0000D80C0000}"/>
    <cellStyle name="Normal 2 9 3 4" xfId="2476" xr:uid="{00000000-0005-0000-0000-0000D90C0000}"/>
    <cellStyle name="Normal 2 9 3 4 2" xfId="3562" xr:uid="{00000000-0005-0000-0000-0000DA0C0000}"/>
    <cellStyle name="Normal 2 9 3 4 2 2" xfId="4940" xr:uid="{00000000-0005-0000-0000-0000DB0C0000}"/>
    <cellStyle name="Normal 2 9 3 4 3" xfId="4251" xr:uid="{00000000-0005-0000-0000-0000DC0C0000}"/>
    <cellStyle name="Normal 2 9 3 5" xfId="3347" xr:uid="{00000000-0005-0000-0000-0000DD0C0000}"/>
    <cellStyle name="Normal 2 9 3 5 2" xfId="4725" xr:uid="{00000000-0005-0000-0000-0000DE0C0000}"/>
    <cellStyle name="Normal 2 9 3 6" xfId="4036" xr:uid="{00000000-0005-0000-0000-0000DF0C0000}"/>
    <cellStyle name="Normal 2 9 4" xfId="2274" xr:uid="{00000000-0005-0000-0000-0000E00C0000}"/>
    <cellStyle name="Normal 2 9 4 2" xfId="3144" xr:uid="{00000000-0005-0000-0000-0000E10C0000}"/>
    <cellStyle name="Normal 2 9 4 2 2" xfId="3843" xr:uid="{00000000-0005-0000-0000-0000E20C0000}"/>
    <cellStyle name="Normal 2 9 4 2 2 2" xfId="5221" xr:uid="{00000000-0005-0000-0000-0000E30C0000}"/>
    <cellStyle name="Normal 2 9 4 2 3" xfId="4532" xr:uid="{00000000-0005-0000-0000-0000E40C0000}"/>
    <cellStyle name="Normal 2 9 4 3" xfId="2905" xr:uid="{00000000-0005-0000-0000-0000E50C0000}"/>
    <cellStyle name="Normal 2 9 4 3 2" xfId="3617" xr:uid="{00000000-0005-0000-0000-0000E60C0000}"/>
    <cellStyle name="Normal 2 9 4 3 2 2" xfId="4995" xr:uid="{00000000-0005-0000-0000-0000E70C0000}"/>
    <cellStyle name="Normal 2 9 4 3 3" xfId="4306" xr:uid="{00000000-0005-0000-0000-0000E80C0000}"/>
    <cellStyle name="Normal 2 9 4 4" xfId="3402" xr:uid="{00000000-0005-0000-0000-0000E90C0000}"/>
    <cellStyle name="Normal 2 9 4 4 2" xfId="4780" xr:uid="{00000000-0005-0000-0000-0000EA0C0000}"/>
    <cellStyle name="Normal 2 9 4 5" xfId="4091" xr:uid="{00000000-0005-0000-0000-0000EB0C0000}"/>
    <cellStyle name="Normal 2 9 5" xfId="3053" xr:uid="{00000000-0005-0000-0000-0000EC0C0000}"/>
    <cellStyle name="Normal 2 9 5 2" xfId="3752" xr:uid="{00000000-0005-0000-0000-0000ED0C0000}"/>
    <cellStyle name="Normal 2 9 5 2 2" xfId="5130" xr:uid="{00000000-0005-0000-0000-0000EE0C0000}"/>
    <cellStyle name="Normal 2 9 5 3" xfId="4441" xr:uid="{00000000-0005-0000-0000-0000EF0C0000}"/>
    <cellStyle name="Normal 2 9 6" xfId="2440" xr:uid="{00000000-0005-0000-0000-0000F00C0000}"/>
    <cellStyle name="Normal 2 9 6 2" xfId="3526" xr:uid="{00000000-0005-0000-0000-0000F10C0000}"/>
    <cellStyle name="Normal 2 9 6 2 2" xfId="4904" xr:uid="{00000000-0005-0000-0000-0000F20C0000}"/>
    <cellStyle name="Normal 2 9 6 3" xfId="4215" xr:uid="{00000000-0005-0000-0000-0000F30C0000}"/>
    <cellStyle name="Normal 2 9 7" xfId="3311" xr:uid="{00000000-0005-0000-0000-0000F40C0000}"/>
    <cellStyle name="Normal 2 9 7 2" xfId="4689" xr:uid="{00000000-0005-0000-0000-0000F50C0000}"/>
    <cellStyle name="Normal 2 9 8" xfId="4000" xr:uid="{00000000-0005-0000-0000-0000F60C0000}"/>
    <cellStyle name="Normal 2_Reporting Package - ZEITI 2009 - Final" xfId="1361" xr:uid="{00000000-0005-0000-0000-0000F70C0000}"/>
    <cellStyle name="Normal 20" xfId="1362" xr:uid="{00000000-0005-0000-0000-0000F80C0000}"/>
    <cellStyle name="Normal 21" xfId="1382" xr:uid="{00000000-0005-0000-0000-0000F90C0000}"/>
    <cellStyle name="Normal 22" xfId="1409" xr:uid="{00000000-0005-0000-0000-0000FA0C0000}"/>
    <cellStyle name="Normal 23" xfId="1407" xr:uid="{00000000-0005-0000-0000-0000FB0C0000}"/>
    <cellStyle name="Normal 24" xfId="1408" xr:uid="{00000000-0005-0000-0000-0000FC0C0000}"/>
    <cellStyle name="Normal 24 2" xfId="5478" xr:uid="{00000000-0005-0000-0000-000064000000}"/>
    <cellStyle name="Normal 24 3" xfId="5435" xr:uid="{00000000-0005-0000-0000-000063000000}"/>
    <cellStyle name="Normal 25" xfId="1411" xr:uid="{00000000-0005-0000-0000-0000FD0C0000}"/>
    <cellStyle name="Normal 26" xfId="1420" xr:uid="{00000000-0005-0000-0000-0000FE0C0000}"/>
    <cellStyle name="Normal 26 2" xfId="1452" xr:uid="{00000000-0005-0000-0000-0000FF0C0000}"/>
    <cellStyle name="Normal 26 2 2" xfId="2278" xr:uid="{00000000-0005-0000-0000-0000000D0000}"/>
    <cellStyle name="Normal 26 2 2 2" xfId="3148" xr:uid="{00000000-0005-0000-0000-0000010D0000}"/>
    <cellStyle name="Normal 26 2 2 2 2" xfId="3847" xr:uid="{00000000-0005-0000-0000-0000020D0000}"/>
    <cellStyle name="Normal 26 2 2 2 2 2" xfId="5225" xr:uid="{00000000-0005-0000-0000-0000030D0000}"/>
    <cellStyle name="Normal 26 2 2 2 3" xfId="4536" xr:uid="{00000000-0005-0000-0000-0000040D0000}"/>
    <cellStyle name="Normal 26 2 2 3" xfId="2909" xr:uid="{00000000-0005-0000-0000-0000050D0000}"/>
    <cellStyle name="Normal 26 2 2 3 2" xfId="3621" xr:uid="{00000000-0005-0000-0000-0000060D0000}"/>
    <cellStyle name="Normal 26 2 2 3 2 2" xfId="4999" xr:uid="{00000000-0005-0000-0000-0000070D0000}"/>
    <cellStyle name="Normal 26 2 2 3 3" xfId="4310" xr:uid="{00000000-0005-0000-0000-0000080D0000}"/>
    <cellStyle name="Normal 26 2 2 4" xfId="3406" xr:uid="{00000000-0005-0000-0000-0000090D0000}"/>
    <cellStyle name="Normal 26 2 2 4 2" xfId="4784" xr:uid="{00000000-0005-0000-0000-00000A0D0000}"/>
    <cellStyle name="Normal 26 2 2 5" xfId="4095" xr:uid="{00000000-0005-0000-0000-00000B0D0000}"/>
    <cellStyle name="Normal 26 2 3" xfId="3068" xr:uid="{00000000-0005-0000-0000-00000C0D0000}"/>
    <cellStyle name="Normal 26 2 3 2" xfId="3767" xr:uid="{00000000-0005-0000-0000-00000D0D0000}"/>
    <cellStyle name="Normal 26 2 3 2 2" xfId="5145" xr:uid="{00000000-0005-0000-0000-00000E0D0000}"/>
    <cellStyle name="Normal 26 2 3 3" xfId="4456" xr:uid="{00000000-0005-0000-0000-00000F0D0000}"/>
    <cellStyle name="Normal 26 2 4" xfId="2455" xr:uid="{00000000-0005-0000-0000-0000100D0000}"/>
    <cellStyle name="Normal 26 2 4 2" xfId="3541" xr:uid="{00000000-0005-0000-0000-0000110D0000}"/>
    <cellStyle name="Normal 26 2 4 2 2" xfId="4919" xr:uid="{00000000-0005-0000-0000-0000120D0000}"/>
    <cellStyle name="Normal 26 2 4 3" xfId="4230" xr:uid="{00000000-0005-0000-0000-0000130D0000}"/>
    <cellStyle name="Normal 26 2 5" xfId="3326" xr:uid="{00000000-0005-0000-0000-0000140D0000}"/>
    <cellStyle name="Normal 26 2 5 2" xfId="4704" xr:uid="{00000000-0005-0000-0000-0000150D0000}"/>
    <cellStyle name="Normal 26 2 6" xfId="4015" xr:uid="{00000000-0005-0000-0000-0000160D0000}"/>
    <cellStyle name="Normal 26 3" xfId="1505" xr:uid="{00000000-0005-0000-0000-0000170D0000}"/>
    <cellStyle name="Normal 26 3 2" xfId="2279" xr:uid="{00000000-0005-0000-0000-0000180D0000}"/>
    <cellStyle name="Normal 26 3 2 2" xfId="3149" xr:uid="{00000000-0005-0000-0000-0000190D0000}"/>
    <cellStyle name="Normal 26 3 2 2 2" xfId="3848" xr:uid="{00000000-0005-0000-0000-00001A0D0000}"/>
    <cellStyle name="Normal 26 3 2 2 2 2" xfId="5226" xr:uid="{00000000-0005-0000-0000-00001B0D0000}"/>
    <cellStyle name="Normal 26 3 2 2 3" xfId="4537" xr:uid="{00000000-0005-0000-0000-00001C0D0000}"/>
    <cellStyle name="Normal 26 3 2 3" xfId="2910" xr:uid="{00000000-0005-0000-0000-00001D0D0000}"/>
    <cellStyle name="Normal 26 3 2 3 2" xfId="3622" xr:uid="{00000000-0005-0000-0000-00001E0D0000}"/>
    <cellStyle name="Normal 26 3 2 3 2 2" xfId="5000" xr:uid="{00000000-0005-0000-0000-00001F0D0000}"/>
    <cellStyle name="Normal 26 3 2 3 3" xfId="4311" xr:uid="{00000000-0005-0000-0000-0000200D0000}"/>
    <cellStyle name="Normal 26 3 2 4" xfId="3407" xr:uid="{00000000-0005-0000-0000-0000210D0000}"/>
    <cellStyle name="Normal 26 3 2 4 2" xfId="4785" xr:uid="{00000000-0005-0000-0000-0000220D0000}"/>
    <cellStyle name="Normal 26 3 2 5" xfId="4096" xr:uid="{00000000-0005-0000-0000-0000230D0000}"/>
    <cellStyle name="Normal 26 3 3" xfId="3090" xr:uid="{00000000-0005-0000-0000-0000240D0000}"/>
    <cellStyle name="Normal 26 3 3 2" xfId="3789" xr:uid="{00000000-0005-0000-0000-0000250D0000}"/>
    <cellStyle name="Normal 26 3 3 2 2" xfId="5167" xr:uid="{00000000-0005-0000-0000-0000260D0000}"/>
    <cellStyle name="Normal 26 3 3 3" xfId="4478" xr:uid="{00000000-0005-0000-0000-0000270D0000}"/>
    <cellStyle name="Normal 26 3 4" xfId="2477" xr:uid="{00000000-0005-0000-0000-0000280D0000}"/>
    <cellStyle name="Normal 26 3 4 2" xfId="3563" xr:uid="{00000000-0005-0000-0000-0000290D0000}"/>
    <cellStyle name="Normal 26 3 4 2 2" xfId="4941" xr:uid="{00000000-0005-0000-0000-00002A0D0000}"/>
    <cellStyle name="Normal 26 3 4 3" xfId="4252" xr:uid="{00000000-0005-0000-0000-00002B0D0000}"/>
    <cellStyle name="Normal 26 3 5" xfId="3348" xr:uid="{00000000-0005-0000-0000-00002C0D0000}"/>
    <cellStyle name="Normal 26 3 5 2" xfId="4726" xr:uid="{00000000-0005-0000-0000-00002D0D0000}"/>
    <cellStyle name="Normal 26 3 6" xfId="4037" xr:uid="{00000000-0005-0000-0000-00002E0D0000}"/>
    <cellStyle name="Normal 26 4" xfId="2277" xr:uid="{00000000-0005-0000-0000-00002F0D0000}"/>
    <cellStyle name="Normal 26 4 2" xfId="3147" xr:uid="{00000000-0005-0000-0000-0000300D0000}"/>
    <cellStyle name="Normal 26 4 2 2" xfId="3846" xr:uid="{00000000-0005-0000-0000-0000310D0000}"/>
    <cellStyle name="Normal 26 4 2 2 2" xfId="5224" xr:uid="{00000000-0005-0000-0000-0000320D0000}"/>
    <cellStyle name="Normal 26 4 2 3" xfId="4535" xr:uid="{00000000-0005-0000-0000-0000330D0000}"/>
    <cellStyle name="Normal 26 4 3" xfId="2908" xr:uid="{00000000-0005-0000-0000-0000340D0000}"/>
    <cellStyle name="Normal 26 4 3 2" xfId="3620" xr:uid="{00000000-0005-0000-0000-0000350D0000}"/>
    <cellStyle name="Normal 26 4 3 2 2" xfId="4998" xr:uid="{00000000-0005-0000-0000-0000360D0000}"/>
    <cellStyle name="Normal 26 4 3 3" xfId="4309" xr:uid="{00000000-0005-0000-0000-0000370D0000}"/>
    <cellStyle name="Normal 26 4 4" xfId="3405" xr:uid="{00000000-0005-0000-0000-0000380D0000}"/>
    <cellStyle name="Normal 26 4 4 2" xfId="4783" xr:uid="{00000000-0005-0000-0000-0000390D0000}"/>
    <cellStyle name="Normal 26 4 5" xfId="4094" xr:uid="{00000000-0005-0000-0000-00003A0D0000}"/>
    <cellStyle name="Normal 26 5" xfId="3044" xr:uid="{00000000-0005-0000-0000-00003B0D0000}"/>
    <cellStyle name="Normal 26 5 2" xfId="3743" xr:uid="{00000000-0005-0000-0000-00003C0D0000}"/>
    <cellStyle name="Normal 26 5 2 2" xfId="5121" xr:uid="{00000000-0005-0000-0000-00003D0D0000}"/>
    <cellStyle name="Normal 26 5 3" xfId="4432" xr:uid="{00000000-0005-0000-0000-00003E0D0000}"/>
    <cellStyle name="Normal 26 6" xfId="2429" xr:uid="{00000000-0005-0000-0000-00003F0D0000}"/>
    <cellStyle name="Normal 26 6 2" xfId="3517" xr:uid="{00000000-0005-0000-0000-0000400D0000}"/>
    <cellStyle name="Normal 26 6 2 2" xfId="4895" xr:uid="{00000000-0005-0000-0000-0000410D0000}"/>
    <cellStyle name="Normal 26 6 3" xfId="4206" xr:uid="{00000000-0005-0000-0000-0000420D0000}"/>
    <cellStyle name="Normal 26 7" xfId="3302" xr:uid="{00000000-0005-0000-0000-0000430D0000}"/>
    <cellStyle name="Normal 26 7 2" xfId="4680" xr:uid="{00000000-0005-0000-0000-0000440D0000}"/>
    <cellStyle name="Normal 26 8" xfId="3991" xr:uid="{00000000-0005-0000-0000-0000450D0000}"/>
    <cellStyle name="Normal 27" xfId="1434" xr:uid="{00000000-0005-0000-0000-0000460D0000}"/>
    <cellStyle name="Normal 27 2" xfId="1453" xr:uid="{00000000-0005-0000-0000-0000470D0000}"/>
    <cellStyle name="Normal 27 2 2" xfId="2281" xr:uid="{00000000-0005-0000-0000-0000480D0000}"/>
    <cellStyle name="Normal 27 2 2 2" xfId="3151" xr:uid="{00000000-0005-0000-0000-0000490D0000}"/>
    <cellStyle name="Normal 27 2 2 2 2" xfId="3850" xr:uid="{00000000-0005-0000-0000-00004A0D0000}"/>
    <cellStyle name="Normal 27 2 2 2 2 2" xfId="5228" xr:uid="{00000000-0005-0000-0000-00004B0D0000}"/>
    <cellStyle name="Normal 27 2 2 2 3" xfId="4539" xr:uid="{00000000-0005-0000-0000-00004C0D0000}"/>
    <cellStyle name="Normal 27 2 2 3" xfId="2912" xr:uid="{00000000-0005-0000-0000-00004D0D0000}"/>
    <cellStyle name="Normal 27 2 2 3 2" xfId="3624" xr:uid="{00000000-0005-0000-0000-00004E0D0000}"/>
    <cellStyle name="Normal 27 2 2 3 2 2" xfId="5002" xr:uid="{00000000-0005-0000-0000-00004F0D0000}"/>
    <cellStyle name="Normal 27 2 2 3 3" xfId="4313" xr:uid="{00000000-0005-0000-0000-0000500D0000}"/>
    <cellStyle name="Normal 27 2 2 4" xfId="3409" xr:uid="{00000000-0005-0000-0000-0000510D0000}"/>
    <cellStyle name="Normal 27 2 2 4 2" xfId="4787" xr:uid="{00000000-0005-0000-0000-0000520D0000}"/>
    <cellStyle name="Normal 27 2 2 5" xfId="4098" xr:uid="{00000000-0005-0000-0000-0000530D0000}"/>
    <cellStyle name="Normal 27 2 3" xfId="3069" xr:uid="{00000000-0005-0000-0000-0000540D0000}"/>
    <cellStyle name="Normal 27 2 3 2" xfId="3768" xr:uid="{00000000-0005-0000-0000-0000550D0000}"/>
    <cellStyle name="Normal 27 2 3 2 2" xfId="5146" xr:uid="{00000000-0005-0000-0000-0000560D0000}"/>
    <cellStyle name="Normal 27 2 3 3" xfId="4457" xr:uid="{00000000-0005-0000-0000-0000570D0000}"/>
    <cellStyle name="Normal 27 2 4" xfId="2456" xr:uid="{00000000-0005-0000-0000-0000580D0000}"/>
    <cellStyle name="Normal 27 2 4 2" xfId="3542" xr:uid="{00000000-0005-0000-0000-0000590D0000}"/>
    <cellStyle name="Normal 27 2 4 2 2" xfId="4920" xr:uid="{00000000-0005-0000-0000-00005A0D0000}"/>
    <cellStyle name="Normal 27 2 4 3" xfId="4231" xr:uid="{00000000-0005-0000-0000-00005B0D0000}"/>
    <cellStyle name="Normal 27 2 5" xfId="3327" xr:uid="{00000000-0005-0000-0000-00005C0D0000}"/>
    <cellStyle name="Normal 27 2 5 2" xfId="4705" xr:uid="{00000000-0005-0000-0000-00005D0D0000}"/>
    <cellStyle name="Normal 27 2 6" xfId="4016" xr:uid="{00000000-0005-0000-0000-00005E0D0000}"/>
    <cellStyle name="Normal 27 3" xfId="1506" xr:uid="{00000000-0005-0000-0000-00005F0D0000}"/>
    <cellStyle name="Normal 27 3 2" xfId="2282" xr:uid="{00000000-0005-0000-0000-0000600D0000}"/>
    <cellStyle name="Normal 27 3 2 2" xfId="3152" xr:uid="{00000000-0005-0000-0000-0000610D0000}"/>
    <cellStyle name="Normal 27 3 2 2 2" xfId="3851" xr:uid="{00000000-0005-0000-0000-0000620D0000}"/>
    <cellStyle name="Normal 27 3 2 2 2 2" xfId="5229" xr:uid="{00000000-0005-0000-0000-0000630D0000}"/>
    <cellStyle name="Normal 27 3 2 2 3" xfId="4540" xr:uid="{00000000-0005-0000-0000-0000640D0000}"/>
    <cellStyle name="Normal 27 3 2 3" xfId="2913" xr:uid="{00000000-0005-0000-0000-0000650D0000}"/>
    <cellStyle name="Normal 27 3 2 3 2" xfId="3625" xr:uid="{00000000-0005-0000-0000-0000660D0000}"/>
    <cellStyle name="Normal 27 3 2 3 2 2" xfId="5003" xr:uid="{00000000-0005-0000-0000-0000670D0000}"/>
    <cellStyle name="Normal 27 3 2 3 3" xfId="4314" xr:uid="{00000000-0005-0000-0000-0000680D0000}"/>
    <cellStyle name="Normal 27 3 2 4" xfId="3410" xr:uid="{00000000-0005-0000-0000-0000690D0000}"/>
    <cellStyle name="Normal 27 3 2 4 2" xfId="4788" xr:uid="{00000000-0005-0000-0000-00006A0D0000}"/>
    <cellStyle name="Normal 27 3 2 5" xfId="4099" xr:uid="{00000000-0005-0000-0000-00006B0D0000}"/>
    <cellStyle name="Normal 27 3 3" xfId="3091" xr:uid="{00000000-0005-0000-0000-00006C0D0000}"/>
    <cellStyle name="Normal 27 3 3 2" xfId="3790" xr:uid="{00000000-0005-0000-0000-00006D0D0000}"/>
    <cellStyle name="Normal 27 3 3 2 2" xfId="5168" xr:uid="{00000000-0005-0000-0000-00006E0D0000}"/>
    <cellStyle name="Normal 27 3 3 3" xfId="4479" xr:uid="{00000000-0005-0000-0000-00006F0D0000}"/>
    <cellStyle name="Normal 27 3 4" xfId="2478" xr:uid="{00000000-0005-0000-0000-0000700D0000}"/>
    <cellStyle name="Normal 27 3 4 2" xfId="3564" xr:uid="{00000000-0005-0000-0000-0000710D0000}"/>
    <cellStyle name="Normal 27 3 4 2 2" xfId="4942" xr:uid="{00000000-0005-0000-0000-0000720D0000}"/>
    <cellStyle name="Normal 27 3 4 3" xfId="4253" xr:uid="{00000000-0005-0000-0000-0000730D0000}"/>
    <cellStyle name="Normal 27 3 5" xfId="3349" xr:uid="{00000000-0005-0000-0000-0000740D0000}"/>
    <cellStyle name="Normal 27 3 5 2" xfId="4727" xr:uid="{00000000-0005-0000-0000-0000750D0000}"/>
    <cellStyle name="Normal 27 3 6" xfId="4038" xr:uid="{00000000-0005-0000-0000-0000760D0000}"/>
    <cellStyle name="Normal 27 4" xfId="2280" xr:uid="{00000000-0005-0000-0000-0000770D0000}"/>
    <cellStyle name="Normal 27 4 2" xfId="3150" xr:uid="{00000000-0005-0000-0000-0000780D0000}"/>
    <cellStyle name="Normal 27 4 2 2" xfId="3849" xr:uid="{00000000-0005-0000-0000-0000790D0000}"/>
    <cellStyle name="Normal 27 4 2 2 2" xfId="5227" xr:uid="{00000000-0005-0000-0000-00007A0D0000}"/>
    <cellStyle name="Normal 27 4 2 3" xfId="4538" xr:uid="{00000000-0005-0000-0000-00007B0D0000}"/>
    <cellStyle name="Normal 27 4 3" xfId="2911" xr:uid="{00000000-0005-0000-0000-00007C0D0000}"/>
    <cellStyle name="Normal 27 4 3 2" xfId="3623" xr:uid="{00000000-0005-0000-0000-00007D0D0000}"/>
    <cellStyle name="Normal 27 4 3 2 2" xfId="5001" xr:uid="{00000000-0005-0000-0000-00007E0D0000}"/>
    <cellStyle name="Normal 27 4 3 3" xfId="4312" xr:uid="{00000000-0005-0000-0000-00007F0D0000}"/>
    <cellStyle name="Normal 27 4 4" xfId="3408" xr:uid="{00000000-0005-0000-0000-0000800D0000}"/>
    <cellStyle name="Normal 27 4 4 2" xfId="4786" xr:uid="{00000000-0005-0000-0000-0000810D0000}"/>
    <cellStyle name="Normal 27 4 5" xfId="4097" xr:uid="{00000000-0005-0000-0000-0000820D0000}"/>
    <cellStyle name="Normal 27 5" xfId="3052" xr:uid="{00000000-0005-0000-0000-0000830D0000}"/>
    <cellStyle name="Normal 27 5 2" xfId="3751" xr:uid="{00000000-0005-0000-0000-0000840D0000}"/>
    <cellStyle name="Normal 27 5 2 2" xfId="5129" xr:uid="{00000000-0005-0000-0000-0000850D0000}"/>
    <cellStyle name="Normal 27 5 3" xfId="4440" xr:uid="{00000000-0005-0000-0000-0000860D0000}"/>
    <cellStyle name="Normal 27 6" xfId="2439" xr:uid="{00000000-0005-0000-0000-0000870D0000}"/>
    <cellStyle name="Normal 27 6 2" xfId="3525" xr:uid="{00000000-0005-0000-0000-0000880D0000}"/>
    <cellStyle name="Normal 27 6 2 2" xfId="4903" xr:uid="{00000000-0005-0000-0000-0000890D0000}"/>
    <cellStyle name="Normal 27 6 3" xfId="4214" xr:uid="{00000000-0005-0000-0000-00008A0D0000}"/>
    <cellStyle name="Normal 27 7" xfId="3310" xr:uid="{00000000-0005-0000-0000-00008B0D0000}"/>
    <cellStyle name="Normal 27 7 2" xfId="4688" xr:uid="{00000000-0005-0000-0000-00008C0D0000}"/>
    <cellStyle name="Normal 27 8" xfId="3999" xr:uid="{00000000-0005-0000-0000-00008D0D0000}"/>
    <cellStyle name="Normal 28" xfId="1436" xr:uid="{00000000-0005-0000-0000-00008E0D0000}"/>
    <cellStyle name="Normal 28 2" xfId="1454" xr:uid="{00000000-0005-0000-0000-00008F0D0000}"/>
    <cellStyle name="Normal 28 2 2" xfId="2284" xr:uid="{00000000-0005-0000-0000-0000900D0000}"/>
    <cellStyle name="Normal 28 2 2 2" xfId="3154" xr:uid="{00000000-0005-0000-0000-0000910D0000}"/>
    <cellStyle name="Normal 28 2 2 2 2" xfId="3853" xr:uid="{00000000-0005-0000-0000-0000920D0000}"/>
    <cellStyle name="Normal 28 2 2 2 2 2" xfId="5231" xr:uid="{00000000-0005-0000-0000-0000930D0000}"/>
    <cellStyle name="Normal 28 2 2 2 3" xfId="4542" xr:uid="{00000000-0005-0000-0000-0000940D0000}"/>
    <cellStyle name="Normal 28 2 2 3" xfId="2915" xr:uid="{00000000-0005-0000-0000-0000950D0000}"/>
    <cellStyle name="Normal 28 2 2 3 2" xfId="3627" xr:uid="{00000000-0005-0000-0000-0000960D0000}"/>
    <cellStyle name="Normal 28 2 2 3 2 2" xfId="5005" xr:uid="{00000000-0005-0000-0000-0000970D0000}"/>
    <cellStyle name="Normal 28 2 2 3 3" xfId="4316" xr:uid="{00000000-0005-0000-0000-0000980D0000}"/>
    <cellStyle name="Normal 28 2 2 4" xfId="3412" xr:uid="{00000000-0005-0000-0000-0000990D0000}"/>
    <cellStyle name="Normal 28 2 2 4 2" xfId="4790" xr:uid="{00000000-0005-0000-0000-00009A0D0000}"/>
    <cellStyle name="Normal 28 2 2 5" xfId="4101" xr:uid="{00000000-0005-0000-0000-00009B0D0000}"/>
    <cellStyle name="Normal 28 2 3" xfId="3070" xr:uid="{00000000-0005-0000-0000-00009C0D0000}"/>
    <cellStyle name="Normal 28 2 3 2" xfId="3769" xr:uid="{00000000-0005-0000-0000-00009D0D0000}"/>
    <cellStyle name="Normal 28 2 3 2 2" xfId="5147" xr:uid="{00000000-0005-0000-0000-00009E0D0000}"/>
    <cellStyle name="Normal 28 2 3 3" xfId="4458" xr:uid="{00000000-0005-0000-0000-00009F0D0000}"/>
    <cellStyle name="Normal 28 2 4" xfId="2457" xr:uid="{00000000-0005-0000-0000-0000A00D0000}"/>
    <cellStyle name="Normal 28 2 4 2" xfId="3543" xr:uid="{00000000-0005-0000-0000-0000A10D0000}"/>
    <cellStyle name="Normal 28 2 4 2 2" xfId="4921" xr:uid="{00000000-0005-0000-0000-0000A20D0000}"/>
    <cellStyle name="Normal 28 2 4 3" xfId="4232" xr:uid="{00000000-0005-0000-0000-0000A30D0000}"/>
    <cellStyle name="Normal 28 2 5" xfId="3328" xr:uid="{00000000-0005-0000-0000-0000A40D0000}"/>
    <cellStyle name="Normal 28 2 5 2" xfId="4706" xr:uid="{00000000-0005-0000-0000-0000A50D0000}"/>
    <cellStyle name="Normal 28 2 6" xfId="4017" xr:uid="{00000000-0005-0000-0000-0000A60D0000}"/>
    <cellStyle name="Normal 28 3" xfId="1507" xr:uid="{00000000-0005-0000-0000-0000A70D0000}"/>
    <cellStyle name="Normal 28 3 2" xfId="2285" xr:uid="{00000000-0005-0000-0000-0000A80D0000}"/>
    <cellStyle name="Normal 28 3 2 2" xfId="3155" xr:uid="{00000000-0005-0000-0000-0000A90D0000}"/>
    <cellStyle name="Normal 28 3 2 2 2" xfId="3854" xr:uid="{00000000-0005-0000-0000-0000AA0D0000}"/>
    <cellStyle name="Normal 28 3 2 2 2 2" xfId="5232" xr:uid="{00000000-0005-0000-0000-0000AB0D0000}"/>
    <cellStyle name="Normal 28 3 2 2 3" xfId="4543" xr:uid="{00000000-0005-0000-0000-0000AC0D0000}"/>
    <cellStyle name="Normal 28 3 2 3" xfId="2916" xr:uid="{00000000-0005-0000-0000-0000AD0D0000}"/>
    <cellStyle name="Normal 28 3 2 3 2" xfId="3628" xr:uid="{00000000-0005-0000-0000-0000AE0D0000}"/>
    <cellStyle name="Normal 28 3 2 3 2 2" xfId="5006" xr:uid="{00000000-0005-0000-0000-0000AF0D0000}"/>
    <cellStyle name="Normal 28 3 2 3 3" xfId="4317" xr:uid="{00000000-0005-0000-0000-0000B00D0000}"/>
    <cellStyle name="Normal 28 3 2 4" xfId="3413" xr:uid="{00000000-0005-0000-0000-0000B10D0000}"/>
    <cellStyle name="Normal 28 3 2 4 2" xfId="4791" xr:uid="{00000000-0005-0000-0000-0000B20D0000}"/>
    <cellStyle name="Normal 28 3 2 5" xfId="4102" xr:uid="{00000000-0005-0000-0000-0000B30D0000}"/>
    <cellStyle name="Normal 28 3 3" xfId="3092" xr:uid="{00000000-0005-0000-0000-0000B40D0000}"/>
    <cellStyle name="Normal 28 3 3 2" xfId="3791" xr:uid="{00000000-0005-0000-0000-0000B50D0000}"/>
    <cellStyle name="Normal 28 3 3 2 2" xfId="5169" xr:uid="{00000000-0005-0000-0000-0000B60D0000}"/>
    <cellStyle name="Normal 28 3 3 3" xfId="4480" xr:uid="{00000000-0005-0000-0000-0000B70D0000}"/>
    <cellStyle name="Normal 28 3 4" xfId="2479" xr:uid="{00000000-0005-0000-0000-0000B80D0000}"/>
    <cellStyle name="Normal 28 3 4 2" xfId="3565" xr:uid="{00000000-0005-0000-0000-0000B90D0000}"/>
    <cellStyle name="Normal 28 3 4 2 2" xfId="4943" xr:uid="{00000000-0005-0000-0000-0000BA0D0000}"/>
    <cellStyle name="Normal 28 3 4 3" xfId="4254" xr:uid="{00000000-0005-0000-0000-0000BB0D0000}"/>
    <cellStyle name="Normal 28 3 5" xfId="3350" xr:uid="{00000000-0005-0000-0000-0000BC0D0000}"/>
    <cellStyle name="Normal 28 3 5 2" xfId="4728" xr:uid="{00000000-0005-0000-0000-0000BD0D0000}"/>
    <cellStyle name="Normal 28 3 6" xfId="4039" xr:uid="{00000000-0005-0000-0000-0000BE0D0000}"/>
    <cellStyle name="Normal 28 4" xfId="2283" xr:uid="{00000000-0005-0000-0000-0000BF0D0000}"/>
    <cellStyle name="Normal 28 4 2" xfId="3153" xr:uid="{00000000-0005-0000-0000-0000C00D0000}"/>
    <cellStyle name="Normal 28 4 2 2" xfId="3852" xr:uid="{00000000-0005-0000-0000-0000C10D0000}"/>
    <cellStyle name="Normal 28 4 2 2 2" xfId="5230" xr:uid="{00000000-0005-0000-0000-0000C20D0000}"/>
    <cellStyle name="Normal 28 4 2 3" xfId="4541" xr:uid="{00000000-0005-0000-0000-0000C30D0000}"/>
    <cellStyle name="Normal 28 4 3" xfId="2914" xr:uid="{00000000-0005-0000-0000-0000C40D0000}"/>
    <cellStyle name="Normal 28 4 3 2" xfId="3626" xr:uid="{00000000-0005-0000-0000-0000C50D0000}"/>
    <cellStyle name="Normal 28 4 3 2 2" xfId="5004" xr:uid="{00000000-0005-0000-0000-0000C60D0000}"/>
    <cellStyle name="Normal 28 4 3 3" xfId="4315" xr:uid="{00000000-0005-0000-0000-0000C70D0000}"/>
    <cellStyle name="Normal 28 4 4" xfId="3411" xr:uid="{00000000-0005-0000-0000-0000C80D0000}"/>
    <cellStyle name="Normal 28 4 4 2" xfId="4789" xr:uid="{00000000-0005-0000-0000-0000C90D0000}"/>
    <cellStyle name="Normal 28 4 5" xfId="4100" xr:uid="{00000000-0005-0000-0000-0000CA0D0000}"/>
    <cellStyle name="Normal 28 5" xfId="3054" xr:uid="{00000000-0005-0000-0000-0000CB0D0000}"/>
    <cellStyle name="Normal 28 5 2" xfId="3753" xr:uid="{00000000-0005-0000-0000-0000CC0D0000}"/>
    <cellStyle name="Normal 28 5 2 2" xfId="5131" xr:uid="{00000000-0005-0000-0000-0000CD0D0000}"/>
    <cellStyle name="Normal 28 5 3" xfId="4442" xr:uid="{00000000-0005-0000-0000-0000CE0D0000}"/>
    <cellStyle name="Normal 28 6" xfId="2441" xr:uid="{00000000-0005-0000-0000-0000CF0D0000}"/>
    <cellStyle name="Normal 28 6 2" xfId="3527" xr:uid="{00000000-0005-0000-0000-0000D00D0000}"/>
    <cellStyle name="Normal 28 6 2 2" xfId="4905" xr:uid="{00000000-0005-0000-0000-0000D10D0000}"/>
    <cellStyle name="Normal 28 6 3" xfId="4216" xr:uid="{00000000-0005-0000-0000-0000D20D0000}"/>
    <cellStyle name="Normal 28 7" xfId="3312" xr:uid="{00000000-0005-0000-0000-0000D30D0000}"/>
    <cellStyle name="Normal 28 7 2" xfId="4690" xr:uid="{00000000-0005-0000-0000-0000D40D0000}"/>
    <cellStyle name="Normal 28 8" xfId="4001" xr:uid="{00000000-0005-0000-0000-0000D50D0000}"/>
    <cellStyle name="Normal 29" xfId="1437" xr:uid="{00000000-0005-0000-0000-0000D60D0000}"/>
    <cellStyle name="Normal 29 2" xfId="1455" xr:uid="{00000000-0005-0000-0000-0000D70D0000}"/>
    <cellStyle name="Normal 29 2 2" xfId="2287" xr:uid="{00000000-0005-0000-0000-0000D80D0000}"/>
    <cellStyle name="Normal 29 2 2 2" xfId="3157" xr:uid="{00000000-0005-0000-0000-0000D90D0000}"/>
    <cellStyle name="Normal 29 2 2 2 2" xfId="3856" xr:uid="{00000000-0005-0000-0000-0000DA0D0000}"/>
    <cellStyle name="Normal 29 2 2 2 2 2" xfId="5234" xr:uid="{00000000-0005-0000-0000-0000DB0D0000}"/>
    <cellStyle name="Normal 29 2 2 2 3" xfId="4545" xr:uid="{00000000-0005-0000-0000-0000DC0D0000}"/>
    <cellStyle name="Normal 29 2 2 3" xfId="2918" xr:uid="{00000000-0005-0000-0000-0000DD0D0000}"/>
    <cellStyle name="Normal 29 2 2 3 2" xfId="3630" xr:uid="{00000000-0005-0000-0000-0000DE0D0000}"/>
    <cellStyle name="Normal 29 2 2 3 2 2" xfId="5008" xr:uid="{00000000-0005-0000-0000-0000DF0D0000}"/>
    <cellStyle name="Normal 29 2 2 3 3" xfId="4319" xr:uid="{00000000-0005-0000-0000-0000E00D0000}"/>
    <cellStyle name="Normal 29 2 2 4" xfId="3415" xr:uid="{00000000-0005-0000-0000-0000E10D0000}"/>
    <cellStyle name="Normal 29 2 2 4 2" xfId="4793" xr:uid="{00000000-0005-0000-0000-0000E20D0000}"/>
    <cellStyle name="Normal 29 2 2 5" xfId="4104" xr:uid="{00000000-0005-0000-0000-0000E30D0000}"/>
    <cellStyle name="Normal 29 2 3" xfId="3071" xr:uid="{00000000-0005-0000-0000-0000E40D0000}"/>
    <cellStyle name="Normal 29 2 3 2" xfId="3770" xr:uid="{00000000-0005-0000-0000-0000E50D0000}"/>
    <cellStyle name="Normal 29 2 3 2 2" xfId="5148" xr:uid="{00000000-0005-0000-0000-0000E60D0000}"/>
    <cellStyle name="Normal 29 2 3 3" xfId="4459" xr:uid="{00000000-0005-0000-0000-0000E70D0000}"/>
    <cellStyle name="Normal 29 2 4" xfId="2458" xr:uid="{00000000-0005-0000-0000-0000E80D0000}"/>
    <cellStyle name="Normal 29 2 4 2" xfId="3544" xr:uid="{00000000-0005-0000-0000-0000E90D0000}"/>
    <cellStyle name="Normal 29 2 4 2 2" xfId="4922" xr:uid="{00000000-0005-0000-0000-0000EA0D0000}"/>
    <cellStyle name="Normal 29 2 4 3" xfId="4233" xr:uid="{00000000-0005-0000-0000-0000EB0D0000}"/>
    <cellStyle name="Normal 29 2 5" xfId="3329" xr:uid="{00000000-0005-0000-0000-0000EC0D0000}"/>
    <cellStyle name="Normal 29 2 5 2" xfId="4707" xr:uid="{00000000-0005-0000-0000-0000ED0D0000}"/>
    <cellStyle name="Normal 29 2 6" xfId="4018" xr:uid="{00000000-0005-0000-0000-0000EE0D0000}"/>
    <cellStyle name="Normal 29 3" xfId="1508" xr:uid="{00000000-0005-0000-0000-0000EF0D0000}"/>
    <cellStyle name="Normal 29 3 2" xfId="2288" xr:uid="{00000000-0005-0000-0000-0000F00D0000}"/>
    <cellStyle name="Normal 29 3 2 2" xfId="3158" xr:uid="{00000000-0005-0000-0000-0000F10D0000}"/>
    <cellStyle name="Normal 29 3 2 2 2" xfId="3857" xr:uid="{00000000-0005-0000-0000-0000F20D0000}"/>
    <cellStyle name="Normal 29 3 2 2 2 2" xfId="5235" xr:uid="{00000000-0005-0000-0000-0000F30D0000}"/>
    <cellStyle name="Normal 29 3 2 2 3" xfId="4546" xr:uid="{00000000-0005-0000-0000-0000F40D0000}"/>
    <cellStyle name="Normal 29 3 2 3" xfId="2919" xr:uid="{00000000-0005-0000-0000-0000F50D0000}"/>
    <cellStyle name="Normal 29 3 2 3 2" xfId="3631" xr:uid="{00000000-0005-0000-0000-0000F60D0000}"/>
    <cellStyle name="Normal 29 3 2 3 2 2" xfId="5009" xr:uid="{00000000-0005-0000-0000-0000F70D0000}"/>
    <cellStyle name="Normal 29 3 2 3 3" xfId="4320" xr:uid="{00000000-0005-0000-0000-0000F80D0000}"/>
    <cellStyle name="Normal 29 3 2 4" xfId="3416" xr:uid="{00000000-0005-0000-0000-0000F90D0000}"/>
    <cellStyle name="Normal 29 3 2 4 2" xfId="4794" xr:uid="{00000000-0005-0000-0000-0000FA0D0000}"/>
    <cellStyle name="Normal 29 3 2 5" xfId="4105" xr:uid="{00000000-0005-0000-0000-0000FB0D0000}"/>
    <cellStyle name="Normal 29 3 3" xfId="3093" xr:uid="{00000000-0005-0000-0000-0000FC0D0000}"/>
    <cellStyle name="Normal 29 3 3 2" xfId="3792" xr:uid="{00000000-0005-0000-0000-0000FD0D0000}"/>
    <cellStyle name="Normal 29 3 3 2 2" xfId="5170" xr:uid="{00000000-0005-0000-0000-0000FE0D0000}"/>
    <cellStyle name="Normal 29 3 3 3" xfId="4481" xr:uid="{00000000-0005-0000-0000-0000FF0D0000}"/>
    <cellStyle name="Normal 29 3 4" xfId="2480" xr:uid="{00000000-0005-0000-0000-0000000E0000}"/>
    <cellStyle name="Normal 29 3 4 2" xfId="3566" xr:uid="{00000000-0005-0000-0000-0000010E0000}"/>
    <cellStyle name="Normal 29 3 4 2 2" xfId="4944" xr:uid="{00000000-0005-0000-0000-0000020E0000}"/>
    <cellStyle name="Normal 29 3 4 3" xfId="4255" xr:uid="{00000000-0005-0000-0000-0000030E0000}"/>
    <cellStyle name="Normal 29 3 5" xfId="3351" xr:uid="{00000000-0005-0000-0000-0000040E0000}"/>
    <cellStyle name="Normal 29 3 5 2" xfId="4729" xr:uid="{00000000-0005-0000-0000-0000050E0000}"/>
    <cellStyle name="Normal 29 3 6" xfId="4040" xr:uid="{00000000-0005-0000-0000-0000060E0000}"/>
    <cellStyle name="Normal 29 4" xfId="2286" xr:uid="{00000000-0005-0000-0000-0000070E0000}"/>
    <cellStyle name="Normal 29 4 2" xfId="3156" xr:uid="{00000000-0005-0000-0000-0000080E0000}"/>
    <cellStyle name="Normal 29 4 2 2" xfId="3855" xr:uid="{00000000-0005-0000-0000-0000090E0000}"/>
    <cellStyle name="Normal 29 4 2 2 2" xfId="5233" xr:uid="{00000000-0005-0000-0000-00000A0E0000}"/>
    <cellStyle name="Normal 29 4 2 3" xfId="4544" xr:uid="{00000000-0005-0000-0000-00000B0E0000}"/>
    <cellStyle name="Normal 29 4 3" xfId="2917" xr:uid="{00000000-0005-0000-0000-00000C0E0000}"/>
    <cellStyle name="Normal 29 4 3 2" xfId="3629" xr:uid="{00000000-0005-0000-0000-00000D0E0000}"/>
    <cellStyle name="Normal 29 4 3 2 2" xfId="5007" xr:uid="{00000000-0005-0000-0000-00000E0E0000}"/>
    <cellStyle name="Normal 29 4 3 3" xfId="4318" xr:uid="{00000000-0005-0000-0000-00000F0E0000}"/>
    <cellStyle name="Normal 29 4 4" xfId="3414" xr:uid="{00000000-0005-0000-0000-0000100E0000}"/>
    <cellStyle name="Normal 29 4 4 2" xfId="4792" xr:uid="{00000000-0005-0000-0000-0000110E0000}"/>
    <cellStyle name="Normal 29 4 5" xfId="4103" xr:uid="{00000000-0005-0000-0000-0000120E0000}"/>
    <cellStyle name="Normal 29 5" xfId="3055" xr:uid="{00000000-0005-0000-0000-0000130E0000}"/>
    <cellStyle name="Normal 29 5 2" xfId="3754" xr:uid="{00000000-0005-0000-0000-0000140E0000}"/>
    <cellStyle name="Normal 29 5 2 2" xfId="5132" xr:uid="{00000000-0005-0000-0000-0000150E0000}"/>
    <cellStyle name="Normal 29 5 3" xfId="4443" xr:uid="{00000000-0005-0000-0000-0000160E0000}"/>
    <cellStyle name="Normal 29 6" xfId="2442" xr:uid="{00000000-0005-0000-0000-0000170E0000}"/>
    <cellStyle name="Normal 29 6 2" xfId="3528" xr:uid="{00000000-0005-0000-0000-0000180E0000}"/>
    <cellStyle name="Normal 29 6 2 2" xfId="4906" xr:uid="{00000000-0005-0000-0000-0000190E0000}"/>
    <cellStyle name="Normal 29 6 3" xfId="4217" xr:uid="{00000000-0005-0000-0000-00001A0E0000}"/>
    <cellStyle name="Normal 29 7" xfId="3313" xr:uid="{00000000-0005-0000-0000-00001B0E0000}"/>
    <cellStyle name="Normal 29 7 2" xfId="4691" xr:uid="{00000000-0005-0000-0000-00001C0E0000}"/>
    <cellStyle name="Normal 29 8" xfId="4002" xr:uid="{00000000-0005-0000-0000-00001D0E0000}"/>
    <cellStyle name="Normal 3" xfId="1020" xr:uid="{00000000-0005-0000-0000-00001E0E0000}"/>
    <cellStyle name="Normal 3 2" xfId="1021" xr:uid="{00000000-0005-0000-0000-00001F0E0000}"/>
    <cellStyle name="Normal 3 2 2" xfId="2370" xr:uid="{00000000-0005-0000-0000-0000200E0000}"/>
    <cellStyle name="Normal 3 2 2 2" xfId="5480" xr:uid="{00000000-0005-0000-0000-000067000000}"/>
    <cellStyle name="Normal 3 2 3" xfId="5365" xr:uid="{00000000-0005-0000-0000-0000210E0000}"/>
    <cellStyle name="Normal 3 2 3 2" xfId="5443" xr:uid="{00000000-0005-0000-0000-000068000000}"/>
    <cellStyle name="Normal 3 2 4" xfId="5403" xr:uid="{00000000-0005-0000-0000-000066000000}"/>
    <cellStyle name="Normal 3 2 5" xfId="5504" xr:uid="{DFB945DE-8703-4908-AD4A-2B5D830AB838}"/>
    <cellStyle name="Normal 30" xfId="1438" xr:uid="{00000000-0005-0000-0000-0000220E0000}"/>
    <cellStyle name="Normal 30 2" xfId="1456" xr:uid="{00000000-0005-0000-0000-0000230E0000}"/>
    <cellStyle name="Normal 30 2 2" xfId="2290" xr:uid="{00000000-0005-0000-0000-0000240E0000}"/>
    <cellStyle name="Normal 30 2 2 2" xfId="3160" xr:uid="{00000000-0005-0000-0000-0000250E0000}"/>
    <cellStyle name="Normal 30 2 2 2 2" xfId="3859" xr:uid="{00000000-0005-0000-0000-0000260E0000}"/>
    <cellStyle name="Normal 30 2 2 2 2 2" xfId="5237" xr:uid="{00000000-0005-0000-0000-0000270E0000}"/>
    <cellStyle name="Normal 30 2 2 2 3" xfId="4548" xr:uid="{00000000-0005-0000-0000-0000280E0000}"/>
    <cellStyle name="Normal 30 2 2 3" xfId="2921" xr:uid="{00000000-0005-0000-0000-0000290E0000}"/>
    <cellStyle name="Normal 30 2 2 3 2" xfId="3633" xr:uid="{00000000-0005-0000-0000-00002A0E0000}"/>
    <cellStyle name="Normal 30 2 2 3 2 2" xfId="5011" xr:uid="{00000000-0005-0000-0000-00002B0E0000}"/>
    <cellStyle name="Normal 30 2 2 3 3" xfId="4322" xr:uid="{00000000-0005-0000-0000-00002C0E0000}"/>
    <cellStyle name="Normal 30 2 2 4" xfId="3418" xr:uid="{00000000-0005-0000-0000-00002D0E0000}"/>
    <cellStyle name="Normal 30 2 2 4 2" xfId="4796" xr:uid="{00000000-0005-0000-0000-00002E0E0000}"/>
    <cellStyle name="Normal 30 2 2 5" xfId="4107" xr:uid="{00000000-0005-0000-0000-00002F0E0000}"/>
    <cellStyle name="Normal 30 2 3" xfId="3072" xr:uid="{00000000-0005-0000-0000-0000300E0000}"/>
    <cellStyle name="Normal 30 2 3 2" xfId="3771" xr:uid="{00000000-0005-0000-0000-0000310E0000}"/>
    <cellStyle name="Normal 30 2 3 2 2" xfId="5149" xr:uid="{00000000-0005-0000-0000-0000320E0000}"/>
    <cellStyle name="Normal 30 2 3 3" xfId="4460" xr:uid="{00000000-0005-0000-0000-0000330E0000}"/>
    <cellStyle name="Normal 30 2 4" xfId="2459" xr:uid="{00000000-0005-0000-0000-0000340E0000}"/>
    <cellStyle name="Normal 30 2 4 2" xfId="3545" xr:uid="{00000000-0005-0000-0000-0000350E0000}"/>
    <cellStyle name="Normal 30 2 4 2 2" xfId="4923" xr:uid="{00000000-0005-0000-0000-0000360E0000}"/>
    <cellStyle name="Normal 30 2 4 3" xfId="4234" xr:uid="{00000000-0005-0000-0000-0000370E0000}"/>
    <cellStyle name="Normal 30 2 5" xfId="3330" xr:uid="{00000000-0005-0000-0000-0000380E0000}"/>
    <cellStyle name="Normal 30 2 5 2" xfId="4708" xr:uid="{00000000-0005-0000-0000-0000390E0000}"/>
    <cellStyle name="Normal 30 2 6" xfId="4019" xr:uid="{00000000-0005-0000-0000-00003A0E0000}"/>
    <cellStyle name="Normal 30 3" xfId="1509" xr:uid="{00000000-0005-0000-0000-00003B0E0000}"/>
    <cellStyle name="Normal 30 3 2" xfId="2291" xr:uid="{00000000-0005-0000-0000-00003C0E0000}"/>
    <cellStyle name="Normal 30 3 2 2" xfId="3161" xr:uid="{00000000-0005-0000-0000-00003D0E0000}"/>
    <cellStyle name="Normal 30 3 2 2 2" xfId="3860" xr:uid="{00000000-0005-0000-0000-00003E0E0000}"/>
    <cellStyle name="Normal 30 3 2 2 2 2" xfId="5238" xr:uid="{00000000-0005-0000-0000-00003F0E0000}"/>
    <cellStyle name="Normal 30 3 2 2 3" xfId="4549" xr:uid="{00000000-0005-0000-0000-0000400E0000}"/>
    <cellStyle name="Normal 30 3 2 3" xfId="2922" xr:uid="{00000000-0005-0000-0000-0000410E0000}"/>
    <cellStyle name="Normal 30 3 2 3 2" xfId="3634" xr:uid="{00000000-0005-0000-0000-0000420E0000}"/>
    <cellStyle name="Normal 30 3 2 3 2 2" xfId="5012" xr:uid="{00000000-0005-0000-0000-0000430E0000}"/>
    <cellStyle name="Normal 30 3 2 3 3" xfId="4323" xr:uid="{00000000-0005-0000-0000-0000440E0000}"/>
    <cellStyle name="Normal 30 3 2 4" xfId="3419" xr:uid="{00000000-0005-0000-0000-0000450E0000}"/>
    <cellStyle name="Normal 30 3 2 4 2" xfId="4797" xr:uid="{00000000-0005-0000-0000-0000460E0000}"/>
    <cellStyle name="Normal 30 3 2 5" xfId="4108" xr:uid="{00000000-0005-0000-0000-0000470E0000}"/>
    <cellStyle name="Normal 30 3 3" xfId="3094" xr:uid="{00000000-0005-0000-0000-0000480E0000}"/>
    <cellStyle name="Normal 30 3 3 2" xfId="3793" xr:uid="{00000000-0005-0000-0000-0000490E0000}"/>
    <cellStyle name="Normal 30 3 3 2 2" xfId="5171" xr:uid="{00000000-0005-0000-0000-00004A0E0000}"/>
    <cellStyle name="Normal 30 3 3 3" xfId="4482" xr:uid="{00000000-0005-0000-0000-00004B0E0000}"/>
    <cellStyle name="Normal 30 3 4" xfId="2481" xr:uid="{00000000-0005-0000-0000-00004C0E0000}"/>
    <cellStyle name="Normal 30 3 4 2" xfId="3567" xr:uid="{00000000-0005-0000-0000-00004D0E0000}"/>
    <cellStyle name="Normal 30 3 4 2 2" xfId="4945" xr:uid="{00000000-0005-0000-0000-00004E0E0000}"/>
    <cellStyle name="Normal 30 3 4 3" xfId="4256" xr:uid="{00000000-0005-0000-0000-00004F0E0000}"/>
    <cellStyle name="Normal 30 3 5" xfId="3352" xr:uid="{00000000-0005-0000-0000-0000500E0000}"/>
    <cellStyle name="Normal 30 3 5 2" xfId="4730" xr:uid="{00000000-0005-0000-0000-0000510E0000}"/>
    <cellStyle name="Normal 30 3 6" xfId="4041" xr:uid="{00000000-0005-0000-0000-0000520E0000}"/>
    <cellStyle name="Normal 30 4" xfId="2289" xr:uid="{00000000-0005-0000-0000-0000530E0000}"/>
    <cellStyle name="Normal 30 4 2" xfId="3159" xr:uid="{00000000-0005-0000-0000-0000540E0000}"/>
    <cellStyle name="Normal 30 4 2 2" xfId="3858" xr:uid="{00000000-0005-0000-0000-0000550E0000}"/>
    <cellStyle name="Normal 30 4 2 2 2" xfId="5236" xr:uid="{00000000-0005-0000-0000-0000560E0000}"/>
    <cellStyle name="Normal 30 4 2 3" xfId="4547" xr:uid="{00000000-0005-0000-0000-0000570E0000}"/>
    <cellStyle name="Normal 30 4 3" xfId="2920" xr:uid="{00000000-0005-0000-0000-0000580E0000}"/>
    <cellStyle name="Normal 30 4 3 2" xfId="3632" xr:uid="{00000000-0005-0000-0000-0000590E0000}"/>
    <cellStyle name="Normal 30 4 3 2 2" xfId="5010" xr:uid="{00000000-0005-0000-0000-00005A0E0000}"/>
    <cellStyle name="Normal 30 4 3 3" xfId="4321" xr:uid="{00000000-0005-0000-0000-00005B0E0000}"/>
    <cellStyle name="Normal 30 4 4" xfId="3417" xr:uid="{00000000-0005-0000-0000-00005C0E0000}"/>
    <cellStyle name="Normal 30 4 4 2" xfId="4795" xr:uid="{00000000-0005-0000-0000-00005D0E0000}"/>
    <cellStyle name="Normal 30 4 5" xfId="4106" xr:uid="{00000000-0005-0000-0000-00005E0E0000}"/>
    <cellStyle name="Normal 30 5" xfId="3056" xr:uid="{00000000-0005-0000-0000-00005F0E0000}"/>
    <cellStyle name="Normal 30 5 2" xfId="3755" xr:uid="{00000000-0005-0000-0000-0000600E0000}"/>
    <cellStyle name="Normal 30 5 2 2" xfId="5133" xr:uid="{00000000-0005-0000-0000-0000610E0000}"/>
    <cellStyle name="Normal 30 5 3" xfId="4444" xr:uid="{00000000-0005-0000-0000-0000620E0000}"/>
    <cellStyle name="Normal 30 6" xfId="2443" xr:uid="{00000000-0005-0000-0000-0000630E0000}"/>
    <cellStyle name="Normal 30 6 2" xfId="3529" xr:uid="{00000000-0005-0000-0000-0000640E0000}"/>
    <cellStyle name="Normal 30 6 2 2" xfId="4907" xr:uid="{00000000-0005-0000-0000-0000650E0000}"/>
    <cellStyle name="Normal 30 6 3" xfId="4218" xr:uid="{00000000-0005-0000-0000-0000660E0000}"/>
    <cellStyle name="Normal 30 7" xfId="3314" xr:uid="{00000000-0005-0000-0000-0000670E0000}"/>
    <cellStyle name="Normal 30 7 2" xfId="4692" xr:uid="{00000000-0005-0000-0000-0000680E0000}"/>
    <cellStyle name="Normal 30 8" xfId="4003" xr:uid="{00000000-0005-0000-0000-0000690E0000}"/>
    <cellStyle name="Normal 31" xfId="1439" xr:uid="{00000000-0005-0000-0000-00006A0E0000}"/>
    <cellStyle name="Normal 31 2" xfId="1457" xr:uid="{00000000-0005-0000-0000-00006B0E0000}"/>
    <cellStyle name="Normal 31 2 2" xfId="2293" xr:uid="{00000000-0005-0000-0000-00006C0E0000}"/>
    <cellStyle name="Normal 31 2 2 2" xfId="3163" xr:uid="{00000000-0005-0000-0000-00006D0E0000}"/>
    <cellStyle name="Normal 31 2 2 2 2" xfId="3862" xr:uid="{00000000-0005-0000-0000-00006E0E0000}"/>
    <cellStyle name="Normal 31 2 2 2 2 2" xfId="5240" xr:uid="{00000000-0005-0000-0000-00006F0E0000}"/>
    <cellStyle name="Normal 31 2 2 2 3" xfId="4551" xr:uid="{00000000-0005-0000-0000-0000700E0000}"/>
    <cellStyle name="Normal 31 2 2 3" xfId="2924" xr:uid="{00000000-0005-0000-0000-0000710E0000}"/>
    <cellStyle name="Normal 31 2 2 3 2" xfId="3636" xr:uid="{00000000-0005-0000-0000-0000720E0000}"/>
    <cellStyle name="Normal 31 2 2 3 2 2" xfId="5014" xr:uid="{00000000-0005-0000-0000-0000730E0000}"/>
    <cellStyle name="Normal 31 2 2 3 3" xfId="4325" xr:uid="{00000000-0005-0000-0000-0000740E0000}"/>
    <cellStyle name="Normal 31 2 2 4" xfId="3421" xr:uid="{00000000-0005-0000-0000-0000750E0000}"/>
    <cellStyle name="Normal 31 2 2 4 2" xfId="4799" xr:uid="{00000000-0005-0000-0000-0000760E0000}"/>
    <cellStyle name="Normal 31 2 2 5" xfId="4110" xr:uid="{00000000-0005-0000-0000-0000770E0000}"/>
    <cellStyle name="Normal 31 2 3" xfId="3073" xr:uid="{00000000-0005-0000-0000-0000780E0000}"/>
    <cellStyle name="Normal 31 2 3 2" xfId="3772" xr:uid="{00000000-0005-0000-0000-0000790E0000}"/>
    <cellStyle name="Normal 31 2 3 2 2" xfId="5150" xr:uid="{00000000-0005-0000-0000-00007A0E0000}"/>
    <cellStyle name="Normal 31 2 3 3" xfId="4461" xr:uid="{00000000-0005-0000-0000-00007B0E0000}"/>
    <cellStyle name="Normal 31 2 4" xfId="2460" xr:uid="{00000000-0005-0000-0000-00007C0E0000}"/>
    <cellStyle name="Normal 31 2 4 2" xfId="3546" xr:uid="{00000000-0005-0000-0000-00007D0E0000}"/>
    <cellStyle name="Normal 31 2 4 2 2" xfId="4924" xr:uid="{00000000-0005-0000-0000-00007E0E0000}"/>
    <cellStyle name="Normal 31 2 4 3" xfId="4235" xr:uid="{00000000-0005-0000-0000-00007F0E0000}"/>
    <cellStyle name="Normal 31 2 5" xfId="3331" xr:uid="{00000000-0005-0000-0000-0000800E0000}"/>
    <cellStyle name="Normal 31 2 5 2" xfId="4709" xr:uid="{00000000-0005-0000-0000-0000810E0000}"/>
    <cellStyle name="Normal 31 2 6" xfId="4020" xr:uid="{00000000-0005-0000-0000-0000820E0000}"/>
    <cellStyle name="Normal 31 3" xfId="1510" xr:uid="{00000000-0005-0000-0000-0000830E0000}"/>
    <cellStyle name="Normal 31 3 2" xfId="2294" xr:uid="{00000000-0005-0000-0000-0000840E0000}"/>
    <cellStyle name="Normal 31 3 2 2" xfId="3164" xr:uid="{00000000-0005-0000-0000-0000850E0000}"/>
    <cellStyle name="Normal 31 3 2 2 2" xfId="3863" xr:uid="{00000000-0005-0000-0000-0000860E0000}"/>
    <cellStyle name="Normal 31 3 2 2 2 2" xfId="5241" xr:uid="{00000000-0005-0000-0000-0000870E0000}"/>
    <cellStyle name="Normal 31 3 2 2 3" xfId="4552" xr:uid="{00000000-0005-0000-0000-0000880E0000}"/>
    <cellStyle name="Normal 31 3 2 3" xfId="2925" xr:uid="{00000000-0005-0000-0000-0000890E0000}"/>
    <cellStyle name="Normal 31 3 2 3 2" xfId="3637" xr:uid="{00000000-0005-0000-0000-00008A0E0000}"/>
    <cellStyle name="Normal 31 3 2 3 2 2" xfId="5015" xr:uid="{00000000-0005-0000-0000-00008B0E0000}"/>
    <cellStyle name="Normal 31 3 2 3 3" xfId="4326" xr:uid="{00000000-0005-0000-0000-00008C0E0000}"/>
    <cellStyle name="Normal 31 3 2 4" xfId="3422" xr:uid="{00000000-0005-0000-0000-00008D0E0000}"/>
    <cellStyle name="Normal 31 3 2 4 2" xfId="4800" xr:uid="{00000000-0005-0000-0000-00008E0E0000}"/>
    <cellStyle name="Normal 31 3 2 5" xfId="4111" xr:uid="{00000000-0005-0000-0000-00008F0E0000}"/>
    <cellStyle name="Normal 31 3 3" xfId="3095" xr:uid="{00000000-0005-0000-0000-0000900E0000}"/>
    <cellStyle name="Normal 31 3 3 2" xfId="3794" xr:uid="{00000000-0005-0000-0000-0000910E0000}"/>
    <cellStyle name="Normal 31 3 3 2 2" xfId="5172" xr:uid="{00000000-0005-0000-0000-0000920E0000}"/>
    <cellStyle name="Normal 31 3 3 3" xfId="4483" xr:uid="{00000000-0005-0000-0000-0000930E0000}"/>
    <cellStyle name="Normal 31 3 4" xfId="2482" xr:uid="{00000000-0005-0000-0000-0000940E0000}"/>
    <cellStyle name="Normal 31 3 4 2" xfId="3568" xr:uid="{00000000-0005-0000-0000-0000950E0000}"/>
    <cellStyle name="Normal 31 3 4 2 2" xfId="4946" xr:uid="{00000000-0005-0000-0000-0000960E0000}"/>
    <cellStyle name="Normal 31 3 4 3" xfId="4257" xr:uid="{00000000-0005-0000-0000-0000970E0000}"/>
    <cellStyle name="Normal 31 3 5" xfId="3353" xr:uid="{00000000-0005-0000-0000-0000980E0000}"/>
    <cellStyle name="Normal 31 3 5 2" xfId="4731" xr:uid="{00000000-0005-0000-0000-0000990E0000}"/>
    <cellStyle name="Normal 31 3 6" xfId="4042" xr:uid="{00000000-0005-0000-0000-00009A0E0000}"/>
    <cellStyle name="Normal 31 4" xfId="2292" xr:uid="{00000000-0005-0000-0000-00009B0E0000}"/>
    <cellStyle name="Normal 31 4 2" xfId="3162" xr:uid="{00000000-0005-0000-0000-00009C0E0000}"/>
    <cellStyle name="Normal 31 4 2 2" xfId="3861" xr:uid="{00000000-0005-0000-0000-00009D0E0000}"/>
    <cellStyle name="Normal 31 4 2 2 2" xfId="5239" xr:uid="{00000000-0005-0000-0000-00009E0E0000}"/>
    <cellStyle name="Normal 31 4 2 3" xfId="4550" xr:uid="{00000000-0005-0000-0000-00009F0E0000}"/>
    <cellStyle name="Normal 31 4 3" xfId="2923" xr:uid="{00000000-0005-0000-0000-0000A00E0000}"/>
    <cellStyle name="Normal 31 4 3 2" xfId="3635" xr:uid="{00000000-0005-0000-0000-0000A10E0000}"/>
    <cellStyle name="Normal 31 4 3 2 2" xfId="5013" xr:uid="{00000000-0005-0000-0000-0000A20E0000}"/>
    <cellStyle name="Normal 31 4 3 3" xfId="4324" xr:uid="{00000000-0005-0000-0000-0000A30E0000}"/>
    <cellStyle name="Normal 31 4 4" xfId="3420" xr:uid="{00000000-0005-0000-0000-0000A40E0000}"/>
    <cellStyle name="Normal 31 4 4 2" xfId="4798" xr:uid="{00000000-0005-0000-0000-0000A50E0000}"/>
    <cellStyle name="Normal 31 4 5" xfId="4109" xr:uid="{00000000-0005-0000-0000-0000A60E0000}"/>
    <cellStyle name="Normal 31 5" xfId="3057" xr:uid="{00000000-0005-0000-0000-0000A70E0000}"/>
    <cellStyle name="Normal 31 5 2" xfId="3756" xr:uid="{00000000-0005-0000-0000-0000A80E0000}"/>
    <cellStyle name="Normal 31 5 2 2" xfId="5134" xr:uid="{00000000-0005-0000-0000-0000A90E0000}"/>
    <cellStyle name="Normal 31 5 3" xfId="4445" xr:uid="{00000000-0005-0000-0000-0000AA0E0000}"/>
    <cellStyle name="Normal 31 6" xfId="2444" xr:uid="{00000000-0005-0000-0000-0000AB0E0000}"/>
    <cellStyle name="Normal 31 6 2" xfId="3530" xr:uid="{00000000-0005-0000-0000-0000AC0E0000}"/>
    <cellStyle name="Normal 31 6 2 2" xfId="4908" xr:uid="{00000000-0005-0000-0000-0000AD0E0000}"/>
    <cellStyle name="Normal 31 6 3" xfId="4219" xr:uid="{00000000-0005-0000-0000-0000AE0E0000}"/>
    <cellStyle name="Normal 31 7" xfId="3315" xr:uid="{00000000-0005-0000-0000-0000AF0E0000}"/>
    <cellStyle name="Normal 31 7 2" xfId="4693" xr:uid="{00000000-0005-0000-0000-0000B00E0000}"/>
    <cellStyle name="Normal 31 8" xfId="4004" xr:uid="{00000000-0005-0000-0000-0000B10E0000}"/>
    <cellStyle name="Normal 32" xfId="1440" xr:uid="{00000000-0005-0000-0000-0000B20E0000}"/>
    <cellStyle name="Normal 32 10" xfId="4005" xr:uid="{00000000-0005-0000-0000-0000B30E0000}"/>
    <cellStyle name="Normal 32 2" xfId="1444" xr:uid="{00000000-0005-0000-0000-0000B40E0000}"/>
    <cellStyle name="Normal 32 2 2" xfId="2296" xr:uid="{00000000-0005-0000-0000-0000B50E0000}"/>
    <cellStyle name="Normal 32 2 2 2" xfId="3166" xr:uid="{00000000-0005-0000-0000-0000B60E0000}"/>
    <cellStyle name="Normal 32 2 2 2 2" xfId="3865" xr:uid="{00000000-0005-0000-0000-0000B70E0000}"/>
    <cellStyle name="Normal 32 2 2 2 2 2" xfId="5243" xr:uid="{00000000-0005-0000-0000-0000B80E0000}"/>
    <cellStyle name="Normal 32 2 2 2 3" xfId="4554" xr:uid="{00000000-0005-0000-0000-0000B90E0000}"/>
    <cellStyle name="Normal 32 2 2 3" xfId="2927" xr:uid="{00000000-0005-0000-0000-0000BA0E0000}"/>
    <cellStyle name="Normal 32 2 2 3 2" xfId="3639" xr:uid="{00000000-0005-0000-0000-0000BB0E0000}"/>
    <cellStyle name="Normal 32 2 2 3 2 2" xfId="5017" xr:uid="{00000000-0005-0000-0000-0000BC0E0000}"/>
    <cellStyle name="Normal 32 2 2 3 3" xfId="4328" xr:uid="{00000000-0005-0000-0000-0000BD0E0000}"/>
    <cellStyle name="Normal 32 2 2 4" xfId="3424" xr:uid="{00000000-0005-0000-0000-0000BE0E0000}"/>
    <cellStyle name="Normal 32 2 2 4 2" xfId="4802" xr:uid="{00000000-0005-0000-0000-0000BF0E0000}"/>
    <cellStyle name="Normal 32 2 2 5" xfId="4113" xr:uid="{00000000-0005-0000-0000-0000C00E0000}"/>
    <cellStyle name="Normal 32 2 3" xfId="3060" xr:uid="{00000000-0005-0000-0000-0000C10E0000}"/>
    <cellStyle name="Normal 32 2 3 2" xfId="3759" xr:uid="{00000000-0005-0000-0000-0000C20E0000}"/>
    <cellStyle name="Normal 32 2 3 2 2" xfId="5137" xr:uid="{00000000-0005-0000-0000-0000C30E0000}"/>
    <cellStyle name="Normal 32 2 3 3" xfId="4448" xr:uid="{00000000-0005-0000-0000-0000C40E0000}"/>
    <cellStyle name="Normal 32 2 4" xfId="2447" xr:uid="{00000000-0005-0000-0000-0000C50E0000}"/>
    <cellStyle name="Normal 32 2 4 2" xfId="3533" xr:uid="{00000000-0005-0000-0000-0000C60E0000}"/>
    <cellStyle name="Normal 32 2 4 2 2" xfId="4911" xr:uid="{00000000-0005-0000-0000-0000C70E0000}"/>
    <cellStyle name="Normal 32 2 4 3" xfId="4222" xr:uid="{00000000-0005-0000-0000-0000C80E0000}"/>
    <cellStyle name="Normal 32 2 5" xfId="3318" xr:uid="{00000000-0005-0000-0000-0000C90E0000}"/>
    <cellStyle name="Normal 32 2 5 2" xfId="4696" xr:uid="{00000000-0005-0000-0000-0000CA0E0000}"/>
    <cellStyle name="Normal 32 2 6" xfId="4007" xr:uid="{00000000-0005-0000-0000-0000CB0E0000}"/>
    <cellStyle name="Normal 32 3" xfId="1497" xr:uid="{00000000-0005-0000-0000-0000CC0E0000}"/>
    <cellStyle name="Normal 32 3 2" xfId="2297" xr:uid="{00000000-0005-0000-0000-0000CD0E0000}"/>
    <cellStyle name="Normal 32 3 2 2" xfId="3167" xr:uid="{00000000-0005-0000-0000-0000CE0E0000}"/>
    <cellStyle name="Normal 32 3 2 2 2" xfId="3866" xr:uid="{00000000-0005-0000-0000-0000CF0E0000}"/>
    <cellStyle name="Normal 32 3 2 2 2 2" xfId="5244" xr:uid="{00000000-0005-0000-0000-0000D00E0000}"/>
    <cellStyle name="Normal 32 3 2 2 3" xfId="4555" xr:uid="{00000000-0005-0000-0000-0000D10E0000}"/>
    <cellStyle name="Normal 32 3 2 3" xfId="2928" xr:uid="{00000000-0005-0000-0000-0000D20E0000}"/>
    <cellStyle name="Normal 32 3 2 3 2" xfId="3640" xr:uid="{00000000-0005-0000-0000-0000D30E0000}"/>
    <cellStyle name="Normal 32 3 2 3 2 2" xfId="5018" xr:uid="{00000000-0005-0000-0000-0000D40E0000}"/>
    <cellStyle name="Normal 32 3 2 3 3" xfId="4329" xr:uid="{00000000-0005-0000-0000-0000D50E0000}"/>
    <cellStyle name="Normal 32 3 2 4" xfId="3425" xr:uid="{00000000-0005-0000-0000-0000D60E0000}"/>
    <cellStyle name="Normal 32 3 2 4 2" xfId="4803" xr:uid="{00000000-0005-0000-0000-0000D70E0000}"/>
    <cellStyle name="Normal 32 3 2 5" xfId="4114" xr:uid="{00000000-0005-0000-0000-0000D80E0000}"/>
    <cellStyle name="Normal 32 3 3" xfId="3082" xr:uid="{00000000-0005-0000-0000-0000D90E0000}"/>
    <cellStyle name="Normal 32 3 3 2" xfId="3781" xr:uid="{00000000-0005-0000-0000-0000DA0E0000}"/>
    <cellStyle name="Normal 32 3 3 2 2" xfId="5159" xr:uid="{00000000-0005-0000-0000-0000DB0E0000}"/>
    <cellStyle name="Normal 32 3 3 3" xfId="4470" xr:uid="{00000000-0005-0000-0000-0000DC0E0000}"/>
    <cellStyle name="Normal 32 3 4" xfId="2469" xr:uid="{00000000-0005-0000-0000-0000DD0E0000}"/>
    <cellStyle name="Normal 32 3 4 2" xfId="3555" xr:uid="{00000000-0005-0000-0000-0000DE0E0000}"/>
    <cellStyle name="Normal 32 3 4 2 2" xfId="4933" xr:uid="{00000000-0005-0000-0000-0000DF0E0000}"/>
    <cellStyle name="Normal 32 3 4 3" xfId="4244" xr:uid="{00000000-0005-0000-0000-0000E00E0000}"/>
    <cellStyle name="Normal 32 3 5" xfId="3340" xr:uid="{00000000-0005-0000-0000-0000E10E0000}"/>
    <cellStyle name="Normal 32 3 5 2" xfId="4718" xr:uid="{00000000-0005-0000-0000-0000E20E0000}"/>
    <cellStyle name="Normal 32 3 6" xfId="4029" xr:uid="{00000000-0005-0000-0000-0000E30E0000}"/>
    <cellStyle name="Normal 32 4" xfId="1849" xr:uid="{00000000-0005-0000-0000-0000E40E0000}"/>
    <cellStyle name="Normal 32 4 2" xfId="2298" xr:uid="{00000000-0005-0000-0000-0000E50E0000}"/>
    <cellStyle name="Normal 32 4 2 2" xfId="3168" xr:uid="{00000000-0005-0000-0000-0000E60E0000}"/>
    <cellStyle name="Normal 32 4 2 2 2" xfId="3867" xr:uid="{00000000-0005-0000-0000-0000E70E0000}"/>
    <cellStyle name="Normal 32 4 2 2 2 2" xfId="5245" xr:uid="{00000000-0005-0000-0000-0000E80E0000}"/>
    <cellStyle name="Normal 32 4 2 2 3" xfId="4556" xr:uid="{00000000-0005-0000-0000-0000E90E0000}"/>
    <cellStyle name="Normal 32 4 2 3" xfId="2929" xr:uid="{00000000-0005-0000-0000-0000EA0E0000}"/>
    <cellStyle name="Normal 32 4 2 3 2" xfId="3641" xr:uid="{00000000-0005-0000-0000-0000EB0E0000}"/>
    <cellStyle name="Normal 32 4 2 3 2 2" xfId="5019" xr:uid="{00000000-0005-0000-0000-0000EC0E0000}"/>
    <cellStyle name="Normal 32 4 2 3 3" xfId="4330" xr:uid="{00000000-0005-0000-0000-0000ED0E0000}"/>
    <cellStyle name="Normal 32 4 2 4" xfId="3426" xr:uid="{00000000-0005-0000-0000-0000EE0E0000}"/>
    <cellStyle name="Normal 32 4 2 4 2" xfId="4804" xr:uid="{00000000-0005-0000-0000-0000EF0E0000}"/>
    <cellStyle name="Normal 32 4 2 5" xfId="4115" xr:uid="{00000000-0005-0000-0000-0000F00E0000}"/>
    <cellStyle name="Normal 32 4 3" xfId="3109" xr:uid="{00000000-0005-0000-0000-0000F10E0000}"/>
    <cellStyle name="Normal 32 4 3 2" xfId="3808" xr:uid="{00000000-0005-0000-0000-0000F20E0000}"/>
    <cellStyle name="Normal 32 4 3 2 2" xfId="5186" xr:uid="{00000000-0005-0000-0000-0000F30E0000}"/>
    <cellStyle name="Normal 32 4 3 3" xfId="4497" xr:uid="{00000000-0005-0000-0000-0000F40E0000}"/>
    <cellStyle name="Normal 32 4 4" xfId="2496" xr:uid="{00000000-0005-0000-0000-0000F50E0000}"/>
    <cellStyle name="Normal 32 4 4 2" xfId="3582" xr:uid="{00000000-0005-0000-0000-0000F60E0000}"/>
    <cellStyle name="Normal 32 4 4 2 2" xfId="4960" xr:uid="{00000000-0005-0000-0000-0000F70E0000}"/>
    <cellStyle name="Normal 32 4 4 3" xfId="4271" xr:uid="{00000000-0005-0000-0000-0000F80E0000}"/>
    <cellStyle name="Normal 32 4 5" xfId="3367" xr:uid="{00000000-0005-0000-0000-0000F90E0000}"/>
    <cellStyle name="Normal 32 4 5 2" xfId="4745" xr:uid="{00000000-0005-0000-0000-0000FA0E0000}"/>
    <cellStyle name="Normal 32 4 6" xfId="4056" xr:uid="{00000000-0005-0000-0000-0000FB0E0000}"/>
    <cellStyle name="Normal 32 5" xfId="1860" xr:uid="{00000000-0005-0000-0000-0000FC0E0000}"/>
    <cellStyle name="Normal 32 5 2" xfId="3117" xr:uid="{00000000-0005-0000-0000-0000FD0E0000}"/>
    <cellStyle name="Normal 32 5 2 2" xfId="3816" xr:uid="{00000000-0005-0000-0000-0000FE0E0000}"/>
    <cellStyle name="Normal 32 5 2 2 2" xfId="5194" xr:uid="{00000000-0005-0000-0000-0000FF0E0000}"/>
    <cellStyle name="Normal 32 5 2 3" xfId="4505" xr:uid="{00000000-0005-0000-0000-0000000F0000}"/>
    <cellStyle name="Normal 32 5 3" xfId="2505" xr:uid="{00000000-0005-0000-0000-0000010F0000}"/>
    <cellStyle name="Normal 32 5 3 2" xfId="3590" xr:uid="{00000000-0005-0000-0000-0000020F0000}"/>
    <cellStyle name="Normal 32 5 3 2 2" xfId="4968" xr:uid="{00000000-0005-0000-0000-0000030F0000}"/>
    <cellStyle name="Normal 32 5 3 3" xfId="4279" xr:uid="{00000000-0005-0000-0000-0000040F0000}"/>
    <cellStyle name="Normal 32 5 4" xfId="3375" xr:uid="{00000000-0005-0000-0000-0000050F0000}"/>
    <cellStyle name="Normal 32 5 4 2" xfId="4753" xr:uid="{00000000-0005-0000-0000-0000060F0000}"/>
    <cellStyle name="Normal 32 5 5" xfId="4064" xr:uid="{00000000-0005-0000-0000-0000070F0000}"/>
    <cellStyle name="Normal 32 6" xfId="2295" xr:uid="{00000000-0005-0000-0000-0000080F0000}"/>
    <cellStyle name="Normal 32 6 2" xfId="3165" xr:uid="{00000000-0005-0000-0000-0000090F0000}"/>
    <cellStyle name="Normal 32 6 2 2" xfId="3864" xr:uid="{00000000-0005-0000-0000-00000A0F0000}"/>
    <cellStyle name="Normal 32 6 2 2 2" xfId="5242" xr:uid="{00000000-0005-0000-0000-00000B0F0000}"/>
    <cellStyle name="Normal 32 6 2 3" xfId="4553" xr:uid="{00000000-0005-0000-0000-00000C0F0000}"/>
    <cellStyle name="Normal 32 6 3" xfId="2926" xr:uid="{00000000-0005-0000-0000-00000D0F0000}"/>
    <cellStyle name="Normal 32 6 3 2" xfId="3638" xr:uid="{00000000-0005-0000-0000-00000E0F0000}"/>
    <cellStyle name="Normal 32 6 3 2 2" xfId="5016" xr:uid="{00000000-0005-0000-0000-00000F0F0000}"/>
    <cellStyle name="Normal 32 6 3 3" xfId="4327" xr:uid="{00000000-0005-0000-0000-0000100F0000}"/>
    <cellStyle name="Normal 32 6 4" xfId="3423" xr:uid="{00000000-0005-0000-0000-0000110F0000}"/>
    <cellStyle name="Normal 32 6 4 2" xfId="4801" xr:uid="{00000000-0005-0000-0000-0000120F0000}"/>
    <cellStyle name="Normal 32 6 5" xfId="4112" xr:uid="{00000000-0005-0000-0000-0000130F0000}"/>
    <cellStyle name="Normal 32 7" xfId="3058" xr:uid="{00000000-0005-0000-0000-0000140F0000}"/>
    <cellStyle name="Normal 32 7 2" xfId="3757" xr:uid="{00000000-0005-0000-0000-0000150F0000}"/>
    <cellStyle name="Normal 32 7 2 2" xfId="5135" xr:uid="{00000000-0005-0000-0000-0000160F0000}"/>
    <cellStyle name="Normal 32 7 3" xfId="4446" xr:uid="{00000000-0005-0000-0000-0000170F0000}"/>
    <cellStyle name="Normal 32 8" xfId="2445" xr:uid="{00000000-0005-0000-0000-0000180F0000}"/>
    <cellStyle name="Normal 32 8 2" xfId="3531" xr:uid="{00000000-0005-0000-0000-0000190F0000}"/>
    <cellStyle name="Normal 32 8 2 2" xfId="4909" xr:uid="{00000000-0005-0000-0000-00001A0F0000}"/>
    <cellStyle name="Normal 32 8 3" xfId="4220" xr:uid="{00000000-0005-0000-0000-00001B0F0000}"/>
    <cellStyle name="Normal 32 9" xfId="3316" xr:uid="{00000000-0005-0000-0000-00001C0F0000}"/>
    <cellStyle name="Normal 32 9 2" xfId="4694" xr:uid="{00000000-0005-0000-0000-00001D0F0000}"/>
    <cellStyle name="Normal 33" xfId="1442" xr:uid="{00000000-0005-0000-0000-00001E0F0000}"/>
    <cellStyle name="Normal 33 2" xfId="2299" xr:uid="{00000000-0005-0000-0000-00001F0F0000}"/>
    <cellStyle name="Normal 33 2 2" xfId="3169" xr:uid="{00000000-0005-0000-0000-0000200F0000}"/>
    <cellStyle name="Normal 33 2 2 2" xfId="3868" xr:uid="{00000000-0005-0000-0000-0000210F0000}"/>
    <cellStyle name="Normal 33 2 2 2 2" xfId="5246" xr:uid="{00000000-0005-0000-0000-0000220F0000}"/>
    <cellStyle name="Normal 33 2 2 3" xfId="4557" xr:uid="{00000000-0005-0000-0000-0000230F0000}"/>
    <cellStyle name="Normal 33 2 3" xfId="2930" xr:uid="{00000000-0005-0000-0000-0000240F0000}"/>
    <cellStyle name="Normal 33 2 3 2" xfId="3642" xr:uid="{00000000-0005-0000-0000-0000250F0000}"/>
    <cellStyle name="Normal 33 2 3 2 2" xfId="5020" xr:uid="{00000000-0005-0000-0000-0000260F0000}"/>
    <cellStyle name="Normal 33 2 3 3" xfId="4331" xr:uid="{00000000-0005-0000-0000-0000270F0000}"/>
    <cellStyle name="Normal 33 2 4" xfId="3427" xr:uid="{00000000-0005-0000-0000-0000280F0000}"/>
    <cellStyle name="Normal 33 2 4 2" xfId="4805" xr:uid="{00000000-0005-0000-0000-0000290F0000}"/>
    <cellStyle name="Normal 33 2 5" xfId="4116" xr:uid="{00000000-0005-0000-0000-00002A0F0000}"/>
    <cellStyle name="Normal 33 3" xfId="3059" xr:uid="{00000000-0005-0000-0000-00002B0F0000}"/>
    <cellStyle name="Normal 33 3 2" xfId="3758" xr:uid="{00000000-0005-0000-0000-00002C0F0000}"/>
    <cellStyle name="Normal 33 3 2 2" xfId="5136" xr:uid="{00000000-0005-0000-0000-00002D0F0000}"/>
    <cellStyle name="Normal 33 3 3" xfId="4447" xr:uid="{00000000-0005-0000-0000-00002E0F0000}"/>
    <cellStyle name="Normal 33 4" xfId="2446" xr:uid="{00000000-0005-0000-0000-00002F0F0000}"/>
    <cellStyle name="Normal 33 4 2" xfId="3532" xr:uid="{00000000-0005-0000-0000-0000300F0000}"/>
    <cellStyle name="Normal 33 4 2 2" xfId="4910" xr:uid="{00000000-0005-0000-0000-0000310F0000}"/>
    <cellStyle name="Normal 33 4 3" xfId="4221" xr:uid="{00000000-0005-0000-0000-0000320F0000}"/>
    <cellStyle name="Normal 33 5" xfId="3317" xr:uid="{00000000-0005-0000-0000-0000330F0000}"/>
    <cellStyle name="Normal 33 5 2" xfId="4695" xr:uid="{00000000-0005-0000-0000-0000340F0000}"/>
    <cellStyle name="Normal 33 6" xfId="4006" xr:uid="{00000000-0005-0000-0000-0000350F0000}"/>
    <cellStyle name="Normal 34" xfId="1845" xr:uid="{00000000-0005-0000-0000-0000360F0000}"/>
    <cellStyle name="Normal 34 2" xfId="1847" xr:uid="{00000000-0005-0000-0000-0000370F0000}"/>
    <cellStyle name="Normal 34 3" xfId="2300" xr:uid="{00000000-0005-0000-0000-0000380F0000}"/>
    <cellStyle name="Normal 34 3 2" xfId="3170" xr:uid="{00000000-0005-0000-0000-0000390F0000}"/>
    <cellStyle name="Normal 34 3 2 2" xfId="3869" xr:uid="{00000000-0005-0000-0000-00003A0F0000}"/>
    <cellStyle name="Normal 34 3 2 2 2" xfId="5247" xr:uid="{00000000-0005-0000-0000-00003B0F0000}"/>
    <cellStyle name="Normal 34 3 2 3" xfId="4558" xr:uid="{00000000-0005-0000-0000-00003C0F0000}"/>
    <cellStyle name="Normal 34 3 3" xfId="2931" xr:uid="{00000000-0005-0000-0000-00003D0F0000}"/>
    <cellStyle name="Normal 34 3 3 2" xfId="3643" xr:uid="{00000000-0005-0000-0000-00003E0F0000}"/>
    <cellStyle name="Normal 34 3 3 2 2" xfId="5021" xr:uid="{00000000-0005-0000-0000-00003F0F0000}"/>
    <cellStyle name="Normal 34 3 3 3" xfId="4332" xr:uid="{00000000-0005-0000-0000-0000400F0000}"/>
    <cellStyle name="Normal 34 3 4" xfId="3428" xr:uid="{00000000-0005-0000-0000-0000410F0000}"/>
    <cellStyle name="Normal 34 3 4 2" xfId="4806" xr:uid="{00000000-0005-0000-0000-0000420F0000}"/>
    <cellStyle name="Normal 34 3 5" xfId="4117" xr:uid="{00000000-0005-0000-0000-0000430F0000}"/>
    <cellStyle name="Normal 34 4" xfId="3107" xr:uid="{00000000-0005-0000-0000-0000440F0000}"/>
    <cellStyle name="Normal 34 4 2" xfId="3806" xr:uid="{00000000-0005-0000-0000-0000450F0000}"/>
    <cellStyle name="Normal 34 4 2 2" xfId="5184" xr:uid="{00000000-0005-0000-0000-0000460F0000}"/>
    <cellStyle name="Normal 34 4 3" xfId="4495" xr:uid="{00000000-0005-0000-0000-0000470F0000}"/>
    <cellStyle name="Normal 34 5" xfId="2494" xr:uid="{00000000-0005-0000-0000-0000480F0000}"/>
    <cellStyle name="Normal 34 5 2" xfId="3580" xr:uid="{00000000-0005-0000-0000-0000490F0000}"/>
    <cellStyle name="Normal 34 5 2 2" xfId="4958" xr:uid="{00000000-0005-0000-0000-00004A0F0000}"/>
    <cellStyle name="Normal 34 5 3" xfId="4269" xr:uid="{00000000-0005-0000-0000-00004B0F0000}"/>
    <cellStyle name="Normal 34 6" xfId="3365" xr:uid="{00000000-0005-0000-0000-00004C0F0000}"/>
    <cellStyle name="Normal 34 6 2" xfId="4743" xr:uid="{00000000-0005-0000-0000-00004D0F0000}"/>
    <cellStyle name="Normal 34 7" xfId="4054" xr:uid="{00000000-0005-0000-0000-00004E0F0000}"/>
    <cellStyle name="Normal 35" xfId="1848" xr:uid="{00000000-0005-0000-0000-00004F0F0000}"/>
    <cellStyle name="Normal 35 2" xfId="2301" xr:uid="{00000000-0005-0000-0000-0000500F0000}"/>
    <cellStyle name="Normal 35 2 2" xfId="3171" xr:uid="{00000000-0005-0000-0000-0000510F0000}"/>
    <cellStyle name="Normal 35 2 2 2" xfId="3870" xr:uid="{00000000-0005-0000-0000-0000520F0000}"/>
    <cellStyle name="Normal 35 2 2 2 2" xfId="5248" xr:uid="{00000000-0005-0000-0000-0000530F0000}"/>
    <cellStyle name="Normal 35 2 2 3" xfId="4559" xr:uid="{00000000-0005-0000-0000-0000540F0000}"/>
    <cellStyle name="Normal 35 2 3" xfId="2932" xr:uid="{00000000-0005-0000-0000-0000550F0000}"/>
    <cellStyle name="Normal 35 2 3 2" xfId="3644" xr:uid="{00000000-0005-0000-0000-0000560F0000}"/>
    <cellStyle name="Normal 35 2 3 2 2" xfId="5022" xr:uid="{00000000-0005-0000-0000-0000570F0000}"/>
    <cellStyle name="Normal 35 2 3 3" xfId="4333" xr:uid="{00000000-0005-0000-0000-0000580F0000}"/>
    <cellStyle name="Normal 35 2 4" xfId="3429" xr:uid="{00000000-0005-0000-0000-0000590F0000}"/>
    <cellStyle name="Normal 35 2 4 2" xfId="4807" xr:uid="{00000000-0005-0000-0000-00005A0F0000}"/>
    <cellStyle name="Normal 35 2 5" xfId="4118" xr:uid="{00000000-0005-0000-0000-00005B0F0000}"/>
    <cellStyle name="Normal 35 3" xfId="3108" xr:uid="{00000000-0005-0000-0000-00005C0F0000}"/>
    <cellStyle name="Normal 35 3 2" xfId="3807" xr:uid="{00000000-0005-0000-0000-00005D0F0000}"/>
    <cellStyle name="Normal 35 3 2 2" xfId="5185" xr:uid="{00000000-0005-0000-0000-00005E0F0000}"/>
    <cellStyle name="Normal 35 3 3" xfId="4496" xr:uid="{00000000-0005-0000-0000-00005F0F0000}"/>
    <cellStyle name="Normal 35 4" xfId="2495" xr:uid="{00000000-0005-0000-0000-0000600F0000}"/>
    <cellStyle name="Normal 35 4 2" xfId="3581" xr:uid="{00000000-0005-0000-0000-0000610F0000}"/>
    <cellStyle name="Normal 35 4 2 2" xfId="4959" xr:uid="{00000000-0005-0000-0000-0000620F0000}"/>
    <cellStyle name="Normal 35 4 3" xfId="4270" xr:uid="{00000000-0005-0000-0000-0000630F0000}"/>
    <cellStyle name="Normal 35 5" xfId="3366" xr:uid="{00000000-0005-0000-0000-0000640F0000}"/>
    <cellStyle name="Normal 35 5 2" xfId="4744" xr:uid="{00000000-0005-0000-0000-0000650F0000}"/>
    <cellStyle name="Normal 35 6" xfId="4055" xr:uid="{00000000-0005-0000-0000-0000660F0000}"/>
    <cellStyle name="Normal 36" xfId="1851" xr:uid="{00000000-0005-0000-0000-0000670F0000}"/>
    <cellStyle name="Normal 36 2" xfId="2302" xr:uid="{00000000-0005-0000-0000-0000680F0000}"/>
    <cellStyle name="Normal 36 2 2" xfId="3172" xr:uid="{00000000-0005-0000-0000-0000690F0000}"/>
    <cellStyle name="Normal 36 2 2 2" xfId="3871" xr:uid="{00000000-0005-0000-0000-00006A0F0000}"/>
    <cellStyle name="Normal 36 2 2 2 2" xfId="5249" xr:uid="{00000000-0005-0000-0000-00006B0F0000}"/>
    <cellStyle name="Normal 36 2 2 3" xfId="4560" xr:uid="{00000000-0005-0000-0000-00006C0F0000}"/>
    <cellStyle name="Normal 36 2 3" xfId="2933" xr:uid="{00000000-0005-0000-0000-00006D0F0000}"/>
    <cellStyle name="Normal 36 2 3 2" xfId="3645" xr:uid="{00000000-0005-0000-0000-00006E0F0000}"/>
    <cellStyle name="Normal 36 2 3 2 2" xfId="5023" xr:uid="{00000000-0005-0000-0000-00006F0F0000}"/>
    <cellStyle name="Normal 36 2 3 3" xfId="4334" xr:uid="{00000000-0005-0000-0000-0000700F0000}"/>
    <cellStyle name="Normal 36 2 4" xfId="3430" xr:uid="{00000000-0005-0000-0000-0000710F0000}"/>
    <cellStyle name="Normal 36 2 4 2" xfId="4808" xr:uid="{00000000-0005-0000-0000-0000720F0000}"/>
    <cellStyle name="Normal 36 2 5" xfId="4119" xr:uid="{00000000-0005-0000-0000-0000730F0000}"/>
    <cellStyle name="Normal 36 3" xfId="3110" xr:uid="{00000000-0005-0000-0000-0000740F0000}"/>
    <cellStyle name="Normal 36 3 2" xfId="3809" xr:uid="{00000000-0005-0000-0000-0000750F0000}"/>
    <cellStyle name="Normal 36 3 2 2" xfId="5187" xr:uid="{00000000-0005-0000-0000-0000760F0000}"/>
    <cellStyle name="Normal 36 3 3" xfId="4498" xr:uid="{00000000-0005-0000-0000-0000770F0000}"/>
    <cellStyle name="Normal 36 4" xfId="2497" xr:uid="{00000000-0005-0000-0000-0000780F0000}"/>
    <cellStyle name="Normal 36 4 2" xfId="3583" xr:uid="{00000000-0005-0000-0000-0000790F0000}"/>
    <cellStyle name="Normal 36 4 2 2" xfId="4961" xr:uid="{00000000-0005-0000-0000-00007A0F0000}"/>
    <cellStyle name="Normal 36 4 3" xfId="4272" xr:uid="{00000000-0005-0000-0000-00007B0F0000}"/>
    <cellStyle name="Normal 36 5" xfId="3368" xr:uid="{00000000-0005-0000-0000-00007C0F0000}"/>
    <cellStyle name="Normal 36 5 2" xfId="4746" xr:uid="{00000000-0005-0000-0000-00007D0F0000}"/>
    <cellStyle name="Normal 36 6" xfId="4057" xr:uid="{00000000-0005-0000-0000-00007E0F0000}"/>
    <cellStyle name="Normal 37" xfId="1858" xr:uid="{00000000-0005-0000-0000-00007F0F0000}"/>
    <cellStyle name="Normal 37 2" xfId="3115" xr:uid="{00000000-0005-0000-0000-0000800F0000}"/>
    <cellStyle name="Normal 37 2 2" xfId="3814" xr:uid="{00000000-0005-0000-0000-0000810F0000}"/>
    <cellStyle name="Normal 37 2 2 2" xfId="5192" xr:uid="{00000000-0005-0000-0000-0000820F0000}"/>
    <cellStyle name="Normal 37 2 3" xfId="4503" xr:uid="{00000000-0005-0000-0000-0000830F0000}"/>
    <cellStyle name="Normal 37 3" xfId="2503" xr:uid="{00000000-0005-0000-0000-0000840F0000}"/>
    <cellStyle name="Normal 37 3 2" xfId="3588" xr:uid="{00000000-0005-0000-0000-0000850F0000}"/>
    <cellStyle name="Normal 37 3 2 2" xfId="4966" xr:uid="{00000000-0005-0000-0000-0000860F0000}"/>
    <cellStyle name="Normal 37 3 3" xfId="4277" xr:uid="{00000000-0005-0000-0000-0000870F0000}"/>
    <cellStyle name="Normal 37 4" xfId="3373" xr:uid="{00000000-0005-0000-0000-0000880F0000}"/>
    <cellStyle name="Normal 37 4 2" xfId="4751" xr:uid="{00000000-0005-0000-0000-0000890F0000}"/>
    <cellStyle name="Normal 37 5" xfId="4062" xr:uid="{00000000-0005-0000-0000-00008A0F0000}"/>
    <cellStyle name="Normal 38" xfId="1839" xr:uid="{00000000-0005-0000-0000-00008B0F0000}"/>
    <cellStyle name="Normal 39" xfId="1859" xr:uid="{00000000-0005-0000-0000-00008C0F0000}"/>
    <cellStyle name="Normal 39 2" xfId="3116" xr:uid="{00000000-0005-0000-0000-00008D0F0000}"/>
    <cellStyle name="Normal 39 2 2" xfId="3815" xr:uid="{00000000-0005-0000-0000-00008E0F0000}"/>
    <cellStyle name="Normal 39 2 2 2" xfId="5193" xr:uid="{00000000-0005-0000-0000-00008F0F0000}"/>
    <cellStyle name="Normal 39 2 3" xfId="4504" xr:uid="{00000000-0005-0000-0000-0000900F0000}"/>
    <cellStyle name="Normal 39 3" xfId="2504" xr:uid="{00000000-0005-0000-0000-0000910F0000}"/>
    <cellStyle name="Normal 39 3 2" xfId="3589" xr:uid="{00000000-0005-0000-0000-0000920F0000}"/>
    <cellStyle name="Normal 39 3 2 2" xfId="4967" xr:uid="{00000000-0005-0000-0000-0000930F0000}"/>
    <cellStyle name="Normal 39 3 3" xfId="4278" xr:uid="{00000000-0005-0000-0000-0000940F0000}"/>
    <cellStyle name="Normal 39 4" xfId="3374" xr:uid="{00000000-0005-0000-0000-0000950F0000}"/>
    <cellStyle name="Normal 39 4 2" xfId="4752" xr:uid="{00000000-0005-0000-0000-0000960F0000}"/>
    <cellStyle name="Normal 39 5" xfId="4063" xr:uid="{00000000-0005-0000-0000-0000970F0000}"/>
    <cellStyle name="Normal 4" xfId="1022" xr:uid="{00000000-0005-0000-0000-0000980F0000}"/>
    <cellStyle name="Normal 4 10" xfId="2356" xr:uid="{00000000-0005-0000-0000-0000990F0000}"/>
    <cellStyle name="Normal 4 10 2" xfId="3210" xr:uid="{00000000-0005-0000-0000-00009A0F0000}"/>
    <cellStyle name="Normal 4 10 2 2" xfId="3909" xr:uid="{00000000-0005-0000-0000-00009B0F0000}"/>
    <cellStyle name="Normal 4 10 2 2 2" xfId="5287" xr:uid="{00000000-0005-0000-0000-00009C0F0000}"/>
    <cellStyle name="Normal 4 10 2 3" xfId="4598" xr:uid="{00000000-0005-0000-0000-00009D0F0000}"/>
    <cellStyle name="Normal 4 10 3" xfId="2977" xr:uid="{00000000-0005-0000-0000-00009E0F0000}"/>
    <cellStyle name="Normal 4 10 3 2" xfId="3683" xr:uid="{00000000-0005-0000-0000-00009F0F0000}"/>
    <cellStyle name="Normal 4 10 3 2 2" xfId="5061" xr:uid="{00000000-0005-0000-0000-0000A00F0000}"/>
    <cellStyle name="Normal 4 10 3 3" xfId="4372" xr:uid="{00000000-0005-0000-0000-0000A10F0000}"/>
    <cellStyle name="Normal 4 10 4" xfId="3468" xr:uid="{00000000-0005-0000-0000-0000A20F0000}"/>
    <cellStyle name="Normal 4 10 4 2" xfId="4846" xr:uid="{00000000-0005-0000-0000-0000A30F0000}"/>
    <cellStyle name="Normal 4 10 5" xfId="4157" xr:uid="{00000000-0005-0000-0000-0000A40F0000}"/>
    <cellStyle name="Normal 4 11" xfId="2374" xr:uid="{00000000-0005-0000-0000-0000A50F0000}"/>
    <cellStyle name="Normal 4 11 2" xfId="3218" xr:uid="{00000000-0005-0000-0000-0000A60F0000}"/>
    <cellStyle name="Normal 4 11 2 2" xfId="3917" xr:uid="{00000000-0005-0000-0000-0000A70F0000}"/>
    <cellStyle name="Normal 4 11 2 2 2" xfId="5295" xr:uid="{00000000-0005-0000-0000-0000A80F0000}"/>
    <cellStyle name="Normal 4 11 2 3" xfId="4606" xr:uid="{00000000-0005-0000-0000-0000A90F0000}"/>
    <cellStyle name="Normal 4 11 3" xfId="2986" xr:uid="{00000000-0005-0000-0000-0000AA0F0000}"/>
    <cellStyle name="Normal 4 11 3 2" xfId="3691" xr:uid="{00000000-0005-0000-0000-0000AB0F0000}"/>
    <cellStyle name="Normal 4 11 3 2 2" xfId="5069" xr:uid="{00000000-0005-0000-0000-0000AC0F0000}"/>
    <cellStyle name="Normal 4 11 3 3" xfId="4380" xr:uid="{00000000-0005-0000-0000-0000AD0F0000}"/>
    <cellStyle name="Normal 4 11 4" xfId="3476" xr:uid="{00000000-0005-0000-0000-0000AE0F0000}"/>
    <cellStyle name="Normal 4 11 4 2" xfId="4854" xr:uid="{00000000-0005-0000-0000-0000AF0F0000}"/>
    <cellStyle name="Normal 4 11 5" xfId="4165" xr:uid="{00000000-0005-0000-0000-0000B00F0000}"/>
    <cellStyle name="Normal 4 12" xfId="2387" xr:uid="{00000000-0005-0000-0000-0000B10F0000}"/>
    <cellStyle name="Normal 4 12 2" xfId="3229" xr:uid="{00000000-0005-0000-0000-0000B20F0000}"/>
    <cellStyle name="Normal 4 12 2 2" xfId="3928" xr:uid="{00000000-0005-0000-0000-0000B30F0000}"/>
    <cellStyle name="Normal 4 12 2 2 2" xfId="5306" xr:uid="{00000000-0005-0000-0000-0000B40F0000}"/>
    <cellStyle name="Normal 4 12 2 3" xfId="4617" xr:uid="{00000000-0005-0000-0000-0000B50F0000}"/>
    <cellStyle name="Normal 4 12 3" xfId="2998" xr:uid="{00000000-0005-0000-0000-0000B60F0000}"/>
    <cellStyle name="Normal 4 12 3 2" xfId="3702" xr:uid="{00000000-0005-0000-0000-0000B70F0000}"/>
    <cellStyle name="Normal 4 12 3 2 2" xfId="5080" xr:uid="{00000000-0005-0000-0000-0000B80F0000}"/>
    <cellStyle name="Normal 4 12 3 3" xfId="4391" xr:uid="{00000000-0005-0000-0000-0000B90F0000}"/>
    <cellStyle name="Normal 4 12 4" xfId="3487" xr:uid="{00000000-0005-0000-0000-0000BA0F0000}"/>
    <cellStyle name="Normal 4 12 4 2" xfId="4865" xr:uid="{00000000-0005-0000-0000-0000BB0F0000}"/>
    <cellStyle name="Normal 4 12 5" xfId="4176" xr:uid="{00000000-0005-0000-0000-0000BC0F0000}"/>
    <cellStyle name="Normal 4 13" xfId="2394" xr:uid="{00000000-0005-0000-0000-0000BD0F0000}"/>
    <cellStyle name="Normal 4 13 2" xfId="3236" xr:uid="{00000000-0005-0000-0000-0000BE0F0000}"/>
    <cellStyle name="Normal 4 13 2 2" xfId="3935" xr:uid="{00000000-0005-0000-0000-0000BF0F0000}"/>
    <cellStyle name="Normal 4 13 2 2 2" xfId="5313" xr:uid="{00000000-0005-0000-0000-0000C00F0000}"/>
    <cellStyle name="Normal 4 13 2 3" xfId="4624" xr:uid="{00000000-0005-0000-0000-0000C10F0000}"/>
    <cellStyle name="Normal 4 13 3" xfId="3005" xr:uid="{00000000-0005-0000-0000-0000C20F0000}"/>
    <cellStyle name="Normal 4 13 3 2" xfId="3709" xr:uid="{00000000-0005-0000-0000-0000C30F0000}"/>
    <cellStyle name="Normal 4 13 3 2 2" xfId="5087" xr:uid="{00000000-0005-0000-0000-0000C40F0000}"/>
    <cellStyle name="Normal 4 13 3 3" xfId="4398" xr:uid="{00000000-0005-0000-0000-0000C50F0000}"/>
    <cellStyle name="Normal 4 13 4" xfId="3494" xr:uid="{00000000-0005-0000-0000-0000C60F0000}"/>
    <cellStyle name="Normal 4 13 4 2" xfId="4872" xr:uid="{00000000-0005-0000-0000-0000C70F0000}"/>
    <cellStyle name="Normal 4 13 5" xfId="4183" xr:uid="{00000000-0005-0000-0000-0000C80F0000}"/>
    <cellStyle name="Normal 4 14" xfId="2399" xr:uid="{00000000-0005-0000-0000-0000C90F0000}"/>
    <cellStyle name="Normal 4 14 2" xfId="3240" xr:uid="{00000000-0005-0000-0000-0000CA0F0000}"/>
    <cellStyle name="Normal 4 14 2 2" xfId="3939" xr:uid="{00000000-0005-0000-0000-0000CB0F0000}"/>
    <cellStyle name="Normal 4 14 2 2 2" xfId="5317" xr:uid="{00000000-0005-0000-0000-0000CC0F0000}"/>
    <cellStyle name="Normal 4 14 2 3" xfId="4628" xr:uid="{00000000-0005-0000-0000-0000CD0F0000}"/>
    <cellStyle name="Normal 4 14 3" xfId="3010" xr:uid="{00000000-0005-0000-0000-0000CE0F0000}"/>
    <cellStyle name="Normal 4 14 3 2" xfId="3713" xr:uid="{00000000-0005-0000-0000-0000CF0F0000}"/>
    <cellStyle name="Normal 4 14 3 2 2" xfId="5091" xr:uid="{00000000-0005-0000-0000-0000D00F0000}"/>
    <cellStyle name="Normal 4 14 3 3" xfId="4402" xr:uid="{00000000-0005-0000-0000-0000D10F0000}"/>
    <cellStyle name="Normal 4 14 4" xfId="3498" xr:uid="{00000000-0005-0000-0000-0000D20F0000}"/>
    <cellStyle name="Normal 4 14 4 2" xfId="4876" xr:uid="{00000000-0005-0000-0000-0000D30F0000}"/>
    <cellStyle name="Normal 4 14 5" xfId="4187" xr:uid="{00000000-0005-0000-0000-0000D40F0000}"/>
    <cellStyle name="Normal 4 15" xfId="3025" xr:uid="{00000000-0005-0000-0000-0000D50F0000}"/>
    <cellStyle name="Normal 4 15 2" xfId="3727" xr:uid="{00000000-0005-0000-0000-0000D60F0000}"/>
    <cellStyle name="Normal 4 15 2 2" xfId="5105" xr:uid="{00000000-0005-0000-0000-0000D70F0000}"/>
    <cellStyle name="Normal 4 15 3" xfId="4416" xr:uid="{00000000-0005-0000-0000-0000D80F0000}"/>
    <cellStyle name="Normal 4 16" xfId="3038" xr:uid="{00000000-0005-0000-0000-0000D90F0000}"/>
    <cellStyle name="Normal 4 16 2" xfId="3737" xr:uid="{00000000-0005-0000-0000-0000DA0F0000}"/>
    <cellStyle name="Normal 4 16 2 2" xfId="5115" xr:uid="{00000000-0005-0000-0000-0000DB0F0000}"/>
    <cellStyle name="Normal 4 16 3" xfId="4426" xr:uid="{00000000-0005-0000-0000-0000DC0F0000}"/>
    <cellStyle name="Normal 4 17" xfId="3254" xr:uid="{00000000-0005-0000-0000-0000DD0F0000}"/>
    <cellStyle name="Normal 4 17 2" xfId="3951" xr:uid="{00000000-0005-0000-0000-0000DE0F0000}"/>
    <cellStyle name="Normal 4 17 2 2" xfId="5329" xr:uid="{00000000-0005-0000-0000-0000DF0F0000}"/>
    <cellStyle name="Normal 4 17 3" xfId="4640" xr:uid="{00000000-0005-0000-0000-0000E00F0000}"/>
    <cellStyle name="Normal 4 18" xfId="2419" xr:uid="{00000000-0005-0000-0000-0000E10F0000}"/>
    <cellStyle name="Normal 4 18 2" xfId="3511" xr:uid="{00000000-0005-0000-0000-0000E20F0000}"/>
    <cellStyle name="Normal 4 18 2 2" xfId="4889" xr:uid="{00000000-0005-0000-0000-0000E30F0000}"/>
    <cellStyle name="Normal 4 18 3" xfId="4200" xr:uid="{00000000-0005-0000-0000-0000E40F0000}"/>
    <cellStyle name="Normal 4 19" xfId="3260" xr:uid="{00000000-0005-0000-0000-0000E50F0000}"/>
    <cellStyle name="Normal 4 19 2" xfId="3955" xr:uid="{00000000-0005-0000-0000-0000E60F0000}"/>
    <cellStyle name="Normal 4 19 2 2" xfId="5333" xr:uid="{00000000-0005-0000-0000-0000E70F0000}"/>
    <cellStyle name="Normal 4 19 3" xfId="4644" xr:uid="{00000000-0005-0000-0000-0000E80F0000}"/>
    <cellStyle name="Normal 4 2" xfId="1355" xr:uid="{00000000-0005-0000-0000-0000E90F0000}"/>
    <cellStyle name="Normal 4 2 10" xfId="3039" xr:uid="{00000000-0005-0000-0000-0000EA0F0000}"/>
    <cellStyle name="Normal 4 2 10 2" xfId="3738" xr:uid="{00000000-0005-0000-0000-0000EB0F0000}"/>
    <cellStyle name="Normal 4 2 10 2 2" xfId="5116" xr:uid="{00000000-0005-0000-0000-0000EC0F0000}"/>
    <cellStyle name="Normal 4 2 10 3" xfId="4427" xr:uid="{00000000-0005-0000-0000-0000ED0F0000}"/>
    <cellStyle name="Normal 4 2 11" xfId="2421" xr:uid="{00000000-0005-0000-0000-0000EE0F0000}"/>
    <cellStyle name="Normal 4 2 11 2" xfId="3512" xr:uid="{00000000-0005-0000-0000-0000EF0F0000}"/>
    <cellStyle name="Normal 4 2 11 2 2" xfId="4890" xr:uid="{00000000-0005-0000-0000-0000F00F0000}"/>
    <cellStyle name="Normal 4 2 11 3" xfId="4201" xr:uid="{00000000-0005-0000-0000-0000F10F0000}"/>
    <cellStyle name="Normal 4 2 12" xfId="3293" xr:uid="{00000000-0005-0000-0000-0000F20F0000}"/>
    <cellStyle name="Normal 4 2 12 2" xfId="4671" xr:uid="{00000000-0005-0000-0000-0000F30F0000}"/>
    <cellStyle name="Normal 4 2 13" xfId="3297" xr:uid="{00000000-0005-0000-0000-0000F40F0000}"/>
    <cellStyle name="Normal 4 2 13 2" xfId="4675" xr:uid="{00000000-0005-0000-0000-0000F50F0000}"/>
    <cellStyle name="Normal 4 2 14" xfId="3977" xr:uid="{00000000-0005-0000-0000-0000F60F0000}"/>
    <cellStyle name="Normal 4 2 14 2" xfId="5352" xr:uid="{00000000-0005-0000-0000-0000F70F0000}"/>
    <cellStyle name="Normal 4 2 15" xfId="3986" xr:uid="{00000000-0005-0000-0000-0000F80F0000}"/>
    <cellStyle name="Normal 4 2 16" xfId="5438" xr:uid="{00000000-0005-0000-0000-00006A000000}"/>
    <cellStyle name="Normal 4 2 17" xfId="5527" xr:uid="{8A75562D-1FA7-44AD-92B9-B6521CEDCF1B}"/>
    <cellStyle name="Normal 4 2 2" xfId="1415" xr:uid="{00000000-0005-0000-0000-0000F90F0000}"/>
    <cellStyle name="Normal 4 2 2 2" xfId="1430" xr:uid="{00000000-0005-0000-0000-0000FA0F0000}"/>
    <cellStyle name="Normal 4 2 2 2 2" xfId="1461" xr:uid="{00000000-0005-0000-0000-0000FB0F0000}"/>
    <cellStyle name="Normal 4 2 2 2 2 2" xfId="2307" xr:uid="{00000000-0005-0000-0000-0000FC0F0000}"/>
    <cellStyle name="Normal 4 2 2 2 2 2 2" xfId="3177" xr:uid="{00000000-0005-0000-0000-0000FD0F0000}"/>
    <cellStyle name="Normal 4 2 2 2 2 2 2 2" xfId="3876" xr:uid="{00000000-0005-0000-0000-0000FE0F0000}"/>
    <cellStyle name="Normal 4 2 2 2 2 2 2 2 2" xfId="5254" xr:uid="{00000000-0005-0000-0000-0000FF0F0000}"/>
    <cellStyle name="Normal 4 2 2 2 2 2 2 3" xfId="4565" xr:uid="{00000000-0005-0000-0000-000000100000}"/>
    <cellStyle name="Normal 4 2 2 2 2 2 3" xfId="2938" xr:uid="{00000000-0005-0000-0000-000001100000}"/>
    <cellStyle name="Normal 4 2 2 2 2 2 3 2" xfId="3650" xr:uid="{00000000-0005-0000-0000-000002100000}"/>
    <cellStyle name="Normal 4 2 2 2 2 2 3 2 2" xfId="5028" xr:uid="{00000000-0005-0000-0000-000003100000}"/>
    <cellStyle name="Normal 4 2 2 2 2 2 3 3" xfId="4339" xr:uid="{00000000-0005-0000-0000-000004100000}"/>
    <cellStyle name="Normal 4 2 2 2 2 2 4" xfId="3435" xr:uid="{00000000-0005-0000-0000-000005100000}"/>
    <cellStyle name="Normal 4 2 2 2 2 2 4 2" xfId="4813" xr:uid="{00000000-0005-0000-0000-000006100000}"/>
    <cellStyle name="Normal 4 2 2 2 2 2 5" xfId="4124" xr:uid="{00000000-0005-0000-0000-000007100000}"/>
    <cellStyle name="Normal 4 2 2 2 2 3" xfId="3077" xr:uid="{00000000-0005-0000-0000-000008100000}"/>
    <cellStyle name="Normal 4 2 2 2 2 3 2" xfId="3776" xr:uid="{00000000-0005-0000-0000-000009100000}"/>
    <cellStyle name="Normal 4 2 2 2 2 3 2 2" xfId="5154" xr:uid="{00000000-0005-0000-0000-00000A100000}"/>
    <cellStyle name="Normal 4 2 2 2 2 3 3" xfId="4465" xr:uid="{00000000-0005-0000-0000-00000B100000}"/>
    <cellStyle name="Normal 4 2 2 2 2 4" xfId="2464" xr:uid="{00000000-0005-0000-0000-00000C100000}"/>
    <cellStyle name="Normal 4 2 2 2 2 4 2" xfId="3550" xr:uid="{00000000-0005-0000-0000-00000D100000}"/>
    <cellStyle name="Normal 4 2 2 2 2 4 2 2" xfId="4928" xr:uid="{00000000-0005-0000-0000-00000E100000}"/>
    <cellStyle name="Normal 4 2 2 2 2 4 3" xfId="4239" xr:uid="{00000000-0005-0000-0000-00000F100000}"/>
    <cellStyle name="Normal 4 2 2 2 2 5" xfId="3335" xr:uid="{00000000-0005-0000-0000-000010100000}"/>
    <cellStyle name="Normal 4 2 2 2 2 5 2" xfId="4713" xr:uid="{00000000-0005-0000-0000-000011100000}"/>
    <cellStyle name="Normal 4 2 2 2 2 6" xfId="4024" xr:uid="{00000000-0005-0000-0000-000012100000}"/>
    <cellStyle name="Normal 4 2 2 2 3" xfId="1514" xr:uid="{00000000-0005-0000-0000-000013100000}"/>
    <cellStyle name="Normal 4 2 2 2 3 2" xfId="2308" xr:uid="{00000000-0005-0000-0000-000014100000}"/>
    <cellStyle name="Normal 4 2 2 2 3 2 2" xfId="3178" xr:uid="{00000000-0005-0000-0000-000015100000}"/>
    <cellStyle name="Normal 4 2 2 2 3 2 2 2" xfId="3877" xr:uid="{00000000-0005-0000-0000-000016100000}"/>
    <cellStyle name="Normal 4 2 2 2 3 2 2 2 2" xfId="5255" xr:uid="{00000000-0005-0000-0000-000017100000}"/>
    <cellStyle name="Normal 4 2 2 2 3 2 2 3" xfId="4566" xr:uid="{00000000-0005-0000-0000-000018100000}"/>
    <cellStyle name="Normal 4 2 2 2 3 2 3" xfId="2939" xr:uid="{00000000-0005-0000-0000-000019100000}"/>
    <cellStyle name="Normal 4 2 2 2 3 2 3 2" xfId="3651" xr:uid="{00000000-0005-0000-0000-00001A100000}"/>
    <cellStyle name="Normal 4 2 2 2 3 2 3 2 2" xfId="5029" xr:uid="{00000000-0005-0000-0000-00001B100000}"/>
    <cellStyle name="Normal 4 2 2 2 3 2 3 3" xfId="4340" xr:uid="{00000000-0005-0000-0000-00001C100000}"/>
    <cellStyle name="Normal 4 2 2 2 3 2 4" xfId="3436" xr:uid="{00000000-0005-0000-0000-00001D100000}"/>
    <cellStyle name="Normal 4 2 2 2 3 2 4 2" xfId="4814" xr:uid="{00000000-0005-0000-0000-00001E100000}"/>
    <cellStyle name="Normal 4 2 2 2 3 2 5" xfId="4125" xr:uid="{00000000-0005-0000-0000-00001F100000}"/>
    <cellStyle name="Normal 4 2 2 2 3 3" xfId="3099" xr:uid="{00000000-0005-0000-0000-000020100000}"/>
    <cellStyle name="Normal 4 2 2 2 3 3 2" xfId="3798" xr:uid="{00000000-0005-0000-0000-000021100000}"/>
    <cellStyle name="Normal 4 2 2 2 3 3 2 2" xfId="5176" xr:uid="{00000000-0005-0000-0000-000022100000}"/>
    <cellStyle name="Normal 4 2 2 2 3 3 3" xfId="4487" xr:uid="{00000000-0005-0000-0000-000023100000}"/>
    <cellStyle name="Normal 4 2 2 2 3 4" xfId="2486" xr:uid="{00000000-0005-0000-0000-000024100000}"/>
    <cellStyle name="Normal 4 2 2 2 3 4 2" xfId="3572" xr:uid="{00000000-0005-0000-0000-000025100000}"/>
    <cellStyle name="Normal 4 2 2 2 3 4 2 2" xfId="4950" xr:uid="{00000000-0005-0000-0000-000026100000}"/>
    <cellStyle name="Normal 4 2 2 2 3 4 3" xfId="4261" xr:uid="{00000000-0005-0000-0000-000027100000}"/>
    <cellStyle name="Normal 4 2 2 2 3 5" xfId="3357" xr:uid="{00000000-0005-0000-0000-000028100000}"/>
    <cellStyle name="Normal 4 2 2 2 3 5 2" xfId="4735" xr:uid="{00000000-0005-0000-0000-000029100000}"/>
    <cellStyle name="Normal 4 2 2 2 3 6" xfId="4046" xr:uid="{00000000-0005-0000-0000-00002A100000}"/>
    <cellStyle name="Normal 4 2 2 2 4" xfId="2306" xr:uid="{00000000-0005-0000-0000-00002B100000}"/>
    <cellStyle name="Normal 4 2 2 2 4 2" xfId="3176" xr:uid="{00000000-0005-0000-0000-00002C100000}"/>
    <cellStyle name="Normal 4 2 2 2 4 2 2" xfId="3875" xr:uid="{00000000-0005-0000-0000-00002D100000}"/>
    <cellStyle name="Normal 4 2 2 2 4 2 2 2" xfId="5253" xr:uid="{00000000-0005-0000-0000-00002E100000}"/>
    <cellStyle name="Normal 4 2 2 2 4 2 3" xfId="4564" xr:uid="{00000000-0005-0000-0000-00002F100000}"/>
    <cellStyle name="Normal 4 2 2 2 4 3" xfId="2937" xr:uid="{00000000-0005-0000-0000-000030100000}"/>
    <cellStyle name="Normal 4 2 2 2 4 3 2" xfId="3649" xr:uid="{00000000-0005-0000-0000-000031100000}"/>
    <cellStyle name="Normal 4 2 2 2 4 3 2 2" xfId="5027" xr:uid="{00000000-0005-0000-0000-000032100000}"/>
    <cellStyle name="Normal 4 2 2 2 4 3 3" xfId="4338" xr:uid="{00000000-0005-0000-0000-000033100000}"/>
    <cellStyle name="Normal 4 2 2 2 4 4" xfId="3434" xr:uid="{00000000-0005-0000-0000-000034100000}"/>
    <cellStyle name="Normal 4 2 2 2 4 4 2" xfId="4812" xr:uid="{00000000-0005-0000-0000-000035100000}"/>
    <cellStyle name="Normal 4 2 2 2 4 5" xfId="4123" xr:uid="{00000000-0005-0000-0000-000036100000}"/>
    <cellStyle name="Normal 4 2 2 2 5" xfId="3051" xr:uid="{00000000-0005-0000-0000-000037100000}"/>
    <cellStyle name="Normal 4 2 2 2 5 2" xfId="3750" xr:uid="{00000000-0005-0000-0000-000038100000}"/>
    <cellStyle name="Normal 4 2 2 2 5 2 2" xfId="5128" xr:uid="{00000000-0005-0000-0000-000039100000}"/>
    <cellStyle name="Normal 4 2 2 2 5 3" xfId="4439" xr:uid="{00000000-0005-0000-0000-00003A100000}"/>
    <cellStyle name="Normal 4 2 2 2 6" xfId="2438" xr:uid="{00000000-0005-0000-0000-00003B100000}"/>
    <cellStyle name="Normal 4 2 2 2 6 2" xfId="3524" xr:uid="{00000000-0005-0000-0000-00003C100000}"/>
    <cellStyle name="Normal 4 2 2 2 6 2 2" xfId="4902" xr:uid="{00000000-0005-0000-0000-00003D100000}"/>
    <cellStyle name="Normal 4 2 2 2 6 3" xfId="4213" xr:uid="{00000000-0005-0000-0000-00003E100000}"/>
    <cellStyle name="Normal 4 2 2 2 7" xfId="3309" xr:uid="{00000000-0005-0000-0000-00003F100000}"/>
    <cellStyle name="Normal 4 2 2 2 7 2" xfId="4687" xr:uid="{00000000-0005-0000-0000-000040100000}"/>
    <cellStyle name="Normal 4 2 2 2 8" xfId="3998" xr:uid="{00000000-0005-0000-0000-000041100000}"/>
    <cellStyle name="Normal 4 2 2 3" xfId="1460" xr:uid="{00000000-0005-0000-0000-000042100000}"/>
    <cellStyle name="Normal 4 2 2 3 2" xfId="2309" xr:uid="{00000000-0005-0000-0000-000043100000}"/>
    <cellStyle name="Normal 4 2 2 3 2 2" xfId="3179" xr:uid="{00000000-0005-0000-0000-000044100000}"/>
    <cellStyle name="Normal 4 2 2 3 2 2 2" xfId="3878" xr:uid="{00000000-0005-0000-0000-000045100000}"/>
    <cellStyle name="Normal 4 2 2 3 2 2 2 2" xfId="5256" xr:uid="{00000000-0005-0000-0000-000046100000}"/>
    <cellStyle name="Normal 4 2 2 3 2 2 3" xfId="4567" xr:uid="{00000000-0005-0000-0000-000047100000}"/>
    <cellStyle name="Normal 4 2 2 3 2 3" xfId="2940" xr:uid="{00000000-0005-0000-0000-000048100000}"/>
    <cellStyle name="Normal 4 2 2 3 2 3 2" xfId="3652" xr:uid="{00000000-0005-0000-0000-000049100000}"/>
    <cellStyle name="Normal 4 2 2 3 2 3 2 2" xfId="5030" xr:uid="{00000000-0005-0000-0000-00004A100000}"/>
    <cellStyle name="Normal 4 2 2 3 2 3 3" xfId="4341" xr:uid="{00000000-0005-0000-0000-00004B100000}"/>
    <cellStyle name="Normal 4 2 2 3 2 4" xfId="3437" xr:uid="{00000000-0005-0000-0000-00004C100000}"/>
    <cellStyle name="Normal 4 2 2 3 2 4 2" xfId="4815" xr:uid="{00000000-0005-0000-0000-00004D100000}"/>
    <cellStyle name="Normal 4 2 2 3 2 5" xfId="4126" xr:uid="{00000000-0005-0000-0000-00004E100000}"/>
    <cellStyle name="Normal 4 2 2 3 3" xfId="3076" xr:uid="{00000000-0005-0000-0000-00004F100000}"/>
    <cellStyle name="Normal 4 2 2 3 3 2" xfId="3775" xr:uid="{00000000-0005-0000-0000-000050100000}"/>
    <cellStyle name="Normal 4 2 2 3 3 2 2" xfId="5153" xr:uid="{00000000-0005-0000-0000-000051100000}"/>
    <cellStyle name="Normal 4 2 2 3 3 3" xfId="4464" xr:uid="{00000000-0005-0000-0000-000052100000}"/>
    <cellStyle name="Normal 4 2 2 3 4" xfId="2463" xr:uid="{00000000-0005-0000-0000-000053100000}"/>
    <cellStyle name="Normal 4 2 2 3 4 2" xfId="3549" xr:uid="{00000000-0005-0000-0000-000054100000}"/>
    <cellStyle name="Normal 4 2 2 3 4 2 2" xfId="4927" xr:uid="{00000000-0005-0000-0000-000055100000}"/>
    <cellStyle name="Normal 4 2 2 3 4 3" xfId="4238" xr:uid="{00000000-0005-0000-0000-000056100000}"/>
    <cellStyle name="Normal 4 2 2 3 5" xfId="3334" xr:uid="{00000000-0005-0000-0000-000057100000}"/>
    <cellStyle name="Normal 4 2 2 3 5 2" xfId="4712" xr:uid="{00000000-0005-0000-0000-000058100000}"/>
    <cellStyle name="Normal 4 2 2 3 6" xfId="4023" xr:uid="{00000000-0005-0000-0000-000059100000}"/>
    <cellStyle name="Normal 4 2 2 4" xfId="1513" xr:uid="{00000000-0005-0000-0000-00005A100000}"/>
    <cellStyle name="Normal 4 2 2 4 2" xfId="2310" xr:uid="{00000000-0005-0000-0000-00005B100000}"/>
    <cellStyle name="Normal 4 2 2 4 2 2" xfId="3180" xr:uid="{00000000-0005-0000-0000-00005C100000}"/>
    <cellStyle name="Normal 4 2 2 4 2 2 2" xfId="3879" xr:uid="{00000000-0005-0000-0000-00005D100000}"/>
    <cellStyle name="Normal 4 2 2 4 2 2 2 2" xfId="5257" xr:uid="{00000000-0005-0000-0000-00005E100000}"/>
    <cellStyle name="Normal 4 2 2 4 2 2 3" xfId="4568" xr:uid="{00000000-0005-0000-0000-00005F100000}"/>
    <cellStyle name="Normal 4 2 2 4 2 3" xfId="2941" xr:uid="{00000000-0005-0000-0000-000060100000}"/>
    <cellStyle name="Normal 4 2 2 4 2 3 2" xfId="3653" xr:uid="{00000000-0005-0000-0000-000061100000}"/>
    <cellStyle name="Normal 4 2 2 4 2 3 2 2" xfId="5031" xr:uid="{00000000-0005-0000-0000-000062100000}"/>
    <cellStyle name="Normal 4 2 2 4 2 3 3" xfId="4342" xr:uid="{00000000-0005-0000-0000-000063100000}"/>
    <cellStyle name="Normal 4 2 2 4 2 4" xfId="3438" xr:uid="{00000000-0005-0000-0000-000064100000}"/>
    <cellStyle name="Normal 4 2 2 4 2 4 2" xfId="4816" xr:uid="{00000000-0005-0000-0000-000065100000}"/>
    <cellStyle name="Normal 4 2 2 4 2 5" xfId="4127" xr:uid="{00000000-0005-0000-0000-000066100000}"/>
    <cellStyle name="Normal 4 2 2 4 3" xfId="3098" xr:uid="{00000000-0005-0000-0000-000067100000}"/>
    <cellStyle name="Normal 4 2 2 4 3 2" xfId="3797" xr:uid="{00000000-0005-0000-0000-000068100000}"/>
    <cellStyle name="Normal 4 2 2 4 3 2 2" xfId="5175" xr:uid="{00000000-0005-0000-0000-000069100000}"/>
    <cellStyle name="Normal 4 2 2 4 3 3" xfId="4486" xr:uid="{00000000-0005-0000-0000-00006A100000}"/>
    <cellStyle name="Normal 4 2 2 4 4" xfId="2485" xr:uid="{00000000-0005-0000-0000-00006B100000}"/>
    <cellStyle name="Normal 4 2 2 4 4 2" xfId="3571" xr:uid="{00000000-0005-0000-0000-00006C100000}"/>
    <cellStyle name="Normal 4 2 2 4 4 2 2" xfId="4949" xr:uid="{00000000-0005-0000-0000-00006D100000}"/>
    <cellStyle name="Normal 4 2 2 4 4 3" xfId="4260" xr:uid="{00000000-0005-0000-0000-00006E100000}"/>
    <cellStyle name="Normal 4 2 2 4 5" xfId="3356" xr:uid="{00000000-0005-0000-0000-00006F100000}"/>
    <cellStyle name="Normal 4 2 2 4 5 2" xfId="4734" xr:uid="{00000000-0005-0000-0000-000070100000}"/>
    <cellStyle name="Normal 4 2 2 4 6" xfId="4045" xr:uid="{00000000-0005-0000-0000-000071100000}"/>
    <cellStyle name="Normal 4 2 2 5" xfId="2305" xr:uid="{00000000-0005-0000-0000-000072100000}"/>
    <cellStyle name="Normal 4 2 2 5 2" xfId="3175" xr:uid="{00000000-0005-0000-0000-000073100000}"/>
    <cellStyle name="Normal 4 2 2 5 2 2" xfId="3874" xr:uid="{00000000-0005-0000-0000-000074100000}"/>
    <cellStyle name="Normal 4 2 2 5 2 2 2" xfId="5252" xr:uid="{00000000-0005-0000-0000-000075100000}"/>
    <cellStyle name="Normal 4 2 2 5 2 3" xfId="4563" xr:uid="{00000000-0005-0000-0000-000076100000}"/>
    <cellStyle name="Normal 4 2 2 5 3" xfId="2936" xr:uid="{00000000-0005-0000-0000-000077100000}"/>
    <cellStyle name="Normal 4 2 2 5 3 2" xfId="3648" xr:uid="{00000000-0005-0000-0000-000078100000}"/>
    <cellStyle name="Normal 4 2 2 5 3 2 2" xfId="5026" xr:uid="{00000000-0005-0000-0000-000079100000}"/>
    <cellStyle name="Normal 4 2 2 5 3 3" xfId="4337" xr:uid="{00000000-0005-0000-0000-00007A100000}"/>
    <cellStyle name="Normal 4 2 2 5 4" xfId="3433" xr:uid="{00000000-0005-0000-0000-00007B100000}"/>
    <cellStyle name="Normal 4 2 2 5 4 2" xfId="4811" xr:uid="{00000000-0005-0000-0000-00007C100000}"/>
    <cellStyle name="Normal 4 2 2 5 5" xfId="4122" xr:uid="{00000000-0005-0000-0000-00007D100000}"/>
    <cellStyle name="Normal 4 2 2 6" xfId="3043" xr:uid="{00000000-0005-0000-0000-00007E100000}"/>
    <cellStyle name="Normal 4 2 2 6 2" xfId="3742" xr:uid="{00000000-0005-0000-0000-00007F100000}"/>
    <cellStyle name="Normal 4 2 2 6 2 2" xfId="5120" xr:uid="{00000000-0005-0000-0000-000080100000}"/>
    <cellStyle name="Normal 4 2 2 6 3" xfId="4431" xr:uid="{00000000-0005-0000-0000-000081100000}"/>
    <cellStyle name="Normal 4 2 2 7" xfId="2427" xr:uid="{00000000-0005-0000-0000-000082100000}"/>
    <cellStyle name="Normal 4 2 2 7 2" xfId="3516" xr:uid="{00000000-0005-0000-0000-000083100000}"/>
    <cellStyle name="Normal 4 2 2 7 2 2" xfId="4894" xr:uid="{00000000-0005-0000-0000-000084100000}"/>
    <cellStyle name="Normal 4 2 2 7 3" xfId="4205" xr:uid="{00000000-0005-0000-0000-000085100000}"/>
    <cellStyle name="Normal 4 2 2 8" xfId="3301" xr:uid="{00000000-0005-0000-0000-000086100000}"/>
    <cellStyle name="Normal 4 2 2 8 2" xfId="4679" xr:uid="{00000000-0005-0000-0000-000087100000}"/>
    <cellStyle name="Normal 4 2 2 9" xfId="3990" xr:uid="{00000000-0005-0000-0000-000088100000}"/>
    <cellStyle name="Normal 4 2 3" xfId="1426" xr:uid="{00000000-0005-0000-0000-000089100000}"/>
    <cellStyle name="Normal 4 2 3 2" xfId="1462" xr:uid="{00000000-0005-0000-0000-00008A100000}"/>
    <cellStyle name="Normal 4 2 3 2 2" xfId="2312" xr:uid="{00000000-0005-0000-0000-00008B100000}"/>
    <cellStyle name="Normal 4 2 3 2 2 2" xfId="3182" xr:uid="{00000000-0005-0000-0000-00008C100000}"/>
    <cellStyle name="Normal 4 2 3 2 2 2 2" xfId="3881" xr:uid="{00000000-0005-0000-0000-00008D100000}"/>
    <cellStyle name="Normal 4 2 3 2 2 2 2 2" xfId="5259" xr:uid="{00000000-0005-0000-0000-00008E100000}"/>
    <cellStyle name="Normal 4 2 3 2 2 2 3" xfId="4570" xr:uid="{00000000-0005-0000-0000-00008F100000}"/>
    <cellStyle name="Normal 4 2 3 2 2 3" xfId="2943" xr:uid="{00000000-0005-0000-0000-000090100000}"/>
    <cellStyle name="Normal 4 2 3 2 2 3 2" xfId="3655" xr:uid="{00000000-0005-0000-0000-000091100000}"/>
    <cellStyle name="Normal 4 2 3 2 2 3 2 2" xfId="5033" xr:uid="{00000000-0005-0000-0000-000092100000}"/>
    <cellStyle name="Normal 4 2 3 2 2 3 3" xfId="4344" xr:uid="{00000000-0005-0000-0000-000093100000}"/>
    <cellStyle name="Normal 4 2 3 2 2 4" xfId="3440" xr:uid="{00000000-0005-0000-0000-000094100000}"/>
    <cellStyle name="Normal 4 2 3 2 2 4 2" xfId="4818" xr:uid="{00000000-0005-0000-0000-000095100000}"/>
    <cellStyle name="Normal 4 2 3 2 2 5" xfId="4129" xr:uid="{00000000-0005-0000-0000-000096100000}"/>
    <cellStyle name="Normal 4 2 3 2 3" xfId="3078" xr:uid="{00000000-0005-0000-0000-000097100000}"/>
    <cellStyle name="Normal 4 2 3 2 3 2" xfId="3777" xr:uid="{00000000-0005-0000-0000-000098100000}"/>
    <cellStyle name="Normal 4 2 3 2 3 2 2" xfId="5155" xr:uid="{00000000-0005-0000-0000-000099100000}"/>
    <cellStyle name="Normal 4 2 3 2 3 3" xfId="4466" xr:uid="{00000000-0005-0000-0000-00009A100000}"/>
    <cellStyle name="Normal 4 2 3 2 4" xfId="2465" xr:uid="{00000000-0005-0000-0000-00009B100000}"/>
    <cellStyle name="Normal 4 2 3 2 4 2" xfId="3551" xr:uid="{00000000-0005-0000-0000-00009C100000}"/>
    <cellStyle name="Normal 4 2 3 2 4 2 2" xfId="4929" xr:uid="{00000000-0005-0000-0000-00009D100000}"/>
    <cellStyle name="Normal 4 2 3 2 4 3" xfId="4240" xr:uid="{00000000-0005-0000-0000-00009E100000}"/>
    <cellStyle name="Normal 4 2 3 2 5" xfId="3336" xr:uid="{00000000-0005-0000-0000-00009F100000}"/>
    <cellStyle name="Normal 4 2 3 2 5 2" xfId="4714" xr:uid="{00000000-0005-0000-0000-0000A0100000}"/>
    <cellStyle name="Normal 4 2 3 2 6" xfId="4025" xr:uid="{00000000-0005-0000-0000-0000A1100000}"/>
    <cellStyle name="Normal 4 2 3 3" xfId="1515" xr:uid="{00000000-0005-0000-0000-0000A2100000}"/>
    <cellStyle name="Normal 4 2 3 3 2" xfId="2313" xr:uid="{00000000-0005-0000-0000-0000A3100000}"/>
    <cellStyle name="Normal 4 2 3 3 2 2" xfId="3183" xr:uid="{00000000-0005-0000-0000-0000A4100000}"/>
    <cellStyle name="Normal 4 2 3 3 2 2 2" xfId="3882" xr:uid="{00000000-0005-0000-0000-0000A5100000}"/>
    <cellStyle name="Normal 4 2 3 3 2 2 2 2" xfId="5260" xr:uid="{00000000-0005-0000-0000-0000A6100000}"/>
    <cellStyle name="Normal 4 2 3 3 2 2 3" xfId="4571" xr:uid="{00000000-0005-0000-0000-0000A7100000}"/>
    <cellStyle name="Normal 4 2 3 3 2 3" xfId="2944" xr:uid="{00000000-0005-0000-0000-0000A8100000}"/>
    <cellStyle name="Normal 4 2 3 3 2 3 2" xfId="3656" xr:uid="{00000000-0005-0000-0000-0000A9100000}"/>
    <cellStyle name="Normal 4 2 3 3 2 3 2 2" xfId="5034" xr:uid="{00000000-0005-0000-0000-0000AA100000}"/>
    <cellStyle name="Normal 4 2 3 3 2 3 3" xfId="4345" xr:uid="{00000000-0005-0000-0000-0000AB100000}"/>
    <cellStyle name="Normal 4 2 3 3 2 4" xfId="3441" xr:uid="{00000000-0005-0000-0000-0000AC100000}"/>
    <cellStyle name="Normal 4 2 3 3 2 4 2" xfId="4819" xr:uid="{00000000-0005-0000-0000-0000AD100000}"/>
    <cellStyle name="Normal 4 2 3 3 2 5" xfId="4130" xr:uid="{00000000-0005-0000-0000-0000AE100000}"/>
    <cellStyle name="Normal 4 2 3 3 3" xfId="3100" xr:uid="{00000000-0005-0000-0000-0000AF100000}"/>
    <cellStyle name="Normal 4 2 3 3 3 2" xfId="3799" xr:uid="{00000000-0005-0000-0000-0000B0100000}"/>
    <cellStyle name="Normal 4 2 3 3 3 2 2" xfId="5177" xr:uid="{00000000-0005-0000-0000-0000B1100000}"/>
    <cellStyle name="Normal 4 2 3 3 3 3" xfId="4488" xr:uid="{00000000-0005-0000-0000-0000B2100000}"/>
    <cellStyle name="Normal 4 2 3 3 4" xfId="2487" xr:uid="{00000000-0005-0000-0000-0000B3100000}"/>
    <cellStyle name="Normal 4 2 3 3 4 2" xfId="3573" xr:uid="{00000000-0005-0000-0000-0000B4100000}"/>
    <cellStyle name="Normal 4 2 3 3 4 2 2" xfId="4951" xr:uid="{00000000-0005-0000-0000-0000B5100000}"/>
    <cellStyle name="Normal 4 2 3 3 4 3" xfId="4262" xr:uid="{00000000-0005-0000-0000-0000B6100000}"/>
    <cellStyle name="Normal 4 2 3 3 5" xfId="3358" xr:uid="{00000000-0005-0000-0000-0000B7100000}"/>
    <cellStyle name="Normal 4 2 3 3 5 2" xfId="4736" xr:uid="{00000000-0005-0000-0000-0000B8100000}"/>
    <cellStyle name="Normal 4 2 3 3 6" xfId="4047" xr:uid="{00000000-0005-0000-0000-0000B9100000}"/>
    <cellStyle name="Normal 4 2 3 4" xfId="2311" xr:uid="{00000000-0005-0000-0000-0000BA100000}"/>
    <cellStyle name="Normal 4 2 3 4 2" xfId="3181" xr:uid="{00000000-0005-0000-0000-0000BB100000}"/>
    <cellStyle name="Normal 4 2 3 4 2 2" xfId="3880" xr:uid="{00000000-0005-0000-0000-0000BC100000}"/>
    <cellStyle name="Normal 4 2 3 4 2 2 2" xfId="5258" xr:uid="{00000000-0005-0000-0000-0000BD100000}"/>
    <cellStyle name="Normal 4 2 3 4 2 3" xfId="4569" xr:uid="{00000000-0005-0000-0000-0000BE100000}"/>
    <cellStyle name="Normal 4 2 3 4 3" xfId="2942" xr:uid="{00000000-0005-0000-0000-0000BF100000}"/>
    <cellStyle name="Normal 4 2 3 4 3 2" xfId="3654" xr:uid="{00000000-0005-0000-0000-0000C0100000}"/>
    <cellStyle name="Normal 4 2 3 4 3 2 2" xfId="5032" xr:uid="{00000000-0005-0000-0000-0000C1100000}"/>
    <cellStyle name="Normal 4 2 3 4 3 3" xfId="4343" xr:uid="{00000000-0005-0000-0000-0000C2100000}"/>
    <cellStyle name="Normal 4 2 3 4 4" xfId="3439" xr:uid="{00000000-0005-0000-0000-0000C3100000}"/>
    <cellStyle name="Normal 4 2 3 4 4 2" xfId="4817" xr:uid="{00000000-0005-0000-0000-0000C4100000}"/>
    <cellStyle name="Normal 4 2 3 4 5" xfId="4128" xr:uid="{00000000-0005-0000-0000-0000C5100000}"/>
    <cellStyle name="Normal 4 2 3 5" xfId="3047" xr:uid="{00000000-0005-0000-0000-0000C6100000}"/>
    <cellStyle name="Normal 4 2 3 5 2" xfId="3746" xr:uid="{00000000-0005-0000-0000-0000C7100000}"/>
    <cellStyle name="Normal 4 2 3 5 2 2" xfId="5124" xr:uid="{00000000-0005-0000-0000-0000C8100000}"/>
    <cellStyle name="Normal 4 2 3 5 3" xfId="4435" xr:uid="{00000000-0005-0000-0000-0000C9100000}"/>
    <cellStyle name="Normal 4 2 3 6" xfId="2434" xr:uid="{00000000-0005-0000-0000-0000CA100000}"/>
    <cellStyle name="Normal 4 2 3 6 2" xfId="3520" xr:uid="{00000000-0005-0000-0000-0000CB100000}"/>
    <cellStyle name="Normal 4 2 3 6 2 2" xfId="4898" xr:uid="{00000000-0005-0000-0000-0000CC100000}"/>
    <cellStyle name="Normal 4 2 3 6 3" xfId="4209" xr:uid="{00000000-0005-0000-0000-0000CD100000}"/>
    <cellStyle name="Normal 4 2 3 7" xfId="3305" xr:uid="{00000000-0005-0000-0000-0000CE100000}"/>
    <cellStyle name="Normal 4 2 3 7 2" xfId="4683" xr:uid="{00000000-0005-0000-0000-0000CF100000}"/>
    <cellStyle name="Normal 4 2 3 8" xfId="3994" xr:uid="{00000000-0005-0000-0000-0000D0100000}"/>
    <cellStyle name="Normal 4 2 4" xfId="1459" xr:uid="{00000000-0005-0000-0000-0000D1100000}"/>
    <cellStyle name="Normal 4 2 4 2" xfId="2314" xr:uid="{00000000-0005-0000-0000-0000D2100000}"/>
    <cellStyle name="Normal 4 2 4 2 2" xfId="3184" xr:uid="{00000000-0005-0000-0000-0000D3100000}"/>
    <cellStyle name="Normal 4 2 4 2 2 2" xfId="3883" xr:uid="{00000000-0005-0000-0000-0000D4100000}"/>
    <cellStyle name="Normal 4 2 4 2 2 2 2" xfId="5261" xr:uid="{00000000-0005-0000-0000-0000D5100000}"/>
    <cellStyle name="Normal 4 2 4 2 2 3" xfId="4572" xr:uid="{00000000-0005-0000-0000-0000D6100000}"/>
    <cellStyle name="Normal 4 2 4 2 3" xfId="2945" xr:uid="{00000000-0005-0000-0000-0000D7100000}"/>
    <cellStyle name="Normal 4 2 4 2 3 2" xfId="3657" xr:uid="{00000000-0005-0000-0000-0000D8100000}"/>
    <cellStyle name="Normal 4 2 4 2 3 2 2" xfId="5035" xr:uid="{00000000-0005-0000-0000-0000D9100000}"/>
    <cellStyle name="Normal 4 2 4 2 3 3" xfId="4346" xr:uid="{00000000-0005-0000-0000-0000DA100000}"/>
    <cellStyle name="Normal 4 2 4 2 4" xfId="3442" xr:uid="{00000000-0005-0000-0000-0000DB100000}"/>
    <cellStyle name="Normal 4 2 4 2 4 2" xfId="4820" xr:uid="{00000000-0005-0000-0000-0000DC100000}"/>
    <cellStyle name="Normal 4 2 4 2 5" xfId="4131" xr:uid="{00000000-0005-0000-0000-0000DD100000}"/>
    <cellStyle name="Normal 4 2 4 3" xfId="3075" xr:uid="{00000000-0005-0000-0000-0000DE100000}"/>
    <cellStyle name="Normal 4 2 4 3 2" xfId="3774" xr:uid="{00000000-0005-0000-0000-0000DF100000}"/>
    <cellStyle name="Normal 4 2 4 3 2 2" xfId="5152" xr:uid="{00000000-0005-0000-0000-0000E0100000}"/>
    <cellStyle name="Normal 4 2 4 3 3" xfId="4463" xr:uid="{00000000-0005-0000-0000-0000E1100000}"/>
    <cellStyle name="Normal 4 2 4 4" xfId="2462" xr:uid="{00000000-0005-0000-0000-0000E2100000}"/>
    <cellStyle name="Normal 4 2 4 4 2" xfId="3548" xr:uid="{00000000-0005-0000-0000-0000E3100000}"/>
    <cellStyle name="Normal 4 2 4 4 2 2" xfId="4926" xr:uid="{00000000-0005-0000-0000-0000E4100000}"/>
    <cellStyle name="Normal 4 2 4 4 3" xfId="4237" xr:uid="{00000000-0005-0000-0000-0000E5100000}"/>
    <cellStyle name="Normal 4 2 4 5" xfId="3333" xr:uid="{00000000-0005-0000-0000-0000E6100000}"/>
    <cellStyle name="Normal 4 2 4 5 2" xfId="4711" xr:uid="{00000000-0005-0000-0000-0000E7100000}"/>
    <cellStyle name="Normal 4 2 4 6" xfId="4022" xr:uid="{00000000-0005-0000-0000-0000E8100000}"/>
    <cellStyle name="Normal 4 2 5" xfId="1512" xr:uid="{00000000-0005-0000-0000-0000E9100000}"/>
    <cellStyle name="Normal 4 2 5 2" xfId="2315" xr:uid="{00000000-0005-0000-0000-0000EA100000}"/>
    <cellStyle name="Normal 4 2 5 2 2" xfId="3185" xr:uid="{00000000-0005-0000-0000-0000EB100000}"/>
    <cellStyle name="Normal 4 2 5 2 2 2" xfId="3884" xr:uid="{00000000-0005-0000-0000-0000EC100000}"/>
    <cellStyle name="Normal 4 2 5 2 2 2 2" xfId="5262" xr:uid="{00000000-0005-0000-0000-0000ED100000}"/>
    <cellStyle name="Normal 4 2 5 2 2 3" xfId="4573" xr:uid="{00000000-0005-0000-0000-0000EE100000}"/>
    <cellStyle name="Normal 4 2 5 2 3" xfId="2946" xr:uid="{00000000-0005-0000-0000-0000EF100000}"/>
    <cellStyle name="Normal 4 2 5 2 3 2" xfId="3658" xr:uid="{00000000-0005-0000-0000-0000F0100000}"/>
    <cellStyle name="Normal 4 2 5 2 3 2 2" xfId="5036" xr:uid="{00000000-0005-0000-0000-0000F1100000}"/>
    <cellStyle name="Normal 4 2 5 2 3 3" xfId="4347" xr:uid="{00000000-0005-0000-0000-0000F2100000}"/>
    <cellStyle name="Normal 4 2 5 2 4" xfId="3443" xr:uid="{00000000-0005-0000-0000-0000F3100000}"/>
    <cellStyle name="Normal 4 2 5 2 4 2" xfId="4821" xr:uid="{00000000-0005-0000-0000-0000F4100000}"/>
    <cellStyle name="Normal 4 2 5 2 5" xfId="4132" xr:uid="{00000000-0005-0000-0000-0000F5100000}"/>
    <cellStyle name="Normal 4 2 5 3" xfId="3097" xr:uid="{00000000-0005-0000-0000-0000F6100000}"/>
    <cellStyle name="Normal 4 2 5 3 2" xfId="3796" xr:uid="{00000000-0005-0000-0000-0000F7100000}"/>
    <cellStyle name="Normal 4 2 5 3 2 2" xfId="5174" xr:uid="{00000000-0005-0000-0000-0000F8100000}"/>
    <cellStyle name="Normal 4 2 5 3 3" xfId="4485" xr:uid="{00000000-0005-0000-0000-0000F9100000}"/>
    <cellStyle name="Normal 4 2 5 4" xfId="2484" xr:uid="{00000000-0005-0000-0000-0000FA100000}"/>
    <cellStyle name="Normal 4 2 5 4 2" xfId="3570" xr:uid="{00000000-0005-0000-0000-0000FB100000}"/>
    <cellStyle name="Normal 4 2 5 4 2 2" xfId="4948" xr:uid="{00000000-0005-0000-0000-0000FC100000}"/>
    <cellStyle name="Normal 4 2 5 4 3" xfId="4259" xr:uid="{00000000-0005-0000-0000-0000FD100000}"/>
    <cellStyle name="Normal 4 2 5 5" xfId="3355" xr:uid="{00000000-0005-0000-0000-0000FE100000}"/>
    <cellStyle name="Normal 4 2 5 5 2" xfId="4733" xr:uid="{00000000-0005-0000-0000-0000FF100000}"/>
    <cellStyle name="Normal 4 2 5 6" xfId="4044" xr:uid="{00000000-0005-0000-0000-000000110000}"/>
    <cellStyle name="Normal 4 2 6" xfId="2304" xr:uid="{00000000-0005-0000-0000-000001110000}"/>
    <cellStyle name="Normal 4 2 6 2" xfId="3174" xr:uid="{00000000-0005-0000-0000-000002110000}"/>
    <cellStyle name="Normal 4 2 6 2 2" xfId="3873" xr:uid="{00000000-0005-0000-0000-000003110000}"/>
    <cellStyle name="Normal 4 2 6 2 2 2" xfId="5251" xr:uid="{00000000-0005-0000-0000-000004110000}"/>
    <cellStyle name="Normal 4 2 6 2 3" xfId="4562" xr:uid="{00000000-0005-0000-0000-000005110000}"/>
    <cellStyle name="Normal 4 2 6 3" xfId="2935" xr:uid="{00000000-0005-0000-0000-000006110000}"/>
    <cellStyle name="Normal 4 2 6 3 2" xfId="3647" xr:uid="{00000000-0005-0000-0000-000007110000}"/>
    <cellStyle name="Normal 4 2 6 3 2 2" xfId="5025" xr:uid="{00000000-0005-0000-0000-000008110000}"/>
    <cellStyle name="Normal 4 2 6 3 3" xfId="4336" xr:uid="{00000000-0005-0000-0000-000009110000}"/>
    <cellStyle name="Normal 4 2 6 4" xfId="3432" xr:uid="{00000000-0005-0000-0000-00000A110000}"/>
    <cellStyle name="Normal 4 2 6 4 2" xfId="4810" xr:uid="{00000000-0005-0000-0000-00000B110000}"/>
    <cellStyle name="Normal 4 2 6 5" xfId="4121" xr:uid="{00000000-0005-0000-0000-00000C110000}"/>
    <cellStyle name="Normal 4 2 7" xfId="2380" xr:uid="{00000000-0005-0000-0000-00000D110000}"/>
    <cellStyle name="Normal 4 2 7 2" xfId="3222" xr:uid="{00000000-0005-0000-0000-00000E110000}"/>
    <cellStyle name="Normal 4 2 7 2 2" xfId="3921" xr:uid="{00000000-0005-0000-0000-00000F110000}"/>
    <cellStyle name="Normal 4 2 7 2 2 2" xfId="5299" xr:uid="{00000000-0005-0000-0000-000010110000}"/>
    <cellStyle name="Normal 4 2 7 2 3" xfId="4610" xr:uid="{00000000-0005-0000-0000-000011110000}"/>
    <cellStyle name="Normal 4 2 7 3" xfId="2991" xr:uid="{00000000-0005-0000-0000-000012110000}"/>
    <cellStyle name="Normal 4 2 7 3 2" xfId="3695" xr:uid="{00000000-0005-0000-0000-000013110000}"/>
    <cellStyle name="Normal 4 2 7 3 2 2" xfId="5073" xr:uid="{00000000-0005-0000-0000-000014110000}"/>
    <cellStyle name="Normal 4 2 7 3 3" xfId="4384" xr:uid="{00000000-0005-0000-0000-000015110000}"/>
    <cellStyle name="Normal 4 2 7 4" xfId="3480" xr:uid="{00000000-0005-0000-0000-000016110000}"/>
    <cellStyle name="Normal 4 2 7 4 2" xfId="4858" xr:uid="{00000000-0005-0000-0000-000017110000}"/>
    <cellStyle name="Normal 4 2 7 5" xfId="4169" xr:uid="{00000000-0005-0000-0000-000018110000}"/>
    <cellStyle name="Normal 4 2 8" xfId="2405" xr:uid="{00000000-0005-0000-0000-000019110000}"/>
    <cellStyle name="Normal 4 2 8 2" xfId="3245" xr:uid="{00000000-0005-0000-0000-00001A110000}"/>
    <cellStyle name="Normal 4 2 8 2 2" xfId="3944" xr:uid="{00000000-0005-0000-0000-00001B110000}"/>
    <cellStyle name="Normal 4 2 8 2 2 2" xfId="5322" xr:uid="{00000000-0005-0000-0000-00001C110000}"/>
    <cellStyle name="Normal 4 2 8 2 3" xfId="4633" xr:uid="{00000000-0005-0000-0000-00001D110000}"/>
    <cellStyle name="Normal 4 2 8 3" xfId="3016" xr:uid="{00000000-0005-0000-0000-00001E110000}"/>
    <cellStyle name="Normal 4 2 8 3 2" xfId="3718" xr:uid="{00000000-0005-0000-0000-00001F110000}"/>
    <cellStyle name="Normal 4 2 8 3 2 2" xfId="5096" xr:uid="{00000000-0005-0000-0000-000020110000}"/>
    <cellStyle name="Normal 4 2 8 3 3" xfId="4407" xr:uid="{00000000-0005-0000-0000-000021110000}"/>
    <cellStyle name="Normal 4 2 8 4" xfId="3503" xr:uid="{00000000-0005-0000-0000-000022110000}"/>
    <cellStyle name="Normal 4 2 8 4 2" xfId="4881" xr:uid="{00000000-0005-0000-0000-000023110000}"/>
    <cellStyle name="Normal 4 2 8 5" xfId="4192" xr:uid="{00000000-0005-0000-0000-000024110000}"/>
    <cellStyle name="Normal 4 2 9" xfId="3034" xr:uid="{00000000-0005-0000-0000-000025110000}"/>
    <cellStyle name="Normal 4 2 9 2" xfId="3734" xr:uid="{00000000-0005-0000-0000-000026110000}"/>
    <cellStyle name="Normal 4 2 9 2 2" xfId="5112" xr:uid="{00000000-0005-0000-0000-000027110000}"/>
    <cellStyle name="Normal 4 2 9 3" xfId="4423" xr:uid="{00000000-0005-0000-0000-000028110000}"/>
    <cellStyle name="Normal 4 20" xfId="3268" xr:uid="{00000000-0005-0000-0000-000029110000}"/>
    <cellStyle name="Normal 4 20 2" xfId="3961" xr:uid="{00000000-0005-0000-0000-00002A110000}"/>
    <cellStyle name="Normal 4 20 2 2" xfId="5339" xr:uid="{00000000-0005-0000-0000-00002B110000}"/>
    <cellStyle name="Normal 4 20 3" xfId="4650" xr:uid="{00000000-0005-0000-0000-00002C110000}"/>
    <cellStyle name="Normal 4 21" xfId="3274" xr:uid="{00000000-0005-0000-0000-00002D110000}"/>
    <cellStyle name="Normal 4 21 2" xfId="4654" xr:uid="{00000000-0005-0000-0000-00002E110000}"/>
    <cellStyle name="Normal 4 22" xfId="3285" xr:uid="{00000000-0005-0000-0000-00002F110000}"/>
    <cellStyle name="Normal 4 22 2" xfId="4663" xr:uid="{00000000-0005-0000-0000-000030110000}"/>
    <cellStyle name="Normal 4 23" xfId="3296" xr:uid="{00000000-0005-0000-0000-000031110000}"/>
    <cellStyle name="Normal 4 23 2" xfId="4674" xr:uid="{00000000-0005-0000-0000-000032110000}"/>
    <cellStyle name="Normal 4 24" xfId="3965" xr:uid="{00000000-0005-0000-0000-000033110000}"/>
    <cellStyle name="Normal 4 24 2" xfId="5343" xr:uid="{00000000-0005-0000-0000-000034110000}"/>
    <cellStyle name="Normal 4 25" xfId="3985" xr:uid="{00000000-0005-0000-0000-000035110000}"/>
    <cellStyle name="Normal 4 26" xfId="5361" xr:uid="{00000000-0005-0000-0000-000036110000}"/>
    <cellStyle name="Normal 4 27" xfId="5397" xr:uid="{00000000-0005-0000-0000-000069000000}"/>
    <cellStyle name="Normal 4 28" xfId="5499" xr:uid="{958E4D13-B381-4F0E-9977-D1EAA7BABA5B}"/>
    <cellStyle name="Normal 4 29" xfId="5512" xr:uid="{0AB4E08D-C7A3-484D-A593-A333872F6A18}"/>
    <cellStyle name="Normal 4 3" xfId="1413" xr:uid="{00000000-0005-0000-0000-000037110000}"/>
    <cellStyle name="Normal 4 3 2" xfId="1429" xr:uid="{00000000-0005-0000-0000-000038110000}"/>
    <cellStyle name="Normal 4 3 2 2" xfId="1464" xr:uid="{00000000-0005-0000-0000-000039110000}"/>
    <cellStyle name="Normal 4 3 2 2 2" xfId="2318" xr:uid="{00000000-0005-0000-0000-00003A110000}"/>
    <cellStyle name="Normal 4 3 2 2 2 2" xfId="3188" xr:uid="{00000000-0005-0000-0000-00003B110000}"/>
    <cellStyle name="Normal 4 3 2 2 2 2 2" xfId="3887" xr:uid="{00000000-0005-0000-0000-00003C110000}"/>
    <cellStyle name="Normal 4 3 2 2 2 2 2 2" xfId="5265" xr:uid="{00000000-0005-0000-0000-00003D110000}"/>
    <cellStyle name="Normal 4 3 2 2 2 2 3" xfId="4576" xr:uid="{00000000-0005-0000-0000-00003E110000}"/>
    <cellStyle name="Normal 4 3 2 2 2 3" xfId="2949" xr:uid="{00000000-0005-0000-0000-00003F110000}"/>
    <cellStyle name="Normal 4 3 2 2 2 3 2" xfId="3661" xr:uid="{00000000-0005-0000-0000-000040110000}"/>
    <cellStyle name="Normal 4 3 2 2 2 3 2 2" xfId="5039" xr:uid="{00000000-0005-0000-0000-000041110000}"/>
    <cellStyle name="Normal 4 3 2 2 2 3 3" xfId="4350" xr:uid="{00000000-0005-0000-0000-000042110000}"/>
    <cellStyle name="Normal 4 3 2 2 2 4" xfId="3446" xr:uid="{00000000-0005-0000-0000-000043110000}"/>
    <cellStyle name="Normal 4 3 2 2 2 4 2" xfId="4824" xr:uid="{00000000-0005-0000-0000-000044110000}"/>
    <cellStyle name="Normal 4 3 2 2 2 5" xfId="4135" xr:uid="{00000000-0005-0000-0000-000045110000}"/>
    <cellStyle name="Normal 4 3 2 2 3" xfId="3080" xr:uid="{00000000-0005-0000-0000-000046110000}"/>
    <cellStyle name="Normal 4 3 2 2 3 2" xfId="3779" xr:uid="{00000000-0005-0000-0000-000047110000}"/>
    <cellStyle name="Normal 4 3 2 2 3 2 2" xfId="5157" xr:uid="{00000000-0005-0000-0000-000048110000}"/>
    <cellStyle name="Normal 4 3 2 2 3 3" xfId="4468" xr:uid="{00000000-0005-0000-0000-000049110000}"/>
    <cellStyle name="Normal 4 3 2 2 4" xfId="2467" xr:uid="{00000000-0005-0000-0000-00004A110000}"/>
    <cellStyle name="Normal 4 3 2 2 4 2" xfId="3553" xr:uid="{00000000-0005-0000-0000-00004B110000}"/>
    <cellStyle name="Normal 4 3 2 2 4 2 2" xfId="4931" xr:uid="{00000000-0005-0000-0000-00004C110000}"/>
    <cellStyle name="Normal 4 3 2 2 4 3" xfId="4242" xr:uid="{00000000-0005-0000-0000-00004D110000}"/>
    <cellStyle name="Normal 4 3 2 2 5" xfId="3338" xr:uid="{00000000-0005-0000-0000-00004E110000}"/>
    <cellStyle name="Normal 4 3 2 2 5 2" xfId="4716" xr:uid="{00000000-0005-0000-0000-00004F110000}"/>
    <cellStyle name="Normal 4 3 2 2 6" xfId="4027" xr:uid="{00000000-0005-0000-0000-000050110000}"/>
    <cellStyle name="Normal 4 3 2 3" xfId="1517" xr:uid="{00000000-0005-0000-0000-000051110000}"/>
    <cellStyle name="Normal 4 3 2 3 2" xfId="2319" xr:uid="{00000000-0005-0000-0000-000052110000}"/>
    <cellStyle name="Normal 4 3 2 3 2 2" xfId="3189" xr:uid="{00000000-0005-0000-0000-000053110000}"/>
    <cellStyle name="Normal 4 3 2 3 2 2 2" xfId="3888" xr:uid="{00000000-0005-0000-0000-000054110000}"/>
    <cellStyle name="Normal 4 3 2 3 2 2 2 2" xfId="5266" xr:uid="{00000000-0005-0000-0000-000055110000}"/>
    <cellStyle name="Normal 4 3 2 3 2 2 3" xfId="4577" xr:uid="{00000000-0005-0000-0000-000056110000}"/>
    <cellStyle name="Normal 4 3 2 3 2 3" xfId="2950" xr:uid="{00000000-0005-0000-0000-000057110000}"/>
    <cellStyle name="Normal 4 3 2 3 2 3 2" xfId="3662" xr:uid="{00000000-0005-0000-0000-000058110000}"/>
    <cellStyle name="Normal 4 3 2 3 2 3 2 2" xfId="5040" xr:uid="{00000000-0005-0000-0000-000059110000}"/>
    <cellStyle name="Normal 4 3 2 3 2 3 3" xfId="4351" xr:uid="{00000000-0005-0000-0000-00005A110000}"/>
    <cellStyle name="Normal 4 3 2 3 2 4" xfId="3447" xr:uid="{00000000-0005-0000-0000-00005B110000}"/>
    <cellStyle name="Normal 4 3 2 3 2 4 2" xfId="4825" xr:uid="{00000000-0005-0000-0000-00005C110000}"/>
    <cellStyle name="Normal 4 3 2 3 2 5" xfId="4136" xr:uid="{00000000-0005-0000-0000-00005D110000}"/>
    <cellStyle name="Normal 4 3 2 3 3" xfId="3102" xr:uid="{00000000-0005-0000-0000-00005E110000}"/>
    <cellStyle name="Normal 4 3 2 3 3 2" xfId="3801" xr:uid="{00000000-0005-0000-0000-00005F110000}"/>
    <cellStyle name="Normal 4 3 2 3 3 2 2" xfId="5179" xr:uid="{00000000-0005-0000-0000-000060110000}"/>
    <cellStyle name="Normal 4 3 2 3 3 3" xfId="4490" xr:uid="{00000000-0005-0000-0000-000061110000}"/>
    <cellStyle name="Normal 4 3 2 3 4" xfId="2489" xr:uid="{00000000-0005-0000-0000-000062110000}"/>
    <cellStyle name="Normal 4 3 2 3 4 2" xfId="3575" xr:uid="{00000000-0005-0000-0000-000063110000}"/>
    <cellStyle name="Normal 4 3 2 3 4 2 2" xfId="4953" xr:uid="{00000000-0005-0000-0000-000064110000}"/>
    <cellStyle name="Normal 4 3 2 3 4 3" xfId="4264" xr:uid="{00000000-0005-0000-0000-000065110000}"/>
    <cellStyle name="Normal 4 3 2 3 5" xfId="3360" xr:uid="{00000000-0005-0000-0000-000066110000}"/>
    <cellStyle name="Normal 4 3 2 3 5 2" xfId="4738" xr:uid="{00000000-0005-0000-0000-000067110000}"/>
    <cellStyle name="Normal 4 3 2 3 6" xfId="4049" xr:uid="{00000000-0005-0000-0000-000068110000}"/>
    <cellStyle name="Normal 4 3 2 4" xfId="2317" xr:uid="{00000000-0005-0000-0000-000069110000}"/>
    <cellStyle name="Normal 4 3 2 4 2" xfId="3187" xr:uid="{00000000-0005-0000-0000-00006A110000}"/>
    <cellStyle name="Normal 4 3 2 4 2 2" xfId="3886" xr:uid="{00000000-0005-0000-0000-00006B110000}"/>
    <cellStyle name="Normal 4 3 2 4 2 2 2" xfId="5264" xr:uid="{00000000-0005-0000-0000-00006C110000}"/>
    <cellStyle name="Normal 4 3 2 4 2 3" xfId="4575" xr:uid="{00000000-0005-0000-0000-00006D110000}"/>
    <cellStyle name="Normal 4 3 2 4 3" xfId="2948" xr:uid="{00000000-0005-0000-0000-00006E110000}"/>
    <cellStyle name="Normal 4 3 2 4 3 2" xfId="3660" xr:uid="{00000000-0005-0000-0000-00006F110000}"/>
    <cellStyle name="Normal 4 3 2 4 3 2 2" xfId="5038" xr:uid="{00000000-0005-0000-0000-000070110000}"/>
    <cellStyle name="Normal 4 3 2 4 3 3" xfId="4349" xr:uid="{00000000-0005-0000-0000-000071110000}"/>
    <cellStyle name="Normal 4 3 2 4 4" xfId="3445" xr:uid="{00000000-0005-0000-0000-000072110000}"/>
    <cellStyle name="Normal 4 3 2 4 4 2" xfId="4823" xr:uid="{00000000-0005-0000-0000-000073110000}"/>
    <cellStyle name="Normal 4 3 2 4 5" xfId="4134" xr:uid="{00000000-0005-0000-0000-000074110000}"/>
    <cellStyle name="Normal 4 3 2 5" xfId="3050" xr:uid="{00000000-0005-0000-0000-000075110000}"/>
    <cellStyle name="Normal 4 3 2 5 2" xfId="3749" xr:uid="{00000000-0005-0000-0000-000076110000}"/>
    <cellStyle name="Normal 4 3 2 5 2 2" xfId="5127" xr:uid="{00000000-0005-0000-0000-000077110000}"/>
    <cellStyle name="Normal 4 3 2 5 3" xfId="4438" xr:uid="{00000000-0005-0000-0000-000078110000}"/>
    <cellStyle name="Normal 4 3 2 6" xfId="2437" xr:uid="{00000000-0005-0000-0000-000079110000}"/>
    <cellStyle name="Normal 4 3 2 6 2" xfId="3523" xr:uid="{00000000-0005-0000-0000-00007A110000}"/>
    <cellStyle name="Normal 4 3 2 6 2 2" xfId="4901" xr:uid="{00000000-0005-0000-0000-00007B110000}"/>
    <cellStyle name="Normal 4 3 2 6 3" xfId="4212" xr:uid="{00000000-0005-0000-0000-00007C110000}"/>
    <cellStyle name="Normal 4 3 2 7" xfId="3308" xr:uid="{00000000-0005-0000-0000-00007D110000}"/>
    <cellStyle name="Normal 4 3 2 7 2" xfId="4686" xr:uid="{00000000-0005-0000-0000-00007E110000}"/>
    <cellStyle name="Normal 4 3 2 8" xfId="3997" xr:uid="{00000000-0005-0000-0000-00007F110000}"/>
    <cellStyle name="Normal 4 3 3" xfId="1463" xr:uid="{00000000-0005-0000-0000-000080110000}"/>
    <cellStyle name="Normal 4 3 3 2" xfId="2320" xr:uid="{00000000-0005-0000-0000-000081110000}"/>
    <cellStyle name="Normal 4 3 3 2 2" xfId="3190" xr:uid="{00000000-0005-0000-0000-000082110000}"/>
    <cellStyle name="Normal 4 3 3 2 2 2" xfId="3889" xr:uid="{00000000-0005-0000-0000-000083110000}"/>
    <cellStyle name="Normal 4 3 3 2 2 2 2" xfId="5267" xr:uid="{00000000-0005-0000-0000-000084110000}"/>
    <cellStyle name="Normal 4 3 3 2 2 3" xfId="4578" xr:uid="{00000000-0005-0000-0000-000085110000}"/>
    <cellStyle name="Normal 4 3 3 2 3" xfId="2951" xr:uid="{00000000-0005-0000-0000-000086110000}"/>
    <cellStyle name="Normal 4 3 3 2 3 2" xfId="3663" xr:uid="{00000000-0005-0000-0000-000087110000}"/>
    <cellStyle name="Normal 4 3 3 2 3 2 2" xfId="5041" xr:uid="{00000000-0005-0000-0000-000088110000}"/>
    <cellStyle name="Normal 4 3 3 2 3 3" xfId="4352" xr:uid="{00000000-0005-0000-0000-000089110000}"/>
    <cellStyle name="Normal 4 3 3 2 4" xfId="3448" xr:uid="{00000000-0005-0000-0000-00008A110000}"/>
    <cellStyle name="Normal 4 3 3 2 4 2" xfId="4826" xr:uid="{00000000-0005-0000-0000-00008B110000}"/>
    <cellStyle name="Normal 4 3 3 2 5" xfId="4137" xr:uid="{00000000-0005-0000-0000-00008C110000}"/>
    <cellStyle name="Normal 4 3 3 3" xfId="3079" xr:uid="{00000000-0005-0000-0000-00008D110000}"/>
    <cellStyle name="Normal 4 3 3 3 2" xfId="3778" xr:uid="{00000000-0005-0000-0000-00008E110000}"/>
    <cellStyle name="Normal 4 3 3 3 2 2" xfId="5156" xr:uid="{00000000-0005-0000-0000-00008F110000}"/>
    <cellStyle name="Normal 4 3 3 3 3" xfId="4467" xr:uid="{00000000-0005-0000-0000-000090110000}"/>
    <cellStyle name="Normal 4 3 3 4" xfId="2466" xr:uid="{00000000-0005-0000-0000-000091110000}"/>
    <cellStyle name="Normal 4 3 3 4 2" xfId="3552" xr:uid="{00000000-0005-0000-0000-000092110000}"/>
    <cellStyle name="Normal 4 3 3 4 2 2" xfId="4930" xr:uid="{00000000-0005-0000-0000-000093110000}"/>
    <cellStyle name="Normal 4 3 3 4 3" xfId="4241" xr:uid="{00000000-0005-0000-0000-000094110000}"/>
    <cellStyle name="Normal 4 3 3 5" xfId="3337" xr:uid="{00000000-0005-0000-0000-000095110000}"/>
    <cellStyle name="Normal 4 3 3 5 2" xfId="4715" xr:uid="{00000000-0005-0000-0000-000096110000}"/>
    <cellStyle name="Normal 4 3 3 6" xfId="4026" xr:uid="{00000000-0005-0000-0000-000097110000}"/>
    <cellStyle name="Normal 4 3 4" xfId="1516" xr:uid="{00000000-0005-0000-0000-000098110000}"/>
    <cellStyle name="Normal 4 3 4 2" xfId="2321" xr:uid="{00000000-0005-0000-0000-000099110000}"/>
    <cellStyle name="Normal 4 3 4 2 2" xfId="3191" xr:uid="{00000000-0005-0000-0000-00009A110000}"/>
    <cellStyle name="Normal 4 3 4 2 2 2" xfId="3890" xr:uid="{00000000-0005-0000-0000-00009B110000}"/>
    <cellStyle name="Normal 4 3 4 2 2 2 2" xfId="5268" xr:uid="{00000000-0005-0000-0000-00009C110000}"/>
    <cellStyle name="Normal 4 3 4 2 2 3" xfId="4579" xr:uid="{00000000-0005-0000-0000-00009D110000}"/>
    <cellStyle name="Normal 4 3 4 2 3" xfId="2952" xr:uid="{00000000-0005-0000-0000-00009E110000}"/>
    <cellStyle name="Normal 4 3 4 2 3 2" xfId="3664" xr:uid="{00000000-0005-0000-0000-00009F110000}"/>
    <cellStyle name="Normal 4 3 4 2 3 2 2" xfId="5042" xr:uid="{00000000-0005-0000-0000-0000A0110000}"/>
    <cellStyle name="Normal 4 3 4 2 3 3" xfId="4353" xr:uid="{00000000-0005-0000-0000-0000A1110000}"/>
    <cellStyle name="Normal 4 3 4 2 4" xfId="3449" xr:uid="{00000000-0005-0000-0000-0000A2110000}"/>
    <cellStyle name="Normal 4 3 4 2 4 2" xfId="4827" xr:uid="{00000000-0005-0000-0000-0000A3110000}"/>
    <cellStyle name="Normal 4 3 4 2 5" xfId="4138" xr:uid="{00000000-0005-0000-0000-0000A4110000}"/>
    <cellStyle name="Normal 4 3 4 3" xfId="3101" xr:uid="{00000000-0005-0000-0000-0000A5110000}"/>
    <cellStyle name="Normal 4 3 4 3 2" xfId="3800" xr:uid="{00000000-0005-0000-0000-0000A6110000}"/>
    <cellStyle name="Normal 4 3 4 3 2 2" xfId="5178" xr:uid="{00000000-0005-0000-0000-0000A7110000}"/>
    <cellStyle name="Normal 4 3 4 3 3" xfId="4489" xr:uid="{00000000-0005-0000-0000-0000A8110000}"/>
    <cellStyle name="Normal 4 3 4 4" xfId="2488" xr:uid="{00000000-0005-0000-0000-0000A9110000}"/>
    <cellStyle name="Normal 4 3 4 4 2" xfId="3574" xr:uid="{00000000-0005-0000-0000-0000AA110000}"/>
    <cellStyle name="Normal 4 3 4 4 2 2" xfId="4952" xr:uid="{00000000-0005-0000-0000-0000AB110000}"/>
    <cellStyle name="Normal 4 3 4 4 3" xfId="4263" xr:uid="{00000000-0005-0000-0000-0000AC110000}"/>
    <cellStyle name="Normal 4 3 4 5" xfId="3359" xr:uid="{00000000-0005-0000-0000-0000AD110000}"/>
    <cellStyle name="Normal 4 3 4 5 2" xfId="4737" xr:uid="{00000000-0005-0000-0000-0000AE110000}"/>
    <cellStyle name="Normal 4 3 4 6" xfId="4048" xr:uid="{00000000-0005-0000-0000-0000AF110000}"/>
    <cellStyle name="Normal 4 3 5" xfId="2316" xr:uid="{00000000-0005-0000-0000-0000B0110000}"/>
    <cellStyle name="Normal 4 3 5 2" xfId="3186" xr:uid="{00000000-0005-0000-0000-0000B1110000}"/>
    <cellStyle name="Normal 4 3 5 2 2" xfId="3885" xr:uid="{00000000-0005-0000-0000-0000B2110000}"/>
    <cellStyle name="Normal 4 3 5 2 2 2" xfId="5263" xr:uid="{00000000-0005-0000-0000-0000B3110000}"/>
    <cellStyle name="Normal 4 3 5 2 3" xfId="4574" xr:uid="{00000000-0005-0000-0000-0000B4110000}"/>
    <cellStyle name="Normal 4 3 5 3" xfId="2947" xr:uid="{00000000-0005-0000-0000-0000B5110000}"/>
    <cellStyle name="Normal 4 3 5 3 2" xfId="3659" xr:uid="{00000000-0005-0000-0000-0000B6110000}"/>
    <cellStyle name="Normal 4 3 5 3 2 2" xfId="5037" xr:uid="{00000000-0005-0000-0000-0000B7110000}"/>
    <cellStyle name="Normal 4 3 5 3 3" xfId="4348" xr:uid="{00000000-0005-0000-0000-0000B8110000}"/>
    <cellStyle name="Normal 4 3 5 4" xfId="3444" xr:uid="{00000000-0005-0000-0000-0000B9110000}"/>
    <cellStyle name="Normal 4 3 5 4 2" xfId="4822" xr:uid="{00000000-0005-0000-0000-0000BA110000}"/>
    <cellStyle name="Normal 4 3 5 5" xfId="4133" xr:uid="{00000000-0005-0000-0000-0000BB110000}"/>
    <cellStyle name="Normal 4 3 6" xfId="3042" xr:uid="{00000000-0005-0000-0000-0000BC110000}"/>
    <cellStyle name="Normal 4 3 6 2" xfId="3741" xr:uid="{00000000-0005-0000-0000-0000BD110000}"/>
    <cellStyle name="Normal 4 3 6 2 2" xfId="5119" xr:uid="{00000000-0005-0000-0000-0000BE110000}"/>
    <cellStyle name="Normal 4 3 6 3" xfId="4430" xr:uid="{00000000-0005-0000-0000-0000BF110000}"/>
    <cellStyle name="Normal 4 3 7" xfId="2425" xr:uid="{00000000-0005-0000-0000-0000C0110000}"/>
    <cellStyle name="Normal 4 3 7 2" xfId="3515" xr:uid="{00000000-0005-0000-0000-0000C1110000}"/>
    <cellStyle name="Normal 4 3 7 2 2" xfId="4893" xr:uid="{00000000-0005-0000-0000-0000C2110000}"/>
    <cellStyle name="Normal 4 3 7 3" xfId="4204" xr:uid="{00000000-0005-0000-0000-0000C3110000}"/>
    <cellStyle name="Normal 4 3 8" xfId="3300" xr:uid="{00000000-0005-0000-0000-0000C4110000}"/>
    <cellStyle name="Normal 4 3 8 2" xfId="4678" xr:uid="{00000000-0005-0000-0000-0000C5110000}"/>
    <cellStyle name="Normal 4 3 9" xfId="3989" xr:uid="{00000000-0005-0000-0000-0000C6110000}"/>
    <cellStyle name="Normal 4 30" xfId="5525" xr:uid="{00000000-0005-0000-0000-00000B000000}"/>
    <cellStyle name="Normal 4 4" xfId="1424" xr:uid="{00000000-0005-0000-0000-0000C7110000}"/>
    <cellStyle name="Normal 4 4 2" xfId="1465" xr:uid="{00000000-0005-0000-0000-0000C8110000}"/>
    <cellStyle name="Normal 4 4 2 2" xfId="2323" xr:uid="{00000000-0005-0000-0000-0000C9110000}"/>
    <cellStyle name="Normal 4 4 2 2 2" xfId="3193" xr:uid="{00000000-0005-0000-0000-0000CA110000}"/>
    <cellStyle name="Normal 4 4 2 2 2 2" xfId="3892" xr:uid="{00000000-0005-0000-0000-0000CB110000}"/>
    <cellStyle name="Normal 4 4 2 2 2 2 2" xfId="5270" xr:uid="{00000000-0005-0000-0000-0000CC110000}"/>
    <cellStyle name="Normal 4 4 2 2 2 3" xfId="4581" xr:uid="{00000000-0005-0000-0000-0000CD110000}"/>
    <cellStyle name="Normal 4 4 2 2 3" xfId="2954" xr:uid="{00000000-0005-0000-0000-0000CE110000}"/>
    <cellStyle name="Normal 4 4 2 2 3 2" xfId="3666" xr:uid="{00000000-0005-0000-0000-0000CF110000}"/>
    <cellStyle name="Normal 4 4 2 2 3 2 2" xfId="5044" xr:uid="{00000000-0005-0000-0000-0000D0110000}"/>
    <cellStyle name="Normal 4 4 2 2 3 3" xfId="4355" xr:uid="{00000000-0005-0000-0000-0000D1110000}"/>
    <cellStyle name="Normal 4 4 2 2 4" xfId="3451" xr:uid="{00000000-0005-0000-0000-0000D2110000}"/>
    <cellStyle name="Normal 4 4 2 2 4 2" xfId="4829" xr:uid="{00000000-0005-0000-0000-0000D3110000}"/>
    <cellStyle name="Normal 4 4 2 2 5" xfId="4140" xr:uid="{00000000-0005-0000-0000-0000D4110000}"/>
    <cellStyle name="Normal 4 4 2 3" xfId="3081" xr:uid="{00000000-0005-0000-0000-0000D5110000}"/>
    <cellStyle name="Normal 4 4 2 3 2" xfId="3780" xr:uid="{00000000-0005-0000-0000-0000D6110000}"/>
    <cellStyle name="Normal 4 4 2 3 2 2" xfId="5158" xr:uid="{00000000-0005-0000-0000-0000D7110000}"/>
    <cellStyle name="Normal 4 4 2 3 3" xfId="4469" xr:uid="{00000000-0005-0000-0000-0000D8110000}"/>
    <cellStyle name="Normal 4 4 2 4" xfId="2468" xr:uid="{00000000-0005-0000-0000-0000D9110000}"/>
    <cellStyle name="Normal 4 4 2 4 2" xfId="3554" xr:uid="{00000000-0005-0000-0000-0000DA110000}"/>
    <cellStyle name="Normal 4 4 2 4 2 2" xfId="4932" xr:uid="{00000000-0005-0000-0000-0000DB110000}"/>
    <cellStyle name="Normal 4 4 2 4 3" xfId="4243" xr:uid="{00000000-0005-0000-0000-0000DC110000}"/>
    <cellStyle name="Normal 4 4 2 5" xfId="3339" xr:uid="{00000000-0005-0000-0000-0000DD110000}"/>
    <cellStyle name="Normal 4 4 2 5 2" xfId="4717" xr:uid="{00000000-0005-0000-0000-0000DE110000}"/>
    <cellStyle name="Normal 4 4 2 6" xfId="4028" xr:uid="{00000000-0005-0000-0000-0000DF110000}"/>
    <cellStyle name="Normal 4 4 3" xfId="1518" xr:uid="{00000000-0005-0000-0000-0000E0110000}"/>
    <cellStyle name="Normal 4 4 3 2" xfId="2324" xr:uid="{00000000-0005-0000-0000-0000E1110000}"/>
    <cellStyle name="Normal 4 4 3 2 2" xfId="3194" xr:uid="{00000000-0005-0000-0000-0000E2110000}"/>
    <cellStyle name="Normal 4 4 3 2 2 2" xfId="3893" xr:uid="{00000000-0005-0000-0000-0000E3110000}"/>
    <cellStyle name="Normal 4 4 3 2 2 2 2" xfId="5271" xr:uid="{00000000-0005-0000-0000-0000E4110000}"/>
    <cellStyle name="Normal 4 4 3 2 2 3" xfId="4582" xr:uid="{00000000-0005-0000-0000-0000E5110000}"/>
    <cellStyle name="Normal 4 4 3 2 3" xfId="2955" xr:uid="{00000000-0005-0000-0000-0000E6110000}"/>
    <cellStyle name="Normal 4 4 3 2 3 2" xfId="3667" xr:uid="{00000000-0005-0000-0000-0000E7110000}"/>
    <cellStyle name="Normal 4 4 3 2 3 2 2" xfId="5045" xr:uid="{00000000-0005-0000-0000-0000E8110000}"/>
    <cellStyle name="Normal 4 4 3 2 3 3" xfId="4356" xr:uid="{00000000-0005-0000-0000-0000E9110000}"/>
    <cellStyle name="Normal 4 4 3 2 4" xfId="3452" xr:uid="{00000000-0005-0000-0000-0000EA110000}"/>
    <cellStyle name="Normal 4 4 3 2 4 2" xfId="4830" xr:uid="{00000000-0005-0000-0000-0000EB110000}"/>
    <cellStyle name="Normal 4 4 3 2 5" xfId="4141" xr:uid="{00000000-0005-0000-0000-0000EC110000}"/>
    <cellStyle name="Normal 4 4 3 3" xfId="3103" xr:uid="{00000000-0005-0000-0000-0000ED110000}"/>
    <cellStyle name="Normal 4 4 3 3 2" xfId="3802" xr:uid="{00000000-0005-0000-0000-0000EE110000}"/>
    <cellStyle name="Normal 4 4 3 3 2 2" xfId="5180" xr:uid="{00000000-0005-0000-0000-0000EF110000}"/>
    <cellStyle name="Normal 4 4 3 3 3" xfId="4491" xr:uid="{00000000-0005-0000-0000-0000F0110000}"/>
    <cellStyle name="Normal 4 4 3 4" xfId="2490" xr:uid="{00000000-0005-0000-0000-0000F1110000}"/>
    <cellStyle name="Normal 4 4 3 4 2" xfId="3576" xr:uid="{00000000-0005-0000-0000-0000F2110000}"/>
    <cellStyle name="Normal 4 4 3 4 2 2" xfId="4954" xr:uid="{00000000-0005-0000-0000-0000F3110000}"/>
    <cellStyle name="Normal 4 4 3 4 3" xfId="4265" xr:uid="{00000000-0005-0000-0000-0000F4110000}"/>
    <cellStyle name="Normal 4 4 3 5" xfId="3361" xr:uid="{00000000-0005-0000-0000-0000F5110000}"/>
    <cellStyle name="Normal 4 4 3 5 2" xfId="4739" xr:uid="{00000000-0005-0000-0000-0000F6110000}"/>
    <cellStyle name="Normal 4 4 3 6" xfId="4050" xr:uid="{00000000-0005-0000-0000-0000F7110000}"/>
    <cellStyle name="Normal 4 4 4" xfId="2322" xr:uid="{00000000-0005-0000-0000-0000F8110000}"/>
    <cellStyle name="Normal 4 4 4 2" xfId="3192" xr:uid="{00000000-0005-0000-0000-0000F9110000}"/>
    <cellStyle name="Normal 4 4 4 2 2" xfId="3891" xr:uid="{00000000-0005-0000-0000-0000FA110000}"/>
    <cellStyle name="Normal 4 4 4 2 2 2" xfId="5269" xr:uid="{00000000-0005-0000-0000-0000FB110000}"/>
    <cellStyle name="Normal 4 4 4 2 3" xfId="4580" xr:uid="{00000000-0005-0000-0000-0000FC110000}"/>
    <cellStyle name="Normal 4 4 4 3" xfId="2953" xr:uid="{00000000-0005-0000-0000-0000FD110000}"/>
    <cellStyle name="Normal 4 4 4 3 2" xfId="3665" xr:uid="{00000000-0005-0000-0000-0000FE110000}"/>
    <cellStyle name="Normal 4 4 4 3 2 2" xfId="5043" xr:uid="{00000000-0005-0000-0000-0000FF110000}"/>
    <cellStyle name="Normal 4 4 4 3 3" xfId="4354" xr:uid="{00000000-0005-0000-0000-000000120000}"/>
    <cellStyle name="Normal 4 4 4 4" xfId="3450" xr:uid="{00000000-0005-0000-0000-000001120000}"/>
    <cellStyle name="Normal 4 4 4 4 2" xfId="4828" xr:uid="{00000000-0005-0000-0000-000002120000}"/>
    <cellStyle name="Normal 4 4 4 5" xfId="4139" xr:uid="{00000000-0005-0000-0000-000003120000}"/>
    <cellStyle name="Normal 4 4 5" xfId="3046" xr:uid="{00000000-0005-0000-0000-000004120000}"/>
    <cellStyle name="Normal 4 4 5 2" xfId="3745" xr:uid="{00000000-0005-0000-0000-000005120000}"/>
    <cellStyle name="Normal 4 4 5 2 2" xfId="5123" xr:uid="{00000000-0005-0000-0000-000006120000}"/>
    <cellStyle name="Normal 4 4 5 3" xfId="4434" xr:uid="{00000000-0005-0000-0000-000007120000}"/>
    <cellStyle name="Normal 4 4 6" xfId="2433" xr:uid="{00000000-0005-0000-0000-000008120000}"/>
    <cellStyle name="Normal 4 4 6 2" xfId="3519" xr:uid="{00000000-0005-0000-0000-000009120000}"/>
    <cellStyle name="Normal 4 4 6 2 2" xfId="4897" xr:uid="{00000000-0005-0000-0000-00000A120000}"/>
    <cellStyle name="Normal 4 4 6 3" xfId="4208" xr:uid="{00000000-0005-0000-0000-00000B120000}"/>
    <cellStyle name="Normal 4 4 7" xfId="3304" xr:uid="{00000000-0005-0000-0000-00000C120000}"/>
    <cellStyle name="Normal 4 4 7 2" xfId="4682" xr:uid="{00000000-0005-0000-0000-00000D120000}"/>
    <cellStyle name="Normal 4 4 8" xfId="3993" xr:uid="{00000000-0005-0000-0000-00000E120000}"/>
    <cellStyle name="Normal 4 5" xfId="1458" xr:uid="{00000000-0005-0000-0000-00000F120000}"/>
    <cellStyle name="Normal 4 5 2" xfId="2325" xr:uid="{00000000-0005-0000-0000-000010120000}"/>
    <cellStyle name="Normal 4 5 2 2" xfId="3195" xr:uid="{00000000-0005-0000-0000-000011120000}"/>
    <cellStyle name="Normal 4 5 2 2 2" xfId="3894" xr:uid="{00000000-0005-0000-0000-000012120000}"/>
    <cellStyle name="Normal 4 5 2 2 2 2" xfId="5272" xr:uid="{00000000-0005-0000-0000-000013120000}"/>
    <cellStyle name="Normal 4 5 2 2 3" xfId="4583" xr:uid="{00000000-0005-0000-0000-000014120000}"/>
    <cellStyle name="Normal 4 5 2 3" xfId="2956" xr:uid="{00000000-0005-0000-0000-000015120000}"/>
    <cellStyle name="Normal 4 5 2 3 2" xfId="3668" xr:uid="{00000000-0005-0000-0000-000016120000}"/>
    <cellStyle name="Normal 4 5 2 3 2 2" xfId="5046" xr:uid="{00000000-0005-0000-0000-000017120000}"/>
    <cellStyle name="Normal 4 5 2 3 3" xfId="4357" xr:uid="{00000000-0005-0000-0000-000018120000}"/>
    <cellStyle name="Normal 4 5 2 4" xfId="3453" xr:uid="{00000000-0005-0000-0000-000019120000}"/>
    <cellStyle name="Normal 4 5 2 4 2" xfId="4831" xr:uid="{00000000-0005-0000-0000-00001A120000}"/>
    <cellStyle name="Normal 4 5 2 5" xfId="4142" xr:uid="{00000000-0005-0000-0000-00001B120000}"/>
    <cellStyle name="Normal 4 5 3" xfId="3074" xr:uid="{00000000-0005-0000-0000-00001C120000}"/>
    <cellStyle name="Normal 4 5 3 2" xfId="3773" xr:uid="{00000000-0005-0000-0000-00001D120000}"/>
    <cellStyle name="Normal 4 5 3 2 2" xfId="5151" xr:uid="{00000000-0005-0000-0000-00001E120000}"/>
    <cellStyle name="Normal 4 5 3 3" xfId="4462" xr:uid="{00000000-0005-0000-0000-00001F120000}"/>
    <cellStyle name="Normal 4 5 4" xfId="2461" xr:uid="{00000000-0005-0000-0000-000020120000}"/>
    <cellStyle name="Normal 4 5 4 2" xfId="3547" xr:uid="{00000000-0005-0000-0000-000021120000}"/>
    <cellStyle name="Normal 4 5 4 2 2" xfId="4925" xr:uid="{00000000-0005-0000-0000-000022120000}"/>
    <cellStyle name="Normal 4 5 4 3" xfId="4236" xr:uid="{00000000-0005-0000-0000-000023120000}"/>
    <cellStyle name="Normal 4 5 5" xfId="3332" xr:uid="{00000000-0005-0000-0000-000024120000}"/>
    <cellStyle name="Normal 4 5 5 2" xfId="4710" xr:uid="{00000000-0005-0000-0000-000025120000}"/>
    <cellStyle name="Normal 4 5 6" xfId="4021" xr:uid="{00000000-0005-0000-0000-000026120000}"/>
    <cellStyle name="Normal 4 6" xfId="1511" xr:uid="{00000000-0005-0000-0000-000027120000}"/>
    <cellStyle name="Normal 4 6 2" xfId="2326" xr:uid="{00000000-0005-0000-0000-000028120000}"/>
    <cellStyle name="Normal 4 6 2 2" xfId="3196" xr:uid="{00000000-0005-0000-0000-000029120000}"/>
    <cellStyle name="Normal 4 6 2 2 2" xfId="3895" xr:uid="{00000000-0005-0000-0000-00002A120000}"/>
    <cellStyle name="Normal 4 6 2 2 2 2" xfId="5273" xr:uid="{00000000-0005-0000-0000-00002B120000}"/>
    <cellStyle name="Normal 4 6 2 2 3" xfId="4584" xr:uid="{00000000-0005-0000-0000-00002C120000}"/>
    <cellStyle name="Normal 4 6 2 3" xfId="2957" xr:uid="{00000000-0005-0000-0000-00002D120000}"/>
    <cellStyle name="Normal 4 6 2 3 2" xfId="3669" xr:uid="{00000000-0005-0000-0000-00002E120000}"/>
    <cellStyle name="Normal 4 6 2 3 2 2" xfId="5047" xr:uid="{00000000-0005-0000-0000-00002F120000}"/>
    <cellStyle name="Normal 4 6 2 3 3" xfId="4358" xr:uid="{00000000-0005-0000-0000-000030120000}"/>
    <cellStyle name="Normal 4 6 2 4" xfId="3454" xr:uid="{00000000-0005-0000-0000-000031120000}"/>
    <cellStyle name="Normal 4 6 2 4 2" xfId="4832" xr:uid="{00000000-0005-0000-0000-000032120000}"/>
    <cellStyle name="Normal 4 6 2 5" xfId="4143" xr:uid="{00000000-0005-0000-0000-000033120000}"/>
    <cellStyle name="Normal 4 6 3" xfId="3096" xr:uid="{00000000-0005-0000-0000-000034120000}"/>
    <cellStyle name="Normal 4 6 3 2" xfId="3795" xr:uid="{00000000-0005-0000-0000-000035120000}"/>
    <cellStyle name="Normal 4 6 3 2 2" xfId="5173" xr:uid="{00000000-0005-0000-0000-000036120000}"/>
    <cellStyle name="Normal 4 6 3 3" xfId="4484" xr:uid="{00000000-0005-0000-0000-000037120000}"/>
    <cellStyle name="Normal 4 6 4" xfId="2483" xr:uid="{00000000-0005-0000-0000-000038120000}"/>
    <cellStyle name="Normal 4 6 4 2" xfId="3569" xr:uid="{00000000-0005-0000-0000-000039120000}"/>
    <cellStyle name="Normal 4 6 4 2 2" xfId="4947" xr:uid="{00000000-0005-0000-0000-00003A120000}"/>
    <cellStyle name="Normal 4 6 4 3" xfId="4258" xr:uid="{00000000-0005-0000-0000-00003B120000}"/>
    <cellStyle name="Normal 4 6 5" xfId="3354" xr:uid="{00000000-0005-0000-0000-00003C120000}"/>
    <cellStyle name="Normal 4 6 5 2" xfId="4732" xr:uid="{00000000-0005-0000-0000-00003D120000}"/>
    <cellStyle name="Normal 4 6 6" xfId="4043" xr:uid="{00000000-0005-0000-0000-00003E120000}"/>
    <cellStyle name="Normal 4 7" xfId="1874" xr:uid="{00000000-0005-0000-0000-00003F120000}"/>
    <cellStyle name="Normal 4 8" xfId="2303" xr:uid="{00000000-0005-0000-0000-000040120000}"/>
    <cellStyle name="Normal 4 8 2" xfId="3173" xr:uid="{00000000-0005-0000-0000-000041120000}"/>
    <cellStyle name="Normal 4 8 2 2" xfId="3872" xr:uid="{00000000-0005-0000-0000-000042120000}"/>
    <cellStyle name="Normal 4 8 2 2 2" xfId="5250" xr:uid="{00000000-0005-0000-0000-000043120000}"/>
    <cellStyle name="Normal 4 8 2 3" xfId="4561" xr:uid="{00000000-0005-0000-0000-000044120000}"/>
    <cellStyle name="Normal 4 8 3" xfId="2934" xr:uid="{00000000-0005-0000-0000-000045120000}"/>
    <cellStyle name="Normal 4 8 3 2" xfId="3646" xr:uid="{00000000-0005-0000-0000-000046120000}"/>
    <cellStyle name="Normal 4 8 3 2 2" xfId="5024" xr:uid="{00000000-0005-0000-0000-000047120000}"/>
    <cellStyle name="Normal 4 8 3 3" xfId="4335" xr:uid="{00000000-0005-0000-0000-000048120000}"/>
    <cellStyle name="Normal 4 8 4" xfId="3431" xr:uid="{00000000-0005-0000-0000-000049120000}"/>
    <cellStyle name="Normal 4 8 4 2" xfId="4809" xr:uid="{00000000-0005-0000-0000-00004A120000}"/>
    <cellStyle name="Normal 4 8 5" xfId="4120" xr:uid="{00000000-0005-0000-0000-00004B120000}"/>
    <cellStyle name="Normal 4 9" xfId="2340" xr:uid="{00000000-0005-0000-0000-00004C120000}"/>
    <cellStyle name="Normal 4 9 2" xfId="3206" xr:uid="{00000000-0005-0000-0000-00004D120000}"/>
    <cellStyle name="Normal 4 9 2 2" xfId="3905" xr:uid="{00000000-0005-0000-0000-00004E120000}"/>
    <cellStyle name="Normal 4 9 2 2 2" xfId="5283" xr:uid="{00000000-0005-0000-0000-00004F120000}"/>
    <cellStyle name="Normal 4 9 2 3" xfId="4594" xr:uid="{00000000-0005-0000-0000-000050120000}"/>
    <cellStyle name="Normal 4 9 3" xfId="2968" xr:uid="{00000000-0005-0000-0000-000051120000}"/>
    <cellStyle name="Normal 4 9 3 2" xfId="3679" xr:uid="{00000000-0005-0000-0000-000052120000}"/>
    <cellStyle name="Normal 4 9 3 2 2" xfId="5057" xr:uid="{00000000-0005-0000-0000-000053120000}"/>
    <cellStyle name="Normal 4 9 3 3" xfId="4368" xr:uid="{00000000-0005-0000-0000-000054120000}"/>
    <cellStyle name="Normal 4 9 4" xfId="3464" xr:uid="{00000000-0005-0000-0000-000055120000}"/>
    <cellStyle name="Normal 4 9 4 2" xfId="4842" xr:uid="{00000000-0005-0000-0000-000056120000}"/>
    <cellStyle name="Normal 4 9 5" xfId="4153" xr:uid="{00000000-0005-0000-0000-000057120000}"/>
    <cellStyle name="Normal 40" xfId="1841" xr:uid="{00000000-0005-0000-0000-000058120000}"/>
    <cellStyle name="Normal 40 2" xfId="1843" xr:uid="{00000000-0005-0000-0000-000059120000}"/>
    <cellStyle name="Normal 40 2 2" xfId="2327" xr:uid="{00000000-0005-0000-0000-00005A120000}"/>
    <cellStyle name="Normal 40 2 2 2" xfId="3197" xr:uid="{00000000-0005-0000-0000-00005B120000}"/>
    <cellStyle name="Normal 40 2 2 2 2" xfId="3896" xr:uid="{00000000-0005-0000-0000-00005C120000}"/>
    <cellStyle name="Normal 40 2 2 2 2 2" xfId="5274" xr:uid="{00000000-0005-0000-0000-00005D120000}"/>
    <cellStyle name="Normal 40 2 2 2 3" xfId="4585" xr:uid="{00000000-0005-0000-0000-00005E120000}"/>
    <cellStyle name="Normal 40 2 2 3" xfId="2958" xr:uid="{00000000-0005-0000-0000-00005F120000}"/>
    <cellStyle name="Normal 40 2 2 3 2" xfId="3670" xr:uid="{00000000-0005-0000-0000-000060120000}"/>
    <cellStyle name="Normal 40 2 2 3 2 2" xfId="5048" xr:uid="{00000000-0005-0000-0000-000061120000}"/>
    <cellStyle name="Normal 40 2 2 3 3" xfId="4359" xr:uid="{00000000-0005-0000-0000-000062120000}"/>
    <cellStyle name="Normal 40 2 2 4" xfId="3455" xr:uid="{00000000-0005-0000-0000-000063120000}"/>
    <cellStyle name="Normal 40 2 2 4 2" xfId="4833" xr:uid="{00000000-0005-0000-0000-000064120000}"/>
    <cellStyle name="Normal 40 2 2 5" xfId="4144" xr:uid="{00000000-0005-0000-0000-000065120000}"/>
    <cellStyle name="Normal 40 2 3" xfId="3106" xr:uid="{00000000-0005-0000-0000-000066120000}"/>
    <cellStyle name="Normal 40 2 3 2" xfId="3805" xr:uid="{00000000-0005-0000-0000-000067120000}"/>
    <cellStyle name="Normal 40 2 3 2 2" xfId="5183" xr:uid="{00000000-0005-0000-0000-000068120000}"/>
    <cellStyle name="Normal 40 2 3 3" xfId="4494" xr:uid="{00000000-0005-0000-0000-000069120000}"/>
    <cellStyle name="Normal 40 2 4" xfId="2493" xr:uid="{00000000-0005-0000-0000-00006A120000}"/>
    <cellStyle name="Normal 40 2 4 2" xfId="3579" xr:uid="{00000000-0005-0000-0000-00006B120000}"/>
    <cellStyle name="Normal 40 2 4 2 2" xfId="4957" xr:uid="{00000000-0005-0000-0000-00006C120000}"/>
    <cellStyle name="Normal 40 2 4 3" xfId="4268" xr:uid="{00000000-0005-0000-0000-00006D120000}"/>
    <cellStyle name="Normal 40 2 5" xfId="3364" xr:uid="{00000000-0005-0000-0000-00006E120000}"/>
    <cellStyle name="Normal 40 2 5 2" xfId="4742" xr:uid="{00000000-0005-0000-0000-00006F120000}"/>
    <cellStyle name="Normal 40 2 6" xfId="4053" xr:uid="{00000000-0005-0000-0000-000070120000}"/>
    <cellStyle name="Normal 40 4" xfId="1842" xr:uid="{00000000-0005-0000-0000-000071120000}"/>
    <cellStyle name="Normal 40 4 2" xfId="2328" xr:uid="{00000000-0005-0000-0000-000072120000}"/>
    <cellStyle name="Normal 40 4 2 2" xfId="3198" xr:uid="{00000000-0005-0000-0000-000073120000}"/>
    <cellStyle name="Normal 40 4 2 2 2" xfId="3897" xr:uid="{00000000-0005-0000-0000-000074120000}"/>
    <cellStyle name="Normal 40 4 2 2 2 2" xfId="5275" xr:uid="{00000000-0005-0000-0000-000075120000}"/>
    <cellStyle name="Normal 40 4 2 2 3" xfId="4586" xr:uid="{00000000-0005-0000-0000-000076120000}"/>
    <cellStyle name="Normal 40 4 2 3" xfId="2959" xr:uid="{00000000-0005-0000-0000-000077120000}"/>
    <cellStyle name="Normal 40 4 2 3 2" xfId="3671" xr:uid="{00000000-0005-0000-0000-000078120000}"/>
    <cellStyle name="Normal 40 4 2 3 2 2" xfId="5049" xr:uid="{00000000-0005-0000-0000-000079120000}"/>
    <cellStyle name="Normal 40 4 2 3 3" xfId="4360" xr:uid="{00000000-0005-0000-0000-00007A120000}"/>
    <cellStyle name="Normal 40 4 2 4" xfId="3456" xr:uid="{00000000-0005-0000-0000-00007B120000}"/>
    <cellStyle name="Normal 40 4 2 4 2" xfId="4834" xr:uid="{00000000-0005-0000-0000-00007C120000}"/>
    <cellStyle name="Normal 40 4 2 5" xfId="4145" xr:uid="{00000000-0005-0000-0000-00007D120000}"/>
    <cellStyle name="Normal 40 4 3" xfId="3105" xr:uid="{00000000-0005-0000-0000-00007E120000}"/>
    <cellStyle name="Normal 40 4 3 2" xfId="3804" xr:uid="{00000000-0005-0000-0000-00007F120000}"/>
    <cellStyle name="Normal 40 4 3 2 2" xfId="5182" xr:uid="{00000000-0005-0000-0000-000080120000}"/>
    <cellStyle name="Normal 40 4 3 3" xfId="4493" xr:uid="{00000000-0005-0000-0000-000081120000}"/>
    <cellStyle name="Normal 40 4 4" xfId="2492" xr:uid="{00000000-0005-0000-0000-000082120000}"/>
    <cellStyle name="Normal 40 4 4 2" xfId="3578" xr:uid="{00000000-0005-0000-0000-000083120000}"/>
    <cellStyle name="Normal 40 4 4 2 2" xfId="4956" xr:uid="{00000000-0005-0000-0000-000084120000}"/>
    <cellStyle name="Normal 40 4 4 3" xfId="4267" xr:uid="{00000000-0005-0000-0000-000085120000}"/>
    <cellStyle name="Normal 40 4 5" xfId="3363" xr:uid="{00000000-0005-0000-0000-000086120000}"/>
    <cellStyle name="Normal 40 4 5 2" xfId="4741" xr:uid="{00000000-0005-0000-0000-000087120000}"/>
    <cellStyle name="Normal 40 4 6" xfId="4052" xr:uid="{00000000-0005-0000-0000-000088120000}"/>
    <cellStyle name="Normal 41" xfId="1861" xr:uid="{00000000-0005-0000-0000-000089120000}"/>
    <cellStyle name="Normal 42" xfId="1864" xr:uid="{00000000-0005-0000-0000-00008A120000}"/>
    <cellStyle name="Normal 43" xfId="1867" xr:uid="{00000000-0005-0000-0000-00008B120000}"/>
    <cellStyle name="Normal 44" xfId="1863" xr:uid="{00000000-0005-0000-0000-00008C120000}"/>
    <cellStyle name="Normal 45" xfId="1868" xr:uid="{00000000-0005-0000-0000-00008D120000}"/>
    <cellStyle name="Normal 46" xfId="1869" xr:uid="{00000000-0005-0000-0000-00008E120000}"/>
    <cellStyle name="Normal 47" xfId="1870" xr:uid="{00000000-0005-0000-0000-00008F120000}"/>
    <cellStyle name="Normal 48" xfId="1872" xr:uid="{00000000-0005-0000-0000-000090120000}"/>
    <cellStyle name="Normal 49" xfId="1876" xr:uid="{00000000-0005-0000-0000-000091120000}"/>
    <cellStyle name="Normal 5" xfId="5" xr:uid="{00000000-0005-0000-0000-000092120000}"/>
    <cellStyle name="Normal 5 2" xfId="1023" xr:uid="{00000000-0005-0000-0000-000093120000}"/>
    <cellStyle name="Normal 5 3" xfId="1838" xr:uid="{00000000-0005-0000-0000-000094120000}"/>
    <cellStyle name="Normal 5 5" xfId="1840" xr:uid="{00000000-0005-0000-0000-000095120000}"/>
    <cellStyle name="Normal 50" xfId="1877" xr:uid="{00000000-0005-0000-0000-000096120000}"/>
    <cellStyle name="Normal 51" xfId="1882" xr:uid="{00000000-0005-0000-0000-000097120000}"/>
    <cellStyle name="Normal 52" xfId="2333" xr:uid="{00000000-0005-0000-0000-000098120000}"/>
    <cellStyle name="Normal 52 2" xfId="3202" xr:uid="{00000000-0005-0000-0000-000099120000}"/>
    <cellStyle name="Normal 52 2 2" xfId="3901" xr:uid="{00000000-0005-0000-0000-00009A120000}"/>
    <cellStyle name="Normal 52 2 2 2" xfId="5279" xr:uid="{00000000-0005-0000-0000-00009B120000}"/>
    <cellStyle name="Normal 52 2 3" xfId="4590" xr:uid="{00000000-0005-0000-0000-00009C120000}"/>
    <cellStyle name="Normal 52 3" xfId="2964" xr:uid="{00000000-0005-0000-0000-00009D120000}"/>
    <cellStyle name="Normal 52 3 2" xfId="3675" xr:uid="{00000000-0005-0000-0000-00009E120000}"/>
    <cellStyle name="Normal 52 3 2 2" xfId="5053" xr:uid="{00000000-0005-0000-0000-00009F120000}"/>
    <cellStyle name="Normal 52 3 3" xfId="4364" xr:uid="{00000000-0005-0000-0000-0000A0120000}"/>
    <cellStyle name="Normal 52 4" xfId="3460" xr:uid="{00000000-0005-0000-0000-0000A1120000}"/>
    <cellStyle name="Normal 52 4 2" xfId="4838" xr:uid="{00000000-0005-0000-0000-0000A2120000}"/>
    <cellStyle name="Normal 52 5" xfId="4149" xr:uid="{00000000-0005-0000-0000-0000A3120000}"/>
    <cellStyle name="Normal 53" xfId="2336" xr:uid="{00000000-0005-0000-0000-0000A4120000}"/>
    <cellStyle name="Normal 54" xfId="2338" xr:uid="{00000000-0005-0000-0000-0000A5120000}"/>
    <cellStyle name="Normal 55" xfId="2343" xr:uid="{00000000-0005-0000-0000-0000A6120000}"/>
    <cellStyle name="Normal 56" xfId="2344" xr:uid="{00000000-0005-0000-0000-0000A7120000}"/>
    <cellStyle name="Normal 57" xfId="2347" xr:uid="{00000000-0005-0000-0000-0000A8120000}"/>
    <cellStyle name="Normal 58" xfId="2348" xr:uid="{00000000-0005-0000-0000-0000A9120000}"/>
    <cellStyle name="Normal 59" xfId="2354" xr:uid="{00000000-0005-0000-0000-0000AA120000}"/>
    <cellStyle name="Normal 6" xfId="1024" xr:uid="{00000000-0005-0000-0000-0000AB120000}"/>
    <cellStyle name="Normal 6 10" xfId="3255" xr:uid="{00000000-0005-0000-0000-0000AC120000}"/>
    <cellStyle name="Normal 6 10 2" xfId="3952" xr:uid="{00000000-0005-0000-0000-0000AD120000}"/>
    <cellStyle name="Normal 6 10 2 2" xfId="5330" xr:uid="{00000000-0005-0000-0000-0000AE120000}"/>
    <cellStyle name="Normal 6 10 3" xfId="4641" xr:uid="{00000000-0005-0000-0000-0000AF120000}"/>
    <cellStyle name="Normal 6 11" xfId="3261" xr:uid="{00000000-0005-0000-0000-0000B0120000}"/>
    <cellStyle name="Normal 6 11 2" xfId="3956" xr:uid="{00000000-0005-0000-0000-0000B1120000}"/>
    <cellStyle name="Normal 6 11 2 2" xfId="5334" xr:uid="{00000000-0005-0000-0000-0000B2120000}"/>
    <cellStyle name="Normal 6 11 3" xfId="4645" xr:uid="{00000000-0005-0000-0000-0000B3120000}"/>
    <cellStyle name="Normal 6 12" xfId="3269" xr:uid="{00000000-0005-0000-0000-0000B4120000}"/>
    <cellStyle name="Normal 6 12 2" xfId="3962" xr:uid="{00000000-0005-0000-0000-0000B5120000}"/>
    <cellStyle name="Normal 6 12 2 2" xfId="5340" xr:uid="{00000000-0005-0000-0000-0000B6120000}"/>
    <cellStyle name="Normal 6 12 3" xfId="4651" xr:uid="{00000000-0005-0000-0000-0000B7120000}"/>
    <cellStyle name="Normal 6 13" xfId="3275" xr:uid="{00000000-0005-0000-0000-0000B8120000}"/>
    <cellStyle name="Normal 6 13 2" xfId="4655" xr:uid="{00000000-0005-0000-0000-0000B9120000}"/>
    <cellStyle name="Normal 6 14" xfId="3286" xr:uid="{00000000-0005-0000-0000-0000BA120000}"/>
    <cellStyle name="Normal 6 14 2" xfId="4664" xr:uid="{00000000-0005-0000-0000-0000BB120000}"/>
    <cellStyle name="Normal 6 15" xfId="3966" xr:uid="{00000000-0005-0000-0000-0000BC120000}"/>
    <cellStyle name="Normal 6 15 2" xfId="5344" xr:uid="{00000000-0005-0000-0000-0000BD120000}"/>
    <cellStyle name="Normal 6 16" xfId="5362" xr:uid="{00000000-0005-0000-0000-0000BE120000}"/>
    <cellStyle name="Normal 6 17" xfId="5398" xr:uid="{00000000-0005-0000-0000-00006C000000}"/>
    <cellStyle name="Normal 6 18" xfId="5500" xr:uid="{3081BD6A-3305-4FF0-B83D-6FBE87128962}"/>
    <cellStyle name="Normal 6 19" xfId="5508" xr:uid="{5D3C37F9-1B3D-4496-97EC-C5E9B0F7F7CA}"/>
    <cellStyle name="Normal 6 2" xfId="1025" xr:uid="{00000000-0005-0000-0000-0000BF120000}"/>
    <cellStyle name="Normal 6 2 2" xfId="2381" xr:uid="{00000000-0005-0000-0000-0000C0120000}"/>
    <cellStyle name="Normal 6 2 2 2" xfId="3223" xr:uid="{00000000-0005-0000-0000-0000C1120000}"/>
    <cellStyle name="Normal 6 2 2 2 2" xfId="3922" xr:uid="{00000000-0005-0000-0000-0000C2120000}"/>
    <cellStyle name="Normal 6 2 2 2 2 2" xfId="5300" xr:uid="{00000000-0005-0000-0000-0000C3120000}"/>
    <cellStyle name="Normal 6 2 2 2 3" xfId="4611" xr:uid="{00000000-0005-0000-0000-0000C4120000}"/>
    <cellStyle name="Normal 6 2 2 3" xfId="2992" xr:uid="{00000000-0005-0000-0000-0000C5120000}"/>
    <cellStyle name="Normal 6 2 2 3 2" xfId="3696" xr:uid="{00000000-0005-0000-0000-0000C6120000}"/>
    <cellStyle name="Normal 6 2 2 3 2 2" xfId="5074" xr:uid="{00000000-0005-0000-0000-0000C7120000}"/>
    <cellStyle name="Normal 6 2 2 3 3" xfId="4385" xr:uid="{00000000-0005-0000-0000-0000C8120000}"/>
    <cellStyle name="Normal 6 2 2 4" xfId="3481" xr:uid="{00000000-0005-0000-0000-0000C9120000}"/>
    <cellStyle name="Normal 6 2 2 4 2" xfId="4859" xr:uid="{00000000-0005-0000-0000-0000CA120000}"/>
    <cellStyle name="Normal 6 2 2 5" xfId="4170" xr:uid="{00000000-0005-0000-0000-0000CB120000}"/>
    <cellStyle name="Normal 6 2 3" xfId="2406" xr:uid="{00000000-0005-0000-0000-0000CC120000}"/>
    <cellStyle name="Normal 6 2 3 2" xfId="3246" xr:uid="{00000000-0005-0000-0000-0000CD120000}"/>
    <cellStyle name="Normal 6 2 3 2 2" xfId="3945" xr:uid="{00000000-0005-0000-0000-0000CE120000}"/>
    <cellStyle name="Normal 6 2 3 2 2 2" xfId="5323" xr:uid="{00000000-0005-0000-0000-0000CF120000}"/>
    <cellStyle name="Normal 6 2 3 2 3" xfId="4634" xr:uid="{00000000-0005-0000-0000-0000D0120000}"/>
    <cellStyle name="Normal 6 2 3 3" xfId="3017" xr:uid="{00000000-0005-0000-0000-0000D1120000}"/>
    <cellStyle name="Normal 6 2 3 3 2" xfId="3719" xr:uid="{00000000-0005-0000-0000-0000D2120000}"/>
    <cellStyle name="Normal 6 2 3 3 2 2" xfId="5097" xr:uid="{00000000-0005-0000-0000-0000D3120000}"/>
    <cellStyle name="Normal 6 2 3 3 3" xfId="4408" xr:uid="{00000000-0005-0000-0000-0000D4120000}"/>
    <cellStyle name="Normal 6 2 3 4" xfId="3504" xr:uid="{00000000-0005-0000-0000-0000D5120000}"/>
    <cellStyle name="Normal 6 2 3 4 2" xfId="4882" xr:uid="{00000000-0005-0000-0000-0000D6120000}"/>
    <cellStyle name="Normal 6 2 3 5" xfId="4193" xr:uid="{00000000-0005-0000-0000-0000D7120000}"/>
    <cellStyle name="Normal 6 2 4" xfId="3294" xr:uid="{00000000-0005-0000-0000-0000D8120000}"/>
    <cellStyle name="Normal 6 2 4 2" xfId="4672" xr:uid="{00000000-0005-0000-0000-0000D9120000}"/>
    <cellStyle name="Normal 6 2 5" xfId="3978" xr:uid="{00000000-0005-0000-0000-0000DA120000}"/>
    <cellStyle name="Normal 6 2 5 2" xfId="5353" xr:uid="{00000000-0005-0000-0000-0000DB120000}"/>
    <cellStyle name="Normal 6 2 6" xfId="5481" xr:uid="{00000000-0005-0000-0000-00006D000000}"/>
    <cellStyle name="Normal 6 2 7" xfId="5505" xr:uid="{7D693B80-476F-4E3D-A423-E25F34B6D651}"/>
    <cellStyle name="Normal 6 3" xfId="2341" xr:uid="{00000000-0005-0000-0000-0000DC120000}"/>
    <cellStyle name="Normal 6 3 2" xfId="3207" xr:uid="{00000000-0005-0000-0000-0000DD120000}"/>
    <cellStyle name="Normal 6 3 2 2" xfId="3906" xr:uid="{00000000-0005-0000-0000-0000DE120000}"/>
    <cellStyle name="Normal 6 3 2 2 2" xfId="5284" xr:uid="{00000000-0005-0000-0000-0000DF120000}"/>
    <cellStyle name="Normal 6 3 2 3" xfId="4595" xr:uid="{00000000-0005-0000-0000-0000E0120000}"/>
    <cellStyle name="Normal 6 3 3" xfId="2969" xr:uid="{00000000-0005-0000-0000-0000E1120000}"/>
    <cellStyle name="Normal 6 3 3 2" xfId="3680" xr:uid="{00000000-0005-0000-0000-0000E2120000}"/>
    <cellStyle name="Normal 6 3 3 2 2" xfId="5058" xr:uid="{00000000-0005-0000-0000-0000E3120000}"/>
    <cellStyle name="Normal 6 3 3 3" xfId="4369" xr:uid="{00000000-0005-0000-0000-0000E4120000}"/>
    <cellStyle name="Normal 6 3 4" xfId="3465" xr:uid="{00000000-0005-0000-0000-0000E5120000}"/>
    <cellStyle name="Normal 6 3 4 2" xfId="4843" xr:uid="{00000000-0005-0000-0000-0000E6120000}"/>
    <cellStyle name="Normal 6 3 5" xfId="4154" xr:uid="{00000000-0005-0000-0000-0000E7120000}"/>
    <cellStyle name="Normal 6 3 6" xfId="5439" xr:uid="{00000000-0005-0000-0000-00006E000000}"/>
    <cellStyle name="Normal 6 4" xfId="2371" xr:uid="{00000000-0005-0000-0000-0000E8120000}"/>
    <cellStyle name="Normal 6 4 2" xfId="3215" xr:uid="{00000000-0005-0000-0000-0000E9120000}"/>
    <cellStyle name="Normal 6 4 2 2" xfId="3914" xr:uid="{00000000-0005-0000-0000-0000EA120000}"/>
    <cellStyle name="Normal 6 4 2 2 2" xfId="5292" xr:uid="{00000000-0005-0000-0000-0000EB120000}"/>
    <cellStyle name="Normal 6 4 2 3" xfId="4603" xr:uid="{00000000-0005-0000-0000-0000EC120000}"/>
    <cellStyle name="Normal 6 4 3" xfId="2983" xr:uid="{00000000-0005-0000-0000-0000ED120000}"/>
    <cellStyle name="Normal 6 4 3 2" xfId="3688" xr:uid="{00000000-0005-0000-0000-0000EE120000}"/>
    <cellStyle name="Normal 6 4 3 2 2" xfId="5066" xr:uid="{00000000-0005-0000-0000-0000EF120000}"/>
    <cellStyle name="Normal 6 4 3 3" xfId="4377" xr:uid="{00000000-0005-0000-0000-0000F0120000}"/>
    <cellStyle name="Normal 6 4 4" xfId="3473" xr:uid="{00000000-0005-0000-0000-0000F1120000}"/>
    <cellStyle name="Normal 6 4 4 2" xfId="4851" xr:uid="{00000000-0005-0000-0000-0000F2120000}"/>
    <cellStyle name="Normal 6 4 5" xfId="4162" xr:uid="{00000000-0005-0000-0000-0000F3120000}"/>
    <cellStyle name="Normal 6 5" xfId="2388" xr:uid="{00000000-0005-0000-0000-0000F4120000}"/>
    <cellStyle name="Normal 6 5 2" xfId="3230" xr:uid="{00000000-0005-0000-0000-0000F5120000}"/>
    <cellStyle name="Normal 6 5 2 2" xfId="3929" xr:uid="{00000000-0005-0000-0000-0000F6120000}"/>
    <cellStyle name="Normal 6 5 2 2 2" xfId="5307" xr:uid="{00000000-0005-0000-0000-0000F7120000}"/>
    <cellStyle name="Normal 6 5 2 3" xfId="4618" xr:uid="{00000000-0005-0000-0000-0000F8120000}"/>
    <cellStyle name="Normal 6 5 3" xfId="2999" xr:uid="{00000000-0005-0000-0000-0000F9120000}"/>
    <cellStyle name="Normal 6 5 3 2" xfId="3703" xr:uid="{00000000-0005-0000-0000-0000FA120000}"/>
    <cellStyle name="Normal 6 5 3 2 2" xfId="5081" xr:uid="{00000000-0005-0000-0000-0000FB120000}"/>
    <cellStyle name="Normal 6 5 3 3" xfId="4392" xr:uid="{00000000-0005-0000-0000-0000FC120000}"/>
    <cellStyle name="Normal 6 5 4" xfId="3488" xr:uid="{00000000-0005-0000-0000-0000FD120000}"/>
    <cellStyle name="Normal 6 5 4 2" xfId="4866" xr:uid="{00000000-0005-0000-0000-0000FE120000}"/>
    <cellStyle name="Normal 6 5 5" xfId="4177" xr:uid="{00000000-0005-0000-0000-0000FF120000}"/>
    <cellStyle name="Normal 6 6" xfId="2395" xr:uid="{00000000-0005-0000-0000-000000130000}"/>
    <cellStyle name="Normal 6 6 2" xfId="3237" xr:uid="{00000000-0005-0000-0000-000001130000}"/>
    <cellStyle name="Normal 6 6 2 2" xfId="3936" xr:uid="{00000000-0005-0000-0000-000002130000}"/>
    <cellStyle name="Normal 6 6 2 2 2" xfId="5314" xr:uid="{00000000-0005-0000-0000-000003130000}"/>
    <cellStyle name="Normal 6 6 2 3" xfId="4625" xr:uid="{00000000-0005-0000-0000-000004130000}"/>
    <cellStyle name="Normal 6 6 3" xfId="3006" xr:uid="{00000000-0005-0000-0000-000005130000}"/>
    <cellStyle name="Normal 6 6 3 2" xfId="3710" xr:uid="{00000000-0005-0000-0000-000006130000}"/>
    <cellStyle name="Normal 6 6 3 2 2" xfId="5088" xr:uid="{00000000-0005-0000-0000-000007130000}"/>
    <cellStyle name="Normal 6 6 3 3" xfId="4399" xr:uid="{00000000-0005-0000-0000-000008130000}"/>
    <cellStyle name="Normal 6 6 4" xfId="3495" xr:uid="{00000000-0005-0000-0000-000009130000}"/>
    <cellStyle name="Normal 6 6 4 2" xfId="4873" xr:uid="{00000000-0005-0000-0000-00000A130000}"/>
    <cellStyle name="Normal 6 6 5" xfId="4184" xr:uid="{00000000-0005-0000-0000-00000B130000}"/>
    <cellStyle name="Normal 6 7" xfId="2400" xr:uid="{00000000-0005-0000-0000-00000C130000}"/>
    <cellStyle name="Normal 6 7 2" xfId="3241" xr:uid="{00000000-0005-0000-0000-00000D130000}"/>
    <cellStyle name="Normal 6 7 2 2" xfId="3940" xr:uid="{00000000-0005-0000-0000-00000E130000}"/>
    <cellStyle name="Normal 6 7 2 2 2" xfId="5318" xr:uid="{00000000-0005-0000-0000-00000F130000}"/>
    <cellStyle name="Normal 6 7 2 3" xfId="4629" xr:uid="{00000000-0005-0000-0000-000010130000}"/>
    <cellStyle name="Normal 6 7 3" xfId="3011" xr:uid="{00000000-0005-0000-0000-000011130000}"/>
    <cellStyle name="Normal 6 7 3 2" xfId="3714" xr:uid="{00000000-0005-0000-0000-000012130000}"/>
    <cellStyle name="Normal 6 7 3 2 2" xfId="5092" xr:uid="{00000000-0005-0000-0000-000013130000}"/>
    <cellStyle name="Normal 6 7 3 3" xfId="4403" xr:uid="{00000000-0005-0000-0000-000014130000}"/>
    <cellStyle name="Normal 6 7 4" xfId="3499" xr:uid="{00000000-0005-0000-0000-000015130000}"/>
    <cellStyle name="Normal 6 7 4 2" xfId="4877" xr:uid="{00000000-0005-0000-0000-000016130000}"/>
    <cellStyle name="Normal 6 7 5" xfId="4188" xr:uid="{00000000-0005-0000-0000-000017130000}"/>
    <cellStyle name="Normal 6 8" xfId="2412" xr:uid="{00000000-0005-0000-0000-000018130000}"/>
    <cellStyle name="Normal 6 8 2" xfId="3022" xr:uid="{00000000-0005-0000-0000-000019130000}"/>
    <cellStyle name="Normal 6 8 2 2" xfId="3724" xr:uid="{00000000-0005-0000-0000-00001A130000}"/>
    <cellStyle name="Normal 6 8 2 2 2" xfId="5102" xr:uid="{00000000-0005-0000-0000-00001B130000}"/>
    <cellStyle name="Normal 6 8 2 3" xfId="4413" xr:uid="{00000000-0005-0000-0000-00001C130000}"/>
    <cellStyle name="Normal 6 8 3" xfId="3509" xr:uid="{00000000-0005-0000-0000-00001D130000}"/>
    <cellStyle name="Normal 6 8 3 2" xfId="4887" xr:uid="{00000000-0005-0000-0000-00001E130000}"/>
    <cellStyle name="Normal 6 8 4" xfId="4198" xr:uid="{00000000-0005-0000-0000-00001F130000}"/>
    <cellStyle name="Normal 6 9" xfId="3032" xr:uid="{00000000-0005-0000-0000-000020130000}"/>
    <cellStyle name="Normal 6 9 2" xfId="3732" xr:uid="{00000000-0005-0000-0000-000021130000}"/>
    <cellStyle name="Normal 6 9 2 2" xfId="5110" xr:uid="{00000000-0005-0000-0000-000022130000}"/>
    <cellStyle name="Normal 6 9 3" xfId="4421" xr:uid="{00000000-0005-0000-0000-000023130000}"/>
    <cellStyle name="Normal 60" xfId="2365" xr:uid="{00000000-0005-0000-0000-000024130000}"/>
    <cellStyle name="Normal 60 2" xfId="3212" xr:uid="{00000000-0005-0000-0000-000025130000}"/>
    <cellStyle name="Normal 60 2 2" xfId="3911" xr:uid="{00000000-0005-0000-0000-000026130000}"/>
    <cellStyle name="Normal 60 2 2 2" xfId="5289" xr:uid="{00000000-0005-0000-0000-000027130000}"/>
    <cellStyle name="Normal 60 2 3" xfId="4600" xr:uid="{00000000-0005-0000-0000-000028130000}"/>
    <cellStyle name="Normal 60 3" xfId="2979" xr:uid="{00000000-0005-0000-0000-000029130000}"/>
    <cellStyle name="Normal 60 3 2" xfId="3685" xr:uid="{00000000-0005-0000-0000-00002A130000}"/>
    <cellStyle name="Normal 60 3 2 2" xfId="5063" xr:uid="{00000000-0005-0000-0000-00002B130000}"/>
    <cellStyle name="Normal 60 3 3" xfId="4374" xr:uid="{00000000-0005-0000-0000-00002C130000}"/>
    <cellStyle name="Normal 60 4" xfId="3470" xr:uid="{00000000-0005-0000-0000-00002D130000}"/>
    <cellStyle name="Normal 60 4 2" xfId="4848" xr:uid="{00000000-0005-0000-0000-00002E130000}"/>
    <cellStyle name="Normal 60 5" xfId="4159" xr:uid="{00000000-0005-0000-0000-00002F130000}"/>
    <cellStyle name="Normal 61" xfId="2389" xr:uid="{00000000-0005-0000-0000-000030130000}"/>
    <cellStyle name="Normal 61 2" xfId="3231" xr:uid="{00000000-0005-0000-0000-000031130000}"/>
    <cellStyle name="Normal 61 2 2" xfId="3930" xr:uid="{00000000-0005-0000-0000-000032130000}"/>
    <cellStyle name="Normal 61 2 2 2" xfId="5308" xr:uid="{00000000-0005-0000-0000-000033130000}"/>
    <cellStyle name="Normal 61 2 3" xfId="4619" xr:uid="{00000000-0005-0000-0000-000034130000}"/>
    <cellStyle name="Normal 61 3" xfId="3000" xr:uid="{00000000-0005-0000-0000-000035130000}"/>
    <cellStyle name="Normal 61 3 2" xfId="3704" xr:uid="{00000000-0005-0000-0000-000036130000}"/>
    <cellStyle name="Normal 61 3 2 2" xfId="5082" xr:uid="{00000000-0005-0000-0000-000037130000}"/>
    <cellStyle name="Normal 61 3 3" xfId="4393" xr:uid="{00000000-0005-0000-0000-000038130000}"/>
    <cellStyle name="Normal 61 4" xfId="3489" xr:uid="{00000000-0005-0000-0000-000039130000}"/>
    <cellStyle name="Normal 61 4 2" xfId="4867" xr:uid="{00000000-0005-0000-0000-00003A130000}"/>
    <cellStyle name="Normal 61 5" xfId="4178" xr:uid="{00000000-0005-0000-0000-00003B130000}"/>
    <cellStyle name="Normal 62" xfId="2408" xr:uid="{00000000-0005-0000-0000-00003C130000}"/>
    <cellStyle name="Normal 62 2" xfId="3019" xr:uid="{00000000-0005-0000-0000-00003D130000}"/>
    <cellStyle name="Normal 62 2 2" xfId="3721" xr:uid="{00000000-0005-0000-0000-00003E130000}"/>
    <cellStyle name="Normal 62 2 2 2" xfId="5099" xr:uid="{00000000-0005-0000-0000-00003F130000}"/>
    <cellStyle name="Normal 62 2 3" xfId="4410" xr:uid="{00000000-0005-0000-0000-000040130000}"/>
    <cellStyle name="Normal 62 3" xfId="3506" xr:uid="{00000000-0005-0000-0000-000041130000}"/>
    <cellStyle name="Normal 62 3 2" xfId="4884" xr:uid="{00000000-0005-0000-0000-000042130000}"/>
    <cellStyle name="Normal 62 4" xfId="4195" xr:uid="{00000000-0005-0000-0000-000043130000}"/>
    <cellStyle name="Normal 63" xfId="3248" xr:uid="{00000000-0005-0000-0000-000044130000}"/>
    <cellStyle name="Normal 63 2" xfId="3947" xr:uid="{00000000-0005-0000-0000-000045130000}"/>
    <cellStyle name="Normal 63 2 2" xfId="5325" xr:uid="{00000000-0005-0000-0000-000046130000}"/>
    <cellStyle name="Normal 63 3" xfId="4636" xr:uid="{00000000-0005-0000-0000-000047130000}"/>
    <cellStyle name="Normal 64" xfId="3249" xr:uid="{00000000-0005-0000-0000-000048130000}"/>
    <cellStyle name="Normal 64 2" xfId="3948" xr:uid="{00000000-0005-0000-0000-000049130000}"/>
    <cellStyle name="Normal 64 2 2" xfId="5326" xr:uid="{00000000-0005-0000-0000-00004A130000}"/>
    <cellStyle name="Normal 64 3" xfId="4637" xr:uid="{00000000-0005-0000-0000-00004B130000}"/>
    <cellStyle name="Normal 65" xfId="5514" xr:uid="{F3D2438B-D593-4364-B5CF-D55E709B20D2}"/>
    <cellStyle name="Normal 66" xfId="5516" xr:uid="{00000000-0005-0000-0000-000098150000}"/>
    <cellStyle name="Normal 67" xfId="5518" xr:uid="{00000000-0005-0000-0000-00009A150000}"/>
    <cellStyle name="Normal 68" xfId="5530" xr:uid="{F3253FF3-57AC-40F5-8590-DDA7E4CD95CA}"/>
    <cellStyle name="Normal 68 2" xfId="5533" xr:uid="{AA932FAE-47EE-46AF-BFEC-044FD3FA43CE}"/>
    <cellStyle name="Normal 68 2 2" xfId="5544" xr:uid="{E86B95F9-D810-491A-BB13-A5C32C754AE2}"/>
    <cellStyle name="Normal 69" xfId="5531" xr:uid="{FD81FDB0-582C-4617-8BAF-FA6C7A2F8631}"/>
    <cellStyle name="Normal 7" xfId="1026" xr:uid="{00000000-0005-0000-0000-00004C130000}"/>
    <cellStyle name="Normal 7 2" xfId="2355" xr:uid="{00000000-0005-0000-0000-00004D130000}"/>
    <cellStyle name="Normal 7 2 2" xfId="5458" xr:uid="{00000000-0005-0000-0000-000070000000}"/>
    <cellStyle name="Normal 7 2 2 2" xfId="5526" xr:uid="{D3F920A7-5228-40E4-8B0A-AB07C9F78575}"/>
    <cellStyle name="Normal 7 3" xfId="2377" xr:uid="{00000000-0005-0000-0000-00004E130000}"/>
    <cellStyle name="Normal 7 4" xfId="3027" xr:uid="{00000000-0005-0000-0000-00004F130000}"/>
    <cellStyle name="Normal 7 4 2" xfId="3729" xr:uid="{00000000-0005-0000-0000-000050130000}"/>
    <cellStyle name="Normal 7 4 2 2" xfId="5107" xr:uid="{00000000-0005-0000-0000-000051130000}"/>
    <cellStyle name="Normal 7 4 3" xfId="4418" xr:uid="{00000000-0005-0000-0000-000052130000}"/>
    <cellStyle name="Normal 7 5" xfId="3279" xr:uid="{00000000-0005-0000-0000-000053130000}"/>
    <cellStyle name="Normal 7 5 2" xfId="4658" xr:uid="{00000000-0005-0000-0000-000054130000}"/>
    <cellStyle name="Normal 7 6" xfId="3287" xr:uid="{00000000-0005-0000-0000-000055130000}"/>
    <cellStyle name="Normal 7 6 2" xfId="4665" xr:uid="{00000000-0005-0000-0000-000056130000}"/>
    <cellStyle name="Normal 7 7" xfId="5415" xr:uid="{00000000-0005-0000-0000-00006F000000}"/>
    <cellStyle name="Normal 7 8" xfId="5513" xr:uid="{A5601361-29B5-4238-9880-7C0ACF76E45D}"/>
    <cellStyle name="Normal 70" xfId="5536" xr:uid="{8BB85D94-0272-4C47-8447-22F155B4B2FB}"/>
    <cellStyle name="Normal 70 2" xfId="5541" xr:uid="{BB941F90-140D-4AA1-A8DB-695806129393}"/>
    <cellStyle name="Normal 70 3" xfId="5547" xr:uid="{0CC73CAD-F2EB-4A57-BBD9-643D6BD10C91}"/>
    <cellStyle name="Normal 71" xfId="5539" xr:uid="{863153D4-4046-440E-BD61-7F503E8346FD}"/>
    <cellStyle name="Normal 8" xfId="1027" xr:uid="{00000000-0005-0000-0000-000057130000}"/>
    <cellStyle name="Normal 8 2" xfId="2378" xr:uid="{00000000-0005-0000-0000-000058130000}"/>
    <cellStyle name="Normal 8 2 2" xfId="3220" xr:uid="{00000000-0005-0000-0000-000059130000}"/>
    <cellStyle name="Normal 8 2 2 2" xfId="3919" xr:uid="{00000000-0005-0000-0000-00005A130000}"/>
    <cellStyle name="Normal 8 2 2 2 2" xfId="5297" xr:uid="{00000000-0005-0000-0000-00005B130000}"/>
    <cellStyle name="Normal 8 2 2 3" xfId="4608" xr:uid="{00000000-0005-0000-0000-00005C130000}"/>
    <cellStyle name="Normal 8 2 3" xfId="2989" xr:uid="{00000000-0005-0000-0000-00005D130000}"/>
    <cellStyle name="Normal 8 2 3 2" xfId="3693" xr:uid="{00000000-0005-0000-0000-00005E130000}"/>
    <cellStyle name="Normal 8 2 3 2 2" xfId="5071" xr:uid="{00000000-0005-0000-0000-00005F130000}"/>
    <cellStyle name="Normal 8 2 3 3" xfId="4382" xr:uid="{00000000-0005-0000-0000-000060130000}"/>
    <cellStyle name="Normal 8 2 4" xfId="3478" xr:uid="{00000000-0005-0000-0000-000061130000}"/>
    <cellStyle name="Normal 8 2 4 2" xfId="4856" xr:uid="{00000000-0005-0000-0000-000062130000}"/>
    <cellStyle name="Normal 8 2 5" xfId="4167" xr:uid="{00000000-0005-0000-0000-000063130000}"/>
    <cellStyle name="Normal 8 2 6" xfId="5456" xr:uid="{00000000-0005-0000-0000-000072000000}"/>
    <cellStyle name="Normal 8 3" xfId="2403" xr:uid="{00000000-0005-0000-0000-000064130000}"/>
    <cellStyle name="Normal 8 3 2" xfId="3243" xr:uid="{00000000-0005-0000-0000-000065130000}"/>
    <cellStyle name="Normal 8 3 2 2" xfId="3942" xr:uid="{00000000-0005-0000-0000-000066130000}"/>
    <cellStyle name="Normal 8 3 2 2 2" xfId="5320" xr:uid="{00000000-0005-0000-0000-000067130000}"/>
    <cellStyle name="Normal 8 3 2 3" xfId="4631" xr:uid="{00000000-0005-0000-0000-000068130000}"/>
    <cellStyle name="Normal 8 3 3" xfId="3014" xr:uid="{00000000-0005-0000-0000-000069130000}"/>
    <cellStyle name="Normal 8 3 3 2" xfId="3716" xr:uid="{00000000-0005-0000-0000-00006A130000}"/>
    <cellStyle name="Normal 8 3 3 2 2" xfId="5094" xr:uid="{00000000-0005-0000-0000-00006B130000}"/>
    <cellStyle name="Normal 8 3 3 3" xfId="4405" xr:uid="{00000000-0005-0000-0000-00006C130000}"/>
    <cellStyle name="Normal 8 3 4" xfId="3501" xr:uid="{00000000-0005-0000-0000-00006D130000}"/>
    <cellStyle name="Normal 8 3 4 2" xfId="4879" xr:uid="{00000000-0005-0000-0000-00006E130000}"/>
    <cellStyle name="Normal 8 3 5" xfId="4190" xr:uid="{00000000-0005-0000-0000-00006F130000}"/>
    <cellStyle name="Normal 8 4" xfId="5413" xr:uid="{00000000-0005-0000-0000-000071000000}"/>
    <cellStyle name="Normal 9" xfId="1028" xr:uid="{00000000-0005-0000-0000-000070130000}"/>
    <cellStyle name="Normal 9 2" xfId="5431" xr:uid="{00000000-0005-0000-0000-000074000000}"/>
    <cellStyle name="Normal 9 2 2" xfId="5474" xr:uid="{00000000-0005-0000-0000-000075000000}"/>
    <cellStyle name="Normal 9 3" xfId="5472" xr:uid="{00000000-0005-0000-0000-000076000000}"/>
    <cellStyle name="Normal 9 4" xfId="5429" xr:uid="{00000000-0005-0000-0000-000073000000}"/>
    <cellStyle name="Note 2" xfId="5414" xr:uid="{00000000-0005-0000-0000-000077000000}"/>
    <cellStyle name="Note 2 2" xfId="5457" xr:uid="{00000000-0005-0000-0000-000078000000}"/>
    <cellStyle name="Note 3" xfId="5416" xr:uid="{00000000-0005-0000-0000-000079000000}"/>
    <cellStyle name="Note 3 2" xfId="5459" xr:uid="{00000000-0005-0000-0000-00007A000000}"/>
    <cellStyle name="Percent 2" xfId="3251" xr:uid="{00000000-0005-0000-0000-000071130000}"/>
    <cellStyle name="Pourcentage" xfId="1352" builtinId="5"/>
    <cellStyle name="Pourcentage 10" xfId="2392" xr:uid="{00000000-0005-0000-0000-000073130000}"/>
    <cellStyle name="Pourcentage 10 2" xfId="3234" xr:uid="{00000000-0005-0000-0000-000074130000}"/>
    <cellStyle name="Pourcentage 10 2 2" xfId="3933" xr:uid="{00000000-0005-0000-0000-000075130000}"/>
    <cellStyle name="Pourcentage 10 2 2 2" xfId="5311" xr:uid="{00000000-0005-0000-0000-000076130000}"/>
    <cellStyle name="Pourcentage 10 2 3" xfId="4622" xr:uid="{00000000-0005-0000-0000-000077130000}"/>
    <cellStyle name="Pourcentage 10 3" xfId="3003" xr:uid="{00000000-0005-0000-0000-000078130000}"/>
    <cellStyle name="Pourcentage 10 3 2" xfId="3707" xr:uid="{00000000-0005-0000-0000-000079130000}"/>
    <cellStyle name="Pourcentage 10 3 2 2" xfId="5085" xr:uid="{00000000-0005-0000-0000-00007A130000}"/>
    <cellStyle name="Pourcentage 10 3 3" xfId="4396" xr:uid="{00000000-0005-0000-0000-00007B130000}"/>
    <cellStyle name="Pourcentage 10 4" xfId="3492" xr:uid="{00000000-0005-0000-0000-00007C130000}"/>
    <cellStyle name="Pourcentage 10 4 2" xfId="4870" xr:uid="{00000000-0005-0000-0000-00007D130000}"/>
    <cellStyle name="Pourcentage 10 5" xfId="4181" xr:uid="{00000000-0005-0000-0000-00007E130000}"/>
    <cellStyle name="Pourcentage 11" xfId="2409" xr:uid="{00000000-0005-0000-0000-00007F130000}"/>
    <cellStyle name="Pourcentage 11 2" xfId="3507" xr:uid="{00000000-0005-0000-0000-000080130000}"/>
    <cellStyle name="Pourcentage 11 2 2" xfId="4885" xr:uid="{00000000-0005-0000-0000-000081130000}"/>
    <cellStyle name="Pourcentage 11 3" xfId="4196" xr:uid="{00000000-0005-0000-0000-000082130000}"/>
    <cellStyle name="Pourcentage 12" xfId="5534" xr:uid="{23EFB68D-4199-4932-A6BD-DEB8CF3FBE95}"/>
    <cellStyle name="Pourcentage 12 2" xfId="5546" xr:uid="{8D0E7BA0-802C-4BBC-ABAC-C43FE8FC0799}"/>
    <cellStyle name="Pourcentage 13" xfId="5537" xr:uid="{A1E96FEA-1DC1-4025-9A06-363B23B9C5D1}"/>
    <cellStyle name="Pourcentage 13 2" xfId="5543" xr:uid="{8040FA82-1FD2-4791-8943-33A8F699D8F7}"/>
    <cellStyle name="Pourcentage 2" xfId="1029" xr:uid="{00000000-0005-0000-0000-000083130000}"/>
    <cellStyle name="Pourcentage 2 2" xfId="3033" xr:uid="{00000000-0005-0000-0000-000084130000}"/>
    <cellStyle name="Pourcentage 2 2 2" xfId="3733" xr:uid="{00000000-0005-0000-0000-000085130000}"/>
    <cellStyle name="Pourcentage 2 2 2 2" xfId="5111" xr:uid="{00000000-0005-0000-0000-000086130000}"/>
    <cellStyle name="Pourcentage 2 2 3" xfId="4422" xr:uid="{00000000-0005-0000-0000-000087130000}"/>
    <cellStyle name="Pourcentage 2 3" xfId="5510" xr:uid="{FEB425D1-3371-46F0-8BBF-F039ED51DCAA}"/>
    <cellStyle name="Pourcentage 3" xfId="1030" xr:uid="{00000000-0005-0000-0000-000088130000}"/>
    <cellStyle name="Pourcentage 3 2" xfId="3035" xr:uid="{00000000-0005-0000-0000-000089130000}"/>
    <cellStyle name="Pourcentage 4" xfId="1031" xr:uid="{00000000-0005-0000-0000-00008A130000}"/>
    <cellStyle name="Pourcentage 5" xfId="1356" xr:uid="{00000000-0005-0000-0000-00008B130000}"/>
    <cellStyle name="Pourcentage 5 2" xfId="1416" xr:uid="{00000000-0005-0000-0000-00008C130000}"/>
    <cellStyle name="Pourcentage 6" xfId="1418" xr:uid="{00000000-0005-0000-0000-00008D130000}"/>
    <cellStyle name="Pourcentage 7" xfId="1425" xr:uid="{00000000-0005-0000-0000-00008E130000}"/>
    <cellStyle name="Pourcentage 8" xfId="1865" xr:uid="{00000000-0005-0000-0000-00008F130000}"/>
    <cellStyle name="Pourcentage 9" xfId="2372" xr:uid="{00000000-0005-0000-0000-000090130000}"/>
    <cellStyle name="Pourcentage 9 2" xfId="3216" xr:uid="{00000000-0005-0000-0000-000091130000}"/>
    <cellStyle name="Pourcentage 9 2 2" xfId="3915" xr:uid="{00000000-0005-0000-0000-000092130000}"/>
    <cellStyle name="Pourcentage 9 2 2 2" xfId="5293" xr:uid="{00000000-0005-0000-0000-000093130000}"/>
    <cellStyle name="Pourcentage 9 2 3" xfId="4604" xr:uid="{00000000-0005-0000-0000-000094130000}"/>
    <cellStyle name="Pourcentage 9 3" xfId="2984" xr:uid="{00000000-0005-0000-0000-000095130000}"/>
    <cellStyle name="Pourcentage 9 3 2" xfId="3689" xr:uid="{00000000-0005-0000-0000-000096130000}"/>
    <cellStyle name="Pourcentage 9 3 2 2" xfId="5067" xr:uid="{00000000-0005-0000-0000-000097130000}"/>
    <cellStyle name="Pourcentage 9 3 3" xfId="4378" xr:uid="{00000000-0005-0000-0000-000098130000}"/>
    <cellStyle name="Pourcentage 9 4" xfId="3474" xr:uid="{00000000-0005-0000-0000-000099130000}"/>
    <cellStyle name="Pourcentage 9 4 2" xfId="4852" xr:uid="{00000000-0005-0000-0000-00009A130000}"/>
    <cellStyle name="Pourcentage 9 5" xfId="4163" xr:uid="{00000000-0005-0000-0000-00009B130000}"/>
    <cellStyle name="S12" xfId="1844" xr:uid="{00000000-0005-0000-0000-00009C130000}"/>
    <cellStyle name="Satisfaisant" xfId="5371" builtinId="26" customBuiltin="1"/>
    <cellStyle name="Satisfaisant 10 2" xfId="1032" xr:uid="{00000000-0005-0000-0000-00009D130000}"/>
    <cellStyle name="Satisfaisant 10 3" xfId="1033" xr:uid="{00000000-0005-0000-0000-00009E130000}"/>
    <cellStyle name="Satisfaisant 11 2" xfId="1034" xr:uid="{00000000-0005-0000-0000-00009F130000}"/>
    <cellStyle name="Satisfaisant 11 3" xfId="1035" xr:uid="{00000000-0005-0000-0000-0000A0130000}"/>
    <cellStyle name="Satisfaisant 12 2" xfId="1036" xr:uid="{00000000-0005-0000-0000-0000A1130000}"/>
    <cellStyle name="Satisfaisant 12 3" xfId="1037" xr:uid="{00000000-0005-0000-0000-0000A2130000}"/>
    <cellStyle name="Satisfaisant 13 2" xfId="1038" xr:uid="{00000000-0005-0000-0000-0000A3130000}"/>
    <cellStyle name="Satisfaisant 13 3" xfId="1039" xr:uid="{00000000-0005-0000-0000-0000A4130000}"/>
    <cellStyle name="Satisfaisant 14 2" xfId="1040" xr:uid="{00000000-0005-0000-0000-0000A5130000}"/>
    <cellStyle name="Satisfaisant 14 3" xfId="1041" xr:uid="{00000000-0005-0000-0000-0000A6130000}"/>
    <cellStyle name="Satisfaisant 15 2" xfId="1042" xr:uid="{00000000-0005-0000-0000-0000A7130000}"/>
    <cellStyle name="Satisfaisant 15 3" xfId="1043" xr:uid="{00000000-0005-0000-0000-0000A8130000}"/>
    <cellStyle name="Satisfaisant 16 2" xfId="1044" xr:uid="{00000000-0005-0000-0000-0000A9130000}"/>
    <cellStyle name="Satisfaisant 16 3" xfId="1045" xr:uid="{00000000-0005-0000-0000-0000AA130000}"/>
    <cellStyle name="Satisfaisant 17 2" xfId="1046" xr:uid="{00000000-0005-0000-0000-0000AB130000}"/>
    <cellStyle name="Satisfaisant 17 3" xfId="1047" xr:uid="{00000000-0005-0000-0000-0000AC130000}"/>
    <cellStyle name="Satisfaisant 2 2" xfId="1048" xr:uid="{00000000-0005-0000-0000-0000AD130000}"/>
    <cellStyle name="Satisfaisant 2 3" xfId="1049" xr:uid="{00000000-0005-0000-0000-0000AE130000}"/>
    <cellStyle name="Satisfaisant 3 2" xfId="1050" xr:uid="{00000000-0005-0000-0000-0000AF130000}"/>
    <cellStyle name="Satisfaisant 3 3" xfId="1051" xr:uid="{00000000-0005-0000-0000-0000B0130000}"/>
    <cellStyle name="Satisfaisant 4 2" xfId="1052" xr:uid="{00000000-0005-0000-0000-0000B1130000}"/>
    <cellStyle name="Satisfaisant 4 3" xfId="1053" xr:uid="{00000000-0005-0000-0000-0000B2130000}"/>
    <cellStyle name="Satisfaisant 5 2" xfId="1054" xr:uid="{00000000-0005-0000-0000-0000B3130000}"/>
    <cellStyle name="Satisfaisant 5 3" xfId="1055" xr:uid="{00000000-0005-0000-0000-0000B4130000}"/>
    <cellStyle name="Satisfaisant 6 2" xfId="1056" xr:uid="{00000000-0005-0000-0000-0000B5130000}"/>
    <cellStyle name="Satisfaisant 6 3" xfId="1057" xr:uid="{00000000-0005-0000-0000-0000B6130000}"/>
    <cellStyle name="Satisfaisant 7 2" xfId="1058" xr:uid="{00000000-0005-0000-0000-0000B7130000}"/>
    <cellStyle name="Satisfaisant 7 3" xfId="1059" xr:uid="{00000000-0005-0000-0000-0000B8130000}"/>
    <cellStyle name="Satisfaisant 8 2" xfId="1060" xr:uid="{00000000-0005-0000-0000-0000B9130000}"/>
    <cellStyle name="Satisfaisant 8 3" xfId="1061" xr:uid="{00000000-0005-0000-0000-0000BA130000}"/>
    <cellStyle name="Satisfaisant 9 2" xfId="1062" xr:uid="{00000000-0005-0000-0000-0000BB130000}"/>
    <cellStyle name="Satisfaisant 9 3" xfId="1063" xr:uid="{00000000-0005-0000-0000-0000BC130000}"/>
    <cellStyle name="Sortie" xfId="5374" builtinId="21" customBuiltin="1"/>
    <cellStyle name="Sortie 10 2" xfId="1064" xr:uid="{00000000-0005-0000-0000-0000BD130000}"/>
    <cellStyle name="Sortie 10 3" xfId="1065" xr:uid="{00000000-0005-0000-0000-0000BE130000}"/>
    <cellStyle name="Sortie 11 2" xfId="1066" xr:uid="{00000000-0005-0000-0000-0000BF130000}"/>
    <cellStyle name="Sortie 11 3" xfId="1067" xr:uid="{00000000-0005-0000-0000-0000C0130000}"/>
    <cellStyle name="Sortie 12 2" xfId="1068" xr:uid="{00000000-0005-0000-0000-0000C1130000}"/>
    <cellStyle name="Sortie 12 3" xfId="1069" xr:uid="{00000000-0005-0000-0000-0000C2130000}"/>
    <cellStyle name="Sortie 13 2" xfId="1070" xr:uid="{00000000-0005-0000-0000-0000C3130000}"/>
    <cellStyle name="Sortie 13 3" xfId="1071" xr:uid="{00000000-0005-0000-0000-0000C4130000}"/>
    <cellStyle name="Sortie 14 2" xfId="1072" xr:uid="{00000000-0005-0000-0000-0000C5130000}"/>
    <cellStyle name="Sortie 14 3" xfId="1073" xr:uid="{00000000-0005-0000-0000-0000C6130000}"/>
    <cellStyle name="Sortie 15 2" xfId="1074" xr:uid="{00000000-0005-0000-0000-0000C7130000}"/>
    <cellStyle name="Sortie 15 3" xfId="1075" xr:uid="{00000000-0005-0000-0000-0000C8130000}"/>
    <cellStyle name="Sortie 16 2" xfId="1076" xr:uid="{00000000-0005-0000-0000-0000C9130000}"/>
    <cellStyle name="Sortie 16 3" xfId="1077" xr:uid="{00000000-0005-0000-0000-0000CA130000}"/>
    <cellStyle name="Sortie 17 2" xfId="1078" xr:uid="{00000000-0005-0000-0000-0000CB130000}"/>
    <cellStyle name="Sortie 17 3" xfId="1079" xr:uid="{00000000-0005-0000-0000-0000CC130000}"/>
    <cellStyle name="Sortie 2 2" xfId="1080" xr:uid="{00000000-0005-0000-0000-0000CD130000}"/>
    <cellStyle name="Sortie 2 3" xfId="1081" xr:uid="{00000000-0005-0000-0000-0000CE130000}"/>
    <cellStyle name="Sortie 3 2" xfId="1082" xr:uid="{00000000-0005-0000-0000-0000CF130000}"/>
    <cellStyle name="Sortie 3 3" xfId="1083" xr:uid="{00000000-0005-0000-0000-0000D0130000}"/>
    <cellStyle name="Sortie 4 2" xfId="1084" xr:uid="{00000000-0005-0000-0000-0000D1130000}"/>
    <cellStyle name="Sortie 4 3" xfId="1085" xr:uid="{00000000-0005-0000-0000-0000D2130000}"/>
    <cellStyle name="Sortie 5 2" xfId="1086" xr:uid="{00000000-0005-0000-0000-0000D3130000}"/>
    <cellStyle name="Sortie 5 3" xfId="1087" xr:uid="{00000000-0005-0000-0000-0000D4130000}"/>
    <cellStyle name="Sortie 6 2" xfId="1088" xr:uid="{00000000-0005-0000-0000-0000D5130000}"/>
    <cellStyle name="Sortie 6 3" xfId="1089" xr:uid="{00000000-0005-0000-0000-0000D6130000}"/>
    <cellStyle name="Sortie 7 2" xfId="1090" xr:uid="{00000000-0005-0000-0000-0000D7130000}"/>
    <cellStyle name="Sortie 7 3" xfId="1091" xr:uid="{00000000-0005-0000-0000-0000D8130000}"/>
    <cellStyle name="Sortie 8 2" xfId="1092" xr:uid="{00000000-0005-0000-0000-0000D9130000}"/>
    <cellStyle name="Sortie 8 3" xfId="1093" xr:uid="{00000000-0005-0000-0000-0000DA130000}"/>
    <cellStyle name="Sortie 9 2" xfId="1094" xr:uid="{00000000-0005-0000-0000-0000DB130000}"/>
    <cellStyle name="Sortie 9 3" xfId="1095" xr:uid="{00000000-0005-0000-0000-0000DC130000}"/>
    <cellStyle name="TableStyleLight1" xfId="1856" xr:uid="{00000000-0005-0000-0000-0000DD130000}"/>
    <cellStyle name="Texte explicatif" xfId="5379" builtinId="53" customBuiltin="1"/>
    <cellStyle name="Texte explicatif 10 2" xfId="1096" xr:uid="{00000000-0005-0000-0000-0000DE130000}"/>
    <cellStyle name="Texte explicatif 10 3" xfId="1097" xr:uid="{00000000-0005-0000-0000-0000DF130000}"/>
    <cellStyle name="Texte explicatif 11 2" xfId="1098" xr:uid="{00000000-0005-0000-0000-0000E0130000}"/>
    <cellStyle name="Texte explicatif 11 3" xfId="1099" xr:uid="{00000000-0005-0000-0000-0000E1130000}"/>
    <cellStyle name="Texte explicatif 12 2" xfId="1100" xr:uid="{00000000-0005-0000-0000-0000E2130000}"/>
    <cellStyle name="Texte explicatif 12 3" xfId="1101" xr:uid="{00000000-0005-0000-0000-0000E3130000}"/>
    <cellStyle name="Texte explicatif 13 2" xfId="1102" xr:uid="{00000000-0005-0000-0000-0000E4130000}"/>
    <cellStyle name="Texte explicatif 13 3" xfId="1103" xr:uid="{00000000-0005-0000-0000-0000E5130000}"/>
    <cellStyle name="Texte explicatif 14 2" xfId="1104" xr:uid="{00000000-0005-0000-0000-0000E6130000}"/>
    <cellStyle name="Texte explicatif 14 3" xfId="1105" xr:uid="{00000000-0005-0000-0000-0000E7130000}"/>
    <cellStyle name="Texte explicatif 15 2" xfId="1106" xr:uid="{00000000-0005-0000-0000-0000E8130000}"/>
    <cellStyle name="Texte explicatif 15 3" xfId="1107" xr:uid="{00000000-0005-0000-0000-0000E9130000}"/>
    <cellStyle name="Texte explicatif 16 2" xfId="1108" xr:uid="{00000000-0005-0000-0000-0000EA130000}"/>
    <cellStyle name="Texte explicatif 16 3" xfId="1109" xr:uid="{00000000-0005-0000-0000-0000EB130000}"/>
    <cellStyle name="Texte explicatif 17 2" xfId="1110" xr:uid="{00000000-0005-0000-0000-0000EC130000}"/>
    <cellStyle name="Texte explicatif 17 3" xfId="1111" xr:uid="{00000000-0005-0000-0000-0000ED130000}"/>
    <cellStyle name="Texte explicatif 2 2" xfId="1112" xr:uid="{00000000-0005-0000-0000-0000EE130000}"/>
    <cellStyle name="Texte explicatif 2 3" xfId="1113" xr:uid="{00000000-0005-0000-0000-0000EF130000}"/>
    <cellStyle name="Texte explicatif 3 2" xfId="1114" xr:uid="{00000000-0005-0000-0000-0000F0130000}"/>
    <cellStyle name="Texte explicatif 3 3" xfId="1115" xr:uid="{00000000-0005-0000-0000-0000F1130000}"/>
    <cellStyle name="Texte explicatif 4 2" xfId="1116" xr:uid="{00000000-0005-0000-0000-0000F2130000}"/>
    <cellStyle name="Texte explicatif 4 3" xfId="1117" xr:uid="{00000000-0005-0000-0000-0000F3130000}"/>
    <cellStyle name="Texte explicatif 5 2" xfId="1118" xr:uid="{00000000-0005-0000-0000-0000F4130000}"/>
    <cellStyle name="Texte explicatif 5 3" xfId="1119" xr:uid="{00000000-0005-0000-0000-0000F5130000}"/>
    <cellStyle name="Texte explicatif 6 2" xfId="1120" xr:uid="{00000000-0005-0000-0000-0000F6130000}"/>
    <cellStyle name="Texte explicatif 6 3" xfId="1121" xr:uid="{00000000-0005-0000-0000-0000F7130000}"/>
    <cellStyle name="Texte explicatif 7 2" xfId="1122" xr:uid="{00000000-0005-0000-0000-0000F8130000}"/>
    <cellStyle name="Texte explicatif 7 3" xfId="1123" xr:uid="{00000000-0005-0000-0000-0000F9130000}"/>
    <cellStyle name="Texte explicatif 8 2" xfId="1124" xr:uid="{00000000-0005-0000-0000-0000FA130000}"/>
    <cellStyle name="Texte explicatif 8 3" xfId="1125" xr:uid="{00000000-0005-0000-0000-0000FB130000}"/>
    <cellStyle name="Texte explicatif 9 2" xfId="1126" xr:uid="{00000000-0005-0000-0000-0000FC130000}"/>
    <cellStyle name="Texte explicatif 9 3" xfId="1127" xr:uid="{00000000-0005-0000-0000-0000FD130000}"/>
    <cellStyle name="Titre" xfId="5366" builtinId="15" customBuiltin="1"/>
    <cellStyle name="Titre 10 2" xfId="1128" xr:uid="{00000000-0005-0000-0000-0000FE130000}"/>
    <cellStyle name="Titre 10 3" xfId="1129" xr:uid="{00000000-0005-0000-0000-0000FF130000}"/>
    <cellStyle name="Titre 11 2" xfId="1130" xr:uid="{00000000-0005-0000-0000-000000140000}"/>
    <cellStyle name="Titre 11 3" xfId="1131" xr:uid="{00000000-0005-0000-0000-000001140000}"/>
    <cellStyle name="Titre 12 2" xfId="1132" xr:uid="{00000000-0005-0000-0000-000002140000}"/>
    <cellStyle name="Titre 12 3" xfId="1133" xr:uid="{00000000-0005-0000-0000-000003140000}"/>
    <cellStyle name="Titre 13 2" xfId="1134" xr:uid="{00000000-0005-0000-0000-000004140000}"/>
    <cellStyle name="Titre 13 3" xfId="1135" xr:uid="{00000000-0005-0000-0000-000005140000}"/>
    <cellStyle name="Titre 14 2" xfId="1136" xr:uid="{00000000-0005-0000-0000-000006140000}"/>
    <cellStyle name="Titre 14 3" xfId="1137" xr:uid="{00000000-0005-0000-0000-000007140000}"/>
    <cellStyle name="Titre 15 2" xfId="1138" xr:uid="{00000000-0005-0000-0000-000008140000}"/>
    <cellStyle name="Titre 15 3" xfId="1139" xr:uid="{00000000-0005-0000-0000-000009140000}"/>
    <cellStyle name="Titre 16 2" xfId="1140" xr:uid="{00000000-0005-0000-0000-00000A140000}"/>
    <cellStyle name="Titre 16 3" xfId="1141" xr:uid="{00000000-0005-0000-0000-00000B140000}"/>
    <cellStyle name="Titre 17 2" xfId="1142" xr:uid="{00000000-0005-0000-0000-00000C140000}"/>
    <cellStyle name="Titre 17 3" xfId="1143" xr:uid="{00000000-0005-0000-0000-00000D140000}"/>
    <cellStyle name="Titre 2 2" xfId="1144" xr:uid="{00000000-0005-0000-0000-00000E140000}"/>
    <cellStyle name="Titre 2 3" xfId="1145" xr:uid="{00000000-0005-0000-0000-00000F140000}"/>
    <cellStyle name="Titre 3 2" xfId="1146" xr:uid="{00000000-0005-0000-0000-000010140000}"/>
    <cellStyle name="Titre 3 3" xfId="1147" xr:uid="{00000000-0005-0000-0000-000011140000}"/>
    <cellStyle name="Titre 4 2" xfId="1148" xr:uid="{00000000-0005-0000-0000-000012140000}"/>
    <cellStyle name="Titre 4 3" xfId="1149" xr:uid="{00000000-0005-0000-0000-000013140000}"/>
    <cellStyle name="Titre 5 2" xfId="1150" xr:uid="{00000000-0005-0000-0000-000014140000}"/>
    <cellStyle name="Titre 5 3" xfId="1151" xr:uid="{00000000-0005-0000-0000-000015140000}"/>
    <cellStyle name="Titre 6 2" xfId="1152" xr:uid="{00000000-0005-0000-0000-000016140000}"/>
    <cellStyle name="Titre 6 3" xfId="1153" xr:uid="{00000000-0005-0000-0000-000017140000}"/>
    <cellStyle name="Titre 7 2" xfId="1154" xr:uid="{00000000-0005-0000-0000-000018140000}"/>
    <cellStyle name="Titre 7 3" xfId="1155" xr:uid="{00000000-0005-0000-0000-000019140000}"/>
    <cellStyle name="Titre 8 2" xfId="1156" xr:uid="{00000000-0005-0000-0000-00001A140000}"/>
    <cellStyle name="Titre 8 3" xfId="1157" xr:uid="{00000000-0005-0000-0000-00001B140000}"/>
    <cellStyle name="Titre 9 2" xfId="1158" xr:uid="{00000000-0005-0000-0000-00001C140000}"/>
    <cellStyle name="Titre 9 3" xfId="1159" xr:uid="{00000000-0005-0000-0000-00001D140000}"/>
    <cellStyle name="Titre 1" xfId="5367" builtinId="16" customBuiltin="1"/>
    <cellStyle name="Titre 1 10 2" xfId="1160" xr:uid="{00000000-0005-0000-0000-00001E140000}"/>
    <cellStyle name="Titre 1 10 3" xfId="1161" xr:uid="{00000000-0005-0000-0000-00001F140000}"/>
    <cellStyle name="Titre 1 11 2" xfId="1162" xr:uid="{00000000-0005-0000-0000-000020140000}"/>
    <cellStyle name="Titre 1 11 3" xfId="1163" xr:uid="{00000000-0005-0000-0000-000021140000}"/>
    <cellStyle name="Titre 1 12 2" xfId="1164" xr:uid="{00000000-0005-0000-0000-000022140000}"/>
    <cellStyle name="Titre 1 12 3" xfId="1165" xr:uid="{00000000-0005-0000-0000-000023140000}"/>
    <cellStyle name="Titre 1 13 2" xfId="1166" xr:uid="{00000000-0005-0000-0000-000024140000}"/>
    <cellStyle name="Titre 1 13 3" xfId="1167" xr:uid="{00000000-0005-0000-0000-000025140000}"/>
    <cellStyle name="Titre 1 14 2" xfId="1168" xr:uid="{00000000-0005-0000-0000-000026140000}"/>
    <cellStyle name="Titre 1 14 3" xfId="1169" xr:uid="{00000000-0005-0000-0000-000027140000}"/>
    <cellStyle name="Titre 1 15 2" xfId="1170" xr:uid="{00000000-0005-0000-0000-000028140000}"/>
    <cellStyle name="Titre 1 15 3" xfId="1171" xr:uid="{00000000-0005-0000-0000-000029140000}"/>
    <cellStyle name="Titre 1 16 2" xfId="1172" xr:uid="{00000000-0005-0000-0000-00002A140000}"/>
    <cellStyle name="Titre 1 16 3" xfId="1173" xr:uid="{00000000-0005-0000-0000-00002B140000}"/>
    <cellStyle name="Titre 1 17 2" xfId="1174" xr:uid="{00000000-0005-0000-0000-00002C140000}"/>
    <cellStyle name="Titre 1 17 3" xfId="1175" xr:uid="{00000000-0005-0000-0000-00002D140000}"/>
    <cellStyle name="Titre 1 2 2" xfId="1176" xr:uid="{00000000-0005-0000-0000-00002E140000}"/>
    <cellStyle name="Titre 1 2 3" xfId="1177" xr:uid="{00000000-0005-0000-0000-00002F140000}"/>
    <cellStyle name="Titre 1 3 2" xfId="1178" xr:uid="{00000000-0005-0000-0000-000030140000}"/>
    <cellStyle name="Titre 1 3 3" xfId="1179" xr:uid="{00000000-0005-0000-0000-000031140000}"/>
    <cellStyle name="Titre 1 4 2" xfId="1180" xr:uid="{00000000-0005-0000-0000-000032140000}"/>
    <cellStyle name="Titre 1 4 3" xfId="1181" xr:uid="{00000000-0005-0000-0000-000033140000}"/>
    <cellStyle name="Titre 1 5 2" xfId="1182" xr:uid="{00000000-0005-0000-0000-000034140000}"/>
    <cellStyle name="Titre 1 5 3" xfId="1183" xr:uid="{00000000-0005-0000-0000-000035140000}"/>
    <cellStyle name="Titre 1 6 2" xfId="1184" xr:uid="{00000000-0005-0000-0000-000036140000}"/>
    <cellStyle name="Titre 1 6 3" xfId="1185" xr:uid="{00000000-0005-0000-0000-000037140000}"/>
    <cellStyle name="Titre 1 7 2" xfId="1186" xr:uid="{00000000-0005-0000-0000-000038140000}"/>
    <cellStyle name="Titre 1 7 3" xfId="1187" xr:uid="{00000000-0005-0000-0000-000039140000}"/>
    <cellStyle name="Titre 1 8 2" xfId="1188" xr:uid="{00000000-0005-0000-0000-00003A140000}"/>
    <cellStyle name="Titre 1 8 3" xfId="1189" xr:uid="{00000000-0005-0000-0000-00003B140000}"/>
    <cellStyle name="Titre 1 9 2" xfId="1190" xr:uid="{00000000-0005-0000-0000-00003C140000}"/>
    <cellStyle name="Titre 1 9 3" xfId="1191" xr:uid="{00000000-0005-0000-0000-00003D140000}"/>
    <cellStyle name="Titre 2" xfId="5368" builtinId="17" customBuiltin="1"/>
    <cellStyle name="Titre 2 10 2" xfId="1192" xr:uid="{00000000-0005-0000-0000-00003E140000}"/>
    <cellStyle name="Titre 2 10 3" xfId="1193" xr:uid="{00000000-0005-0000-0000-00003F140000}"/>
    <cellStyle name="Titre 2 11 2" xfId="1194" xr:uid="{00000000-0005-0000-0000-000040140000}"/>
    <cellStyle name="Titre 2 11 3" xfId="1195" xr:uid="{00000000-0005-0000-0000-000041140000}"/>
    <cellStyle name="Titre 2 12 2" xfId="1196" xr:uid="{00000000-0005-0000-0000-000042140000}"/>
    <cellStyle name="Titre 2 12 3" xfId="1197" xr:uid="{00000000-0005-0000-0000-000043140000}"/>
    <cellStyle name="Titre 2 13 2" xfId="1198" xr:uid="{00000000-0005-0000-0000-000044140000}"/>
    <cellStyle name="Titre 2 13 3" xfId="1199" xr:uid="{00000000-0005-0000-0000-000045140000}"/>
    <cellStyle name="Titre 2 14 2" xfId="1200" xr:uid="{00000000-0005-0000-0000-000046140000}"/>
    <cellStyle name="Titre 2 14 3" xfId="1201" xr:uid="{00000000-0005-0000-0000-000047140000}"/>
    <cellStyle name="Titre 2 15 2" xfId="1202" xr:uid="{00000000-0005-0000-0000-000048140000}"/>
    <cellStyle name="Titre 2 15 3" xfId="1203" xr:uid="{00000000-0005-0000-0000-000049140000}"/>
    <cellStyle name="Titre 2 16 2" xfId="1204" xr:uid="{00000000-0005-0000-0000-00004A140000}"/>
    <cellStyle name="Titre 2 16 3" xfId="1205" xr:uid="{00000000-0005-0000-0000-00004B140000}"/>
    <cellStyle name="Titre 2 17 2" xfId="1206" xr:uid="{00000000-0005-0000-0000-00004C140000}"/>
    <cellStyle name="Titre 2 17 3" xfId="1207" xr:uid="{00000000-0005-0000-0000-00004D140000}"/>
    <cellStyle name="Titre 2 2 2" xfId="1208" xr:uid="{00000000-0005-0000-0000-00004E140000}"/>
    <cellStyle name="Titre 2 2 3" xfId="1209" xr:uid="{00000000-0005-0000-0000-00004F140000}"/>
    <cellStyle name="Titre 2 3 2" xfId="1210" xr:uid="{00000000-0005-0000-0000-000050140000}"/>
    <cellStyle name="Titre 2 3 3" xfId="1211" xr:uid="{00000000-0005-0000-0000-000051140000}"/>
    <cellStyle name="Titre 2 4 2" xfId="1212" xr:uid="{00000000-0005-0000-0000-000052140000}"/>
    <cellStyle name="Titre 2 4 3" xfId="1213" xr:uid="{00000000-0005-0000-0000-000053140000}"/>
    <cellStyle name="Titre 2 5 2" xfId="1214" xr:uid="{00000000-0005-0000-0000-000054140000}"/>
    <cellStyle name="Titre 2 5 3" xfId="1215" xr:uid="{00000000-0005-0000-0000-000055140000}"/>
    <cellStyle name="Titre 2 6 2" xfId="1216" xr:uid="{00000000-0005-0000-0000-000056140000}"/>
    <cellStyle name="Titre 2 6 3" xfId="1217" xr:uid="{00000000-0005-0000-0000-000057140000}"/>
    <cellStyle name="Titre 2 7 2" xfId="1218" xr:uid="{00000000-0005-0000-0000-000058140000}"/>
    <cellStyle name="Titre 2 7 3" xfId="1219" xr:uid="{00000000-0005-0000-0000-000059140000}"/>
    <cellStyle name="Titre 2 8 2" xfId="1220" xr:uid="{00000000-0005-0000-0000-00005A140000}"/>
    <cellStyle name="Titre 2 8 3" xfId="1221" xr:uid="{00000000-0005-0000-0000-00005B140000}"/>
    <cellStyle name="Titre 2 9 2" xfId="1222" xr:uid="{00000000-0005-0000-0000-00005C140000}"/>
    <cellStyle name="Titre 2 9 3" xfId="1223" xr:uid="{00000000-0005-0000-0000-00005D140000}"/>
    <cellStyle name="Titre 3" xfId="5369" builtinId="18" customBuiltin="1"/>
    <cellStyle name="Titre 3 10 2" xfId="1224" xr:uid="{00000000-0005-0000-0000-00005E140000}"/>
    <cellStyle name="Titre 3 10 3" xfId="1225" xr:uid="{00000000-0005-0000-0000-00005F140000}"/>
    <cellStyle name="Titre 3 11 2" xfId="1226" xr:uid="{00000000-0005-0000-0000-000060140000}"/>
    <cellStyle name="Titre 3 11 3" xfId="1227" xr:uid="{00000000-0005-0000-0000-000061140000}"/>
    <cellStyle name="Titre 3 12 2" xfId="1228" xr:uid="{00000000-0005-0000-0000-000062140000}"/>
    <cellStyle name="Titre 3 12 3" xfId="1229" xr:uid="{00000000-0005-0000-0000-000063140000}"/>
    <cellStyle name="Titre 3 13 2" xfId="1230" xr:uid="{00000000-0005-0000-0000-000064140000}"/>
    <cellStyle name="Titre 3 13 3" xfId="1231" xr:uid="{00000000-0005-0000-0000-000065140000}"/>
    <cellStyle name="Titre 3 14 2" xfId="1232" xr:uid="{00000000-0005-0000-0000-000066140000}"/>
    <cellStyle name="Titre 3 14 3" xfId="1233" xr:uid="{00000000-0005-0000-0000-000067140000}"/>
    <cellStyle name="Titre 3 15 2" xfId="1234" xr:uid="{00000000-0005-0000-0000-000068140000}"/>
    <cellStyle name="Titre 3 15 3" xfId="1235" xr:uid="{00000000-0005-0000-0000-000069140000}"/>
    <cellStyle name="Titre 3 16 2" xfId="1236" xr:uid="{00000000-0005-0000-0000-00006A140000}"/>
    <cellStyle name="Titre 3 16 3" xfId="1237" xr:uid="{00000000-0005-0000-0000-00006B140000}"/>
    <cellStyle name="Titre 3 17 2" xfId="1238" xr:uid="{00000000-0005-0000-0000-00006C140000}"/>
    <cellStyle name="Titre 3 17 3" xfId="1239" xr:uid="{00000000-0005-0000-0000-00006D140000}"/>
    <cellStyle name="Titre 3 2 2" xfId="1240" xr:uid="{00000000-0005-0000-0000-00006E140000}"/>
    <cellStyle name="Titre 3 2 3" xfId="1241" xr:uid="{00000000-0005-0000-0000-00006F140000}"/>
    <cellStyle name="Titre 3 3 2" xfId="1242" xr:uid="{00000000-0005-0000-0000-000070140000}"/>
    <cellStyle name="Titre 3 3 3" xfId="1243" xr:uid="{00000000-0005-0000-0000-000071140000}"/>
    <cellStyle name="Titre 3 4 2" xfId="1244" xr:uid="{00000000-0005-0000-0000-000072140000}"/>
    <cellStyle name="Titre 3 4 3" xfId="1245" xr:uid="{00000000-0005-0000-0000-000073140000}"/>
    <cellStyle name="Titre 3 5 2" xfId="1246" xr:uid="{00000000-0005-0000-0000-000074140000}"/>
    <cellStyle name="Titre 3 5 3" xfId="1247" xr:uid="{00000000-0005-0000-0000-000075140000}"/>
    <cellStyle name="Titre 3 6 2" xfId="1248" xr:uid="{00000000-0005-0000-0000-000076140000}"/>
    <cellStyle name="Titre 3 6 3" xfId="1249" xr:uid="{00000000-0005-0000-0000-000077140000}"/>
    <cellStyle name="Titre 3 7 2" xfId="1250" xr:uid="{00000000-0005-0000-0000-000078140000}"/>
    <cellStyle name="Titre 3 7 3" xfId="1251" xr:uid="{00000000-0005-0000-0000-000079140000}"/>
    <cellStyle name="Titre 3 8 2" xfId="1252" xr:uid="{00000000-0005-0000-0000-00007A140000}"/>
    <cellStyle name="Titre 3 8 3" xfId="1253" xr:uid="{00000000-0005-0000-0000-00007B140000}"/>
    <cellStyle name="Titre 3 9 2" xfId="1254" xr:uid="{00000000-0005-0000-0000-00007C140000}"/>
    <cellStyle name="Titre 3 9 3" xfId="1255" xr:uid="{00000000-0005-0000-0000-00007D140000}"/>
    <cellStyle name="Titre 4" xfId="5370" builtinId="19" customBuiltin="1"/>
    <cellStyle name="Titre 4 10 2" xfId="1256" xr:uid="{00000000-0005-0000-0000-00007E140000}"/>
    <cellStyle name="Titre 4 10 3" xfId="1257" xr:uid="{00000000-0005-0000-0000-00007F140000}"/>
    <cellStyle name="Titre 4 11 2" xfId="1258" xr:uid="{00000000-0005-0000-0000-000080140000}"/>
    <cellStyle name="Titre 4 11 3" xfId="1259" xr:uid="{00000000-0005-0000-0000-000081140000}"/>
    <cellStyle name="Titre 4 12 2" xfId="1260" xr:uid="{00000000-0005-0000-0000-000082140000}"/>
    <cellStyle name="Titre 4 12 3" xfId="1261" xr:uid="{00000000-0005-0000-0000-000083140000}"/>
    <cellStyle name="Titre 4 13 2" xfId="1262" xr:uid="{00000000-0005-0000-0000-000084140000}"/>
    <cellStyle name="Titre 4 13 3" xfId="1263" xr:uid="{00000000-0005-0000-0000-000085140000}"/>
    <cellStyle name="Titre 4 14 2" xfId="1264" xr:uid="{00000000-0005-0000-0000-000086140000}"/>
    <cellStyle name="Titre 4 14 3" xfId="1265" xr:uid="{00000000-0005-0000-0000-000087140000}"/>
    <cellStyle name="Titre 4 15 2" xfId="1266" xr:uid="{00000000-0005-0000-0000-000088140000}"/>
    <cellStyle name="Titre 4 15 3" xfId="1267" xr:uid="{00000000-0005-0000-0000-000089140000}"/>
    <cellStyle name="Titre 4 16 2" xfId="1268" xr:uid="{00000000-0005-0000-0000-00008A140000}"/>
    <cellStyle name="Titre 4 16 3" xfId="1269" xr:uid="{00000000-0005-0000-0000-00008B140000}"/>
    <cellStyle name="Titre 4 17 2" xfId="1270" xr:uid="{00000000-0005-0000-0000-00008C140000}"/>
    <cellStyle name="Titre 4 17 3" xfId="1271" xr:uid="{00000000-0005-0000-0000-00008D140000}"/>
    <cellStyle name="Titre 4 2 2" xfId="1272" xr:uid="{00000000-0005-0000-0000-00008E140000}"/>
    <cellStyle name="Titre 4 2 3" xfId="1273" xr:uid="{00000000-0005-0000-0000-00008F140000}"/>
    <cellStyle name="Titre 4 3 2" xfId="1274" xr:uid="{00000000-0005-0000-0000-000090140000}"/>
    <cellStyle name="Titre 4 3 3" xfId="1275" xr:uid="{00000000-0005-0000-0000-000091140000}"/>
    <cellStyle name="Titre 4 4 2" xfId="1276" xr:uid="{00000000-0005-0000-0000-000092140000}"/>
    <cellStyle name="Titre 4 4 3" xfId="1277" xr:uid="{00000000-0005-0000-0000-000093140000}"/>
    <cellStyle name="Titre 4 5 2" xfId="1278" xr:uid="{00000000-0005-0000-0000-000094140000}"/>
    <cellStyle name="Titre 4 5 3" xfId="1279" xr:uid="{00000000-0005-0000-0000-000095140000}"/>
    <cellStyle name="Titre 4 6 2" xfId="1280" xr:uid="{00000000-0005-0000-0000-000096140000}"/>
    <cellStyle name="Titre 4 6 3" xfId="1281" xr:uid="{00000000-0005-0000-0000-000097140000}"/>
    <cellStyle name="Titre 4 7 2" xfId="1282" xr:uid="{00000000-0005-0000-0000-000098140000}"/>
    <cellStyle name="Titre 4 7 3" xfId="1283" xr:uid="{00000000-0005-0000-0000-000099140000}"/>
    <cellStyle name="Titre 4 8 2" xfId="1284" xr:uid="{00000000-0005-0000-0000-00009A140000}"/>
    <cellStyle name="Titre 4 8 3" xfId="1285" xr:uid="{00000000-0005-0000-0000-00009B140000}"/>
    <cellStyle name="Titre 4 9 2" xfId="1286" xr:uid="{00000000-0005-0000-0000-00009C140000}"/>
    <cellStyle name="Titre 4 9 3" xfId="1287" xr:uid="{00000000-0005-0000-0000-00009D140000}"/>
    <cellStyle name="Total" xfId="2358" builtinId="25" customBuiltin="1"/>
    <cellStyle name="Total 10 2" xfId="1288" xr:uid="{00000000-0005-0000-0000-00009F140000}"/>
    <cellStyle name="Total 10 3" xfId="1289" xr:uid="{00000000-0005-0000-0000-0000A0140000}"/>
    <cellStyle name="Total 11 2" xfId="1290" xr:uid="{00000000-0005-0000-0000-0000A1140000}"/>
    <cellStyle name="Total 11 3" xfId="1291" xr:uid="{00000000-0005-0000-0000-0000A2140000}"/>
    <cellStyle name="Total 12 2" xfId="1292" xr:uid="{00000000-0005-0000-0000-0000A3140000}"/>
    <cellStyle name="Total 12 3" xfId="1293" xr:uid="{00000000-0005-0000-0000-0000A4140000}"/>
    <cellStyle name="Total 13 2" xfId="1294" xr:uid="{00000000-0005-0000-0000-0000A5140000}"/>
    <cellStyle name="Total 13 3" xfId="1295" xr:uid="{00000000-0005-0000-0000-0000A6140000}"/>
    <cellStyle name="Total 14 2" xfId="1296" xr:uid="{00000000-0005-0000-0000-0000A7140000}"/>
    <cellStyle name="Total 14 3" xfId="1297" xr:uid="{00000000-0005-0000-0000-0000A8140000}"/>
    <cellStyle name="Total 15 2" xfId="1298" xr:uid="{00000000-0005-0000-0000-0000A9140000}"/>
    <cellStyle name="Total 15 3" xfId="1299" xr:uid="{00000000-0005-0000-0000-0000AA140000}"/>
    <cellStyle name="Total 16 2" xfId="1300" xr:uid="{00000000-0005-0000-0000-0000AB140000}"/>
    <cellStyle name="Total 16 3" xfId="1301" xr:uid="{00000000-0005-0000-0000-0000AC140000}"/>
    <cellStyle name="Total 17 2" xfId="1302" xr:uid="{00000000-0005-0000-0000-0000AD140000}"/>
    <cellStyle name="Total 17 3" xfId="1303" xr:uid="{00000000-0005-0000-0000-0000AE140000}"/>
    <cellStyle name="Total 2 2" xfId="1304" xr:uid="{00000000-0005-0000-0000-0000AF140000}"/>
    <cellStyle name="Total 2 3" xfId="1305" xr:uid="{00000000-0005-0000-0000-0000B0140000}"/>
    <cellStyle name="Total 3 2" xfId="1306" xr:uid="{00000000-0005-0000-0000-0000B1140000}"/>
    <cellStyle name="Total 3 3" xfId="1307" xr:uid="{00000000-0005-0000-0000-0000B2140000}"/>
    <cellStyle name="Total 4 2" xfId="1308" xr:uid="{00000000-0005-0000-0000-0000B3140000}"/>
    <cellStyle name="Total 4 3" xfId="1309" xr:uid="{00000000-0005-0000-0000-0000B4140000}"/>
    <cellStyle name="Total 5 2" xfId="1310" xr:uid="{00000000-0005-0000-0000-0000B5140000}"/>
    <cellStyle name="Total 5 3" xfId="1311" xr:uid="{00000000-0005-0000-0000-0000B6140000}"/>
    <cellStyle name="Total 6 2" xfId="1312" xr:uid="{00000000-0005-0000-0000-0000B7140000}"/>
    <cellStyle name="Total 6 3" xfId="1313" xr:uid="{00000000-0005-0000-0000-0000B8140000}"/>
    <cellStyle name="Total 7 2" xfId="1314" xr:uid="{00000000-0005-0000-0000-0000B9140000}"/>
    <cellStyle name="Total 7 3" xfId="1315" xr:uid="{00000000-0005-0000-0000-0000BA140000}"/>
    <cellStyle name="Total 8 2" xfId="1316" xr:uid="{00000000-0005-0000-0000-0000BB140000}"/>
    <cellStyle name="Total 8 3" xfId="1317" xr:uid="{00000000-0005-0000-0000-0000BC140000}"/>
    <cellStyle name="Total 9 2" xfId="1318" xr:uid="{00000000-0005-0000-0000-0000BD140000}"/>
    <cellStyle name="Total 9 3" xfId="1319" xr:uid="{00000000-0005-0000-0000-0000BE140000}"/>
    <cellStyle name="Vérification" xfId="5377" builtinId="23" customBuiltin="1"/>
    <cellStyle name="Vérification 10 2" xfId="1320" xr:uid="{00000000-0005-0000-0000-0000BF140000}"/>
    <cellStyle name="Vérification 10 3" xfId="1321" xr:uid="{00000000-0005-0000-0000-0000C0140000}"/>
    <cellStyle name="Vérification 11 2" xfId="1322" xr:uid="{00000000-0005-0000-0000-0000C1140000}"/>
    <cellStyle name="Vérification 11 3" xfId="1323" xr:uid="{00000000-0005-0000-0000-0000C2140000}"/>
    <cellStyle name="Vérification 12 2" xfId="1324" xr:uid="{00000000-0005-0000-0000-0000C3140000}"/>
    <cellStyle name="Vérification 12 3" xfId="1325" xr:uid="{00000000-0005-0000-0000-0000C4140000}"/>
    <cellStyle name="Vérification 13 2" xfId="1326" xr:uid="{00000000-0005-0000-0000-0000C5140000}"/>
    <cellStyle name="Vérification 13 3" xfId="1327" xr:uid="{00000000-0005-0000-0000-0000C6140000}"/>
    <cellStyle name="Vérification 14 2" xfId="1328" xr:uid="{00000000-0005-0000-0000-0000C7140000}"/>
    <cellStyle name="Vérification 14 3" xfId="1329" xr:uid="{00000000-0005-0000-0000-0000C8140000}"/>
    <cellStyle name="Vérification 15 2" xfId="1330" xr:uid="{00000000-0005-0000-0000-0000C9140000}"/>
    <cellStyle name="Vérification 15 3" xfId="1331" xr:uid="{00000000-0005-0000-0000-0000CA140000}"/>
    <cellStyle name="Vérification 16 2" xfId="1332" xr:uid="{00000000-0005-0000-0000-0000CB140000}"/>
    <cellStyle name="Vérification 16 3" xfId="1333" xr:uid="{00000000-0005-0000-0000-0000CC140000}"/>
    <cellStyle name="Vérification 17 2" xfId="1334" xr:uid="{00000000-0005-0000-0000-0000CD140000}"/>
    <cellStyle name="Vérification 17 3" xfId="1335" xr:uid="{00000000-0005-0000-0000-0000CE140000}"/>
    <cellStyle name="Vérification 2 2" xfId="1336" xr:uid="{00000000-0005-0000-0000-0000CF140000}"/>
    <cellStyle name="Vérification 2 3" xfId="1337" xr:uid="{00000000-0005-0000-0000-0000D0140000}"/>
    <cellStyle name="Vérification 3 2" xfId="1338" xr:uid="{00000000-0005-0000-0000-0000D1140000}"/>
    <cellStyle name="Vérification 3 3" xfId="1339" xr:uid="{00000000-0005-0000-0000-0000D2140000}"/>
    <cellStyle name="Vérification 4 2" xfId="1340" xr:uid="{00000000-0005-0000-0000-0000D3140000}"/>
    <cellStyle name="Vérification 4 3" xfId="1341" xr:uid="{00000000-0005-0000-0000-0000D4140000}"/>
    <cellStyle name="Vérification 5 2" xfId="1342" xr:uid="{00000000-0005-0000-0000-0000D5140000}"/>
    <cellStyle name="Vérification 5 3" xfId="1343" xr:uid="{00000000-0005-0000-0000-0000D6140000}"/>
    <cellStyle name="Vérification 6 2" xfId="1344" xr:uid="{00000000-0005-0000-0000-0000D7140000}"/>
    <cellStyle name="Vérification 6 3" xfId="1345" xr:uid="{00000000-0005-0000-0000-0000D8140000}"/>
    <cellStyle name="Vérification 7 2" xfId="1346" xr:uid="{00000000-0005-0000-0000-0000D9140000}"/>
    <cellStyle name="Vérification 7 3" xfId="1347" xr:uid="{00000000-0005-0000-0000-0000DA140000}"/>
    <cellStyle name="Vérification 8 2" xfId="1348" xr:uid="{00000000-0005-0000-0000-0000DB140000}"/>
    <cellStyle name="Vérification 8 3" xfId="1349" xr:uid="{00000000-0005-0000-0000-0000DC140000}"/>
    <cellStyle name="Vérification 9 2" xfId="1350" xr:uid="{00000000-0005-0000-0000-0000DD140000}"/>
    <cellStyle name="Vérification 9 3" xfId="1351" xr:uid="{00000000-0005-0000-0000-0000DE140000}"/>
    <cellStyle name="好" xfId="1390" xr:uid="{00000000-0005-0000-0000-0000DF140000}"/>
    <cellStyle name="差" xfId="1388" xr:uid="{00000000-0005-0000-0000-0000E0140000}"/>
    <cellStyle name="常规_Copy of Reporting Package - ZEITI 2009 - Final" xfId="1389" xr:uid="{00000000-0005-0000-0000-0000E1140000}"/>
    <cellStyle name="强调文字颜色 1" xfId="1397" xr:uid="{00000000-0005-0000-0000-0000E2140000}"/>
    <cellStyle name="强调文字颜色 2" xfId="1398" xr:uid="{00000000-0005-0000-0000-0000E3140000}"/>
    <cellStyle name="强调文字颜色 3" xfId="1399" xr:uid="{00000000-0005-0000-0000-0000E4140000}"/>
    <cellStyle name="强调文字颜色 4" xfId="1400" xr:uid="{00000000-0005-0000-0000-0000E5140000}"/>
    <cellStyle name="强调文字颜色 5" xfId="1401" xr:uid="{00000000-0005-0000-0000-0000E6140000}"/>
    <cellStyle name="强调文字颜色 6" xfId="1402" xr:uid="{00000000-0005-0000-0000-0000E7140000}"/>
    <cellStyle name="标题" xfId="1383" xr:uid="{00000000-0005-0000-0000-0000E8140000}"/>
    <cellStyle name="标题 1" xfId="1384" xr:uid="{00000000-0005-0000-0000-0000E9140000}"/>
    <cellStyle name="标题 2" xfId="1385" xr:uid="{00000000-0005-0000-0000-0000EA140000}"/>
    <cellStyle name="标题 3" xfId="1386" xr:uid="{00000000-0005-0000-0000-0000EB140000}"/>
    <cellStyle name="标题 4" xfId="1387" xr:uid="{00000000-0005-0000-0000-0000EC140000}"/>
    <cellStyle name="检查单元格" xfId="1393" xr:uid="{00000000-0005-0000-0000-0000ED140000}"/>
    <cellStyle name="汇总" xfId="1391" xr:uid="{00000000-0005-0000-0000-0000EE140000}"/>
    <cellStyle name="注释" xfId="1406" xr:uid="{00000000-0005-0000-0000-0000EF140000}"/>
    <cellStyle name="解释性文本" xfId="1394" xr:uid="{00000000-0005-0000-0000-0000F0140000}"/>
    <cellStyle name="警告文本" xfId="1395" xr:uid="{00000000-0005-0000-0000-0000F1140000}"/>
    <cellStyle name="计算" xfId="1392" xr:uid="{00000000-0005-0000-0000-0000F2140000}"/>
    <cellStyle name="输入" xfId="1405" xr:uid="{00000000-0005-0000-0000-0000F3140000}"/>
    <cellStyle name="输出" xfId="1404" xr:uid="{00000000-0005-0000-0000-0000F4140000}"/>
    <cellStyle name="适中" xfId="1403" xr:uid="{00000000-0005-0000-0000-0000F5140000}"/>
    <cellStyle name="链接单元格" xfId="1396" xr:uid="{00000000-0005-0000-0000-0000F6140000}"/>
  </cellStyles>
  <dxfs count="130">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bgColor theme="7" tint="-0.499984740745262"/>
        </patternFill>
      </fill>
    </dxf>
    <dxf>
      <fill>
        <patternFill>
          <bgColor theme="7" tint="-0.499984740745262"/>
        </patternFill>
      </fill>
    </dxf>
    <dxf>
      <fill>
        <patternFill>
          <bgColor theme="7" tint="-0.49998474074526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bgColor theme="7" tint="-0.49998474074526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ill>
        <patternFill>
          <bgColor theme="5" tint="0.39994506668294322"/>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129"/>
      <tableStyleElement type="totalRow" dxfId="128"/>
      <tableStyleElement type="firstRowStripe" dxfId="127"/>
      <tableStyleElement type="firstColumnStripe" dxfId="126"/>
      <tableStyleElement type="firstSubtotalColumn" dxfId="125"/>
      <tableStyleElement type="firstSubtotalRow" dxfId="124"/>
      <tableStyleElement type="secondSubtotalRow" dxfId="123"/>
      <tableStyleElement type="firstRowSubheading" dxfId="122"/>
      <tableStyleElement type="secondRowSubheading" dxfId="121"/>
      <tableStyleElement type="pageFieldLabels" dxfId="120"/>
      <tableStyleElement type="pageFieldValues" dxfId="119"/>
    </tableStyle>
  </tableStyles>
  <colors>
    <mruColors>
      <color rgb="FFE2EFDA"/>
      <color rgb="FFE2EFD9"/>
      <color rgb="FFDAF2D0"/>
      <color rgb="FF657C91"/>
      <color rgb="FF2EAFA4"/>
      <color rgb="FF19748A"/>
      <color rgb="FFA9ECEF"/>
      <color rgb="FF218F8B"/>
      <color rgb="FF175752"/>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'Tableau 6'!$A$6</c:f>
              <c:strCache>
                <c:ptCount val="1"/>
                <c:pt idx="0">
                  <c:v>Production (en milliers de carats)</c:v>
                </c:pt>
              </c:strCache>
            </c:strRef>
          </c:tx>
          <c:spPr>
            <a:ln w="22225" cap="rnd" cmpd="sng" algn="ctr">
              <a:solidFill>
                <a:srgbClr val="FFC000"/>
              </a:solidFill>
              <a:round/>
            </a:ln>
            <a:effectLst/>
          </c:spPr>
          <c:marker>
            <c:symbol val="none"/>
          </c:marker>
          <c:cat>
            <c:numRef>
              <c:f>'Tableau 6'!$B$5:$G$5</c:f>
              <c:numCache>
                <c:formatCode>General</c:formatCode>
                <c:ptCount val="6"/>
                <c:pt idx="0">
                  <c:v>2017</c:v>
                </c:pt>
                <c:pt idx="1">
                  <c:v>2018</c:v>
                </c:pt>
                <c:pt idx="2">
                  <c:v>2019</c:v>
                </c:pt>
                <c:pt idx="3">
                  <c:v>2020</c:v>
                </c:pt>
                <c:pt idx="4">
                  <c:v>2021</c:v>
                </c:pt>
                <c:pt idx="5">
                  <c:v>2022</c:v>
                </c:pt>
              </c:numCache>
            </c:numRef>
          </c:cat>
          <c:val>
            <c:numRef>
              <c:f>'Tableau 6'!$B$6:$G$6</c:f>
              <c:numCache>
                <c:formatCode>General</c:formatCode>
                <c:ptCount val="6"/>
                <c:pt idx="0">
                  <c:v>47.64</c:v>
                </c:pt>
                <c:pt idx="1">
                  <c:v>13.6</c:v>
                </c:pt>
                <c:pt idx="2">
                  <c:v>27.55</c:v>
                </c:pt>
                <c:pt idx="3">
                  <c:v>61.74</c:v>
                </c:pt>
                <c:pt idx="4">
                  <c:v>92.77</c:v>
                </c:pt>
                <c:pt idx="5">
                  <c:v>118.04</c:v>
                </c:pt>
              </c:numCache>
            </c:numRef>
          </c:val>
          <c:smooth val="0"/>
          <c:extLst>
            <c:ext xmlns:c16="http://schemas.microsoft.com/office/drawing/2014/chart" uri="{C3380CC4-5D6E-409C-BE32-E72D297353CC}">
              <c16:uniqueId val="{00000000-DF39-4F15-B838-728ADB58E4B3}"/>
            </c:ext>
          </c:extLst>
        </c:ser>
        <c:ser>
          <c:idx val="1"/>
          <c:order val="1"/>
          <c:tx>
            <c:strRef>
              <c:f>'Tableau 6'!$A$8</c:f>
              <c:strCache>
                <c:ptCount val="1"/>
                <c:pt idx="0">
                  <c:v>Exportation (en milliers de carats)</c:v>
                </c:pt>
              </c:strCache>
            </c:strRef>
          </c:tx>
          <c:spPr>
            <a:ln w="22225" cap="rnd" cmpd="sng" algn="ctr">
              <a:solidFill>
                <a:srgbClr val="92D050"/>
              </a:solidFill>
              <a:round/>
            </a:ln>
            <a:effectLst/>
          </c:spPr>
          <c:marker>
            <c:symbol val="none"/>
          </c:marker>
          <c:cat>
            <c:numRef>
              <c:f>'Tableau 6'!$B$5:$G$5</c:f>
              <c:numCache>
                <c:formatCode>General</c:formatCode>
                <c:ptCount val="6"/>
                <c:pt idx="0">
                  <c:v>2017</c:v>
                </c:pt>
                <c:pt idx="1">
                  <c:v>2018</c:v>
                </c:pt>
                <c:pt idx="2">
                  <c:v>2019</c:v>
                </c:pt>
                <c:pt idx="3">
                  <c:v>2020</c:v>
                </c:pt>
                <c:pt idx="4">
                  <c:v>2021</c:v>
                </c:pt>
                <c:pt idx="5">
                  <c:v>2022</c:v>
                </c:pt>
              </c:numCache>
            </c:numRef>
          </c:cat>
          <c:val>
            <c:numRef>
              <c:f>'Tableau 6'!$B$8:$G$8</c:f>
              <c:numCache>
                <c:formatCode>General</c:formatCode>
                <c:ptCount val="6"/>
                <c:pt idx="0">
                  <c:v>59.89</c:v>
                </c:pt>
                <c:pt idx="1">
                  <c:v>91.81</c:v>
                </c:pt>
                <c:pt idx="2">
                  <c:v>26.23</c:v>
                </c:pt>
                <c:pt idx="3">
                  <c:v>50.44</c:v>
                </c:pt>
                <c:pt idx="4">
                  <c:v>103.65</c:v>
                </c:pt>
                <c:pt idx="5">
                  <c:v>115.52</c:v>
                </c:pt>
              </c:numCache>
            </c:numRef>
          </c:val>
          <c:smooth val="0"/>
          <c:extLst>
            <c:ext xmlns:c16="http://schemas.microsoft.com/office/drawing/2014/chart" uri="{C3380CC4-5D6E-409C-BE32-E72D297353CC}">
              <c16:uniqueId val="{00000001-DF39-4F15-B838-728ADB58E4B3}"/>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438785840"/>
        <c:axId val="1438786800"/>
      </c:lineChart>
      <c:catAx>
        <c:axId val="14387858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Trebuchet MS" panose="020B0603020202020204" pitchFamily="34" charset="0"/>
                <a:ea typeface="+mn-ea"/>
                <a:cs typeface="+mn-cs"/>
              </a:defRPr>
            </a:pPr>
            <a:endParaRPr lang="fr-FR"/>
          </a:p>
        </c:txPr>
        <c:crossAx val="1438786800"/>
        <c:crosses val="autoZero"/>
        <c:auto val="1"/>
        <c:lblAlgn val="ctr"/>
        <c:lblOffset val="100"/>
        <c:noMultiLvlLbl val="0"/>
      </c:catAx>
      <c:valAx>
        <c:axId val="14387868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Trebuchet MS" panose="020B0603020202020204" pitchFamily="34" charset="0"/>
                <a:ea typeface="+mn-ea"/>
                <a:cs typeface="+mn-cs"/>
              </a:defRPr>
            </a:pPr>
            <a:endParaRPr lang="fr-FR"/>
          </a:p>
        </c:txPr>
        <c:crossAx val="14387858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Trebuchet MS" panose="020B0603020202020204" pitchFamily="34" charset="0"/>
              <a:ea typeface="+mn-ea"/>
              <a:cs typeface="+mn-cs"/>
            </a:defRPr>
          </a:pPr>
          <a:endParaRPr lang="fr-FR"/>
        </a:p>
      </c:txPr>
    </c:legend>
    <c:plotVisOnly val="1"/>
    <c:dispBlanksAs val="gap"/>
    <c:showDLblsOverMax val="0"/>
  </c:chart>
  <c:spPr>
    <a:solidFill>
      <a:schemeClr val="lt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467191601049879E-2"/>
          <c:y val="9.7222222222222224E-2"/>
          <c:w val="0.4846213910761154"/>
          <c:h val="0.80770231846019236"/>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D587-45F7-85DD-BE93948E4003}"/>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D587-45F7-85DD-BE93948E4003}"/>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D587-45F7-85DD-BE93948E4003}"/>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D587-45F7-85DD-BE93948E4003}"/>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1-A9A4-4C62-BB66-6B5E28B7E12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D587-45F7-85DD-BE93948E4003}"/>
              </c:ext>
            </c:extLst>
          </c:dPt>
          <c:dLbls>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A9A4-4C62-BB66-6B5E28B7E1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64-65-66-67-68-69-70-71'!$A$131:$A$136</c:f>
              <c:strCache>
                <c:ptCount val="6"/>
                <c:pt idx="0">
                  <c:v>Taxe d’abattage</c:v>
                </c:pt>
                <c:pt idx="1">
                  <c:v>Taxe de Reboisement</c:v>
                </c:pt>
                <c:pt idx="2">
                  <c:v>Loyer</c:v>
                </c:pt>
                <c:pt idx="3">
                  <c:v>REIF &amp; DS</c:v>
                </c:pt>
                <c:pt idx="4">
                  <c:v>IMF, MIS, IS &amp; Précompte</c:v>
                </c:pt>
                <c:pt idx="5">
                  <c:v>Autres</c:v>
                </c:pt>
              </c:strCache>
            </c:strRef>
          </c:cat>
          <c:val>
            <c:numRef>
              <c:f>'Tab 64-65-66-67-68-69-70-71'!$C$131:$C$136</c:f>
              <c:numCache>
                <c:formatCode>0%</c:formatCode>
                <c:ptCount val="6"/>
                <c:pt idx="0">
                  <c:v>0.34047913264321639</c:v>
                </c:pt>
                <c:pt idx="1">
                  <c:v>0.28882802110755967</c:v>
                </c:pt>
                <c:pt idx="2">
                  <c:v>0.24163243340321824</c:v>
                </c:pt>
                <c:pt idx="3">
                  <c:v>7.941826795277275E-2</c:v>
                </c:pt>
                <c:pt idx="4">
                  <c:v>2.2624234138835297E-2</c:v>
                </c:pt>
                <c:pt idx="5">
                  <c:v>2.7017910754397603E-2</c:v>
                </c:pt>
              </c:numCache>
            </c:numRef>
          </c:val>
          <c:extLst>
            <c:ext xmlns:c16="http://schemas.microsoft.com/office/drawing/2014/chart" uri="{C3380CC4-5D6E-409C-BE32-E72D297353CC}">
              <c16:uniqueId val="{00000000-A9A4-4C62-BB66-6B5E28B7E12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7066557305336838"/>
          <c:y val="0.10399861475648871"/>
          <c:w val="0.32533552055993004"/>
          <c:h val="0.81729768153980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'Tableau 7'!$A$5</c:f>
              <c:strCache>
                <c:ptCount val="1"/>
                <c:pt idx="0">
                  <c:v>Production (en kg)</c:v>
                </c:pt>
              </c:strCache>
            </c:strRef>
          </c:tx>
          <c:spPr>
            <a:ln w="22225" cap="rnd" cmpd="sng" algn="ctr">
              <a:solidFill>
                <a:srgbClr val="FFC000"/>
              </a:solidFill>
              <a:round/>
            </a:ln>
            <a:effectLst/>
          </c:spPr>
          <c:marker>
            <c:symbol val="none"/>
          </c:marker>
          <c:cat>
            <c:numRef>
              <c:f>'Tableau 7'!$B$4:$G$4</c:f>
              <c:numCache>
                <c:formatCode>General</c:formatCode>
                <c:ptCount val="6"/>
                <c:pt idx="0">
                  <c:v>2017</c:v>
                </c:pt>
                <c:pt idx="1">
                  <c:v>2018</c:v>
                </c:pt>
                <c:pt idx="2">
                  <c:v>2019</c:v>
                </c:pt>
                <c:pt idx="3">
                  <c:v>2020</c:v>
                </c:pt>
                <c:pt idx="4">
                  <c:v>2021</c:v>
                </c:pt>
                <c:pt idx="5">
                  <c:v>2022</c:v>
                </c:pt>
              </c:numCache>
            </c:numRef>
          </c:cat>
          <c:val>
            <c:numRef>
              <c:f>'Tableau 7'!$B$5:$G$5</c:f>
              <c:numCache>
                <c:formatCode>_-* #\ ##0.0_-;\-* #\ ##0.0_-;_-* "-"??_-;_-@_-</c:formatCode>
                <c:ptCount val="6"/>
                <c:pt idx="0">
                  <c:v>126.1</c:v>
                </c:pt>
                <c:pt idx="1">
                  <c:v>141.80000000000001</c:v>
                </c:pt>
                <c:pt idx="2">
                  <c:v>358.9</c:v>
                </c:pt>
                <c:pt idx="3">
                  <c:v>401.1</c:v>
                </c:pt>
                <c:pt idx="4">
                  <c:v>857</c:v>
                </c:pt>
                <c:pt idx="5">
                  <c:v>1506.0840000000001</c:v>
                </c:pt>
              </c:numCache>
            </c:numRef>
          </c:val>
          <c:smooth val="0"/>
          <c:extLst>
            <c:ext xmlns:c16="http://schemas.microsoft.com/office/drawing/2014/chart" uri="{C3380CC4-5D6E-409C-BE32-E72D297353CC}">
              <c16:uniqueId val="{00000000-030B-416C-8EBC-6525C9C367C3}"/>
            </c:ext>
          </c:extLst>
        </c:ser>
        <c:ser>
          <c:idx val="1"/>
          <c:order val="1"/>
          <c:tx>
            <c:strRef>
              <c:f>'Tableau 7'!$A$7</c:f>
              <c:strCache>
                <c:ptCount val="1"/>
                <c:pt idx="0">
                  <c:v>Exportation (en kg)</c:v>
                </c:pt>
              </c:strCache>
            </c:strRef>
          </c:tx>
          <c:spPr>
            <a:ln w="22225" cap="rnd" cmpd="sng" algn="ctr">
              <a:solidFill>
                <a:srgbClr val="92D050"/>
              </a:solidFill>
              <a:round/>
            </a:ln>
            <a:effectLst/>
          </c:spPr>
          <c:marker>
            <c:symbol val="none"/>
          </c:marker>
          <c:cat>
            <c:numRef>
              <c:f>'Tableau 7'!$B$4:$G$4</c:f>
              <c:numCache>
                <c:formatCode>General</c:formatCode>
                <c:ptCount val="6"/>
                <c:pt idx="0">
                  <c:v>2017</c:v>
                </c:pt>
                <c:pt idx="1">
                  <c:v>2018</c:v>
                </c:pt>
                <c:pt idx="2">
                  <c:v>2019</c:v>
                </c:pt>
                <c:pt idx="3">
                  <c:v>2020</c:v>
                </c:pt>
                <c:pt idx="4">
                  <c:v>2021</c:v>
                </c:pt>
                <c:pt idx="5">
                  <c:v>2022</c:v>
                </c:pt>
              </c:numCache>
            </c:numRef>
          </c:cat>
          <c:val>
            <c:numRef>
              <c:f>'Tableau 7'!$B$7:$G$7</c:f>
              <c:numCache>
                <c:formatCode>_-* #\ ##0.0_-;\-* #\ ##0.0_-;_-* "-"??_-;_-@_-</c:formatCode>
                <c:ptCount val="6"/>
                <c:pt idx="0">
                  <c:v>108.04</c:v>
                </c:pt>
                <c:pt idx="1">
                  <c:v>141.80000000000001</c:v>
                </c:pt>
                <c:pt idx="2">
                  <c:v>358.9</c:v>
                </c:pt>
                <c:pt idx="3">
                  <c:v>401.1</c:v>
                </c:pt>
                <c:pt idx="4">
                  <c:v>840.4</c:v>
                </c:pt>
                <c:pt idx="5">
                  <c:v>1536.2339999999999</c:v>
                </c:pt>
              </c:numCache>
            </c:numRef>
          </c:val>
          <c:smooth val="0"/>
          <c:extLst>
            <c:ext xmlns:c16="http://schemas.microsoft.com/office/drawing/2014/chart" uri="{C3380CC4-5D6E-409C-BE32-E72D297353CC}">
              <c16:uniqueId val="{00000001-030B-416C-8EBC-6525C9C367C3}"/>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438785840"/>
        <c:axId val="1438786800"/>
      </c:lineChart>
      <c:catAx>
        <c:axId val="14387858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Trebuchet MS" panose="020B0603020202020204" pitchFamily="34" charset="0"/>
                <a:ea typeface="+mn-ea"/>
                <a:cs typeface="+mn-cs"/>
              </a:defRPr>
            </a:pPr>
            <a:endParaRPr lang="fr-FR"/>
          </a:p>
        </c:txPr>
        <c:crossAx val="1438786800"/>
        <c:crosses val="autoZero"/>
        <c:auto val="1"/>
        <c:lblAlgn val="ctr"/>
        <c:lblOffset val="100"/>
        <c:noMultiLvlLbl val="0"/>
      </c:catAx>
      <c:valAx>
        <c:axId val="1438786800"/>
        <c:scaling>
          <c:orientation val="minMax"/>
        </c:scaling>
        <c:delete val="0"/>
        <c:axPos val="l"/>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Trebuchet MS" panose="020B0603020202020204" pitchFamily="34" charset="0"/>
                <a:ea typeface="+mn-ea"/>
                <a:cs typeface="+mn-cs"/>
              </a:defRPr>
            </a:pPr>
            <a:endParaRPr lang="fr-FR"/>
          </a:p>
        </c:txPr>
        <c:crossAx val="1438785840"/>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Trebuchet MS" panose="020B0603020202020204" pitchFamily="34" charset="0"/>
              <a:ea typeface="+mn-ea"/>
              <a:cs typeface="+mn-cs"/>
            </a:defRPr>
          </a:pPr>
          <a:endParaRPr lang="fr-FR"/>
        </a:p>
      </c:txPr>
    </c:legend>
    <c:plotVisOnly val="1"/>
    <c:dispBlanksAs val="gap"/>
    <c:showDLblsOverMax val="0"/>
  </c:chart>
  <c:spPr>
    <a:solidFill>
      <a:schemeClr val="lt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63735783027121E-2"/>
          <c:y val="8.8775517643627885E-2"/>
          <c:w val="0.49016141732283464"/>
          <c:h val="0.81693569553805778"/>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34A-4E93-844B-F705F2811F2C}"/>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34A-4E93-844B-F705F2811F2C}"/>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34A-4E93-844B-F705F2811F2C}"/>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934A-4E93-844B-F705F2811F2C}"/>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934A-4E93-844B-F705F2811F2C}"/>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934A-4E93-844B-F705F2811F2C}"/>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934A-4E93-844B-F705F2811F2C}"/>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934A-4E93-844B-F705F2811F2C}"/>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95F9-4CA3-959B-4F0A283AFC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64-65-66-67-68-69-70-71'!$A$18:$A$26</c:f>
              <c:strCache>
                <c:ptCount val="9"/>
                <c:pt idx="0">
                  <c:v>CCO</c:v>
                </c:pt>
                <c:pt idx="1">
                  <c:v>ADAMA SWISS</c:v>
                </c:pt>
                <c:pt idx="2">
                  <c:v>STE SIGMA GOLD LTD</c:v>
                </c:pt>
                <c:pt idx="3">
                  <c:v>SAWA SAWA</c:v>
                </c:pt>
                <c:pt idx="4">
                  <c:v>Kotto Mines </c:v>
                </c:pt>
                <c:pt idx="5">
                  <c:v>GONGA</c:v>
                </c:pt>
                <c:pt idx="6">
                  <c:v>UNCMCA(MARIA)</c:v>
                </c:pt>
                <c:pt idx="7">
                  <c:v>Autres sociétés (*)</c:v>
                </c:pt>
                <c:pt idx="8">
                  <c:v>Autres</c:v>
                </c:pt>
              </c:strCache>
            </c:strRef>
          </c:cat>
          <c:val>
            <c:numRef>
              <c:f>'Tab 64-65-66-67-68-69-70-71'!$C$18:$C$26</c:f>
              <c:numCache>
                <c:formatCode>0%</c:formatCode>
                <c:ptCount val="9"/>
                <c:pt idx="0">
                  <c:v>0.16750427679536883</c:v>
                </c:pt>
                <c:pt idx="1">
                  <c:v>0.11516382556560215</c:v>
                </c:pt>
                <c:pt idx="2">
                  <c:v>6.3768821556703506E-2</c:v>
                </c:pt>
                <c:pt idx="3">
                  <c:v>5.6554177013188767E-2</c:v>
                </c:pt>
                <c:pt idx="4">
                  <c:v>5.2349513742946434E-2</c:v>
                </c:pt>
                <c:pt idx="5">
                  <c:v>2.2011279847941566E-2</c:v>
                </c:pt>
                <c:pt idx="6">
                  <c:v>1.7359224247139836E-2</c:v>
                </c:pt>
                <c:pt idx="7">
                  <c:v>0.33801699978536698</c:v>
                </c:pt>
                <c:pt idx="8">
                  <c:v>0.16727188144574179</c:v>
                </c:pt>
              </c:numCache>
            </c:numRef>
          </c:val>
          <c:extLst>
            <c:ext xmlns:c16="http://schemas.microsoft.com/office/drawing/2014/chart" uri="{C3380CC4-5D6E-409C-BE32-E72D297353CC}">
              <c16:uniqueId val="{00000000-C162-4AFF-A509-73B1EB755D8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4220886862826343"/>
          <c:y val="5.2235268837009408E-2"/>
          <c:w val="0.31483038304422467"/>
          <c:h val="0.919987106874798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4985605931145"/>
          <c:y val="9.9287609940122382E-2"/>
          <c:w val="0.50587751238941547"/>
          <c:h val="0.8440686070230079"/>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008-496F-9928-A5E74B684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008-496F-9928-A5E74B684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1-D039-49AB-913B-4D0579327520}"/>
              </c:ext>
            </c:extLst>
          </c:dPt>
          <c:dLbls>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D039-49AB-913B-4D057932752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64-65-66-67-68-69-70-71'!$A$5:$A$7</c:f>
              <c:strCache>
                <c:ptCount val="3"/>
                <c:pt idx="0">
                  <c:v>Secteur forestier</c:v>
                </c:pt>
                <c:pt idx="1">
                  <c:v>Secteur minier</c:v>
                </c:pt>
                <c:pt idx="2">
                  <c:v>Secteur pétrolier</c:v>
                </c:pt>
              </c:strCache>
            </c:strRef>
          </c:cat>
          <c:val>
            <c:numRef>
              <c:f>'Tab 64-65-66-67-68-69-70-71'!$C$5:$C$7</c:f>
              <c:numCache>
                <c:formatCode>0.00%</c:formatCode>
                <c:ptCount val="3"/>
                <c:pt idx="0">
                  <c:v>0.71819914351770509</c:v>
                </c:pt>
                <c:pt idx="1">
                  <c:v>0.26071886820160406</c:v>
                </c:pt>
                <c:pt idx="2">
                  <c:v>2.1081988280690828E-2</c:v>
                </c:pt>
              </c:numCache>
            </c:numRef>
          </c:val>
          <c:extLst>
            <c:ext xmlns:c16="http://schemas.microsoft.com/office/drawing/2014/chart" uri="{C3380CC4-5D6E-409C-BE32-E72D297353CC}">
              <c16:uniqueId val="{00000000-D039-49AB-913B-4D057932752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9515754604130242"/>
          <c:y val="7.3284495426929566E-2"/>
          <c:w val="0.24407529609716991"/>
          <c:h val="0.798581799837694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54483814523183"/>
          <c:y val="0.12084900845727617"/>
          <c:w val="0.40957720909886264"/>
          <c:h val="0.68262868183143777"/>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A029-410E-B1FE-373B251B019E}"/>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A029-410E-B1FE-373B251B01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64-65-66-67-68-69-70-71'!$A$42:$A$43</c:f>
              <c:strCache>
                <c:ptCount val="2"/>
                <c:pt idx="0">
                  <c:v>PTI- IAS</c:v>
                </c:pt>
                <c:pt idx="1">
                  <c:v>PTIAL</c:v>
                </c:pt>
              </c:strCache>
            </c:strRef>
          </c:cat>
          <c:val>
            <c:numRef>
              <c:f>'Tab 64-65-66-67-68-69-70-71'!$C$42:$C$43</c:f>
              <c:numCache>
                <c:formatCode>0%</c:formatCode>
                <c:ptCount val="2"/>
                <c:pt idx="0">
                  <c:v>0.69376657095293592</c:v>
                </c:pt>
                <c:pt idx="1">
                  <c:v>0.30623342904706402</c:v>
                </c:pt>
              </c:numCache>
            </c:numRef>
          </c:val>
          <c:extLst>
            <c:ext xmlns:c16="http://schemas.microsoft.com/office/drawing/2014/chart" uri="{C3380CC4-5D6E-409C-BE32-E72D297353CC}">
              <c16:uniqueId val="{00000000-6242-4563-AFA2-BAC7E288B0D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5444138232720914"/>
          <c:y val="0.19747484689413827"/>
          <c:w val="0.18556167979002625"/>
          <c:h val="0.510858486439195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159230096238E-2"/>
          <c:y val="0.12933025404157045"/>
          <c:w val="0.39510148731408573"/>
          <c:h val="0.6569816879125675"/>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6F5B-47EF-8F08-C108B81C31AD}"/>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6F5B-47EF-8F08-C108B81C31A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6F5B-47EF-8F08-C108B81C31AD}"/>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6F5B-47EF-8F08-C108B81C31AD}"/>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6F5B-47EF-8F08-C108B81C31AD}"/>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6F5B-47EF-8F08-C108B81C31AD}"/>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6F5B-47EF-8F08-C108B81C31AD}"/>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2-0EDA-4118-9798-A38AF106FFB3}"/>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1-0EDA-4118-9798-A38AF106FFB3}"/>
              </c:ext>
            </c:extLst>
          </c:dPt>
          <c:dLbls>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0EDA-4118-9798-A38AF106FFB3}"/>
                </c:ext>
              </c:extLst>
            </c:dLbl>
            <c:dLbl>
              <c:idx val="8"/>
              <c:tx>
                <c:rich>
                  <a:bodyPr/>
                  <a:lstStyle/>
                  <a:p>
                    <a:fld id="{90500778-8ECE-4BDC-AC3B-B7911183748C}" type="VALUE">
                      <a:rPr lang="en-US">
                        <a:solidFill>
                          <a:sysClr val="windowText" lastClr="0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EDA-4118-9798-A38AF106FF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64-65-66-67-68-69-70-71'!$A$57:$A$65</c:f>
              <c:strCache>
                <c:ptCount val="9"/>
                <c:pt idx="0">
                  <c:v>SOCIETE D'EXPLOITATION FORESTIERE CENTRAFRICAINE </c:v>
                </c:pt>
                <c:pt idx="1">
                  <c:v>SOCIETE TIMBERLAND INDUSTRIES</c:v>
                </c:pt>
                <c:pt idx="2">
                  <c:v>SCAD</c:v>
                </c:pt>
                <c:pt idx="3">
                  <c:v>CENTRA BOIS</c:v>
                </c:pt>
                <c:pt idx="4">
                  <c:v>SOCIETE TRANSFORMATION DE BOIS CENTRAF.</c:v>
                </c:pt>
                <c:pt idx="5">
                  <c:v>SOCIETE  IFB  SARL  INUSTRIE FOREST. BATALIMO</c:v>
                </c:pt>
                <c:pt idx="6">
                  <c:v>VIC WOOD CENTRAFRIQUE</c:v>
                </c:pt>
                <c:pt idx="7">
                  <c:v>THANRY CENTRAFRIQUE</c:v>
                </c:pt>
                <c:pt idx="8">
                  <c:v>Autres</c:v>
                </c:pt>
              </c:strCache>
            </c:strRef>
          </c:cat>
          <c:val>
            <c:numRef>
              <c:f>'Tab 64-65-66-67-68-69-70-71'!$C$57:$C$65</c:f>
              <c:numCache>
                <c:formatCode>0%</c:formatCode>
                <c:ptCount val="9"/>
                <c:pt idx="0">
                  <c:v>0.30144644020669686</c:v>
                </c:pt>
                <c:pt idx="1">
                  <c:v>0.20108892231877984</c:v>
                </c:pt>
                <c:pt idx="2">
                  <c:v>0.10044940936474314</c:v>
                </c:pt>
                <c:pt idx="3">
                  <c:v>9.6949359206288277E-2</c:v>
                </c:pt>
                <c:pt idx="4">
                  <c:v>7.7714091862841492E-2</c:v>
                </c:pt>
                <c:pt idx="5">
                  <c:v>7.2246959607316169E-2</c:v>
                </c:pt>
                <c:pt idx="6">
                  <c:v>6.4495385335877758E-2</c:v>
                </c:pt>
                <c:pt idx="7">
                  <c:v>4.2547235349896857E-2</c:v>
                </c:pt>
                <c:pt idx="8">
                  <c:v>4.3062196747559588E-2</c:v>
                </c:pt>
              </c:numCache>
            </c:numRef>
          </c:val>
          <c:extLst>
            <c:ext xmlns:c16="http://schemas.microsoft.com/office/drawing/2014/chart" uri="{C3380CC4-5D6E-409C-BE32-E72D297353CC}">
              <c16:uniqueId val="{00000000-0EDA-4118-9798-A38AF106FFB3}"/>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48867913385826772"/>
          <c:y val="1.4949355349057119E-2"/>
          <c:w val="0.50875262467191606"/>
          <c:h val="0.97581276936225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99587968460159E-2"/>
          <c:y val="7.407407407407407E-2"/>
          <c:w val="0.49233708885763844"/>
          <c:h val="0.81999198016914554"/>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BA1E-4F7C-B568-28B814F18E1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BA1E-4F7C-B568-28B814F18E1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BA1E-4F7C-B568-28B814F18E1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BA1E-4F7C-B568-28B814F18E1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BA1E-4F7C-B568-28B814F18E1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BA1E-4F7C-B568-28B814F18E1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BA1E-4F7C-B568-28B814F18E1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BA1E-4F7C-B568-28B814F18E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64-65-66-67-68-69-70-71'!$A$76:$A$83</c:f>
              <c:strCache>
                <c:ptCount val="8"/>
                <c:pt idx="0">
                  <c:v>Taxe d’abattage</c:v>
                </c:pt>
                <c:pt idx="1">
                  <c:v>Taxe de Reboisement</c:v>
                </c:pt>
                <c:pt idx="2">
                  <c:v>Loyer</c:v>
                </c:pt>
                <c:pt idx="3">
                  <c:v>REIF &amp; DS</c:v>
                </c:pt>
                <c:pt idx="4">
                  <c:v>Droits d'attribution &amp; Redevances superficiaires</c:v>
                </c:pt>
                <c:pt idx="5">
                  <c:v>IMF, MIS, IS &amp; Précompte</c:v>
                </c:pt>
                <c:pt idx="6">
                  <c:v>PDSM</c:v>
                </c:pt>
                <c:pt idx="7">
                  <c:v>Autres</c:v>
                </c:pt>
              </c:strCache>
            </c:strRef>
          </c:cat>
          <c:val>
            <c:numRef>
              <c:f>'Tab 64-65-66-67-68-69-70-71'!$C$76:$C$83</c:f>
              <c:numCache>
                <c:formatCode>0%</c:formatCode>
                <c:ptCount val="8"/>
                <c:pt idx="0">
                  <c:v>0.24453182145000915</c:v>
                </c:pt>
                <c:pt idx="1">
                  <c:v>0.20743603738336303</c:v>
                </c:pt>
                <c:pt idx="2">
                  <c:v>0.17698483705809709</c:v>
                </c:pt>
                <c:pt idx="3">
                  <c:v>0.14926025020294981</c:v>
                </c:pt>
                <c:pt idx="4">
                  <c:v>0.12266341942925189</c:v>
                </c:pt>
                <c:pt idx="5">
                  <c:v>3.1567474486450413E-2</c:v>
                </c:pt>
                <c:pt idx="6">
                  <c:v>2.634917656682606E-2</c:v>
                </c:pt>
                <c:pt idx="7">
                  <c:v>4.12069834230527E-2</c:v>
                </c:pt>
              </c:numCache>
            </c:numRef>
          </c:val>
          <c:extLst>
            <c:ext xmlns:c16="http://schemas.microsoft.com/office/drawing/2014/chart" uri="{C3380CC4-5D6E-409C-BE32-E72D297353CC}">
              <c16:uniqueId val="{00000000-0FA4-46F5-AF9F-AB8497A7A1B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1813617286720324"/>
          <c:y val="0.10239938757655292"/>
          <c:w val="0.34190672656536419"/>
          <c:h val="0.735563575386410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47901781645053E-2"/>
          <c:y val="8.7640886690549369E-2"/>
          <c:w val="0.59182504680236436"/>
          <c:h val="0.76745903875179577"/>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0CD-4F75-92E4-2B3629A5D7D8}"/>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10CD-4F75-92E4-2B3629A5D7D8}"/>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10CD-4F75-92E4-2B3629A5D7D8}"/>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0CD-4F75-92E4-2B3629A5D7D8}"/>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0CD-4F75-92E4-2B3629A5D7D8}"/>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10CD-4F75-92E4-2B3629A5D7D8}"/>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F9F6-4723-B1E2-8422AC2D43E8}"/>
              </c:ext>
            </c:extLst>
          </c:dPt>
          <c:dLbls>
            <c:dLbl>
              <c:idx val="5"/>
              <c:tx>
                <c:rich>
                  <a:bodyPr/>
                  <a:lstStyle/>
                  <a:p>
                    <a:fld id="{40EE8CEF-1C54-455E-9A3D-9476BC9D245F}" type="VALUE">
                      <a:rPr lang="en-US">
                        <a:solidFill>
                          <a:sysClr val="windowText" lastClr="0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10CD-4F75-92E4-2B3629A5D7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64-65-66-67-68-69-70-71'!$A$95:$A$101</c:f>
              <c:strCache>
                <c:ptCount val="7"/>
                <c:pt idx="0">
                  <c:v>Droits d'attribution &amp; Redevances superficiaires</c:v>
                </c:pt>
                <c:pt idx="1">
                  <c:v>REIF &amp; DS</c:v>
                </c:pt>
                <c:pt idx="2">
                  <c:v>PDSM</c:v>
                </c:pt>
                <c:pt idx="3">
                  <c:v>IMF, MIS, IS &amp; Précompte</c:v>
                </c:pt>
                <c:pt idx="4">
                  <c:v>Patente</c:v>
                </c:pt>
                <c:pt idx="5">
                  <c:v>SPPK</c:v>
                </c:pt>
                <c:pt idx="6">
                  <c:v>Autres</c:v>
                </c:pt>
              </c:strCache>
            </c:strRef>
          </c:cat>
          <c:val>
            <c:numRef>
              <c:f>'Tab 64-65-66-67-68-69-70-71'!$C$95:$C$101</c:f>
              <c:numCache>
                <c:formatCode>0%</c:formatCode>
                <c:ptCount val="7"/>
                <c:pt idx="0">
                  <c:v>0.38962055891563607</c:v>
                </c:pt>
                <c:pt idx="1">
                  <c:v>0.35372245520909867</c:v>
                </c:pt>
                <c:pt idx="2">
                  <c:v>0.10106355841668976</c:v>
                </c:pt>
                <c:pt idx="3">
                  <c:v>5.8755889095642465E-2</c:v>
                </c:pt>
                <c:pt idx="4">
                  <c:v>3.2044050114794366E-2</c:v>
                </c:pt>
                <c:pt idx="5">
                  <c:v>2.2344876841965674E-2</c:v>
                </c:pt>
                <c:pt idx="6">
                  <c:v>4.2448611406173023E-2</c:v>
                </c:pt>
              </c:numCache>
            </c:numRef>
          </c:val>
          <c:extLst>
            <c:ext xmlns:c16="http://schemas.microsoft.com/office/drawing/2014/chart" uri="{C3380CC4-5D6E-409C-BE32-E72D297353CC}">
              <c16:uniqueId val="{00000000-A297-48CB-BB7B-53D9CE3D07B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65935759810967531"/>
          <c:y val="3.6552910654954286E-2"/>
          <c:w val="0.31843950049431713"/>
          <c:h val="0.935701424605161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AC0D-48CE-9E76-115CE27BFC3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 64-65-66-67-68-69-70-71'!$A$115</c:f>
              <c:strCache>
                <c:ptCount val="1"/>
                <c:pt idx="0">
                  <c:v>Redevances superficiaires</c:v>
                </c:pt>
              </c:strCache>
            </c:strRef>
          </c:cat>
          <c:val>
            <c:numRef>
              <c:f>'Tab 64-65-66-67-68-69-70-71'!$C$115</c:f>
              <c:numCache>
                <c:formatCode>0%</c:formatCode>
                <c:ptCount val="1"/>
                <c:pt idx="0">
                  <c:v>1</c:v>
                </c:pt>
              </c:numCache>
            </c:numRef>
          </c:val>
          <c:extLst>
            <c:ext xmlns:c16="http://schemas.microsoft.com/office/drawing/2014/chart" uri="{C3380CC4-5D6E-409C-BE32-E72D297353CC}">
              <c16:uniqueId val="{00000000-11A9-4440-9EF7-0FF7731ABB6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3877616236121979"/>
          <c:y val="0.36487661007691963"/>
          <c:w val="0.25907032989882511"/>
          <c:h val="0.24668408356469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771525</xdr:colOff>
      <xdr:row>11</xdr:row>
      <xdr:rowOff>23812</xdr:rowOff>
    </xdr:from>
    <xdr:to>
      <xdr:col>5</xdr:col>
      <xdr:colOff>28575</xdr:colOff>
      <xdr:row>24</xdr:row>
      <xdr:rowOff>42862</xdr:rowOff>
    </xdr:to>
    <xdr:graphicFrame macro="">
      <xdr:nvGraphicFramePr>
        <xdr:cNvPr id="2" name="Graphique 1">
          <a:extLst>
            <a:ext uri="{FF2B5EF4-FFF2-40B4-BE49-F238E27FC236}">
              <a16:creationId xmlns:a16="http://schemas.microsoft.com/office/drawing/2014/main" id="{B88438D6-526F-4C04-BC15-D5940A23B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771525</xdr:colOff>
      <xdr:row>10</xdr:row>
      <xdr:rowOff>23812</xdr:rowOff>
    </xdr:from>
    <xdr:to>
      <xdr:col>5</xdr:col>
      <xdr:colOff>28575</xdr:colOff>
      <xdr:row>23</xdr:row>
      <xdr:rowOff>42862</xdr:rowOff>
    </xdr:to>
    <xdr:graphicFrame macro="">
      <xdr:nvGraphicFramePr>
        <xdr:cNvPr id="2" name="Graphique 1">
          <a:extLst>
            <a:ext uri="{FF2B5EF4-FFF2-40B4-BE49-F238E27FC236}">
              <a16:creationId xmlns:a16="http://schemas.microsoft.com/office/drawing/2014/main" id="{78140425-56DD-425B-9969-79452DB8D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52070</xdr:colOff>
      <xdr:row>23</xdr:row>
      <xdr:rowOff>156210</xdr:rowOff>
    </xdr:to>
    <xdr:pic>
      <xdr:nvPicPr>
        <xdr:cNvPr id="2" name="Image 1" descr="Une image contenant texte, capture d’écran, nombre, Police&#10;&#10;Description générée automatiquement">
          <a:extLst>
            <a:ext uri="{FF2B5EF4-FFF2-40B4-BE49-F238E27FC236}">
              <a16:creationId xmlns:a16="http://schemas.microsoft.com/office/drawing/2014/main" id="{3B6A4F25-62AF-4C16-9E34-03D30EAC2D82}"/>
            </a:ext>
          </a:extLst>
        </xdr:cNvPr>
        <xdr:cNvPicPr>
          <a:picLocks noChangeAspect="1"/>
        </xdr:cNvPicPr>
      </xdr:nvPicPr>
      <xdr:blipFill>
        <a:blip xmlns:r="http://schemas.openxmlformats.org/officeDocument/2006/relationships" r:embed="rId1"/>
        <a:stretch>
          <a:fillRect/>
        </a:stretch>
      </xdr:blipFill>
      <xdr:spPr>
        <a:xfrm>
          <a:off x="771525" y="1247775"/>
          <a:ext cx="5605145" cy="39281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16</xdr:row>
      <xdr:rowOff>95250</xdr:rowOff>
    </xdr:from>
    <xdr:to>
      <xdr:col>9</xdr:col>
      <xdr:colOff>361950</xdr:colOff>
      <xdr:row>36</xdr:row>
      <xdr:rowOff>9525</xdr:rowOff>
    </xdr:to>
    <xdr:graphicFrame macro="">
      <xdr:nvGraphicFramePr>
        <xdr:cNvPr id="3" name="Graphique 2">
          <a:extLst>
            <a:ext uri="{FF2B5EF4-FFF2-40B4-BE49-F238E27FC236}">
              <a16:creationId xmlns:a16="http://schemas.microsoft.com/office/drawing/2014/main" id="{842D55F1-73A9-7A4D-633D-5B9E062224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304799</xdr:colOff>
      <xdr:row>3</xdr:row>
      <xdr:rowOff>76200</xdr:rowOff>
    </xdr:from>
    <xdr:to>
      <xdr:col>8</xdr:col>
      <xdr:colOff>295274</xdr:colOff>
      <xdr:row>15</xdr:row>
      <xdr:rowOff>123825</xdr:rowOff>
    </xdr:to>
    <xdr:graphicFrame macro="">
      <xdr:nvGraphicFramePr>
        <xdr:cNvPr id="4" name="Graphique 3">
          <a:extLst>
            <a:ext uri="{FF2B5EF4-FFF2-40B4-BE49-F238E27FC236}">
              <a16:creationId xmlns:a16="http://schemas.microsoft.com/office/drawing/2014/main" id="{AE1A290C-CCC3-57F1-FA86-4E7181891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568325</xdr:colOff>
      <xdr:row>36</xdr:row>
      <xdr:rowOff>88900</xdr:rowOff>
    </xdr:from>
    <xdr:to>
      <xdr:col>9</xdr:col>
      <xdr:colOff>568325</xdr:colOff>
      <xdr:row>52</xdr:row>
      <xdr:rowOff>158750</xdr:rowOff>
    </xdr:to>
    <xdr:graphicFrame macro="">
      <xdr:nvGraphicFramePr>
        <xdr:cNvPr id="5" name="Graphique 4">
          <a:extLst>
            <a:ext uri="{FF2B5EF4-FFF2-40B4-BE49-F238E27FC236}">
              <a16:creationId xmlns:a16="http://schemas.microsoft.com/office/drawing/2014/main" id="{125882AA-9EE0-AE5C-9A23-03D930B19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130175</xdr:colOff>
      <xdr:row>53</xdr:row>
      <xdr:rowOff>95250</xdr:rowOff>
    </xdr:from>
    <xdr:to>
      <xdr:col>10</xdr:col>
      <xdr:colOff>625475</xdr:colOff>
      <xdr:row>66</xdr:row>
      <xdr:rowOff>104775</xdr:rowOff>
    </xdr:to>
    <xdr:graphicFrame macro="">
      <xdr:nvGraphicFramePr>
        <xdr:cNvPr id="6" name="Graphique 5">
          <a:extLst>
            <a:ext uri="{FF2B5EF4-FFF2-40B4-BE49-F238E27FC236}">
              <a16:creationId xmlns:a16="http://schemas.microsoft.com/office/drawing/2014/main" id="{EB9F692C-79EF-7AEA-CB53-B6C8E37417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244475</xdr:colOff>
      <xdr:row>72</xdr:row>
      <xdr:rowOff>104775</xdr:rowOff>
    </xdr:from>
    <xdr:to>
      <xdr:col>9</xdr:col>
      <xdr:colOff>241300</xdr:colOff>
      <xdr:row>88</xdr:row>
      <xdr:rowOff>136525</xdr:rowOff>
    </xdr:to>
    <xdr:graphicFrame macro="">
      <xdr:nvGraphicFramePr>
        <xdr:cNvPr id="9" name="Graphique 8">
          <a:extLst>
            <a:ext uri="{FF2B5EF4-FFF2-40B4-BE49-F238E27FC236}">
              <a16:creationId xmlns:a16="http://schemas.microsoft.com/office/drawing/2014/main" id="{D2170E01-71F2-5CD1-A755-F2BFB36F1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1225550</xdr:colOff>
      <xdr:row>89</xdr:row>
      <xdr:rowOff>41275</xdr:rowOff>
    </xdr:from>
    <xdr:to>
      <xdr:col>8</xdr:col>
      <xdr:colOff>485775</xdr:colOff>
      <xdr:row>106</xdr:row>
      <xdr:rowOff>92075</xdr:rowOff>
    </xdr:to>
    <xdr:graphicFrame macro="">
      <xdr:nvGraphicFramePr>
        <xdr:cNvPr id="10" name="Graphique 9">
          <a:extLst>
            <a:ext uri="{FF2B5EF4-FFF2-40B4-BE49-F238E27FC236}">
              <a16:creationId xmlns:a16="http://schemas.microsoft.com/office/drawing/2014/main" id="{ED6BBF92-1465-46D6-2ED7-227A0E8F6F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92075</xdr:colOff>
      <xdr:row>108</xdr:row>
      <xdr:rowOff>82550</xdr:rowOff>
    </xdr:from>
    <xdr:to>
      <xdr:col>10</xdr:col>
      <xdr:colOff>88900</xdr:colOff>
      <xdr:row>126</xdr:row>
      <xdr:rowOff>9525</xdr:rowOff>
    </xdr:to>
    <xdr:graphicFrame macro="">
      <xdr:nvGraphicFramePr>
        <xdr:cNvPr id="11" name="Graphique 10">
          <a:extLst>
            <a:ext uri="{FF2B5EF4-FFF2-40B4-BE49-F238E27FC236}">
              <a16:creationId xmlns:a16="http://schemas.microsoft.com/office/drawing/2014/main" id="{5DB4130B-B4CE-DD1A-DFE2-6B1370C5F1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962025</xdr:colOff>
      <xdr:row>126</xdr:row>
      <xdr:rowOff>142875</xdr:rowOff>
    </xdr:from>
    <xdr:to>
      <xdr:col>9</xdr:col>
      <xdr:colOff>466725</xdr:colOff>
      <xdr:row>144</xdr:row>
      <xdr:rowOff>47625</xdr:rowOff>
    </xdr:to>
    <xdr:graphicFrame macro="">
      <xdr:nvGraphicFramePr>
        <xdr:cNvPr id="12" name="Graphique 11">
          <a:extLst>
            <a:ext uri="{FF2B5EF4-FFF2-40B4-BE49-F238E27FC236}">
              <a16:creationId xmlns:a16="http://schemas.microsoft.com/office/drawing/2014/main" id="{C044E28F-79EF-E5E0-93C8-E303CC697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56707</xdr:colOff>
      <xdr:row>55</xdr:row>
      <xdr:rowOff>80699</xdr:rowOff>
    </xdr:from>
    <xdr:to>
      <xdr:col>10</xdr:col>
      <xdr:colOff>531628</xdr:colOff>
      <xdr:row>87</xdr:row>
      <xdr:rowOff>67030</xdr:rowOff>
    </xdr:to>
    <xdr:sp macro="" textlink="">
      <xdr:nvSpPr>
        <xdr:cNvPr id="127" name="Rectangle : coins arrondis 126">
          <a:extLst>
            <a:ext uri="{FF2B5EF4-FFF2-40B4-BE49-F238E27FC236}">
              <a16:creationId xmlns:a16="http://schemas.microsoft.com/office/drawing/2014/main" id="{78D302BA-0BE5-791D-4FDC-42E37BF964B4}"/>
            </a:ext>
          </a:extLst>
        </xdr:cNvPr>
        <xdr:cNvSpPr/>
      </xdr:nvSpPr>
      <xdr:spPr>
        <a:xfrm>
          <a:off x="6152707" y="8653199"/>
          <a:ext cx="1998921" cy="4973967"/>
        </a:xfrm>
        <a:prstGeom prst="roundRect">
          <a:avLst/>
        </a:prstGeom>
        <a:solidFill>
          <a:srgbClr val="E2F0D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7</xdr:col>
      <xdr:colOff>742021</xdr:colOff>
      <xdr:row>76</xdr:row>
      <xdr:rowOff>128969</xdr:rowOff>
    </xdr:from>
    <xdr:to>
      <xdr:col>11</xdr:col>
      <xdr:colOff>665298</xdr:colOff>
      <xdr:row>80</xdr:row>
      <xdr:rowOff>14314</xdr:rowOff>
    </xdr:to>
    <xdr:sp macro="" textlink="">
      <xdr:nvSpPr>
        <xdr:cNvPr id="128" name="Flèche : droite 127">
          <a:extLst>
            <a:ext uri="{FF2B5EF4-FFF2-40B4-BE49-F238E27FC236}">
              <a16:creationId xmlns:a16="http://schemas.microsoft.com/office/drawing/2014/main" id="{2C4F4709-BD82-233B-824F-21A2CC7993FD}"/>
            </a:ext>
          </a:extLst>
        </xdr:cNvPr>
        <xdr:cNvSpPr/>
      </xdr:nvSpPr>
      <xdr:spPr>
        <a:xfrm>
          <a:off x="6076021" y="11974605"/>
          <a:ext cx="2971277" cy="5088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7</xdr:col>
      <xdr:colOff>759338</xdr:colOff>
      <xdr:row>81</xdr:row>
      <xdr:rowOff>105183</xdr:rowOff>
    </xdr:from>
    <xdr:to>
      <xdr:col>11</xdr:col>
      <xdr:colOff>682615</xdr:colOff>
      <xdr:row>84</xdr:row>
      <xdr:rowOff>146393</xdr:rowOff>
    </xdr:to>
    <xdr:sp macro="" textlink="">
      <xdr:nvSpPr>
        <xdr:cNvPr id="129" name="Flèche : droite 128">
          <a:extLst>
            <a:ext uri="{FF2B5EF4-FFF2-40B4-BE49-F238E27FC236}">
              <a16:creationId xmlns:a16="http://schemas.microsoft.com/office/drawing/2014/main" id="{6C3513FA-5AFE-5960-7944-9A8F10C3652E}"/>
            </a:ext>
          </a:extLst>
        </xdr:cNvPr>
        <xdr:cNvSpPr/>
      </xdr:nvSpPr>
      <xdr:spPr>
        <a:xfrm>
          <a:off x="6093338" y="12730138"/>
          <a:ext cx="2971277" cy="5088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7</xdr:col>
      <xdr:colOff>751619</xdr:colOff>
      <xdr:row>71</xdr:row>
      <xdr:rowOff>45428</xdr:rowOff>
    </xdr:from>
    <xdr:to>
      <xdr:col>11</xdr:col>
      <xdr:colOff>674896</xdr:colOff>
      <xdr:row>74</xdr:row>
      <xdr:rowOff>86637</xdr:rowOff>
    </xdr:to>
    <xdr:sp macro="" textlink="">
      <xdr:nvSpPr>
        <xdr:cNvPr id="130" name="Flèche : droite 129">
          <a:extLst>
            <a:ext uri="{FF2B5EF4-FFF2-40B4-BE49-F238E27FC236}">
              <a16:creationId xmlns:a16="http://schemas.microsoft.com/office/drawing/2014/main" id="{68037FCC-B091-2BD2-6772-646131B29201}"/>
            </a:ext>
          </a:extLst>
        </xdr:cNvPr>
        <xdr:cNvSpPr/>
      </xdr:nvSpPr>
      <xdr:spPr>
        <a:xfrm>
          <a:off x="6085619" y="11111746"/>
          <a:ext cx="2971277" cy="5088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7</xdr:col>
      <xdr:colOff>742022</xdr:colOff>
      <xdr:row>67</xdr:row>
      <xdr:rowOff>68418</xdr:rowOff>
    </xdr:from>
    <xdr:to>
      <xdr:col>11</xdr:col>
      <xdr:colOff>665299</xdr:colOff>
      <xdr:row>70</xdr:row>
      <xdr:rowOff>109627</xdr:rowOff>
    </xdr:to>
    <xdr:sp macro="" textlink="">
      <xdr:nvSpPr>
        <xdr:cNvPr id="131" name="Flèche : droite 130">
          <a:extLst>
            <a:ext uri="{FF2B5EF4-FFF2-40B4-BE49-F238E27FC236}">
              <a16:creationId xmlns:a16="http://schemas.microsoft.com/office/drawing/2014/main" id="{AF451DEA-4A62-6BD0-40F9-1D7817A44C5E}"/>
            </a:ext>
          </a:extLst>
        </xdr:cNvPr>
        <xdr:cNvSpPr/>
      </xdr:nvSpPr>
      <xdr:spPr>
        <a:xfrm>
          <a:off x="6076022" y="10511282"/>
          <a:ext cx="2971277" cy="5088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0</xdr:col>
      <xdr:colOff>0</xdr:colOff>
      <xdr:row>55</xdr:row>
      <xdr:rowOff>91585</xdr:rowOff>
    </xdr:from>
    <xdr:to>
      <xdr:col>2</xdr:col>
      <xdr:colOff>474921</xdr:colOff>
      <xdr:row>87</xdr:row>
      <xdr:rowOff>77916</xdr:rowOff>
    </xdr:to>
    <xdr:sp macro="" textlink="">
      <xdr:nvSpPr>
        <xdr:cNvPr id="132" name="Rectangle : coins arrondis 131">
          <a:extLst>
            <a:ext uri="{FF2B5EF4-FFF2-40B4-BE49-F238E27FC236}">
              <a16:creationId xmlns:a16="http://schemas.microsoft.com/office/drawing/2014/main" id="{D005484B-2D4D-5656-F424-831C81291DA3}"/>
            </a:ext>
          </a:extLst>
        </xdr:cNvPr>
        <xdr:cNvSpPr/>
      </xdr:nvSpPr>
      <xdr:spPr>
        <a:xfrm>
          <a:off x="0" y="8664085"/>
          <a:ext cx="1998921" cy="4973967"/>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2000">
              <a:latin typeface="Trebuchet MS" panose="020B0603020202020204" pitchFamily="34" charset="0"/>
            </a:rPr>
            <a:t>Sociétés Pétrolières</a:t>
          </a:r>
        </a:p>
      </xdr:txBody>
    </xdr:sp>
    <xdr:clientData/>
  </xdr:twoCellAnchor>
  <xdr:twoCellAnchor>
    <xdr:from>
      <xdr:col>8</xdr:col>
      <xdr:colOff>233158</xdr:colOff>
      <xdr:row>56</xdr:row>
      <xdr:rowOff>72174</xdr:rowOff>
    </xdr:from>
    <xdr:to>
      <xdr:col>10</xdr:col>
      <xdr:colOff>385558</xdr:colOff>
      <xdr:row>65</xdr:row>
      <xdr:rowOff>144564</xdr:rowOff>
    </xdr:to>
    <xdr:sp macro="" textlink="">
      <xdr:nvSpPr>
        <xdr:cNvPr id="133" name="Rectangle : coins arrondis 132">
          <a:extLst>
            <a:ext uri="{FF2B5EF4-FFF2-40B4-BE49-F238E27FC236}">
              <a16:creationId xmlns:a16="http://schemas.microsoft.com/office/drawing/2014/main" id="{9CC400CA-836E-AF67-E93C-2BB3C5558B9D}"/>
            </a:ext>
          </a:extLst>
        </xdr:cNvPr>
        <xdr:cNvSpPr/>
      </xdr:nvSpPr>
      <xdr:spPr>
        <a:xfrm>
          <a:off x="6329158" y="8800538"/>
          <a:ext cx="1676400" cy="1475162"/>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latin typeface="Trebuchet MS" panose="020B0603020202020204" pitchFamily="34" charset="0"/>
            </a:rPr>
            <a:t>DGID</a:t>
          </a:r>
        </a:p>
      </xdr:txBody>
    </xdr:sp>
    <xdr:clientData/>
  </xdr:twoCellAnchor>
  <xdr:twoCellAnchor>
    <xdr:from>
      <xdr:col>8</xdr:col>
      <xdr:colOff>217967</xdr:colOff>
      <xdr:row>75</xdr:row>
      <xdr:rowOff>17169</xdr:rowOff>
    </xdr:from>
    <xdr:to>
      <xdr:col>10</xdr:col>
      <xdr:colOff>370367</xdr:colOff>
      <xdr:row>86</xdr:row>
      <xdr:rowOff>66401</xdr:rowOff>
    </xdr:to>
    <xdr:sp macro="" textlink="">
      <xdr:nvSpPr>
        <xdr:cNvPr id="134" name="Rectangle : coins arrondis 133">
          <a:extLst>
            <a:ext uri="{FF2B5EF4-FFF2-40B4-BE49-F238E27FC236}">
              <a16:creationId xmlns:a16="http://schemas.microsoft.com/office/drawing/2014/main" id="{0FECE09F-45C9-4D96-56BE-5A8ADE6CADD0}"/>
            </a:ext>
          </a:extLst>
        </xdr:cNvPr>
        <xdr:cNvSpPr/>
      </xdr:nvSpPr>
      <xdr:spPr>
        <a:xfrm>
          <a:off x="6313967" y="11706942"/>
          <a:ext cx="1676400" cy="1763732"/>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latin typeface="Trebuchet MS" panose="020B0603020202020204" pitchFamily="34" charset="0"/>
            </a:rPr>
            <a:t>MMG</a:t>
          </a:r>
        </a:p>
      </xdr:txBody>
    </xdr:sp>
    <xdr:clientData/>
  </xdr:twoCellAnchor>
  <xdr:twoCellAnchor>
    <xdr:from>
      <xdr:col>2</xdr:col>
      <xdr:colOff>648473</xdr:colOff>
      <xdr:row>61</xdr:row>
      <xdr:rowOff>59621</xdr:rowOff>
    </xdr:from>
    <xdr:to>
      <xdr:col>7</xdr:col>
      <xdr:colOff>726447</xdr:colOff>
      <xdr:row>65</xdr:row>
      <xdr:rowOff>55913</xdr:rowOff>
    </xdr:to>
    <xdr:sp macro="" textlink="">
      <xdr:nvSpPr>
        <xdr:cNvPr id="135" name="Flèche : droite 134">
          <a:extLst>
            <a:ext uri="{FF2B5EF4-FFF2-40B4-BE49-F238E27FC236}">
              <a16:creationId xmlns:a16="http://schemas.microsoft.com/office/drawing/2014/main" id="{9C9D87A5-C757-6B99-7EDC-70714EE2CEB7}"/>
            </a:ext>
          </a:extLst>
        </xdr:cNvPr>
        <xdr:cNvSpPr/>
      </xdr:nvSpPr>
      <xdr:spPr>
        <a:xfrm>
          <a:off x="2172473" y="9567303"/>
          <a:ext cx="3887974" cy="619746"/>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a:solidFill>
                <a:schemeClr val="tx1"/>
              </a:solidFill>
              <a:latin typeface="Trebuchet MS" panose="020B0603020202020204" pitchFamily="34" charset="0"/>
            </a:rPr>
            <a:t>Redevances à la production</a:t>
          </a:r>
        </a:p>
      </xdr:txBody>
    </xdr:sp>
    <xdr:clientData/>
  </xdr:twoCellAnchor>
  <xdr:twoCellAnchor>
    <xdr:from>
      <xdr:col>2</xdr:col>
      <xdr:colOff>648473</xdr:colOff>
      <xdr:row>67</xdr:row>
      <xdr:rowOff>83920</xdr:rowOff>
    </xdr:from>
    <xdr:to>
      <xdr:col>7</xdr:col>
      <xdr:colOff>726447</xdr:colOff>
      <xdr:row>70</xdr:row>
      <xdr:rowOff>125129</xdr:rowOff>
    </xdr:to>
    <xdr:sp macro="" textlink="">
      <xdr:nvSpPr>
        <xdr:cNvPr id="136" name="Flèche : droite 135">
          <a:extLst>
            <a:ext uri="{FF2B5EF4-FFF2-40B4-BE49-F238E27FC236}">
              <a16:creationId xmlns:a16="http://schemas.microsoft.com/office/drawing/2014/main" id="{E161E63A-734B-E40F-EDCA-57A2A8869276}"/>
            </a:ext>
          </a:extLst>
        </xdr:cNvPr>
        <xdr:cNvSpPr/>
      </xdr:nvSpPr>
      <xdr:spPr>
        <a:xfrm>
          <a:off x="2172473" y="10526784"/>
          <a:ext cx="3887974" cy="5088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a:solidFill>
                <a:schemeClr val="tx1"/>
              </a:solidFill>
              <a:latin typeface="Trebuchet MS" panose="020B0603020202020204" pitchFamily="34" charset="0"/>
            </a:rPr>
            <a:t>Redevance superficiaire </a:t>
          </a:r>
        </a:p>
      </xdr:txBody>
    </xdr:sp>
    <xdr:clientData/>
  </xdr:twoCellAnchor>
  <xdr:twoCellAnchor>
    <xdr:from>
      <xdr:col>2</xdr:col>
      <xdr:colOff>650499</xdr:colOff>
      <xdr:row>76</xdr:row>
      <xdr:rowOff>38483</xdr:rowOff>
    </xdr:from>
    <xdr:to>
      <xdr:col>7</xdr:col>
      <xdr:colOff>728473</xdr:colOff>
      <xdr:row>80</xdr:row>
      <xdr:rowOff>152332</xdr:rowOff>
    </xdr:to>
    <xdr:sp macro="" textlink="">
      <xdr:nvSpPr>
        <xdr:cNvPr id="137" name="Flèche : droite 136">
          <a:extLst>
            <a:ext uri="{FF2B5EF4-FFF2-40B4-BE49-F238E27FC236}">
              <a16:creationId xmlns:a16="http://schemas.microsoft.com/office/drawing/2014/main" id="{5A54BC94-B391-5617-BEF7-7000F66EC288}"/>
            </a:ext>
          </a:extLst>
        </xdr:cNvPr>
        <xdr:cNvSpPr/>
      </xdr:nvSpPr>
      <xdr:spPr>
        <a:xfrm>
          <a:off x="2174499" y="11884119"/>
          <a:ext cx="3887974" cy="737304"/>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a:solidFill>
                <a:schemeClr val="tx1"/>
              </a:solidFill>
              <a:latin typeface="Trebuchet MS" panose="020B0603020202020204" pitchFamily="34" charset="0"/>
            </a:rPr>
            <a:t>Fonds de Soutien à la Promotion Pétrolière</a:t>
          </a:r>
        </a:p>
      </xdr:txBody>
    </xdr:sp>
    <xdr:clientData/>
  </xdr:twoCellAnchor>
  <xdr:twoCellAnchor>
    <xdr:from>
      <xdr:col>2</xdr:col>
      <xdr:colOff>648490</xdr:colOff>
      <xdr:row>80</xdr:row>
      <xdr:rowOff>152332</xdr:rowOff>
    </xdr:from>
    <xdr:to>
      <xdr:col>7</xdr:col>
      <xdr:colOff>726464</xdr:colOff>
      <xdr:row>85</xdr:row>
      <xdr:rowOff>110317</xdr:rowOff>
    </xdr:to>
    <xdr:sp macro="" textlink="">
      <xdr:nvSpPr>
        <xdr:cNvPr id="138" name="Flèche : droite 137">
          <a:extLst>
            <a:ext uri="{FF2B5EF4-FFF2-40B4-BE49-F238E27FC236}">
              <a16:creationId xmlns:a16="http://schemas.microsoft.com/office/drawing/2014/main" id="{46E7B104-BC7B-F155-F570-124417624348}"/>
            </a:ext>
          </a:extLst>
        </xdr:cNvPr>
        <xdr:cNvSpPr/>
      </xdr:nvSpPr>
      <xdr:spPr>
        <a:xfrm>
          <a:off x="2172490" y="12621423"/>
          <a:ext cx="3887974" cy="737303"/>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a:solidFill>
                <a:schemeClr val="tx1"/>
              </a:solidFill>
              <a:latin typeface="Trebuchet MS" panose="020B0603020202020204" pitchFamily="34" charset="0"/>
            </a:rPr>
            <a:t>Fonds de Soutien aux Projets de Développement Communautaire</a:t>
          </a:r>
        </a:p>
      </xdr:txBody>
    </xdr:sp>
    <xdr:clientData/>
  </xdr:twoCellAnchor>
  <xdr:twoCellAnchor>
    <xdr:from>
      <xdr:col>4</xdr:col>
      <xdr:colOff>272128</xdr:colOff>
      <xdr:row>53</xdr:row>
      <xdr:rowOff>71757</xdr:rowOff>
    </xdr:from>
    <xdr:to>
      <xdr:col>6</xdr:col>
      <xdr:colOff>478956</xdr:colOff>
      <xdr:row>55</xdr:row>
      <xdr:rowOff>141030</xdr:rowOff>
    </xdr:to>
    <xdr:sp macro="" textlink="">
      <xdr:nvSpPr>
        <xdr:cNvPr id="139" name="Flèche : droite 138">
          <a:extLst>
            <a:ext uri="{FF2B5EF4-FFF2-40B4-BE49-F238E27FC236}">
              <a16:creationId xmlns:a16="http://schemas.microsoft.com/office/drawing/2014/main" id="{DB0C5169-FD9B-6752-3A8D-EE3D4A292E51}"/>
            </a:ext>
          </a:extLst>
        </xdr:cNvPr>
        <xdr:cNvSpPr/>
      </xdr:nvSpPr>
      <xdr:spPr>
        <a:xfrm>
          <a:off x="3320128" y="8332530"/>
          <a:ext cx="1730828"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spécifiques</a:t>
          </a:r>
        </a:p>
      </xdr:txBody>
    </xdr:sp>
    <xdr:clientData/>
  </xdr:twoCellAnchor>
  <xdr:twoCellAnchor>
    <xdr:from>
      <xdr:col>4</xdr:col>
      <xdr:colOff>272128</xdr:colOff>
      <xdr:row>86</xdr:row>
      <xdr:rowOff>16976</xdr:rowOff>
    </xdr:from>
    <xdr:to>
      <xdr:col>6</xdr:col>
      <xdr:colOff>478956</xdr:colOff>
      <xdr:row>88</xdr:row>
      <xdr:rowOff>86249</xdr:rowOff>
    </xdr:to>
    <xdr:sp macro="" textlink="">
      <xdr:nvSpPr>
        <xdr:cNvPr id="140" name="Flèche : droite 139">
          <a:extLst>
            <a:ext uri="{FF2B5EF4-FFF2-40B4-BE49-F238E27FC236}">
              <a16:creationId xmlns:a16="http://schemas.microsoft.com/office/drawing/2014/main" id="{117B0BC2-36A0-9DBE-1723-E466B49DFB9A}"/>
            </a:ext>
          </a:extLst>
        </xdr:cNvPr>
        <xdr:cNvSpPr/>
      </xdr:nvSpPr>
      <xdr:spPr>
        <a:xfrm>
          <a:off x="3320128" y="13421249"/>
          <a:ext cx="1730828" cy="381000"/>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de droit commun</a:t>
          </a:r>
        </a:p>
      </xdr:txBody>
    </xdr:sp>
    <xdr:clientData/>
  </xdr:twoCellAnchor>
  <xdr:twoCellAnchor>
    <xdr:from>
      <xdr:col>2</xdr:col>
      <xdr:colOff>648473</xdr:colOff>
      <xdr:row>56</xdr:row>
      <xdr:rowOff>85103</xdr:rowOff>
    </xdr:from>
    <xdr:to>
      <xdr:col>7</xdr:col>
      <xdr:colOff>726447</xdr:colOff>
      <xdr:row>60</xdr:row>
      <xdr:rowOff>81394</xdr:rowOff>
    </xdr:to>
    <xdr:sp macro="" textlink="">
      <xdr:nvSpPr>
        <xdr:cNvPr id="141" name="Flèche : droite 140">
          <a:extLst>
            <a:ext uri="{FF2B5EF4-FFF2-40B4-BE49-F238E27FC236}">
              <a16:creationId xmlns:a16="http://schemas.microsoft.com/office/drawing/2014/main" id="{574F61A7-FF8F-64A3-B216-0743C8B98E36}"/>
            </a:ext>
          </a:extLst>
        </xdr:cNvPr>
        <xdr:cNvSpPr/>
      </xdr:nvSpPr>
      <xdr:spPr>
        <a:xfrm>
          <a:off x="2172473" y="8813467"/>
          <a:ext cx="3887974" cy="619745"/>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a:solidFill>
                <a:schemeClr val="tx1"/>
              </a:solidFill>
              <a:latin typeface="Trebuchet MS" panose="020B0603020202020204" pitchFamily="34" charset="0"/>
            </a:rPr>
            <a:t>IMF, IS, IMF</a:t>
          </a:r>
        </a:p>
      </xdr:txBody>
    </xdr:sp>
    <xdr:clientData/>
  </xdr:twoCellAnchor>
  <xdr:twoCellAnchor>
    <xdr:from>
      <xdr:col>8</xdr:col>
      <xdr:colOff>232033</xdr:colOff>
      <xdr:row>67</xdr:row>
      <xdr:rowOff>47807</xdr:rowOff>
    </xdr:from>
    <xdr:to>
      <xdr:col>10</xdr:col>
      <xdr:colOff>384433</xdr:colOff>
      <xdr:row>74</xdr:row>
      <xdr:rowOff>26202</xdr:rowOff>
    </xdr:to>
    <xdr:sp macro="" textlink="">
      <xdr:nvSpPr>
        <xdr:cNvPr id="142" name="Rectangle : coins arrondis 141">
          <a:extLst>
            <a:ext uri="{FF2B5EF4-FFF2-40B4-BE49-F238E27FC236}">
              <a16:creationId xmlns:a16="http://schemas.microsoft.com/office/drawing/2014/main" id="{090FC022-B2F0-B999-8438-18AD517D18F8}"/>
            </a:ext>
          </a:extLst>
        </xdr:cNvPr>
        <xdr:cNvSpPr/>
      </xdr:nvSpPr>
      <xdr:spPr>
        <a:xfrm>
          <a:off x="6328033" y="10490671"/>
          <a:ext cx="1676400" cy="1069440"/>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latin typeface="Trebuchet MS" panose="020B0603020202020204" pitchFamily="34" charset="0"/>
            </a:rPr>
            <a:t>DGTCP</a:t>
          </a:r>
        </a:p>
      </xdr:txBody>
    </xdr:sp>
    <xdr:clientData/>
  </xdr:twoCellAnchor>
  <xdr:twoCellAnchor>
    <xdr:from>
      <xdr:col>11</xdr:col>
      <xdr:colOff>701875</xdr:colOff>
      <xdr:row>67</xdr:row>
      <xdr:rowOff>47807</xdr:rowOff>
    </xdr:from>
    <xdr:to>
      <xdr:col>13</xdr:col>
      <xdr:colOff>625663</xdr:colOff>
      <xdr:row>70</xdr:row>
      <xdr:rowOff>28540</xdr:rowOff>
    </xdr:to>
    <xdr:sp macro="" textlink="">
      <xdr:nvSpPr>
        <xdr:cNvPr id="143" name="Rectangle : coins arrondis 142">
          <a:extLst>
            <a:ext uri="{FF2B5EF4-FFF2-40B4-BE49-F238E27FC236}">
              <a16:creationId xmlns:a16="http://schemas.microsoft.com/office/drawing/2014/main" id="{9C477EF1-5982-5E5D-D5A4-3FD9A7718647}"/>
            </a:ext>
          </a:extLst>
        </xdr:cNvPr>
        <xdr:cNvSpPr/>
      </xdr:nvSpPr>
      <xdr:spPr>
        <a:xfrm>
          <a:off x="9083875" y="10490671"/>
          <a:ext cx="1447788" cy="448324"/>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latin typeface="Trebuchet MS" panose="020B0603020202020204" pitchFamily="34" charset="0"/>
            </a:rPr>
            <a:t>MMG</a:t>
          </a:r>
        </a:p>
      </xdr:txBody>
    </xdr:sp>
    <xdr:clientData/>
  </xdr:twoCellAnchor>
  <xdr:twoCellAnchor>
    <xdr:from>
      <xdr:col>11</xdr:col>
      <xdr:colOff>711472</xdr:colOff>
      <xdr:row>77</xdr:row>
      <xdr:rowOff>3342</xdr:rowOff>
    </xdr:from>
    <xdr:to>
      <xdr:col>13</xdr:col>
      <xdr:colOff>635260</xdr:colOff>
      <xdr:row>84</xdr:row>
      <xdr:rowOff>146392</xdr:rowOff>
    </xdr:to>
    <xdr:sp macro="" textlink="">
      <xdr:nvSpPr>
        <xdr:cNvPr id="144" name="Rectangle : coins arrondis 143">
          <a:extLst>
            <a:ext uri="{FF2B5EF4-FFF2-40B4-BE49-F238E27FC236}">
              <a16:creationId xmlns:a16="http://schemas.microsoft.com/office/drawing/2014/main" id="{B229096F-93E5-5BF5-6E47-984ADD2B878A}"/>
            </a:ext>
          </a:extLst>
        </xdr:cNvPr>
        <xdr:cNvSpPr/>
      </xdr:nvSpPr>
      <xdr:spPr>
        <a:xfrm>
          <a:off x="9093472" y="12004842"/>
          <a:ext cx="1447788" cy="1234095"/>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latin typeface="Trebuchet MS" panose="020B0603020202020204" pitchFamily="34" charset="0"/>
            </a:rPr>
            <a:t>DGP</a:t>
          </a:r>
        </a:p>
      </xdr:txBody>
    </xdr:sp>
    <xdr:clientData/>
  </xdr:twoCellAnchor>
  <xdr:twoCellAnchor>
    <xdr:from>
      <xdr:col>2</xdr:col>
      <xdr:colOff>648473</xdr:colOff>
      <xdr:row>71</xdr:row>
      <xdr:rowOff>55979</xdr:rowOff>
    </xdr:from>
    <xdr:to>
      <xdr:col>7</xdr:col>
      <xdr:colOff>726447</xdr:colOff>
      <xdr:row>74</xdr:row>
      <xdr:rowOff>97188</xdr:rowOff>
    </xdr:to>
    <xdr:sp macro="" textlink="">
      <xdr:nvSpPr>
        <xdr:cNvPr id="145" name="Flèche : droite 144">
          <a:extLst>
            <a:ext uri="{FF2B5EF4-FFF2-40B4-BE49-F238E27FC236}">
              <a16:creationId xmlns:a16="http://schemas.microsoft.com/office/drawing/2014/main" id="{BE1AF83A-73F0-B932-C2CB-C882038B778C}"/>
            </a:ext>
          </a:extLst>
        </xdr:cNvPr>
        <xdr:cNvSpPr/>
      </xdr:nvSpPr>
      <xdr:spPr>
        <a:xfrm>
          <a:off x="2172473" y="11122297"/>
          <a:ext cx="3887974" cy="5088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Paiements environnementaux</a:t>
          </a:r>
        </a:p>
      </xdr:txBody>
    </xdr:sp>
    <xdr:clientData/>
  </xdr:twoCellAnchor>
  <xdr:twoCellAnchor>
    <xdr:from>
      <xdr:col>11</xdr:col>
      <xdr:colOff>711472</xdr:colOff>
      <xdr:row>71</xdr:row>
      <xdr:rowOff>67914</xdr:rowOff>
    </xdr:from>
    <xdr:to>
      <xdr:col>13</xdr:col>
      <xdr:colOff>635260</xdr:colOff>
      <xdr:row>74</xdr:row>
      <xdr:rowOff>48647</xdr:rowOff>
    </xdr:to>
    <xdr:sp macro="" textlink="">
      <xdr:nvSpPr>
        <xdr:cNvPr id="146" name="Rectangle : coins arrondis 145">
          <a:extLst>
            <a:ext uri="{FF2B5EF4-FFF2-40B4-BE49-F238E27FC236}">
              <a16:creationId xmlns:a16="http://schemas.microsoft.com/office/drawing/2014/main" id="{6761D472-AF80-ACED-DCCB-ABBA09576676}"/>
            </a:ext>
          </a:extLst>
        </xdr:cNvPr>
        <xdr:cNvSpPr/>
      </xdr:nvSpPr>
      <xdr:spPr>
        <a:xfrm>
          <a:off x="9093472" y="11134232"/>
          <a:ext cx="1447788" cy="448324"/>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fr-FR" sz="1600" b="1" i="0" u="none" strike="noStrike" kern="1200" cap="none" spc="0" normalizeH="0" baseline="0">
              <a:ln>
                <a:noFill/>
              </a:ln>
              <a:solidFill>
                <a:prstClr val="white"/>
              </a:solidFill>
              <a:effectLst/>
              <a:uLnTx/>
              <a:uFillTx/>
              <a:latin typeface="Trebuchet MS" panose="020B0603020202020204" pitchFamily="34" charset="0"/>
              <a:ea typeface="+mn-ea"/>
              <a:cs typeface="+mn-cs"/>
            </a:rPr>
            <a:t>FNE - MEDD</a:t>
          </a:r>
        </a:p>
      </xdr:txBody>
    </xdr:sp>
    <xdr:clientData/>
  </xdr:twoCellAnchor>
  <xdr:twoCellAnchor>
    <xdr:from>
      <xdr:col>8</xdr:col>
      <xdr:colOff>92276</xdr:colOff>
      <xdr:row>53</xdr:row>
      <xdr:rowOff>0</xdr:rowOff>
    </xdr:from>
    <xdr:to>
      <xdr:col>10</xdr:col>
      <xdr:colOff>531628</xdr:colOff>
      <xdr:row>54</xdr:row>
      <xdr:rowOff>130681</xdr:rowOff>
    </xdr:to>
    <xdr:sp macro="" textlink="">
      <xdr:nvSpPr>
        <xdr:cNvPr id="147" name="Rectangle : coins arrondis 146">
          <a:extLst>
            <a:ext uri="{FF2B5EF4-FFF2-40B4-BE49-F238E27FC236}">
              <a16:creationId xmlns:a16="http://schemas.microsoft.com/office/drawing/2014/main" id="{226472A8-3693-47D1-19C7-05B262192F18}"/>
            </a:ext>
          </a:extLst>
        </xdr:cNvPr>
        <xdr:cNvSpPr/>
      </xdr:nvSpPr>
      <xdr:spPr>
        <a:xfrm>
          <a:off x="6188276" y="8260773"/>
          <a:ext cx="1963352" cy="286544"/>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Entité perceptrice</a:t>
          </a:r>
        </a:p>
      </xdr:txBody>
    </xdr:sp>
    <xdr:clientData/>
  </xdr:twoCellAnchor>
  <xdr:twoCellAnchor>
    <xdr:from>
      <xdr:col>11</xdr:col>
      <xdr:colOff>638058</xdr:colOff>
      <xdr:row>53</xdr:row>
      <xdr:rowOff>10660</xdr:rowOff>
    </xdr:from>
    <xdr:to>
      <xdr:col>13</xdr:col>
      <xdr:colOff>625663</xdr:colOff>
      <xdr:row>54</xdr:row>
      <xdr:rowOff>141341</xdr:rowOff>
    </xdr:to>
    <xdr:sp macro="" textlink="">
      <xdr:nvSpPr>
        <xdr:cNvPr id="148" name="Rectangle : coins arrondis 147">
          <a:extLst>
            <a:ext uri="{FF2B5EF4-FFF2-40B4-BE49-F238E27FC236}">
              <a16:creationId xmlns:a16="http://schemas.microsoft.com/office/drawing/2014/main" id="{AC78EA39-5653-54A1-3025-736A7CD0077D}"/>
            </a:ext>
          </a:extLst>
        </xdr:cNvPr>
        <xdr:cNvSpPr/>
      </xdr:nvSpPr>
      <xdr:spPr>
        <a:xfrm>
          <a:off x="9020058" y="8271433"/>
          <a:ext cx="1511605" cy="286544"/>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Affectation</a:t>
          </a:r>
        </a:p>
      </xdr:txBody>
    </xdr:sp>
    <xdr:clientData/>
  </xdr:twoCellAnchor>
  <xdr:twoCellAnchor>
    <xdr:from>
      <xdr:col>0</xdr:col>
      <xdr:colOff>35569</xdr:colOff>
      <xdr:row>53</xdr:row>
      <xdr:rowOff>10660</xdr:rowOff>
    </xdr:from>
    <xdr:to>
      <xdr:col>2</xdr:col>
      <xdr:colOff>474921</xdr:colOff>
      <xdr:row>54</xdr:row>
      <xdr:rowOff>141341</xdr:rowOff>
    </xdr:to>
    <xdr:sp macro="" textlink="">
      <xdr:nvSpPr>
        <xdr:cNvPr id="149" name="Rectangle : coins arrondis 148">
          <a:extLst>
            <a:ext uri="{FF2B5EF4-FFF2-40B4-BE49-F238E27FC236}">
              <a16:creationId xmlns:a16="http://schemas.microsoft.com/office/drawing/2014/main" id="{3AFDB469-521F-C522-B739-837C6F9D26FE}"/>
            </a:ext>
          </a:extLst>
        </xdr:cNvPr>
        <xdr:cNvSpPr/>
      </xdr:nvSpPr>
      <xdr:spPr>
        <a:xfrm>
          <a:off x="35569" y="8271433"/>
          <a:ext cx="1963352" cy="286544"/>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Secteur pétrolier</a:t>
          </a:r>
        </a:p>
      </xdr:txBody>
    </xdr:sp>
    <xdr:clientData/>
  </xdr:twoCellAnchor>
  <xdr:twoCellAnchor>
    <xdr:from>
      <xdr:col>8</xdr:col>
      <xdr:colOff>92075</xdr:colOff>
      <xdr:row>4</xdr:row>
      <xdr:rowOff>72447</xdr:rowOff>
    </xdr:from>
    <xdr:to>
      <xdr:col>10</xdr:col>
      <xdr:colOff>566738</xdr:colOff>
      <xdr:row>37</xdr:row>
      <xdr:rowOff>51936</xdr:rowOff>
    </xdr:to>
    <xdr:sp macro="" textlink="">
      <xdr:nvSpPr>
        <xdr:cNvPr id="2" name="Rectangle : coins arrondis 1">
          <a:extLst>
            <a:ext uri="{FF2B5EF4-FFF2-40B4-BE49-F238E27FC236}">
              <a16:creationId xmlns:a16="http://schemas.microsoft.com/office/drawing/2014/main" id="{333E0960-5D38-F1E1-43F3-676466780038}"/>
            </a:ext>
          </a:extLst>
        </xdr:cNvPr>
        <xdr:cNvSpPr/>
      </xdr:nvSpPr>
      <xdr:spPr>
        <a:xfrm>
          <a:off x="6188075" y="695902"/>
          <a:ext cx="1998663" cy="5122989"/>
        </a:xfrm>
        <a:prstGeom prst="roundRect">
          <a:avLst/>
        </a:prstGeom>
        <a:solidFill>
          <a:srgbClr val="E2F0D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42862</xdr:colOff>
      <xdr:row>13</xdr:row>
      <xdr:rowOff>128587</xdr:rowOff>
    </xdr:from>
    <xdr:to>
      <xdr:col>11</xdr:col>
      <xdr:colOff>728662</xdr:colOff>
      <xdr:row>17</xdr:row>
      <xdr:rowOff>13132</xdr:rowOff>
    </xdr:to>
    <xdr:sp macro="" textlink="">
      <xdr:nvSpPr>
        <xdr:cNvPr id="3" name="Flèche : droite 2">
          <a:extLst>
            <a:ext uri="{FF2B5EF4-FFF2-40B4-BE49-F238E27FC236}">
              <a16:creationId xmlns:a16="http://schemas.microsoft.com/office/drawing/2014/main" id="{E5266996-68C8-05F8-D1C7-A600946B4B34}"/>
            </a:ext>
          </a:extLst>
        </xdr:cNvPr>
        <xdr:cNvSpPr/>
      </xdr:nvSpPr>
      <xdr:spPr>
        <a:xfrm>
          <a:off x="6138862" y="2154814"/>
          <a:ext cx="2971800" cy="5080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8</xdr:col>
      <xdr:colOff>42863</xdr:colOff>
      <xdr:row>10</xdr:row>
      <xdr:rowOff>151424</xdr:rowOff>
    </xdr:from>
    <xdr:to>
      <xdr:col>11</xdr:col>
      <xdr:colOff>728663</xdr:colOff>
      <xdr:row>14</xdr:row>
      <xdr:rowOff>35969</xdr:rowOff>
    </xdr:to>
    <xdr:sp macro="" textlink="">
      <xdr:nvSpPr>
        <xdr:cNvPr id="4" name="Flèche : droite 3">
          <a:extLst>
            <a:ext uri="{FF2B5EF4-FFF2-40B4-BE49-F238E27FC236}">
              <a16:creationId xmlns:a16="http://schemas.microsoft.com/office/drawing/2014/main" id="{0B398EDF-C54E-2AAB-E029-0D6B04A1EE37}"/>
            </a:ext>
          </a:extLst>
        </xdr:cNvPr>
        <xdr:cNvSpPr/>
      </xdr:nvSpPr>
      <xdr:spPr>
        <a:xfrm>
          <a:off x="6138863" y="1710060"/>
          <a:ext cx="2971800" cy="5080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8</xdr:col>
      <xdr:colOff>42863</xdr:colOff>
      <xdr:row>16</xdr:row>
      <xdr:rowOff>90193</xdr:rowOff>
    </xdr:from>
    <xdr:to>
      <xdr:col>11</xdr:col>
      <xdr:colOff>738188</xdr:colOff>
      <xdr:row>19</xdr:row>
      <xdr:rowOff>132189</xdr:rowOff>
    </xdr:to>
    <xdr:sp macro="" textlink="">
      <xdr:nvSpPr>
        <xdr:cNvPr id="5" name="Flèche : droite 4">
          <a:extLst>
            <a:ext uri="{FF2B5EF4-FFF2-40B4-BE49-F238E27FC236}">
              <a16:creationId xmlns:a16="http://schemas.microsoft.com/office/drawing/2014/main" id="{9AE7CCCD-59E1-CE8F-A2D1-FE7E81268363}"/>
            </a:ext>
          </a:extLst>
        </xdr:cNvPr>
        <xdr:cNvSpPr/>
      </xdr:nvSpPr>
      <xdr:spPr>
        <a:xfrm>
          <a:off x="6138863" y="2584011"/>
          <a:ext cx="2981325" cy="509587"/>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8</xdr:col>
      <xdr:colOff>52388</xdr:colOff>
      <xdr:row>7</xdr:row>
      <xdr:rowOff>128224</xdr:rowOff>
    </xdr:from>
    <xdr:to>
      <xdr:col>11</xdr:col>
      <xdr:colOff>738188</xdr:colOff>
      <xdr:row>11</xdr:row>
      <xdr:rowOff>12769</xdr:rowOff>
    </xdr:to>
    <xdr:sp macro="" textlink="">
      <xdr:nvSpPr>
        <xdr:cNvPr id="6" name="Flèche : droite 5">
          <a:extLst>
            <a:ext uri="{FF2B5EF4-FFF2-40B4-BE49-F238E27FC236}">
              <a16:creationId xmlns:a16="http://schemas.microsoft.com/office/drawing/2014/main" id="{E7A0797C-8D3B-A052-6624-246BEED0BB12}"/>
            </a:ext>
          </a:extLst>
        </xdr:cNvPr>
        <xdr:cNvSpPr/>
      </xdr:nvSpPr>
      <xdr:spPr>
        <a:xfrm>
          <a:off x="6148388" y="1219269"/>
          <a:ext cx="2971800" cy="508000"/>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0</xdr:col>
      <xdr:colOff>0</xdr:colOff>
      <xdr:row>4</xdr:row>
      <xdr:rowOff>153409</xdr:rowOff>
    </xdr:from>
    <xdr:to>
      <xdr:col>2</xdr:col>
      <xdr:colOff>474663</xdr:colOff>
      <xdr:row>41</xdr:row>
      <xdr:rowOff>58593</xdr:rowOff>
    </xdr:to>
    <xdr:sp macro="" textlink="">
      <xdr:nvSpPr>
        <xdr:cNvPr id="7" name="Rectangle : coins arrondis 6">
          <a:extLst>
            <a:ext uri="{FF2B5EF4-FFF2-40B4-BE49-F238E27FC236}">
              <a16:creationId xmlns:a16="http://schemas.microsoft.com/office/drawing/2014/main" id="{B341A300-E7BB-C713-99E2-2D17B8211167}"/>
            </a:ext>
          </a:extLst>
        </xdr:cNvPr>
        <xdr:cNvSpPr/>
      </xdr:nvSpPr>
      <xdr:spPr>
        <a:xfrm>
          <a:off x="0" y="776864"/>
          <a:ext cx="1998663" cy="5672138"/>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2000">
              <a:latin typeface="Trebuchet MS" panose="020B0603020202020204" pitchFamily="34" charset="0"/>
            </a:rPr>
            <a:t>Sociétés minières, Coopératives, BAIE, Fonderies &amp; agents collecteurs</a:t>
          </a:r>
        </a:p>
      </xdr:txBody>
    </xdr:sp>
    <xdr:clientData/>
  </xdr:twoCellAnchor>
  <xdr:twoCellAnchor>
    <xdr:from>
      <xdr:col>8</xdr:col>
      <xdr:colOff>268288</xdr:colOff>
      <xdr:row>4</xdr:row>
      <xdr:rowOff>153409</xdr:rowOff>
    </xdr:from>
    <xdr:to>
      <xdr:col>10</xdr:col>
      <xdr:colOff>420688</xdr:colOff>
      <xdr:row>7</xdr:row>
      <xdr:rowOff>136669</xdr:rowOff>
    </xdr:to>
    <xdr:sp macro="" textlink="">
      <xdr:nvSpPr>
        <xdr:cNvPr id="8" name="Rectangle : coins arrondis 7">
          <a:extLst>
            <a:ext uri="{FF2B5EF4-FFF2-40B4-BE49-F238E27FC236}">
              <a16:creationId xmlns:a16="http://schemas.microsoft.com/office/drawing/2014/main" id="{3EA9324C-AF7E-ED75-A6FE-0742EE32359A}"/>
            </a:ext>
          </a:extLst>
        </xdr:cNvPr>
        <xdr:cNvSpPr/>
      </xdr:nvSpPr>
      <xdr:spPr>
        <a:xfrm>
          <a:off x="6364288" y="776864"/>
          <a:ext cx="1676400" cy="450850"/>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latin typeface="Trebuchet MS" panose="020B0603020202020204" pitchFamily="34" charset="0"/>
            </a:rPr>
            <a:t>DGDDI</a:t>
          </a:r>
        </a:p>
      </xdr:txBody>
    </xdr:sp>
    <xdr:clientData/>
  </xdr:twoCellAnchor>
  <xdr:twoCellAnchor>
    <xdr:from>
      <xdr:col>8</xdr:col>
      <xdr:colOff>268288</xdr:colOff>
      <xdr:row>22</xdr:row>
      <xdr:rowOff>59314</xdr:rowOff>
    </xdr:from>
    <xdr:to>
      <xdr:col>10</xdr:col>
      <xdr:colOff>420688</xdr:colOff>
      <xdr:row>37</xdr:row>
      <xdr:rowOff>139122</xdr:rowOff>
    </xdr:to>
    <xdr:sp macro="" textlink="">
      <xdr:nvSpPr>
        <xdr:cNvPr id="9" name="Rectangle : coins arrondis 8">
          <a:extLst>
            <a:ext uri="{FF2B5EF4-FFF2-40B4-BE49-F238E27FC236}">
              <a16:creationId xmlns:a16="http://schemas.microsoft.com/office/drawing/2014/main" id="{00F635B0-5A88-7FE9-A29F-41A5D9F8EEFD}"/>
            </a:ext>
          </a:extLst>
        </xdr:cNvPr>
        <xdr:cNvSpPr/>
      </xdr:nvSpPr>
      <xdr:spPr>
        <a:xfrm>
          <a:off x="6364288" y="3488314"/>
          <a:ext cx="1676400" cy="2417763"/>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254000</xdr:colOff>
      <xdr:row>8</xdr:row>
      <xdr:rowOff>50655</xdr:rowOff>
    </xdr:from>
    <xdr:to>
      <xdr:col>10</xdr:col>
      <xdr:colOff>406400</xdr:colOff>
      <xdr:row>19</xdr:row>
      <xdr:rowOff>85580</xdr:rowOff>
    </xdr:to>
    <xdr:sp macro="" textlink="">
      <xdr:nvSpPr>
        <xdr:cNvPr id="10" name="Rectangle : coins arrondis 9">
          <a:extLst>
            <a:ext uri="{FF2B5EF4-FFF2-40B4-BE49-F238E27FC236}">
              <a16:creationId xmlns:a16="http://schemas.microsoft.com/office/drawing/2014/main" id="{5DC30733-6786-49B1-316A-D673ED834E1C}"/>
            </a:ext>
          </a:extLst>
        </xdr:cNvPr>
        <xdr:cNvSpPr/>
      </xdr:nvSpPr>
      <xdr:spPr>
        <a:xfrm>
          <a:off x="6350000" y="1297564"/>
          <a:ext cx="1676400" cy="1749425"/>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solidFill>
                <a:schemeClr val="bg1"/>
              </a:solidFill>
              <a:latin typeface="Trebuchet MS" panose="020B0603020202020204" pitchFamily="34" charset="0"/>
            </a:rPr>
            <a:t>DGTCP</a:t>
          </a:r>
        </a:p>
      </xdr:txBody>
    </xdr:sp>
    <xdr:clientData/>
  </xdr:twoCellAnchor>
  <xdr:twoCellAnchor>
    <xdr:from>
      <xdr:col>2</xdr:col>
      <xdr:colOff>674689</xdr:colOff>
      <xdr:row>13</xdr:row>
      <xdr:rowOff>130333</xdr:rowOff>
    </xdr:from>
    <xdr:to>
      <xdr:col>8</xdr:col>
      <xdr:colOff>3174</xdr:colOff>
      <xdr:row>17</xdr:row>
      <xdr:rowOff>14878</xdr:rowOff>
    </xdr:to>
    <xdr:sp macro="" textlink="">
      <xdr:nvSpPr>
        <xdr:cNvPr id="11" name="Flèche : droite 10">
          <a:extLst>
            <a:ext uri="{FF2B5EF4-FFF2-40B4-BE49-F238E27FC236}">
              <a16:creationId xmlns:a16="http://schemas.microsoft.com/office/drawing/2014/main" id="{A65381BD-752F-AA34-B4FB-88DD6D717F05}"/>
            </a:ext>
          </a:extLst>
        </xdr:cNvPr>
        <xdr:cNvSpPr/>
      </xdr:nvSpPr>
      <xdr:spPr>
        <a:xfrm>
          <a:off x="2198689" y="2156560"/>
          <a:ext cx="3900485" cy="508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SPPK</a:t>
          </a:r>
        </a:p>
      </xdr:txBody>
    </xdr:sp>
    <xdr:clientData/>
  </xdr:twoCellAnchor>
  <xdr:twoCellAnchor>
    <xdr:from>
      <xdr:col>2</xdr:col>
      <xdr:colOff>687388</xdr:colOff>
      <xdr:row>7</xdr:row>
      <xdr:rowOff>118699</xdr:rowOff>
    </xdr:from>
    <xdr:to>
      <xdr:col>8</xdr:col>
      <xdr:colOff>3175</xdr:colOff>
      <xdr:row>11</xdr:row>
      <xdr:rowOff>4831</xdr:rowOff>
    </xdr:to>
    <xdr:sp macro="" textlink="">
      <xdr:nvSpPr>
        <xdr:cNvPr id="12" name="Flèche : droite 11">
          <a:extLst>
            <a:ext uri="{FF2B5EF4-FFF2-40B4-BE49-F238E27FC236}">
              <a16:creationId xmlns:a16="http://schemas.microsoft.com/office/drawing/2014/main" id="{9FFFE1A1-5A92-E5A9-2048-0FADC49C10D8}"/>
            </a:ext>
          </a:extLst>
        </xdr:cNvPr>
        <xdr:cNvSpPr/>
      </xdr:nvSpPr>
      <xdr:spPr>
        <a:xfrm>
          <a:off x="2211388" y="1209744"/>
          <a:ext cx="3887787" cy="509587"/>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PDSM</a:t>
          </a:r>
        </a:p>
      </xdr:txBody>
    </xdr:sp>
    <xdr:clientData/>
  </xdr:twoCellAnchor>
  <xdr:twoCellAnchor>
    <xdr:from>
      <xdr:col>2</xdr:col>
      <xdr:colOff>687388</xdr:colOff>
      <xdr:row>5</xdr:row>
      <xdr:rowOff>32471</xdr:rowOff>
    </xdr:from>
    <xdr:to>
      <xdr:col>8</xdr:col>
      <xdr:colOff>3175</xdr:colOff>
      <xdr:row>7</xdr:row>
      <xdr:rowOff>101744</xdr:rowOff>
    </xdr:to>
    <xdr:sp macro="" textlink="">
      <xdr:nvSpPr>
        <xdr:cNvPr id="13" name="Flèche : droite 12">
          <a:extLst>
            <a:ext uri="{FF2B5EF4-FFF2-40B4-BE49-F238E27FC236}">
              <a16:creationId xmlns:a16="http://schemas.microsoft.com/office/drawing/2014/main" id="{5AEE3712-105E-EBB7-7A31-08A4E1914C0D}"/>
            </a:ext>
          </a:extLst>
        </xdr:cNvPr>
        <xdr:cNvSpPr/>
      </xdr:nvSpPr>
      <xdr:spPr>
        <a:xfrm>
          <a:off x="2211388" y="811789"/>
          <a:ext cx="3887787"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DS &amp; REIF / Amendes</a:t>
          </a:r>
        </a:p>
      </xdr:txBody>
    </xdr:sp>
    <xdr:clientData/>
  </xdr:twoCellAnchor>
  <xdr:twoCellAnchor>
    <xdr:from>
      <xdr:col>2</xdr:col>
      <xdr:colOff>668338</xdr:colOff>
      <xdr:row>11</xdr:row>
      <xdr:rowOff>5085</xdr:rowOff>
    </xdr:from>
    <xdr:to>
      <xdr:col>7</xdr:col>
      <xdr:colOff>747713</xdr:colOff>
      <xdr:row>14</xdr:row>
      <xdr:rowOff>45494</xdr:rowOff>
    </xdr:to>
    <xdr:sp macro="" textlink="">
      <xdr:nvSpPr>
        <xdr:cNvPr id="14" name="Flèche : droite 13">
          <a:extLst>
            <a:ext uri="{FF2B5EF4-FFF2-40B4-BE49-F238E27FC236}">
              <a16:creationId xmlns:a16="http://schemas.microsoft.com/office/drawing/2014/main" id="{9F2DEA32-6E4C-15FE-D672-CE3CB59F732A}"/>
            </a:ext>
          </a:extLst>
        </xdr:cNvPr>
        <xdr:cNvSpPr/>
      </xdr:nvSpPr>
      <xdr:spPr>
        <a:xfrm>
          <a:off x="2192338" y="1719585"/>
          <a:ext cx="3889375" cy="508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Redevances superficiaires &amp; Droits d’attribution</a:t>
          </a:r>
        </a:p>
      </xdr:txBody>
    </xdr:sp>
    <xdr:clientData/>
  </xdr:twoCellAnchor>
  <xdr:twoCellAnchor>
    <xdr:from>
      <xdr:col>2</xdr:col>
      <xdr:colOff>687388</xdr:colOff>
      <xdr:row>16</xdr:row>
      <xdr:rowOff>99718</xdr:rowOff>
    </xdr:from>
    <xdr:to>
      <xdr:col>8</xdr:col>
      <xdr:colOff>3175</xdr:colOff>
      <xdr:row>19</xdr:row>
      <xdr:rowOff>141714</xdr:rowOff>
    </xdr:to>
    <xdr:sp macro="" textlink="">
      <xdr:nvSpPr>
        <xdr:cNvPr id="15" name="Flèche : droite 14">
          <a:extLst>
            <a:ext uri="{FF2B5EF4-FFF2-40B4-BE49-F238E27FC236}">
              <a16:creationId xmlns:a16="http://schemas.microsoft.com/office/drawing/2014/main" id="{D73B98A3-AA0F-40EB-8306-8AB5899616B9}"/>
            </a:ext>
          </a:extLst>
        </xdr:cNvPr>
        <xdr:cNvSpPr/>
      </xdr:nvSpPr>
      <xdr:spPr>
        <a:xfrm>
          <a:off x="2211388" y="2593536"/>
          <a:ext cx="3887787" cy="509587"/>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Paiements environnementaux</a:t>
          </a:r>
        </a:p>
      </xdr:txBody>
    </xdr:sp>
    <xdr:clientData/>
  </xdr:twoCellAnchor>
  <xdr:twoCellAnchor>
    <xdr:from>
      <xdr:col>4</xdr:col>
      <xdr:colOff>241300</xdr:colOff>
      <xdr:row>2</xdr:row>
      <xdr:rowOff>0</xdr:rowOff>
    </xdr:from>
    <xdr:to>
      <xdr:col>6</xdr:col>
      <xdr:colOff>447675</xdr:colOff>
      <xdr:row>4</xdr:row>
      <xdr:rowOff>69272</xdr:rowOff>
    </xdr:to>
    <xdr:sp macro="" textlink="">
      <xdr:nvSpPr>
        <xdr:cNvPr id="16" name="Flèche : droite 15">
          <a:extLst>
            <a:ext uri="{FF2B5EF4-FFF2-40B4-BE49-F238E27FC236}">
              <a16:creationId xmlns:a16="http://schemas.microsoft.com/office/drawing/2014/main" id="{88AAD14E-4394-4280-202D-80DF48F2A378}"/>
            </a:ext>
          </a:extLst>
        </xdr:cNvPr>
        <xdr:cNvSpPr/>
      </xdr:nvSpPr>
      <xdr:spPr>
        <a:xfrm>
          <a:off x="3289300" y="311727"/>
          <a:ext cx="1730375"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spécifiques</a:t>
          </a:r>
        </a:p>
      </xdr:txBody>
    </xdr:sp>
    <xdr:clientData/>
  </xdr:twoCellAnchor>
  <xdr:twoCellAnchor>
    <xdr:from>
      <xdr:col>2</xdr:col>
      <xdr:colOff>717550</xdr:colOff>
      <xdr:row>19</xdr:row>
      <xdr:rowOff>122093</xdr:rowOff>
    </xdr:from>
    <xdr:to>
      <xdr:col>8</xdr:col>
      <xdr:colOff>34925</xdr:colOff>
      <xdr:row>23</xdr:row>
      <xdr:rowOff>6638</xdr:rowOff>
    </xdr:to>
    <xdr:sp macro="" textlink="">
      <xdr:nvSpPr>
        <xdr:cNvPr id="17" name="Flèche : droite 16">
          <a:extLst>
            <a:ext uri="{FF2B5EF4-FFF2-40B4-BE49-F238E27FC236}">
              <a16:creationId xmlns:a16="http://schemas.microsoft.com/office/drawing/2014/main" id="{1284CC5A-25DC-3DD8-8B38-D756F599D90A}"/>
            </a:ext>
          </a:extLst>
        </xdr:cNvPr>
        <xdr:cNvSpPr/>
      </xdr:nvSpPr>
      <xdr:spPr>
        <a:xfrm>
          <a:off x="2241550" y="3083502"/>
          <a:ext cx="3889375" cy="508000"/>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MIS / IMF /IS /Précompte</a:t>
          </a:r>
        </a:p>
      </xdr:txBody>
    </xdr:sp>
    <xdr:clientData/>
  </xdr:twoCellAnchor>
  <xdr:twoCellAnchor>
    <xdr:from>
      <xdr:col>2</xdr:col>
      <xdr:colOff>727075</xdr:colOff>
      <xdr:row>23</xdr:row>
      <xdr:rowOff>25688</xdr:rowOff>
    </xdr:from>
    <xdr:to>
      <xdr:col>8</xdr:col>
      <xdr:colOff>42863</xdr:colOff>
      <xdr:row>26</xdr:row>
      <xdr:rowOff>67684</xdr:rowOff>
    </xdr:to>
    <xdr:sp macro="" textlink="">
      <xdr:nvSpPr>
        <xdr:cNvPr id="18" name="Flèche : droite 17">
          <a:extLst>
            <a:ext uri="{FF2B5EF4-FFF2-40B4-BE49-F238E27FC236}">
              <a16:creationId xmlns:a16="http://schemas.microsoft.com/office/drawing/2014/main" id="{6495BAD9-9828-79CA-6027-936703B38920}"/>
            </a:ext>
          </a:extLst>
        </xdr:cNvPr>
        <xdr:cNvSpPr/>
      </xdr:nvSpPr>
      <xdr:spPr>
        <a:xfrm>
          <a:off x="2251075" y="3610552"/>
          <a:ext cx="3887788" cy="509587"/>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IRPP</a:t>
          </a:r>
        </a:p>
      </xdr:txBody>
    </xdr:sp>
    <xdr:clientData/>
  </xdr:twoCellAnchor>
  <xdr:twoCellAnchor>
    <xdr:from>
      <xdr:col>2</xdr:col>
      <xdr:colOff>727075</xdr:colOff>
      <xdr:row>26</xdr:row>
      <xdr:rowOff>85147</xdr:rowOff>
    </xdr:from>
    <xdr:to>
      <xdr:col>8</xdr:col>
      <xdr:colOff>42863</xdr:colOff>
      <xdr:row>29</xdr:row>
      <xdr:rowOff>127144</xdr:rowOff>
    </xdr:to>
    <xdr:sp macro="" textlink="">
      <xdr:nvSpPr>
        <xdr:cNvPr id="19" name="Flèche : droite 18">
          <a:extLst>
            <a:ext uri="{FF2B5EF4-FFF2-40B4-BE49-F238E27FC236}">
              <a16:creationId xmlns:a16="http://schemas.microsoft.com/office/drawing/2014/main" id="{EAEFCCE4-468E-402F-ADD8-9466ED91A516}"/>
            </a:ext>
          </a:extLst>
        </xdr:cNvPr>
        <xdr:cNvSpPr/>
      </xdr:nvSpPr>
      <xdr:spPr>
        <a:xfrm>
          <a:off x="2251075" y="4137602"/>
          <a:ext cx="3887788" cy="509587"/>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CDS</a:t>
          </a:r>
        </a:p>
      </xdr:txBody>
    </xdr:sp>
    <xdr:clientData/>
  </xdr:twoCellAnchor>
  <xdr:twoCellAnchor>
    <xdr:from>
      <xdr:col>2</xdr:col>
      <xdr:colOff>727075</xdr:colOff>
      <xdr:row>29</xdr:row>
      <xdr:rowOff>144607</xdr:rowOff>
    </xdr:from>
    <xdr:to>
      <xdr:col>8</xdr:col>
      <xdr:colOff>42863</xdr:colOff>
      <xdr:row>33</xdr:row>
      <xdr:rowOff>30739</xdr:rowOff>
    </xdr:to>
    <xdr:sp macro="" textlink="">
      <xdr:nvSpPr>
        <xdr:cNvPr id="20" name="Flèche : droite 19">
          <a:extLst>
            <a:ext uri="{FF2B5EF4-FFF2-40B4-BE49-F238E27FC236}">
              <a16:creationId xmlns:a16="http://schemas.microsoft.com/office/drawing/2014/main" id="{B1F58243-5D2B-3EF4-FC0D-CDADC0AAF83F}"/>
            </a:ext>
          </a:extLst>
        </xdr:cNvPr>
        <xdr:cNvSpPr/>
      </xdr:nvSpPr>
      <xdr:spPr>
        <a:xfrm>
          <a:off x="2251075" y="4664652"/>
          <a:ext cx="3887788" cy="509587"/>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Patente</a:t>
          </a:r>
        </a:p>
      </xdr:txBody>
    </xdr:sp>
    <xdr:clientData/>
  </xdr:twoCellAnchor>
  <xdr:twoCellAnchor>
    <xdr:from>
      <xdr:col>2</xdr:col>
      <xdr:colOff>717550</xdr:colOff>
      <xdr:row>33</xdr:row>
      <xdr:rowOff>49789</xdr:rowOff>
    </xdr:from>
    <xdr:to>
      <xdr:col>8</xdr:col>
      <xdr:colOff>34925</xdr:colOff>
      <xdr:row>36</xdr:row>
      <xdr:rowOff>90198</xdr:rowOff>
    </xdr:to>
    <xdr:sp macro="" textlink="">
      <xdr:nvSpPr>
        <xdr:cNvPr id="21" name="Flèche : droite 20">
          <a:extLst>
            <a:ext uri="{FF2B5EF4-FFF2-40B4-BE49-F238E27FC236}">
              <a16:creationId xmlns:a16="http://schemas.microsoft.com/office/drawing/2014/main" id="{06AD69EF-25A4-0D7A-2D31-F708A502CFE3}"/>
            </a:ext>
          </a:extLst>
        </xdr:cNvPr>
        <xdr:cNvSpPr/>
      </xdr:nvSpPr>
      <xdr:spPr>
        <a:xfrm>
          <a:off x="2241550" y="5193289"/>
          <a:ext cx="3889375" cy="508000"/>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TVA</a:t>
          </a:r>
        </a:p>
      </xdr:txBody>
    </xdr:sp>
    <xdr:clientData/>
  </xdr:twoCellAnchor>
  <xdr:twoCellAnchor>
    <xdr:from>
      <xdr:col>2</xdr:col>
      <xdr:colOff>217488</xdr:colOff>
      <xdr:row>40</xdr:row>
      <xdr:rowOff>131208</xdr:rowOff>
    </xdr:from>
    <xdr:to>
      <xdr:col>4</xdr:col>
      <xdr:colOff>568325</xdr:colOff>
      <xdr:row>43</xdr:row>
      <xdr:rowOff>44617</xdr:rowOff>
    </xdr:to>
    <xdr:sp macro="" textlink="">
      <xdr:nvSpPr>
        <xdr:cNvPr id="22" name="Flèche : droite 21">
          <a:extLst>
            <a:ext uri="{FF2B5EF4-FFF2-40B4-BE49-F238E27FC236}">
              <a16:creationId xmlns:a16="http://schemas.microsoft.com/office/drawing/2014/main" id="{9A207258-460A-59CB-7FCF-50032F0F6A2D}"/>
            </a:ext>
          </a:extLst>
        </xdr:cNvPr>
        <xdr:cNvSpPr/>
      </xdr:nvSpPr>
      <xdr:spPr>
        <a:xfrm>
          <a:off x="1741488" y="6365753"/>
          <a:ext cx="1874837" cy="381000"/>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de droit commun</a:t>
          </a:r>
        </a:p>
      </xdr:txBody>
    </xdr:sp>
    <xdr:clientData/>
  </xdr:twoCellAnchor>
  <xdr:twoCellAnchor>
    <xdr:from>
      <xdr:col>8</xdr:col>
      <xdr:colOff>254000</xdr:colOff>
      <xdr:row>19</xdr:row>
      <xdr:rowOff>145905</xdr:rowOff>
    </xdr:from>
    <xdr:to>
      <xdr:col>10</xdr:col>
      <xdr:colOff>406400</xdr:colOff>
      <xdr:row>36</xdr:row>
      <xdr:rowOff>58448</xdr:rowOff>
    </xdr:to>
    <xdr:sp macro="" textlink="">
      <xdr:nvSpPr>
        <xdr:cNvPr id="23" name="Rectangle : coins arrondis 22">
          <a:extLst>
            <a:ext uri="{FF2B5EF4-FFF2-40B4-BE49-F238E27FC236}">
              <a16:creationId xmlns:a16="http://schemas.microsoft.com/office/drawing/2014/main" id="{C62FAEC1-EEA4-2F08-6B08-A05F89D3E6E8}"/>
            </a:ext>
          </a:extLst>
        </xdr:cNvPr>
        <xdr:cNvSpPr/>
      </xdr:nvSpPr>
      <xdr:spPr>
        <a:xfrm>
          <a:off x="6350000" y="3107314"/>
          <a:ext cx="1676400" cy="2562225"/>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solidFill>
                <a:schemeClr val="bg1"/>
              </a:solidFill>
              <a:latin typeface="Trebuchet MS" panose="020B0603020202020204" pitchFamily="34" charset="0"/>
            </a:rPr>
            <a:t>DGID</a:t>
          </a:r>
        </a:p>
      </xdr:txBody>
    </xdr:sp>
    <xdr:clientData/>
  </xdr:twoCellAnchor>
  <xdr:twoCellAnchor>
    <xdr:from>
      <xdr:col>2</xdr:col>
      <xdr:colOff>668338</xdr:colOff>
      <xdr:row>38</xdr:row>
      <xdr:rowOff>15898</xdr:rowOff>
    </xdr:from>
    <xdr:to>
      <xdr:col>8</xdr:col>
      <xdr:colOff>34925</xdr:colOff>
      <xdr:row>40</xdr:row>
      <xdr:rowOff>48658</xdr:rowOff>
    </xdr:to>
    <xdr:sp macro="" textlink="">
      <xdr:nvSpPr>
        <xdr:cNvPr id="24" name="Flèche : droite 23">
          <a:extLst>
            <a:ext uri="{FF2B5EF4-FFF2-40B4-BE49-F238E27FC236}">
              <a16:creationId xmlns:a16="http://schemas.microsoft.com/office/drawing/2014/main" id="{891D4771-DA61-D854-FF5B-9F3F1F0D89DB}"/>
            </a:ext>
          </a:extLst>
        </xdr:cNvPr>
        <xdr:cNvSpPr/>
      </xdr:nvSpPr>
      <xdr:spPr>
        <a:xfrm>
          <a:off x="2192338" y="5938716"/>
          <a:ext cx="3938587" cy="344487"/>
        </a:xfrm>
        <a:prstGeom prst="rightArrow">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Taxes superficiaires</a:t>
          </a:r>
        </a:p>
      </xdr:txBody>
    </xdr:sp>
    <xdr:clientData/>
  </xdr:twoCellAnchor>
  <xdr:twoCellAnchor>
    <xdr:from>
      <xdr:col>8</xdr:col>
      <xdr:colOff>268288</xdr:colOff>
      <xdr:row>37</xdr:row>
      <xdr:rowOff>144710</xdr:rowOff>
    </xdr:from>
    <xdr:to>
      <xdr:col>10</xdr:col>
      <xdr:colOff>406400</xdr:colOff>
      <xdr:row>40</xdr:row>
      <xdr:rowOff>47007</xdr:rowOff>
    </xdr:to>
    <xdr:sp macro="" textlink="">
      <xdr:nvSpPr>
        <xdr:cNvPr id="25" name="Rectangle : coins arrondis 24">
          <a:extLst>
            <a:ext uri="{FF2B5EF4-FFF2-40B4-BE49-F238E27FC236}">
              <a16:creationId xmlns:a16="http://schemas.microsoft.com/office/drawing/2014/main" id="{DE343F80-5D5F-B12E-FD7E-B2CDC36AC709}"/>
            </a:ext>
          </a:extLst>
        </xdr:cNvPr>
        <xdr:cNvSpPr/>
      </xdr:nvSpPr>
      <xdr:spPr>
        <a:xfrm>
          <a:off x="6364288" y="5911665"/>
          <a:ext cx="1662112" cy="369887"/>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Collectivité locale</a:t>
          </a:r>
        </a:p>
      </xdr:txBody>
    </xdr:sp>
    <xdr:clientData/>
  </xdr:twoCellAnchor>
  <xdr:twoCellAnchor>
    <xdr:from>
      <xdr:col>12</xdr:col>
      <xdr:colOff>266700</xdr:colOff>
      <xdr:row>9</xdr:row>
      <xdr:rowOff>27887</xdr:rowOff>
    </xdr:from>
    <xdr:to>
      <xdr:col>14</xdr:col>
      <xdr:colOff>190500</xdr:colOff>
      <xdr:row>12</xdr:row>
      <xdr:rowOff>93696</xdr:rowOff>
    </xdr:to>
    <xdr:sp macro="" textlink="">
      <xdr:nvSpPr>
        <xdr:cNvPr id="26" name="Rectangle : coins arrondis 25">
          <a:extLst>
            <a:ext uri="{FF2B5EF4-FFF2-40B4-BE49-F238E27FC236}">
              <a16:creationId xmlns:a16="http://schemas.microsoft.com/office/drawing/2014/main" id="{7E91457D-D70F-24F4-7F13-0618CE49945C}"/>
            </a:ext>
          </a:extLst>
        </xdr:cNvPr>
        <xdr:cNvSpPr/>
      </xdr:nvSpPr>
      <xdr:spPr>
        <a:xfrm>
          <a:off x="9410700" y="1430660"/>
          <a:ext cx="1447800" cy="533400"/>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b="1">
              <a:latin typeface="Trebuchet MS" panose="020B0603020202020204" pitchFamily="34" charset="0"/>
            </a:rPr>
            <a:t>MMG</a:t>
          </a:r>
        </a:p>
      </xdr:txBody>
    </xdr:sp>
    <xdr:clientData/>
  </xdr:twoCellAnchor>
  <xdr:twoCellAnchor>
    <xdr:from>
      <xdr:col>8</xdr:col>
      <xdr:colOff>128588</xdr:colOff>
      <xdr:row>2</xdr:row>
      <xdr:rowOff>49212</xdr:rowOff>
    </xdr:from>
    <xdr:to>
      <xdr:col>10</xdr:col>
      <xdr:colOff>566738</xdr:colOff>
      <xdr:row>4</xdr:row>
      <xdr:rowOff>24822</xdr:rowOff>
    </xdr:to>
    <xdr:sp macro="" textlink="">
      <xdr:nvSpPr>
        <xdr:cNvPr id="27" name="Rectangle : coins arrondis 26">
          <a:extLst>
            <a:ext uri="{FF2B5EF4-FFF2-40B4-BE49-F238E27FC236}">
              <a16:creationId xmlns:a16="http://schemas.microsoft.com/office/drawing/2014/main" id="{8793788F-23BA-0B04-9B66-F2DE4019B55E}"/>
            </a:ext>
          </a:extLst>
        </xdr:cNvPr>
        <xdr:cNvSpPr/>
      </xdr:nvSpPr>
      <xdr:spPr>
        <a:xfrm>
          <a:off x="6224588" y="360939"/>
          <a:ext cx="1962150" cy="287338"/>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Entité perceptrice</a:t>
          </a:r>
        </a:p>
      </xdr:txBody>
    </xdr:sp>
    <xdr:clientData/>
  </xdr:twoCellAnchor>
  <xdr:twoCellAnchor>
    <xdr:from>
      <xdr:col>12</xdr:col>
      <xdr:colOff>268288</xdr:colOff>
      <xdr:row>16</xdr:row>
      <xdr:rowOff>99718</xdr:rowOff>
    </xdr:from>
    <xdr:to>
      <xdr:col>14</xdr:col>
      <xdr:colOff>192088</xdr:colOff>
      <xdr:row>19</xdr:row>
      <xdr:rowOff>43289</xdr:rowOff>
    </xdr:to>
    <xdr:sp macro="" textlink="">
      <xdr:nvSpPr>
        <xdr:cNvPr id="28" name="Rectangle : coins arrondis 27">
          <a:extLst>
            <a:ext uri="{FF2B5EF4-FFF2-40B4-BE49-F238E27FC236}">
              <a16:creationId xmlns:a16="http://schemas.microsoft.com/office/drawing/2014/main" id="{B8E747FA-FE04-5F83-5397-641A35D4EED2}"/>
            </a:ext>
          </a:extLst>
        </xdr:cNvPr>
        <xdr:cNvSpPr/>
      </xdr:nvSpPr>
      <xdr:spPr>
        <a:xfrm>
          <a:off x="9412288" y="2593536"/>
          <a:ext cx="1447800" cy="411162"/>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FNE - MEDD</a:t>
          </a:r>
        </a:p>
      </xdr:txBody>
    </xdr:sp>
    <xdr:clientData/>
  </xdr:twoCellAnchor>
  <xdr:twoCellAnchor>
    <xdr:from>
      <xdr:col>4</xdr:col>
      <xdr:colOff>627063</xdr:colOff>
      <xdr:row>40</xdr:row>
      <xdr:rowOff>126446</xdr:rowOff>
    </xdr:from>
    <xdr:to>
      <xdr:col>10</xdr:col>
      <xdr:colOff>544513</xdr:colOff>
      <xdr:row>43</xdr:row>
      <xdr:rowOff>39855</xdr:rowOff>
    </xdr:to>
    <xdr:sp macro="" textlink="">
      <xdr:nvSpPr>
        <xdr:cNvPr id="29" name="Flèche : droite 28">
          <a:extLst>
            <a:ext uri="{FF2B5EF4-FFF2-40B4-BE49-F238E27FC236}">
              <a16:creationId xmlns:a16="http://schemas.microsoft.com/office/drawing/2014/main" id="{C2C901F2-6DF5-E694-F95A-C04712591B3C}"/>
            </a:ext>
          </a:extLst>
        </xdr:cNvPr>
        <xdr:cNvSpPr/>
      </xdr:nvSpPr>
      <xdr:spPr>
        <a:xfrm>
          <a:off x="3675063" y="6360991"/>
          <a:ext cx="4489450" cy="381000"/>
        </a:xfrm>
        <a:prstGeom prst="rightArrow">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Paiements infranationaux non intégrées au niveau du budget de l’Etat</a:t>
          </a:r>
        </a:p>
      </xdr:txBody>
    </xdr:sp>
    <xdr:clientData/>
  </xdr:twoCellAnchor>
  <xdr:twoCellAnchor>
    <xdr:from>
      <xdr:col>12</xdr:col>
      <xdr:colOff>204788</xdr:colOff>
      <xdr:row>2</xdr:row>
      <xdr:rowOff>60325</xdr:rowOff>
    </xdr:from>
    <xdr:to>
      <xdr:col>14</xdr:col>
      <xdr:colOff>192088</xdr:colOff>
      <xdr:row>4</xdr:row>
      <xdr:rowOff>34347</xdr:rowOff>
    </xdr:to>
    <xdr:sp macro="" textlink="">
      <xdr:nvSpPr>
        <xdr:cNvPr id="30" name="Rectangle : coins arrondis 29">
          <a:extLst>
            <a:ext uri="{FF2B5EF4-FFF2-40B4-BE49-F238E27FC236}">
              <a16:creationId xmlns:a16="http://schemas.microsoft.com/office/drawing/2014/main" id="{242F1DBD-5623-BCD3-8A1F-420F3A20928B}"/>
            </a:ext>
          </a:extLst>
        </xdr:cNvPr>
        <xdr:cNvSpPr/>
      </xdr:nvSpPr>
      <xdr:spPr>
        <a:xfrm>
          <a:off x="9348788" y="372052"/>
          <a:ext cx="1511300" cy="285750"/>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Affectation</a:t>
          </a:r>
        </a:p>
      </xdr:txBody>
    </xdr:sp>
    <xdr:clientData/>
  </xdr:twoCellAnchor>
  <xdr:twoCellAnchor>
    <xdr:from>
      <xdr:col>0</xdr:col>
      <xdr:colOff>34925</xdr:colOff>
      <xdr:row>2</xdr:row>
      <xdr:rowOff>60325</xdr:rowOff>
    </xdr:from>
    <xdr:to>
      <xdr:col>2</xdr:col>
      <xdr:colOff>474663</xdr:colOff>
      <xdr:row>4</xdr:row>
      <xdr:rowOff>34347</xdr:rowOff>
    </xdr:to>
    <xdr:sp macro="" textlink="">
      <xdr:nvSpPr>
        <xdr:cNvPr id="31" name="Rectangle : coins arrondis 30">
          <a:extLst>
            <a:ext uri="{FF2B5EF4-FFF2-40B4-BE49-F238E27FC236}">
              <a16:creationId xmlns:a16="http://schemas.microsoft.com/office/drawing/2014/main" id="{216CACC2-3135-9274-525F-6A829A2E9915}"/>
            </a:ext>
          </a:extLst>
        </xdr:cNvPr>
        <xdr:cNvSpPr/>
      </xdr:nvSpPr>
      <xdr:spPr>
        <a:xfrm>
          <a:off x="34925" y="372052"/>
          <a:ext cx="1963738" cy="285750"/>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Secteur minier</a:t>
          </a:r>
        </a:p>
      </xdr:txBody>
    </xdr:sp>
    <xdr:clientData/>
  </xdr:twoCellAnchor>
  <xdr:twoCellAnchor>
    <xdr:from>
      <xdr:col>11</xdr:col>
      <xdr:colOff>666750</xdr:colOff>
      <xdr:row>7</xdr:row>
      <xdr:rowOff>118699</xdr:rowOff>
    </xdr:from>
    <xdr:to>
      <xdr:col>12</xdr:col>
      <xdr:colOff>206375</xdr:colOff>
      <xdr:row>14</xdr:row>
      <xdr:rowOff>45494</xdr:rowOff>
    </xdr:to>
    <xdr:sp macro="" textlink="">
      <xdr:nvSpPr>
        <xdr:cNvPr id="32" name="Accolade fermante 31">
          <a:extLst>
            <a:ext uri="{FF2B5EF4-FFF2-40B4-BE49-F238E27FC236}">
              <a16:creationId xmlns:a16="http://schemas.microsoft.com/office/drawing/2014/main" id="{DBF4FDAD-1E8C-4FF7-BB7C-60D4D732C6E1}"/>
            </a:ext>
          </a:extLst>
        </xdr:cNvPr>
        <xdr:cNvSpPr/>
      </xdr:nvSpPr>
      <xdr:spPr>
        <a:xfrm>
          <a:off x="9048750" y="1209744"/>
          <a:ext cx="301625" cy="1017841"/>
        </a:xfrm>
        <a:prstGeom prst="rightBrace">
          <a:avLst/>
        </a:prstGeom>
        <a:ln>
          <a:solidFill>
            <a:srgbClr val="B4C7E7"/>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fr-FR"/>
        </a:p>
      </xdr:txBody>
    </xdr:sp>
    <xdr:clientData/>
  </xdr:twoCellAnchor>
  <xdr:twoCellAnchor>
    <xdr:from>
      <xdr:col>12</xdr:col>
      <xdr:colOff>266700</xdr:colOff>
      <xdr:row>13</xdr:row>
      <xdr:rowOff>128587</xdr:rowOff>
    </xdr:from>
    <xdr:to>
      <xdr:col>14</xdr:col>
      <xdr:colOff>190500</xdr:colOff>
      <xdr:row>16</xdr:row>
      <xdr:rowOff>72158</xdr:rowOff>
    </xdr:to>
    <xdr:sp macro="" textlink="">
      <xdr:nvSpPr>
        <xdr:cNvPr id="33" name="Rectangle : coins arrondis 32">
          <a:extLst>
            <a:ext uri="{FF2B5EF4-FFF2-40B4-BE49-F238E27FC236}">
              <a16:creationId xmlns:a16="http://schemas.microsoft.com/office/drawing/2014/main" id="{AE472079-41A8-4F96-6867-AC299FF8026E}"/>
            </a:ext>
          </a:extLst>
        </xdr:cNvPr>
        <xdr:cNvSpPr/>
      </xdr:nvSpPr>
      <xdr:spPr>
        <a:xfrm>
          <a:off x="9410700" y="2154814"/>
          <a:ext cx="1447800" cy="411162"/>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SPPK</a:t>
          </a:r>
        </a:p>
      </xdr:txBody>
    </xdr:sp>
    <xdr:clientData/>
  </xdr:twoCellAnchor>
  <xdr:twoCellAnchor>
    <xdr:from>
      <xdr:col>8</xdr:col>
      <xdr:colOff>254000</xdr:colOff>
      <xdr:row>97</xdr:row>
      <xdr:rowOff>31172</xdr:rowOff>
    </xdr:from>
    <xdr:to>
      <xdr:col>10</xdr:col>
      <xdr:colOff>728662</xdr:colOff>
      <xdr:row>135</xdr:row>
      <xdr:rowOff>121803</xdr:rowOff>
    </xdr:to>
    <xdr:sp macro="" textlink="">
      <xdr:nvSpPr>
        <xdr:cNvPr id="34" name="Rectangle : coins arrondis 33">
          <a:extLst>
            <a:ext uri="{FF2B5EF4-FFF2-40B4-BE49-F238E27FC236}">
              <a16:creationId xmlns:a16="http://schemas.microsoft.com/office/drawing/2014/main" id="{333E0960-5D38-F1E1-43F3-676466780038}"/>
            </a:ext>
          </a:extLst>
        </xdr:cNvPr>
        <xdr:cNvSpPr/>
      </xdr:nvSpPr>
      <xdr:spPr>
        <a:xfrm>
          <a:off x="6350000" y="15149945"/>
          <a:ext cx="1998662" cy="6013449"/>
        </a:xfrm>
        <a:prstGeom prst="roundRect">
          <a:avLst/>
        </a:prstGeom>
        <a:solidFill>
          <a:srgbClr val="E2F0D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332530</xdr:colOff>
      <xdr:row>123</xdr:row>
      <xdr:rowOff>115096</xdr:rowOff>
    </xdr:from>
    <xdr:to>
      <xdr:col>11</xdr:col>
      <xdr:colOff>688975</xdr:colOff>
      <xdr:row>126</xdr:row>
      <xdr:rowOff>135688</xdr:rowOff>
    </xdr:to>
    <xdr:sp macro="" textlink="">
      <xdr:nvSpPr>
        <xdr:cNvPr id="35" name="Flèche : droite 34">
          <a:extLst>
            <a:ext uri="{FF2B5EF4-FFF2-40B4-BE49-F238E27FC236}">
              <a16:creationId xmlns:a16="http://schemas.microsoft.com/office/drawing/2014/main" id="{F9C59AB7-FFCA-B228-97D3-6EAE90885359}"/>
            </a:ext>
          </a:extLst>
        </xdr:cNvPr>
        <xdr:cNvSpPr/>
      </xdr:nvSpPr>
      <xdr:spPr>
        <a:xfrm>
          <a:off x="6428530" y="19286323"/>
          <a:ext cx="2642445" cy="488183"/>
        </a:xfrm>
        <a:prstGeom prst="rightArrow">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8</xdr:col>
      <xdr:colOff>3175</xdr:colOff>
      <xdr:row>102</xdr:row>
      <xdr:rowOff>113866</xdr:rowOff>
    </xdr:from>
    <xdr:to>
      <xdr:col>11</xdr:col>
      <xdr:colOff>688975</xdr:colOff>
      <xdr:row>106</xdr:row>
      <xdr:rowOff>0</xdr:rowOff>
    </xdr:to>
    <xdr:sp macro="" textlink="">
      <xdr:nvSpPr>
        <xdr:cNvPr id="36" name="Flèche : droite 35">
          <a:extLst>
            <a:ext uri="{FF2B5EF4-FFF2-40B4-BE49-F238E27FC236}">
              <a16:creationId xmlns:a16="http://schemas.microsoft.com/office/drawing/2014/main" id="{67B836CD-98A5-FAE2-9BFF-137F2D92D18F}"/>
            </a:ext>
          </a:extLst>
        </xdr:cNvPr>
        <xdr:cNvSpPr/>
      </xdr:nvSpPr>
      <xdr:spPr>
        <a:xfrm>
          <a:off x="6099175" y="16011957"/>
          <a:ext cx="2971800" cy="509588"/>
        </a:xfrm>
        <a:prstGeom prst="rightArrow">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i="1">
            <a:solidFill>
              <a:schemeClr val="tx1"/>
            </a:solidFill>
            <a:latin typeface="Trebuchet MS" panose="020B0603020202020204" pitchFamily="34" charset="0"/>
          </a:endParaRPr>
        </a:p>
      </xdr:txBody>
    </xdr:sp>
    <xdr:clientData/>
  </xdr:twoCellAnchor>
  <xdr:twoCellAnchor>
    <xdr:from>
      <xdr:col>0</xdr:col>
      <xdr:colOff>0</xdr:colOff>
      <xdr:row>97</xdr:row>
      <xdr:rowOff>31172</xdr:rowOff>
    </xdr:from>
    <xdr:to>
      <xdr:col>2</xdr:col>
      <xdr:colOff>474662</xdr:colOff>
      <xdr:row>135</xdr:row>
      <xdr:rowOff>121803</xdr:rowOff>
    </xdr:to>
    <xdr:sp macro="" textlink="">
      <xdr:nvSpPr>
        <xdr:cNvPr id="37" name="Rectangle : coins arrondis 36">
          <a:extLst>
            <a:ext uri="{FF2B5EF4-FFF2-40B4-BE49-F238E27FC236}">
              <a16:creationId xmlns:a16="http://schemas.microsoft.com/office/drawing/2014/main" id="{B341A300-E7BB-C713-99E2-2D17B8211167}"/>
            </a:ext>
          </a:extLst>
        </xdr:cNvPr>
        <xdr:cNvSpPr/>
      </xdr:nvSpPr>
      <xdr:spPr>
        <a:xfrm>
          <a:off x="0" y="15149945"/>
          <a:ext cx="1998662" cy="6013449"/>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2000">
              <a:latin typeface="Trebuchet MS" panose="020B0603020202020204" pitchFamily="34" charset="0"/>
            </a:rPr>
            <a:t>Sociétés Forestières</a:t>
          </a:r>
        </a:p>
      </xdr:txBody>
    </xdr:sp>
    <xdr:clientData/>
  </xdr:twoCellAnchor>
  <xdr:twoCellAnchor>
    <xdr:from>
      <xdr:col>8</xdr:col>
      <xdr:colOff>430212</xdr:colOff>
      <xdr:row>99</xdr:row>
      <xdr:rowOff>46470</xdr:rowOff>
    </xdr:from>
    <xdr:to>
      <xdr:col>10</xdr:col>
      <xdr:colOff>582612</xdr:colOff>
      <xdr:row>102</xdr:row>
      <xdr:rowOff>31316</xdr:rowOff>
    </xdr:to>
    <xdr:sp macro="" textlink="">
      <xdr:nvSpPr>
        <xdr:cNvPr id="38" name="Rectangle : coins arrondis 37">
          <a:extLst>
            <a:ext uri="{FF2B5EF4-FFF2-40B4-BE49-F238E27FC236}">
              <a16:creationId xmlns:a16="http://schemas.microsoft.com/office/drawing/2014/main" id="{3EA9324C-AF7E-ED75-A6FE-0742EE32359A}"/>
            </a:ext>
          </a:extLst>
        </xdr:cNvPr>
        <xdr:cNvSpPr/>
      </xdr:nvSpPr>
      <xdr:spPr>
        <a:xfrm>
          <a:off x="6526212" y="15476970"/>
          <a:ext cx="1676400" cy="452437"/>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DGDDI</a:t>
          </a:r>
        </a:p>
      </xdr:txBody>
    </xdr:sp>
    <xdr:clientData/>
  </xdr:twoCellAnchor>
  <xdr:twoCellAnchor>
    <xdr:from>
      <xdr:col>8</xdr:col>
      <xdr:colOff>430212</xdr:colOff>
      <xdr:row>118</xdr:row>
      <xdr:rowOff>93373</xdr:rowOff>
    </xdr:from>
    <xdr:to>
      <xdr:col>10</xdr:col>
      <xdr:colOff>582612</xdr:colOff>
      <xdr:row>134</xdr:row>
      <xdr:rowOff>17318</xdr:rowOff>
    </xdr:to>
    <xdr:sp macro="" textlink="">
      <xdr:nvSpPr>
        <xdr:cNvPr id="39" name="Rectangle : coins arrondis 38">
          <a:extLst>
            <a:ext uri="{FF2B5EF4-FFF2-40B4-BE49-F238E27FC236}">
              <a16:creationId xmlns:a16="http://schemas.microsoft.com/office/drawing/2014/main" id="{00F635B0-5A88-7FE9-A29F-41A5D9F8EEFD}"/>
            </a:ext>
          </a:extLst>
        </xdr:cNvPr>
        <xdr:cNvSpPr/>
      </xdr:nvSpPr>
      <xdr:spPr>
        <a:xfrm>
          <a:off x="6526212" y="18485282"/>
          <a:ext cx="1676400" cy="2417763"/>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415925</xdr:colOff>
      <xdr:row>102</xdr:row>
      <xdr:rowOff>131329</xdr:rowOff>
    </xdr:from>
    <xdr:to>
      <xdr:col>10</xdr:col>
      <xdr:colOff>568325</xdr:colOff>
      <xdr:row>105</xdr:row>
      <xdr:rowOff>116175</xdr:rowOff>
    </xdr:to>
    <xdr:sp macro="" textlink="">
      <xdr:nvSpPr>
        <xdr:cNvPr id="40" name="Rectangle : coins arrondis 39">
          <a:extLst>
            <a:ext uri="{FF2B5EF4-FFF2-40B4-BE49-F238E27FC236}">
              <a16:creationId xmlns:a16="http://schemas.microsoft.com/office/drawing/2014/main" id="{5DC30733-6786-49B1-316A-D673ED834E1C}"/>
            </a:ext>
          </a:extLst>
        </xdr:cNvPr>
        <xdr:cNvSpPr/>
      </xdr:nvSpPr>
      <xdr:spPr>
        <a:xfrm>
          <a:off x="6511925" y="16029420"/>
          <a:ext cx="1676400" cy="452437"/>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DGTCP</a:t>
          </a:r>
        </a:p>
      </xdr:txBody>
    </xdr:sp>
    <xdr:clientData/>
  </xdr:twoCellAnchor>
  <xdr:twoCellAnchor>
    <xdr:from>
      <xdr:col>2</xdr:col>
      <xdr:colOff>687387</xdr:colOff>
      <xdr:row>99</xdr:row>
      <xdr:rowOff>117907</xdr:rowOff>
    </xdr:from>
    <xdr:to>
      <xdr:col>8</xdr:col>
      <xdr:colOff>3175</xdr:colOff>
      <xdr:row>102</xdr:row>
      <xdr:rowOff>31316</xdr:rowOff>
    </xdr:to>
    <xdr:sp macro="" textlink="">
      <xdr:nvSpPr>
        <xdr:cNvPr id="41" name="Flèche : droite 40">
          <a:extLst>
            <a:ext uri="{FF2B5EF4-FFF2-40B4-BE49-F238E27FC236}">
              <a16:creationId xmlns:a16="http://schemas.microsoft.com/office/drawing/2014/main" id="{5AEE3712-105E-EBB7-7A31-08A4E1914C0D}"/>
            </a:ext>
          </a:extLst>
        </xdr:cNvPr>
        <xdr:cNvSpPr/>
      </xdr:nvSpPr>
      <xdr:spPr>
        <a:xfrm>
          <a:off x="2211387" y="15548407"/>
          <a:ext cx="3887788"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DS &amp; REIF / Amendes</a:t>
          </a:r>
        </a:p>
      </xdr:txBody>
    </xdr:sp>
    <xdr:clientData/>
  </xdr:twoCellAnchor>
  <xdr:twoCellAnchor>
    <xdr:from>
      <xdr:col>4</xdr:col>
      <xdr:colOff>198437</xdr:colOff>
      <xdr:row>97</xdr:row>
      <xdr:rowOff>31172</xdr:rowOff>
    </xdr:from>
    <xdr:to>
      <xdr:col>6</xdr:col>
      <xdr:colOff>404812</xdr:colOff>
      <xdr:row>99</xdr:row>
      <xdr:rowOff>100445</xdr:rowOff>
    </xdr:to>
    <xdr:sp macro="" textlink="">
      <xdr:nvSpPr>
        <xdr:cNvPr id="42" name="Flèche : droite 41">
          <a:extLst>
            <a:ext uri="{FF2B5EF4-FFF2-40B4-BE49-F238E27FC236}">
              <a16:creationId xmlns:a16="http://schemas.microsoft.com/office/drawing/2014/main" id="{88AAD14E-4394-4280-202D-80DF48F2A378}"/>
            </a:ext>
          </a:extLst>
        </xdr:cNvPr>
        <xdr:cNvSpPr/>
      </xdr:nvSpPr>
      <xdr:spPr>
        <a:xfrm>
          <a:off x="3246437" y="15149945"/>
          <a:ext cx="1730375"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spécifiques</a:t>
          </a:r>
        </a:p>
      </xdr:txBody>
    </xdr:sp>
    <xdr:clientData/>
  </xdr:twoCellAnchor>
  <xdr:twoCellAnchor>
    <xdr:from>
      <xdr:col>2</xdr:col>
      <xdr:colOff>650875</xdr:colOff>
      <xdr:row>122</xdr:row>
      <xdr:rowOff>139843</xdr:rowOff>
    </xdr:from>
    <xdr:to>
      <xdr:col>7</xdr:col>
      <xdr:colOff>728662</xdr:colOff>
      <xdr:row>125</xdr:row>
      <xdr:rowOff>127865</xdr:rowOff>
    </xdr:to>
    <xdr:sp macro="" textlink="">
      <xdr:nvSpPr>
        <xdr:cNvPr id="43" name="Flèche : droite 42">
          <a:extLst>
            <a:ext uri="{FF2B5EF4-FFF2-40B4-BE49-F238E27FC236}">
              <a16:creationId xmlns:a16="http://schemas.microsoft.com/office/drawing/2014/main" id="{042C9C2F-960D-02D6-70D5-4D803C0C5467}"/>
            </a:ext>
          </a:extLst>
        </xdr:cNvPr>
        <xdr:cNvSpPr/>
      </xdr:nvSpPr>
      <xdr:spPr>
        <a:xfrm>
          <a:off x="2174875" y="19155207"/>
          <a:ext cx="3887787" cy="455613"/>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DE, IFB, TVA</a:t>
          </a:r>
        </a:p>
      </xdr:txBody>
    </xdr:sp>
    <xdr:clientData/>
  </xdr:twoCellAnchor>
  <xdr:twoCellAnchor>
    <xdr:from>
      <xdr:col>2</xdr:col>
      <xdr:colOff>695325</xdr:colOff>
      <xdr:row>106</xdr:row>
      <xdr:rowOff>82550</xdr:rowOff>
    </xdr:from>
    <xdr:to>
      <xdr:col>7</xdr:col>
      <xdr:colOff>509587</xdr:colOff>
      <xdr:row>109</xdr:row>
      <xdr:rowOff>70571</xdr:rowOff>
    </xdr:to>
    <xdr:sp macro="" textlink="">
      <xdr:nvSpPr>
        <xdr:cNvPr id="44" name="Flèche : droite 43">
          <a:extLst>
            <a:ext uri="{FF2B5EF4-FFF2-40B4-BE49-F238E27FC236}">
              <a16:creationId xmlns:a16="http://schemas.microsoft.com/office/drawing/2014/main" id="{1284CC5A-25DC-3DD8-8B38-D756F599D90A}"/>
            </a:ext>
          </a:extLst>
        </xdr:cNvPr>
        <xdr:cNvSpPr/>
      </xdr:nvSpPr>
      <xdr:spPr>
        <a:xfrm>
          <a:off x="2219325" y="16604095"/>
          <a:ext cx="3624262" cy="455612"/>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Taxes de loyer</a:t>
          </a:r>
        </a:p>
      </xdr:txBody>
    </xdr:sp>
    <xdr:clientData/>
  </xdr:twoCellAnchor>
  <xdr:twoCellAnchor>
    <xdr:from>
      <xdr:col>2</xdr:col>
      <xdr:colOff>677862</xdr:colOff>
      <xdr:row>110</xdr:row>
      <xdr:rowOff>44882</xdr:rowOff>
    </xdr:from>
    <xdr:to>
      <xdr:col>7</xdr:col>
      <xdr:colOff>755650</xdr:colOff>
      <xdr:row>113</xdr:row>
      <xdr:rowOff>32904</xdr:rowOff>
    </xdr:to>
    <xdr:sp macro="" textlink="">
      <xdr:nvSpPr>
        <xdr:cNvPr id="45" name="Flèche : droite 44">
          <a:extLst>
            <a:ext uri="{FF2B5EF4-FFF2-40B4-BE49-F238E27FC236}">
              <a16:creationId xmlns:a16="http://schemas.microsoft.com/office/drawing/2014/main" id="{EA298240-C77F-4406-C8DD-5FE6E238F805}"/>
            </a:ext>
          </a:extLst>
        </xdr:cNvPr>
        <xdr:cNvSpPr/>
      </xdr:nvSpPr>
      <xdr:spPr>
        <a:xfrm>
          <a:off x="2201862" y="17189882"/>
          <a:ext cx="3887788" cy="455613"/>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MIS / IMF /IS /Précompte</a:t>
          </a:r>
        </a:p>
      </xdr:txBody>
    </xdr:sp>
    <xdr:clientData/>
  </xdr:twoCellAnchor>
  <xdr:twoCellAnchor>
    <xdr:from>
      <xdr:col>2</xdr:col>
      <xdr:colOff>668337</xdr:colOff>
      <xdr:row>113</xdr:row>
      <xdr:rowOff>90054</xdr:rowOff>
    </xdr:from>
    <xdr:to>
      <xdr:col>7</xdr:col>
      <xdr:colOff>747712</xdr:colOff>
      <xdr:row>116</xdr:row>
      <xdr:rowOff>78075</xdr:rowOff>
    </xdr:to>
    <xdr:sp macro="" textlink="">
      <xdr:nvSpPr>
        <xdr:cNvPr id="46" name="Flèche : droite 45">
          <a:extLst>
            <a:ext uri="{FF2B5EF4-FFF2-40B4-BE49-F238E27FC236}">
              <a16:creationId xmlns:a16="http://schemas.microsoft.com/office/drawing/2014/main" id="{11739514-050C-FF32-F4FF-701921C325D8}"/>
            </a:ext>
          </a:extLst>
        </xdr:cNvPr>
        <xdr:cNvSpPr/>
      </xdr:nvSpPr>
      <xdr:spPr>
        <a:xfrm>
          <a:off x="2192337" y="17702645"/>
          <a:ext cx="3889375" cy="455612"/>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CDS</a:t>
          </a:r>
        </a:p>
      </xdr:txBody>
    </xdr:sp>
    <xdr:clientData/>
  </xdr:twoCellAnchor>
  <xdr:twoCellAnchor>
    <xdr:from>
      <xdr:col>2</xdr:col>
      <xdr:colOff>677862</xdr:colOff>
      <xdr:row>116</xdr:row>
      <xdr:rowOff>116175</xdr:rowOff>
    </xdr:from>
    <xdr:to>
      <xdr:col>7</xdr:col>
      <xdr:colOff>755650</xdr:colOff>
      <xdr:row>119</xdr:row>
      <xdr:rowOff>104197</xdr:rowOff>
    </xdr:to>
    <xdr:sp macro="" textlink="">
      <xdr:nvSpPr>
        <xdr:cNvPr id="47" name="Flèche : droite 46">
          <a:extLst>
            <a:ext uri="{FF2B5EF4-FFF2-40B4-BE49-F238E27FC236}">
              <a16:creationId xmlns:a16="http://schemas.microsoft.com/office/drawing/2014/main" id="{B1F58243-5D2B-3EF4-FC0D-CDADC0AAF83F}"/>
            </a:ext>
          </a:extLst>
        </xdr:cNvPr>
        <xdr:cNvSpPr/>
      </xdr:nvSpPr>
      <xdr:spPr>
        <a:xfrm>
          <a:off x="2201862" y="18196357"/>
          <a:ext cx="3887788" cy="455613"/>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IRPP</a:t>
          </a:r>
        </a:p>
      </xdr:txBody>
    </xdr:sp>
    <xdr:clientData/>
  </xdr:twoCellAnchor>
  <xdr:twoCellAnchor>
    <xdr:from>
      <xdr:col>2</xdr:col>
      <xdr:colOff>668337</xdr:colOff>
      <xdr:row>119</xdr:row>
      <xdr:rowOff>132772</xdr:rowOff>
    </xdr:from>
    <xdr:to>
      <xdr:col>7</xdr:col>
      <xdr:colOff>747712</xdr:colOff>
      <xdr:row>122</xdr:row>
      <xdr:rowOff>120793</xdr:rowOff>
    </xdr:to>
    <xdr:sp macro="" textlink="">
      <xdr:nvSpPr>
        <xdr:cNvPr id="48" name="Flèche : droite 47">
          <a:extLst>
            <a:ext uri="{FF2B5EF4-FFF2-40B4-BE49-F238E27FC236}">
              <a16:creationId xmlns:a16="http://schemas.microsoft.com/office/drawing/2014/main" id="{06AD69EF-25A4-0D7A-2D31-F708A502CFE3}"/>
            </a:ext>
          </a:extLst>
        </xdr:cNvPr>
        <xdr:cNvSpPr/>
      </xdr:nvSpPr>
      <xdr:spPr>
        <a:xfrm>
          <a:off x="2192337" y="18680545"/>
          <a:ext cx="3889375" cy="455612"/>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Patente </a:t>
          </a:r>
        </a:p>
      </xdr:txBody>
    </xdr:sp>
    <xdr:clientData/>
  </xdr:twoCellAnchor>
  <xdr:twoCellAnchor>
    <xdr:from>
      <xdr:col>2</xdr:col>
      <xdr:colOff>632620</xdr:colOff>
      <xdr:row>135</xdr:row>
      <xdr:rowOff>48779</xdr:rowOff>
    </xdr:from>
    <xdr:to>
      <xdr:col>5</xdr:col>
      <xdr:colOff>345281</xdr:colOff>
      <xdr:row>137</xdr:row>
      <xdr:rowOff>118052</xdr:rowOff>
    </xdr:to>
    <xdr:sp macro="" textlink="">
      <xdr:nvSpPr>
        <xdr:cNvPr id="49" name="Flèche : droite 48">
          <a:extLst>
            <a:ext uri="{FF2B5EF4-FFF2-40B4-BE49-F238E27FC236}">
              <a16:creationId xmlns:a16="http://schemas.microsoft.com/office/drawing/2014/main" id="{9A207258-460A-59CB-7FCF-50032F0F6A2D}"/>
            </a:ext>
          </a:extLst>
        </xdr:cNvPr>
        <xdr:cNvSpPr/>
      </xdr:nvSpPr>
      <xdr:spPr>
        <a:xfrm>
          <a:off x="2156620" y="21090370"/>
          <a:ext cx="1998661" cy="381000"/>
        </a:xfrm>
        <a:prstGeom prst="rightArrow">
          <a:avLst/>
        </a:prstGeom>
        <a:solidFill>
          <a:srgbClr val="DAE3F3"/>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tx1"/>
              </a:solidFill>
            </a:rPr>
            <a:t>Taxes de droit commun</a:t>
          </a:r>
        </a:p>
      </xdr:txBody>
    </xdr:sp>
    <xdr:clientData/>
  </xdr:twoCellAnchor>
  <xdr:twoCellAnchor>
    <xdr:from>
      <xdr:col>8</xdr:col>
      <xdr:colOff>415925</xdr:colOff>
      <xdr:row>109</xdr:row>
      <xdr:rowOff>137246</xdr:rowOff>
    </xdr:from>
    <xdr:to>
      <xdr:col>10</xdr:col>
      <xdr:colOff>568325</xdr:colOff>
      <xdr:row>127</xdr:row>
      <xdr:rowOff>68550</xdr:rowOff>
    </xdr:to>
    <xdr:sp macro="" textlink="">
      <xdr:nvSpPr>
        <xdr:cNvPr id="50" name="Rectangle : coins arrondis 49">
          <a:extLst>
            <a:ext uri="{FF2B5EF4-FFF2-40B4-BE49-F238E27FC236}">
              <a16:creationId xmlns:a16="http://schemas.microsoft.com/office/drawing/2014/main" id="{C62FAEC1-EEA4-2F08-6B08-A05F89D3E6E8}"/>
            </a:ext>
          </a:extLst>
        </xdr:cNvPr>
        <xdr:cNvSpPr/>
      </xdr:nvSpPr>
      <xdr:spPr>
        <a:xfrm>
          <a:off x="6511925" y="17126382"/>
          <a:ext cx="1676400" cy="2736850"/>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DGID</a:t>
          </a:r>
        </a:p>
      </xdr:txBody>
    </xdr:sp>
    <xdr:clientData/>
  </xdr:twoCellAnchor>
  <xdr:twoCellAnchor>
    <xdr:from>
      <xdr:col>2</xdr:col>
      <xdr:colOff>687387</xdr:colOff>
      <xdr:row>103</xdr:row>
      <xdr:rowOff>10390</xdr:rowOff>
    </xdr:from>
    <xdr:to>
      <xdr:col>7</xdr:col>
      <xdr:colOff>746125</xdr:colOff>
      <xdr:row>105</xdr:row>
      <xdr:rowOff>79663</xdr:rowOff>
    </xdr:to>
    <xdr:sp macro="" textlink="">
      <xdr:nvSpPr>
        <xdr:cNvPr id="51" name="Flèche : droite 50">
          <a:extLst>
            <a:ext uri="{FF2B5EF4-FFF2-40B4-BE49-F238E27FC236}">
              <a16:creationId xmlns:a16="http://schemas.microsoft.com/office/drawing/2014/main" id="{4C6EDFB0-F362-084E-C1A0-D3E7C3665FF5}"/>
            </a:ext>
          </a:extLst>
        </xdr:cNvPr>
        <xdr:cNvSpPr/>
      </xdr:nvSpPr>
      <xdr:spPr>
        <a:xfrm>
          <a:off x="2211387" y="16064345"/>
          <a:ext cx="3868738" cy="3810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Paiements environnementaux</a:t>
          </a:r>
        </a:p>
      </xdr:txBody>
    </xdr:sp>
    <xdr:clientData/>
  </xdr:twoCellAnchor>
  <xdr:twoCellAnchor>
    <xdr:from>
      <xdr:col>12</xdr:col>
      <xdr:colOff>315912</xdr:colOff>
      <xdr:row>102</xdr:row>
      <xdr:rowOff>102754</xdr:rowOff>
    </xdr:from>
    <xdr:to>
      <xdr:col>14</xdr:col>
      <xdr:colOff>303212</xdr:colOff>
      <xdr:row>105</xdr:row>
      <xdr:rowOff>90775</xdr:rowOff>
    </xdr:to>
    <xdr:sp macro="" textlink="">
      <xdr:nvSpPr>
        <xdr:cNvPr id="52" name="Rectangle : coins arrondis 51">
          <a:extLst>
            <a:ext uri="{FF2B5EF4-FFF2-40B4-BE49-F238E27FC236}">
              <a16:creationId xmlns:a16="http://schemas.microsoft.com/office/drawing/2014/main" id="{A4388830-30CC-F3D6-7721-75132B989B7E}"/>
            </a:ext>
          </a:extLst>
        </xdr:cNvPr>
        <xdr:cNvSpPr/>
      </xdr:nvSpPr>
      <xdr:spPr>
        <a:xfrm>
          <a:off x="9459912" y="16000845"/>
          <a:ext cx="1511300" cy="455612"/>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FNE - MEDD</a:t>
          </a:r>
        </a:p>
      </xdr:txBody>
    </xdr:sp>
    <xdr:clientData/>
  </xdr:twoCellAnchor>
  <xdr:twoCellAnchor>
    <xdr:from>
      <xdr:col>7</xdr:col>
      <xdr:colOff>467271</xdr:colOff>
      <xdr:row>105</xdr:row>
      <xdr:rowOff>48699</xdr:rowOff>
    </xdr:from>
    <xdr:to>
      <xdr:col>8</xdr:col>
      <xdr:colOff>443509</xdr:colOff>
      <xdr:row>107</xdr:row>
      <xdr:rowOff>92572</xdr:rowOff>
    </xdr:to>
    <xdr:sp macro="" textlink="">
      <xdr:nvSpPr>
        <xdr:cNvPr id="53" name="Flèche : droite 52">
          <a:extLst>
            <a:ext uri="{FF2B5EF4-FFF2-40B4-BE49-F238E27FC236}">
              <a16:creationId xmlns:a16="http://schemas.microsoft.com/office/drawing/2014/main" id="{1CBBEC39-BFD6-8935-AFAF-11F115342F0A}"/>
            </a:ext>
          </a:extLst>
        </xdr:cNvPr>
        <xdr:cNvSpPr/>
      </xdr:nvSpPr>
      <xdr:spPr>
        <a:xfrm rot="20068103">
          <a:off x="5801271" y="16414381"/>
          <a:ext cx="738238" cy="3556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70%</a:t>
          </a:r>
        </a:p>
      </xdr:txBody>
    </xdr:sp>
    <xdr:clientData/>
  </xdr:twoCellAnchor>
  <xdr:twoCellAnchor>
    <xdr:from>
      <xdr:col>8</xdr:col>
      <xdr:colOff>430212</xdr:colOff>
      <xdr:row>106</xdr:row>
      <xdr:rowOff>78224</xdr:rowOff>
    </xdr:from>
    <xdr:to>
      <xdr:col>10</xdr:col>
      <xdr:colOff>582612</xdr:colOff>
      <xdr:row>109</xdr:row>
      <xdr:rowOff>63070</xdr:rowOff>
    </xdr:to>
    <xdr:sp macro="" textlink="">
      <xdr:nvSpPr>
        <xdr:cNvPr id="54" name="Rectangle : coins arrondis 53">
          <a:extLst>
            <a:ext uri="{FF2B5EF4-FFF2-40B4-BE49-F238E27FC236}">
              <a16:creationId xmlns:a16="http://schemas.microsoft.com/office/drawing/2014/main" id="{86FD2303-3452-64D2-174A-1E958E40B66F}"/>
            </a:ext>
          </a:extLst>
        </xdr:cNvPr>
        <xdr:cNvSpPr/>
      </xdr:nvSpPr>
      <xdr:spPr>
        <a:xfrm>
          <a:off x="6526212" y="16599769"/>
          <a:ext cx="1676400" cy="452437"/>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FDF</a:t>
          </a:r>
        </a:p>
      </xdr:txBody>
    </xdr:sp>
    <xdr:clientData/>
  </xdr:twoCellAnchor>
  <xdr:twoCellAnchor>
    <xdr:from>
      <xdr:col>8</xdr:col>
      <xdr:colOff>295275</xdr:colOff>
      <xdr:row>95</xdr:row>
      <xdr:rowOff>0</xdr:rowOff>
    </xdr:from>
    <xdr:to>
      <xdr:col>10</xdr:col>
      <xdr:colOff>733425</xdr:colOff>
      <xdr:row>96</xdr:row>
      <xdr:rowOff>131474</xdr:rowOff>
    </xdr:to>
    <xdr:sp macro="" textlink="">
      <xdr:nvSpPr>
        <xdr:cNvPr id="55" name="Rectangle : coins arrondis 54">
          <a:extLst>
            <a:ext uri="{FF2B5EF4-FFF2-40B4-BE49-F238E27FC236}">
              <a16:creationId xmlns:a16="http://schemas.microsoft.com/office/drawing/2014/main" id="{B67CDD49-B92B-F6A2-2656-0C226460FF6E}"/>
            </a:ext>
          </a:extLst>
        </xdr:cNvPr>
        <xdr:cNvSpPr/>
      </xdr:nvSpPr>
      <xdr:spPr>
        <a:xfrm>
          <a:off x="6391275" y="14807045"/>
          <a:ext cx="1962150" cy="287338"/>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Entité perceptrice</a:t>
          </a:r>
        </a:p>
      </xdr:txBody>
    </xdr:sp>
    <xdr:clientData/>
  </xdr:twoCellAnchor>
  <xdr:twoCellAnchor>
    <xdr:from>
      <xdr:col>12</xdr:col>
      <xdr:colOff>304800</xdr:colOff>
      <xdr:row>95</xdr:row>
      <xdr:rowOff>11113</xdr:rowOff>
    </xdr:from>
    <xdr:to>
      <xdr:col>14</xdr:col>
      <xdr:colOff>292100</xdr:colOff>
      <xdr:row>96</xdr:row>
      <xdr:rowOff>140999</xdr:rowOff>
    </xdr:to>
    <xdr:sp macro="" textlink="">
      <xdr:nvSpPr>
        <xdr:cNvPr id="56" name="Rectangle : coins arrondis 55">
          <a:extLst>
            <a:ext uri="{FF2B5EF4-FFF2-40B4-BE49-F238E27FC236}">
              <a16:creationId xmlns:a16="http://schemas.microsoft.com/office/drawing/2014/main" id="{DC5762F6-2CF2-6639-7E1E-456DC64C38C7}"/>
            </a:ext>
          </a:extLst>
        </xdr:cNvPr>
        <xdr:cNvSpPr/>
      </xdr:nvSpPr>
      <xdr:spPr>
        <a:xfrm>
          <a:off x="9448800" y="14818158"/>
          <a:ext cx="1511300" cy="285750"/>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Affectation</a:t>
          </a:r>
        </a:p>
      </xdr:txBody>
    </xdr:sp>
    <xdr:clientData/>
  </xdr:twoCellAnchor>
  <xdr:twoCellAnchor>
    <xdr:from>
      <xdr:col>0</xdr:col>
      <xdr:colOff>0</xdr:colOff>
      <xdr:row>95</xdr:row>
      <xdr:rowOff>35605</xdr:rowOff>
    </xdr:from>
    <xdr:to>
      <xdr:col>2</xdr:col>
      <xdr:colOff>439738</xdr:colOff>
      <xdr:row>96</xdr:row>
      <xdr:rowOff>162316</xdr:rowOff>
    </xdr:to>
    <xdr:sp macro="" textlink="">
      <xdr:nvSpPr>
        <xdr:cNvPr id="57" name="Rectangle : coins arrondis 56">
          <a:extLst>
            <a:ext uri="{FF2B5EF4-FFF2-40B4-BE49-F238E27FC236}">
              <a16:creationId xmlns:a16="http://schemas.microsoft.com/office/drawing/2014/main" id="{B5BEF764-AD67-D4C1-AD50-ECA1AF9FAAF3}"/>
            </a:ext>
          </a:extLst>
        </xdr:cNvPr>
        <xdr:cNvSpPr/>
      </xdr:nvSpPr>
      <xdr:spPr>
        <a:xfrm>
          <a:off x="0" y="15547748"/>
          <a:ext cx="1963738" cy="289997"/>
        </a:xfrm>
        <a:prstGeom prst="roundRect">
          <a:avLst/>
        </a:prstGeom>
        <a:solidFill>
          <a:srgbClr val="748A9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Secteur Forestier</a:t>
          </a:r>
        </a:p>
      </xdr:txBody>
    </xdr:sp>
    <xdr:clientData/>
  </xdr:twoCellAnchor>
  <xdr:twoCellAnchor>
    <xdr:from>
      <xdr:col>7</xdr:col>
      <xdr:colOff>509587</xdr:colOff>
      <xdr:row>106</xdr:row>
      <xdr:rowOff>155217</xdr:rowOff>
    </xdr:from>
    <xdr:to>
      <xdr:col>8</xdr:col>
      <xdr:colOff>443509</xdr:colOff>
      <xdr:row>109</xdr:row>
      <xdr:rowOff>43226</xdr:rowOff>
    </xdr:to>
    <xdr:sp macro="" textlink="">
      <xdr:nvSpPr>
        <xdr:cNvPr id="58" name="Flèche : droite 57">
          <a:extLst>
            <a:ext uri="{FF2B5EF4-FFF2-40B4-BE49-F238E27FC236}">
              <a16:creationId xmlns:a16="http://schemas.microsoft.com/office/drawing/2014/main" id="{53100C7A-8AD5-9E0C-B125-EA0F02A7206C}"/>
            </a:ext>
          </a:extLst>
        </xdr:cNvPr>
        <xdr:cNvSpPr/>
      </xdr:nvSpPr>
      <xdr:spPr>
        <a:xfrm>
          <a:off x="5843587" y="16676762"/>
          <a:ext cx="695922" cy="355600"/>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i="1">
              <a:solidFill>
                <a:schemeClr val="tx1"/>
              </a:solidFill>
              <a:latin typeface="Trebuchet MS" panose="020B0603020202020204" pitchFamily="34" charset="0"/>
            </a:rPr>
            <a:t>30%</a:t>
          </a:r>
        </a:p>
      </xdr:txBody>
    </xdr:sp>
    <xdr:clientData/>
  </xdr:twoCellAnchor>
  <xdr:twoCellAnchor>
    <xdr:from>
      <xdr:col>2</xdr:col>
      <xdr:colOff>671513</xdr:colOff>
      <xdr:row>126</xdr:row>
      <xdr:rowOff>124401</xdr:rowOff>
    </xdr:from>
    <xdr:to>
      <xdr:col>7</xdr:col>
      <xdr:colOff>485775</xdr:colOff>
      <xdr:row>129</xdr:row>
      <xdr:rowOff>112423</xdr:rowOff>
    </xdr:to>
    <xdr:sp macro="" textlink="">
      <xdr:nvSpPr>
        <xdr:cNvPr id="59" name="Flèche : droite 58">
          <a:extLst>
            <a:ext uri="{FF2B5EF4-FFF2-40B4-BE49-F238E27FC236}">
              <a16:creationId xmlns:a16="http://schemas.microsoft.com/office/drawing/2014/main" id="{6495BAD9-9828-79CA-6027-936703B38920}"/>
            </a:ext>
          </a:extLst>
        </xdr:cNvPr>
        <xdr:cNvSpPr/>
      </xdr:nvSpPr>
      <xdr:spPr>
        <a:xfrm>
          <a:off x="2195513" y="19763219"/>
          <a:ext cx="3624262" cy="455613"/>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Taxes d’abattage</a:t>
          </a:r>
        </a:p>
      </xdr:txBody>
    </xdr:sp>
    <xdr:clientData/>
  </xdr:twoCellAnchor>
  <xdr:twoCellAnchor>
    <xdr:from>
      <xdr:col>2</xdr:col>
      <xdr:colOff>671513</xdr:colOff>
      <xdr:row>130</xdr:row>
      <xdr:rowOff>116782</xdr:rowOff>
    </xdr:from>
    <xdr:to>
      <xdr:col>7</xdr:col>
      <xdr:colOff>485775</xdr:colOff>
      <xdr:row>133</xdr:row>
      <xdr:rowOff>104803</xdr:rowOff>
    </xdr:to>
    <xdr:sp macro="" textlink="">
      <xdr:nvSpPr>
        <xdr:cNvPr id="60" name="Flèche : droite 59">
          <a:extLst>
            <a:ext uri="{FF2B5EF4-FFF2-40B4-BE49-F238E27FC236}">
              <a16:creationId xmlns:a16="http://schemas.microsoft.com/office/drawing/2014/main" id="{EAEFCCE4-468E-402F-ADD8-9466ED91A516}"/>
            </a:ext>
          </a:extLst>
        </xdr:cNvPr>
        <xdr:cNvSpPr/>
      </xdr:nvSpPr>
      <xdr:spPr>
        <a:xfrm>
          <a:off x="2195513" y="20379055"/>
          <a:ext cx="3624262" cy="455612"/>
        </a:xfrm>
        <a:prstGeom prst="rightArrow">
          <a:avLst/>
        </a:prstGeom>
        <a:solidFill>
          <a:srgbClr val="F8CBA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i="1">
              <a:solidFill>
                <a:schemeClr val="tx1"/>
              </a:solidFill>
              <a:latin typeface="Trebuchet MS" panose="020B0603020202020204" pitchFamily="34" charset="0"/>
            </a:rPr>
            <a:t>Taxes de reboisement</a:t>
          </a:r>
        </a:p>
      </xdr:txBody>
    </xdr:sp>
    <xdr:clientData/>
  </xdr:twoCellAnchor>
  <xdr:twoCellAnchor>
    <xdr:from>
      <xdr:col>12</xdr:col>
      <xdr:colOff>243071</xdr:colOff>
      <xdr:row>123</xdr:row>
      <xdr:rowOff>153579</xdr:rowOff>
    </xdr:from>
    <xdr:to>
      <xdr:col>14</xdr:col>
      <xdr:colOff>230371</xdr:colOff>
      <xdr:row>126</xdr:row>
      <xdr:rowOff>67930</xdr:rowOff>
    </xdr:to>
    <xdr:sp macro="" textlink="">
      <xdr:nvSpPr>
        <xdr:cNvPr id="61" name="Rectangle : coins arrondis 60">
          <a:extLst>
            <a:ext uri="{FF2B5EF4-FFF2-40B4-BE49-F238E27FC236}">
              <a16:creationId xmlns:a16="http://schemas.microsoft.com/office/drawing/2014/main" id="{9B06CC50-7735-163B-A591-EF45104E6997}"/>
            </a:ext>
          </a:extLst>
        </xdr:cNvPr>
        <xdr:cNvSpPr/>
      </xdr:nvSpPr>
      <xdr:spPr>
        <a:xfrm>
          <a:off x="9387071" y="19324806"/>
          <a:ext cx="1511300" cy="381942"/>
        </a:xfrm>
        <a:prstGeom prst="roundRect">
          <a:avLst/>
        </a:prstGeom>
        <a:solidFill>
          <a:srgbClr val="B4C7E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latin typeface="Trebuchet MS" panose="020B0603020202020204" pitchFamily="34" charset="0"/>
            </a:rPr>
            <a:t>Trésor </a:t>
          </a:r>
        </a:p>
      </xdr:txBody>
    </xdr:sp>
    <xdr:clientData/>
  </xdr:twoCellAnchor>
  <xdr:twoCellAnchor>
    <xdr:from>
      <xdr:col>8</xdr:col>
      <xdr:colOff>503165</xdr:colOff>
      <xdr:row>132</xdr:row>
      <xdr:rowOff>6782</xdr:rowOff>
    </xdr:from>
    <xdr:to>
      <xdr:col>10</xdr:col>
      <xdr:colOff>568325</xdr:colOff>
      <xdr:row>134</xdr:row>
      <xdr:rowOff>147492</xdr:rowOff>
    </xdr:to>
    <xdr:sp macro="" textlink="">
      <xdr:nvSpPr>
        <xdr:cNvPr id="62" name="Rectangle : coins arrondis 61">
          <a:extLst>
            <a:ext uri="{FF2B5EF4-FFF2-40B4-BE49-F238E27FC236}">
              <a16:creationId xmlns:a16="http://schemas.microsoft.com/office/drawing/2014/main" id="{397C0CD4-1F83-274C-580C-D28B25529FE6}"/>
            </a:ext>
          </a:extLst>
        </xdr:cNvPr>
        <xdr:cNvSpPr/>
      </xdr:nvSpPr>
      <xdr:spPr>
        <a:xfrm>
          <a:off x="6599165" y="20580782"/>
          <a:ext cx="1589160" cy="452437"/>
        </a:xfrm>
        <a:prstGeom prst="roundRect">
          <a:avLst/>
        </a:prstGeom>
        <a:solidFill>
          <a:srgbClr val="218F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Communes</a:t>
          </a:r>
        </a:p>
      </xdr:txBody>
    </xdr:sp>
    <xdr:clientData/>
  </xdr:twoCellAnchor>
  <xdr:twoCellAnchor>
    <xdr:from>
      <xdr:col>5</xdr:col>
      <xdr:colOff>383381</xdr:colOff>
      <xdr:row>135</xdr:row>
      <xdr:rowOff>17553</xdr:rowOff>
    </xdr:from>
    <xdr:to>
      <xdr:col>8</xdr:col>
      <xdr:colOff>332530</xdr:colOff>
      <xdr:row>137</xdr:row>
      <xdr:rowOff>118052</xdr:rowOff>
    </xdr:to>
    <xdr:sp macro="" textlink="">
      <xdr:nvSpPr>
        <xdr:cNvPr id="63" name="Flèche : droite 62">
          <a:extLst>
            <a:ext uri="{FF2B5EF4-FFF2-40B4-BE49-F238E27FC236}">
              <a16:creationId xmlns:a16="http://schemas.microsoft.com/office/drawing/2014/main" id="{CD205D17-453B-5D59-4E68-22CD4F87A338}"/>
            </a:ext>
          </a:extLst>
        </xdr:cNvPr>
        <xdr:cNvSpPr/>
      </xdr:nvSpPr>
      <xdr:spPr>
        <a:xfrm>
          <a:off x="4193381" y="21059144"/>
          <a:ext cx="2235149" cy="412226"/>
        </a:xfrm>
        <a:prstGeom prst="rightArrow">
          <a:avLst/>
        </a:prstGeom>
        <a:solidFill>
          <a:srgbClr val="218F8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100" i="1">
              <a:solidFill>
                <a:schemeClr val="bg1"/>
              </a:solidFill>
            </a:rPr>
            <a:t>Paiements infranationaux</a:t>
          </a:r>
        </a:p>
      </xdr:txBody>
    </xdr:sp>
    <xdr:clientData/>
  </xdr:twoCellAnchor>
  <xdr:twoCellAnchor>
    <xdr:from>
      <xdr:col>7</xdr:col>
      <xdr:colOff>253974</xdr:colOff>
      <xdr:row>130</xdr:row>
      <xdr:rowOff>5912</xdr:rowOff>
    </xdr:from>
    <xdr:to>
      <xdr:col>8</xdr:col>
      <xdr:colOff>595457</xdr:colOff>
      <xdr:row>131</xdr:row>
      <xdr:rowOff>10272</xdr:rowOff>
    </xdr:to>
    <xdr:cxnSp macro="">
      <xdr:nvCxnSpPr>
        <xdr:cNvPr id="64" name="Connecteur : en angle 63">
          <a:extLst>
            <a:ext uri="{FF2B5EF4-FFF2-40B4-BE49-F238E27FC236}">
              <a16:creationId xmlns:a16="http://schemas.microsoft.com/office/drawing/2014/main" id="{FBCE9671-D719-1A62-04EF-DF6E9101D3B6}"/>
            </a:ext>
          </a:extLst>
        </xdr:cNvPr>
        <xdr:cNvCxnSpPr>
          <a:cxnSpLocks/>
        </xdr:cNvCxnSpPr>
      </xdr:nvCxnSpPr>
      <xdr:spPr>
        <a:xfrm flipV="1">
          <a:off x="5587974" y="20268185"/>
          <a:ext cx="1103483" cy="160223"/>
        </a:xfrm>
        <a:prstGeom prst="bentConnector3">
          <a:avLst>
            <a:gd name="adj1" fmla="val 50000"/>
          </a:avLst>
        </a:prstGeom>
        <a:ln>
          <a:solidFill>
            <a:srgbClr val="7030A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476250</xdr:colOff>
      <xdr:row>127</xdr:row>
      <xdr:rowOff>139180</xdr:rowOff>
    </xdr:from>
    <xdr:to>
      <xdr:col>8</xdr:col>
      <xdr:colOff>585933</xdr:colOff>
      <xdr:row>129</xdr:row>
      <xdr:rowOff>104612</xdr:rowOff>
    </xdr:to>
    <xdr:cxnSp macro="">
      <xdr:nvCxnSpPr>
        <xdr:cNvPr id="65" name="Connecteur : en angle 64">
          <a:extLst>
            <a:ext uri="{FF2B5EF4-FFF2-40B4-BE49-F238E27FC236}">
              <a16:creationId xmlns:a16="http://schemas.microsoft.com/office/drawing/2014/main" id="{9DC8A07F-8BB7-7BFA-E38E-87CFE6B933D3}"/>
            </a:ext>
          </a:extLst>
        </xdr:cNvPr>
        <xdr:cNvCxnSpPr>
          <a:cxnSpLocks/>
        </xdr:cNvCxnSpPr>
      </xdr:nvCxnSpPr>
      <xdr:spPr>
        <a:xfrm>
          <a:off x="5810250" y="19933862"/>
          <a:ext cx="871683" cy="277159"/>
        </a:xfrm>
        <a:prstGeom prst="bentConnector3">
          <a:avLst>
            <a:gd name="adj1" fmla="val 50000"/>
          </a:avLst>
        </a:prstGeom>
        <a:ln>
          <a:solidFill>
            <a:srgbClr val="7030A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613739</xdr:colOff>
      <xdr:row>128</xdr:row>
      <xdr:rowOff>58478</xdr:rowOff>
    </xdr:from>
    <xdr:to>
      <xdr:col>10</xdr:col>
      <xdr:colOff>568325</xdr:colOff>
      <xdr:row>131</xdr:row>
      <xdr:rowOff>43324</xdr:rowOff>
    </xdr:to>
    <xdr:sp macro="" textlink="">
      <xdr:nvSpPr>
        <xdr:cNvPr id="66" name="Rectangle : coins arrondis 65">
          <a:extLst>
            <a:ext uri="{FF2B5EF4-FFF2-40B4-BE49-F238E27FC236}">
              <a16:creationId xmlns:a16="http://schemas.microsoft.com/office/drawing/2014/main" id="{AC463447-8E6C-C864-2184-44AEBB48F3C2}"/>
            </a:ext>
          </a:extLst>
        </xdr:cNvPr>
        <xdr:cNvSpPr/>
      </xdr:nvSpPr>
      <xdr:spPr>
        <a:xfrm>
          <a:off x="6709739" y="20009023"/>
          <a:ext cx="1478586" cy="452437"/>
        </a:xfrm>
        <a:prstGeom prst="roundRect">
          <a:avLst/>
        </a:prstGeom>
        <a:solidFill>
          <a:srgbClr val="A9D1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400" b="1">
              <a:solidFill>
                <a:schemeClr val="bg1"/>
              </a:solidFill>
              <a:latin typeface="Trebuchet MS" panose="020B0603020202020204" pitchFamily="34" charset="0"/>
            </a:rPr>
            <a:t>FDF &amp; AGDRF</a:t>
          </a:r>
        </a:p>
      </xdr:txBody>
    </xdr:sp>
    <xdr:clientData/>
  </xdr:twoCellAnchor>
  <xdr:twoCellAnchor>
    <xdr:from>
      <xdr:col>7</xdr:col>
      <xdr:colOff>591479</xdr:colOff>
      <xdr:row>127</xdr:row>
      <xdr:rowOff>94910</xdr:rowOff>
    </xdr:from>
    <xdr:to>
      <xdr:col>8</xdr:col>
      <xdr:colOff>503165</xdr:colOff>
      <xdr:row>129</xdr:row>
      <xdr:rowOff>94078</xdr:rowOff>
    </xdr:to>
    <xdr:sp macro="" textlink="">
      <xdr:nvSpPr>
        <xdr:cNvPr id="67" name="Ellipse 66">
          <a:extLst>
            <a:ext uri="{FF2B5EF4-FFF2-40B4-BE49-F238E27FC236}">
              <a16:creationId xmlns:a16="http://schemas.microsoft.com/office/drawing/2014/main" id="{EA8FF94C-A507-E75B-0A72-FAC74E76EDF7}"/>
            </a:ext>
          </a:extLst>
        </xdr:cNvPr>
        <xdr:cNvSpPr/>
      </xdr:nvSpPr>
      <xdr:spPr>
        <a:xfrm>
          <a:off x="5925479" y="19889592"/>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7030A0"/>
              </a:solidFill>
            </a:rPr>
            <a:t>30%</a:t>
          </a:r>
        </a:p>
      </xdr:txBody>
    </xdr:sp>
    <xdr:clientData/>
  </xdr:twoCellAnchor>
  <xdr:twoCellAnchor>
    <xdr:from>
      <xdr:col>8</xdr:col>
      <xdr:colOff>94860</xdr:colOff>
      <xdr:row>129</xdr:row>
      <xdr:rowOff>113980</xdr:rowOff>
    </xdr:from>
    <xdr:to>
      <xdr:col>9</xdr:col>
      <xdr:colOff>6546</xdr:colOff>
      <xdr:row>131</xdr:row>
      <xdr:rowOff>113148</xdr:rowOff>
    </xdr:to>
    <xdr:sp macro="" textlink="">
      <xdr:nvSpPr>
        <xdr:cNvPr id="68" name="Ellipse 67">
          <a:extLst>
            <a:ext uri="{FF2B5EF4-FFF2-40B4-BE49-F238E27FC236}">
              <a16:creationId xmlns:a16="http://schemas.microsoft.com/office/drawing/2014/main" id="{DA873C0A-B33C-183F-7FB6-C71504C4D927}"/>
            </a:ext>
          </a:extLst>
        </xdr:cNvPr>
        <xdr:cNvSpPr/>
      </xdr:nvSpPr>
      <xdr:spPr>
        <a:xfrm>
          <a:off x="6190860" y="20220389"/>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7030A0"/>
              </a:solidFill>
            </a:rPr>
            <a:t>50%</a:t>
          </a:r>
        </a:p>
      </xdr:txBody>
    </xdr:sp>
    <xdr:clientData/>
  </xdr:twoCellAnchor>
  <xdr:twoCellAnchor>
    <xdr:from>
      <xdr:col>7</xdr:col>
      <xdr:colOff>257969</xdr:colOff>
      <xdr:row>133</xdr:row>
      <xdr:rowOff>77137</xdr:rowOff>
    </xdr:from>
    <xdr:to>
      <xdr:col>8</xdr:col>
      <xdr:colOff>503165</xdr:colOff>
      <xdr:row>133</xdr:row>
      <xdr:rowOff>104803</xdr:rowOff>
    </xdr:to>
    <xdr:cxnSp macro="">
      <xdr:nvCxnSpPr>
        <xdr:cNvPr id="69" name="Connecteur : en angle 68">
          <a:extLst>
            <a:ext uri="{FF2B5EF4-FFF2-40B4-BE49-F238E27FC236}">
              <a16:creationId xmlns:a16="http://schemas.microsoft.com/office/drawing/2014/main" id="{70B37BC5-9692-18B7-8B4E-AF04F81F321F}"/>
            </a:ext>
          </a:extLst>
        </xdr:cNvPr>
        <xdr:cNvCxnSpPr>
          <a:cxnSpLocks/>
          <a:stCxn id="60" idx="2"/>
          <a:endCxn id="62" idx="1"/>
        </xdr:cNvCxnSpPr>
      </xdr:nvCxnSpPr>
      <xdr:spPr>
        <a:xfrm rot="5400000" flipH="1" flipV="1">
          <a:off x="6081734" y="20317236"/>
          <a:ext cx="27666" cy="1007196"/>
        </a:xfrm>
        <a:prstGeom prst="bentConnector4">
          <a:avLst>
            <a:gd name="adj1" fmla="val -826285"/>
            <a:gd name="adj2" fmla="val 61309"/>
          </a:avLst>
        </a:prstGeom>
        <a:ln>
          <a:solidFill>
            <a:srgbClr val="218F8B"/>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312687</xdr:colOff>
      <xdr:row>129</xdr:row>
      <xdr:rowOff>52369</xdr:rowOff>
    </xdr:from>
    <xdr:to>
      <xdr:col>8</xdr:col>
      <xdr:colOff>467689</xdr:colOff>
      <xdr:row>132</xdr:row>
      <xdr:rowOff>143880</xdr:rowOff>
    </xdr:to>
    <xdr:cxnSp macro="">
      <xdr:nvCxnSpPr>
        <xdr:cNvPr id="70" name="Connecteur : en angle 69">
          <a:extLst>
            <a:ext uri="{FF2B5EF4-FFF2-40B4-BE49-F238E27FC236}">
              <a16:creationId xmlns:a16="http://schemas.microsoft.com/office/drawing/2014/main" id="{49270567-37C2-CA9E-9144-F74E7C38326B}"/>
            </a:ext>
          </a:extLst>
        </xdr:cNvPr>
        <xdr:cNvCxnSpPr>
          <a:cxnSpLocks/>
        </xdr:cNvCxnSpPr>
      </xdr:nvCxnSpPr>
      <xdr:spPr>
        <a:xfrm>
          <a:off x="5646687" y="20158778"/>
          <a:ext cx="917002" cy="559102"/>
        </a:xfrm>
        <a:prstGeom prst="bentConnector3">
          <a:avLst>
            <a:gd name="adj1" fmla="val 50000"/>
          </a:avLst>
        </a:prstGeom>
        <a:ln>
          <a:solidFill>
            <a:srgbClr val="218F8B"/>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596956</xdr:colOff>
      <xdr:row>131</xdr:row>
      <xdr:rowOff>11898</xdr:rowOff>
    </xdr:from>
    <xdr:to>
      <xdr:col>8</xdr:col>
      <xdr:colOff>508642</xdr:colOff>
      <xdr:row>133</xdr:row>
      <xdr:rowOff>11065</xdr:rowOff>
    </xdr:to>
    <xdr:sp macro="" textlink="">
      <xdr:nvSpPr>
        <xdr:cNvPr id="71" name="Ellipse 70">
          <a:extLst>
            <a:ext uri="{FF2B5EF4-FFF2-40B4-BE49-F238E27FC236}">
              <a16:creationId xmlns:a16="http://schemas.microsoft.com/office/drawing/2014/main" id="{0E37A903-3D99-BA1F-6544-3A2E6112E3F4}"/>
            </a:ext>
          </a:extLst>
        </xdr:cNvPr>
        <xdr:cNvSpPr/>
      </xdr:nvSpPr>
      <xdr:spPr>
        <a:xfrm>
          <a:off x="5930956" y="20430034"/>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218F8B"/>
              </a:solidFill>
            </a:rPr>
            <a:t>30%</a:t>
          </a:r>
        </a:p>
      </xdr:txBody>
    </xdr:sp>
    <xdr:clientData/>
  </xdr:twoCellAnchor>
  <xdr:twoCellAnchor>
    <xdr:from>
      <xdr:col>7</xdr:col>
      <xdr:colOff>260644</xdr:colOff>
      <xdr:row>133</xdr:row>
      <xdr:rowOff>23585</xdr:rowOff>
    </xdr:from>
    <xdr:to>
      <xdr:col>8</xdr:col>
      <xdr:colOff>172330</xdr:colOff>
      <xdr:row>135</xdr:row>
      <xdr:rowOff>22753</xdr:rowOff>
    </xdr:to>
    <xdr:sp macro="" textlink="">
      <xdr:nvSpPr>
        <xdr:cNvPr id="72" name="Ellipse 71">
          <a:extLst>
            <a:ext uri="{FF2B5EF4-FFF2-40B4-BE49-F238E27FC236}">
              <a16:creationId xmlns:a16="http://schemas.microsoft.com/office/drawing/2014/main" id="{A48E939B-C8B5-CCF5-7E71-6229B3D651D3}"/>
            </a:ext>
          </a:extLst>
        </xdr:cNvPr>
        <xdr:cNvSpPr/>
      </xdr:nvSpPr>
      <xdr:spPr>
        <a:xfrm>
          <a:off x="5594644" y="20753449"/>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218F8B"/>
              </a:solidFill>
            </a:rPr>
            <a:t>25%</a:t>
          </a:r>
        </a:p>
      </xdr:txBody>
    </xdr:sp>
    <xdr:clientData/>
  </xdr:twoCellAnchor>
  <xdr:twoCellAnchor>
    <xdr:from>
      <xdr:col>7</xdr:col>
      <xdr:colOff>485774</xdr:colOff>
      <xdr:row>125</xdr:row>
      <xdr:rowOff>85561</xdr:rowOff>
    </xdr:from>
    <xdr:to>
      <xdr:col>8</xdr:col>
      <xdr:colOff>332529</xdr:colOff>
      <xdr:row>132</xdr:row>
      <xdr:rowOff>70962</xdr:rowOff>
    </xdr:to>
    <xdr:cxnSp macro="">
      <xdr:nvCxnSpPr>
        <xdr:cNvPr id="104" name="Connecteur : en angle 103">
          <a:extLst>
            <a:ext uri="{FF2B5EF4-FFF2-40B4-BE49-F238E27FC236}">
              <a16:creationId xmlns:a16="http://schemas.microsoft.com/office/drawing/2014/main" id="{E0F14F00-E59C-D26F-E797-28156B85DE70}"/>
            </a:ext>
          </a:extLst>
        </xdr:cNvPr>
        <xdr:cNvCxnSpPr>
          <a:cxnSpLocks/>
        </xdr:cNvCxnSpPr>
      </xdr:nvCxnSpPr>
      <xdr:spPr>
        <a:xfrm rot="5400000" flipH="1" flipV="1">
          <a:off x="5585929" y="19802361"/>
          <a:ext cx="1076446" cy="608755"/>
        </a:xfrm>
        <a:prstGeom prst="bentConnector3">
          <a:avLst>
            <a:gd name="adj1" fmla="val 50000"/>
          </a:avLst>
        </a:prstGeom>
        <a:ln>
          <a:solidFill>
            <a:srgbClr val="C04F15"/>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545013</xdr:colOff>
      <xdr:row>125</xdr:row>
      <xdr:rowOff>35828</xdr:rowOff>
    </xdr:from>
    <xdr:to>
      <xdr:col>8</xdr:col>
      <xdr:colOff>456699</xdr:colOff>
      <xdr:row>127</xdr:row>
      <xdr:rowOff>34996</xdr:rowOff>
    </xdr:to>
    <xdr:sp macro="" textlink="">
      <xdr:nvSpPr>
        <xdr:cNvPr id="105" name="Ellipse 104">
          <a:extLst>
            <a:ext uri="{FF2B5EF4-FFF2-40B4-BE49-F238E27FC236}">
              <a16:creationId xmlns:a16="http://schemas.microsoft.com/office/drawing/2014/main" id="{378B7865-83B7-480C-BF5E-F4DFBB7D5756}"/>
            </a:ext>
          </a:extLst>
        </xdr:cNvPr>
        <xdr:cNvSpPr/>
      </xdr:nvSpPr>
      <xdr:spPr>
        <a:xfrm>
          <a:off x="5879013" y="19518783"/>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C04F15"/>
              </a:solidFill>
            </a:rPr>
            <a:t>25%</a:t>
          </a:r>
        </a:p>
      </xdr:txBody>
    </xdr:sp>
    <xdr:clientData/>
  </xdr:twoCellAnchor>
  <xdr:twoCellAnchor>
    <xdr:from>
      <xdr:col>7</xdr:col>
      <xdr:colOff>257968</xdr:colOff>
      <xdr:row>125</xdr:row>
      <xdr:rowOff>47461</xdr:rowOff>
    </xdr:from>
    <xdr:to>
      <xdr:col>8</xdr:col>
      <xdr:colOff>332529</xdr:colOff>
      <xdr:row>126</xdr:row>
      <xdr:rowOff>124402</xdr:rowOff>
    </xdr:to>
    <xdr:cxnSp macro="">
      <xdr:nvCxnSpPr>
        <xdr:cNvPr id="106" name="Connecteur : en angle 105">
          <a:extLst>
            <a:ext uri="{FF2B5EF4-FFF2-40B4-BE49-F238E27FC236}">
              <a16:creationId xmlns:a16="http://schemas.microsoft.com/office/drawing/2014/main" id="{6C4EB164-421D-496C-068B-F74721DA90C6}"/>
            </a:ext>
          </a:extLst>
        </xdr:cNvPr>
        <xdr:cNvCxnSpPr>
          <a:cxnSpLocks/>
          <a:stCxn id="59" idx="0"/>
          <a:endCxn id="35" idx="1"/>
        </xdr:cNvCxnSpPr>
      </xdr:nvCxnSpPr>
      <xdr:spPr>
        <a:xfrm rot="5400000" flipH="1" flipV="1">
          <a:off x="5893847" y="19228537"/>
          <a:ext cx="232804" cy="836561"/>
        </a:xfrm>
        <a:prstGeom prst="bentConnector2">
          <a:avLst/>
        </a:prstGeom>
        <a:ln>
          <a:solidFill>
            <a:srgbClr val="C04F15"/>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525077</xdr:colOff>
      <xdr:row>125</xdr:row>
      <xdr:rowOff>6607</xdr:rowOff>
    </xdr:from>
    <xdr:to>
      <xdr:col>7</xdr:col>
      <xdr:colOff>436763</xdr:colOff>
      <xdr:row>127</xdr:row>
      <xdr:rowOff>5775</xdr:rowOff>
    </xdr:to>
    <xdr:sp macro="" textlink="">
      <xdr:nvSpPr>
        <xdr:cNvPr id="107" name="Ellipse 106">
          <a:extLst>
            <a:ext uri="{FF2B5EF4-FFF2-40B4-BE49-F238E27FC236}">
              <a16:creationId xmlns:a16="http://schemas.microsoft.com/office/drawing/2014/main" id="{52211C6B-0C67-82F6-2AE0-1F06090718B4}"/>
            </a:ext>
          </a:extLst>
        </xdr:cNvPr>
        <xdr:cNvSpPr/>
      </xdr:nvSpPr>
      <xdr:spPr>
        <a:xfrm>
          <a:off x="5097077" y="19489562"/>
          <a:ext cx="673686" cy="310895"/>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solidFill>
                <a:srgbClr val="C04F15"/>
              </a:solidFill>
            </a:rPr>
            <a:t>40%</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7</xdr:col>
      <xdr:colOff>475555</xdr:colOff>
      <xdr:row>48</xdr:row>
      <xdr:rowOff>27600</xdr:rowOff>
    </xdr:to>
    <xdr:pic>
      <xdr:nvPicPr>
        <xdr:cNvPr id="2" name="Image 1">
          <a:extLst>
            <a:ext uri="{FF2B5EF4-FFF2-40B4-BE49-F238E27FC236}">
              <a16:creationId xmlns:a16="http://schemas.microsoft.com/office/drawing/2014/main" id="{9A030A06-86A1-123D-F503-D6BEE7ED578D}"/>
            </a:ext>
          </a:extLst>
        </xdr:cNvPr>
        <xdr:cNvPicPr>
          <a:picLocks noChangeAspect="1"/>
        </xdr:cNvPicPr>
      </xdr:nvPicPr>
      <xdr:blipFill>
        <a:blip xmlns:r="http://schemas.openxmlformats.org/officeDocument/2006/relationships" r:embed="rId1"/>
        <a:stretch>
          <a:fillRect/>
        </a:stretch>
      </xdr:blipFill>
      <xdr:spPr>
        <a:xfrm>
          <a:off x="247650" y="0"/>
          <a:ext cx="5561905" cy="7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umaymaYahyaoui\Desktop\RCA%202022\Database_ITIE%20RCA%202022%20V2%2027_08.xlsx" TargetMode="External"/><Relationship Id="rId1" Type="http://schemas.openxmlformats.org/officeDocument/2006/relationships/externalLinkPath" Target="file:///C:\Users\OumaymaYahyaoui\Desktop\RCA%202022\Database_ITIE%20RCA%202022%20V2%2027_08.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bdessalemTurki\Downloads\CUMUL%20VOLUMES_TAXES%202022%20(3).xlsx" TargetMode="External"/><Relationship Id="rId1" Type="http://schemas.openxmlformats.org/officeDocument/2006/relationships/externalLinkPath" Target="file:///C:\Users\AbdessalemTurki\Downloads\CUMUL%20VOLUMES_TAXES%202022%20(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AbdessalemTurki\Downloads\LOYER_20222023%20V%20ajust&#233;e.xlsx" TargetMode="External"/><Relationship Id="rId1" Type="http://schemas.openxmlformats.org/officeDocument/2006/relationships/externalLinkPath" Target="file:///C:\Users\AbdessalemTurki\Downloads\LOYER_20222023%20V%20ajust&#233;e.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AbdessalemTurki\Downloads\ITIE_RCA_2021%20cab2023%20(1).xlsx" TargetMode="External"/><Relationship Id="rId1" Type="http://schemas.openxmlformats.org/officeDocument/2006/relationships/externalLinkPath" Target="file:///C:\Users\AbdessalemTurki\Downloads\ITIE_RCA_2021%20cab2023%20(1).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https://enerteamtn-my.sharepoint.com/personal/a_turki_enerteam_tn/Documents/Bureau/ITIE%20RCA/02_Client%20Doc/Formulaire%20de%20d&#233;claration/soci&#233;t&#233;s%20extractives/Secteur%20Forestier/ITIE_RCA_2021%20cab2023.xlsx" TargetMode="External"/><Relationship Id="rId1" Type="http://schemas.openxmlformats.org/officeDocument/2006/relationships/externalLinkPath" Target="/personal/a_turki_enerteam_tn/Documents/Bureau/ITIE%20RCA/02_Client%20Doc/Formulaire%20de%20d&#233;claration/soci&#233;t&#233;s%20extractives/Secteur%20Forestier/ITIE_RCA_2021%20cab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nerteamtn-my.sharepoint.com/personal/mgafsi_enerteam_tn/Documents/Bureau/RCA%20ITIE/Rapport%20ITIE%20%202022/CHECK/Database_ITIE%20RCA%202022%20V7%2024_09.xlsx" TargetMode="External"/><Relationship Id="rId1" Type="http://schemas.openxmlformats.org/officeDocument/2006/relationships/externalLinkPath" Target="/personal/a_turki_enerteam_tn/Documents/Bureau/ITIE%20RCA/ITIE%20RCA%202022/03_Report/Rapport%20ITIE/Rapport%20V4%200310/Database_ITIE%20RCA%202022%20V7%2024_0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enerteamtn-my.sharepoint.com/personal/a_turki_enerteam_tn/Documents/Bureau/ITIE%20RCA/Database_ITIE%20RCA%202022%20V6%2004_09.xlsx" TargetMode="External"/><Relationship Id="rId1" Type="http://schemas.openxmlformats.org/officeDocument/2006/relationships/externalLinkPath" Target="/personal/a_turki_enerteam_tn/Documents/Bureau/ITIE%20RCA/Database_ITIE%20RCA%202022%20V6%2004_0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bdessalemTurki\AppData\Local\Microsoft\Windows\INetCache\Content.Outlook\RR2K7Y5Y\Database_ITIE%20RCA%202022%20%2030_08.xlsx" TargetMode="External"/><Relationship Id="rId1" Type="http://schemas.openxmlformats.org/officeDocument/2006/relationships/externalLinkPath" Target="file:///C:\Users\AbdessalemTurki\AppData\Local\Microsoft\Windows\INetCache\Content.Outlook\RR2K7Y5Y\Database_ITIE%20RCA%202022%20%2030_08.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enerteamtn-my.sharepoint.com/personal/a_turki_enerteam_tn/Documents/Bureau/Database_ITIE%20RCA%202022%20V7%2024_09m.xlsx" TargetMode="External"/><Relationship Id="rId1" Type="http://schemas.openxmlformats.org/officeDocument/2006/relationships/externalLinkPath" Target="/personal/a_turki_enerteam_tn/Documents/Bureau/Database_ITIE%20RCA%202022%20V7%2024_09m.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asus%20pc/Documents/Missions%20MS/2014/08-%20EITI%20Burkina%20Faso/05-%20Base%20de%20donn&#233;es/01-%20Received%20documents/Companies/38-%20BG%20International%20Ltd/TEITI%20Report%20Year%20Ended%2030%20June%202012.xlsx?C72F6352" TargetMode="External"/><Relationship Id="rId1" Type="http://schemas.openxmlformats.org/officeDocument/2006/relationships/externalLinkPath" Target="file:///\\C72F6352\TEITI%20Report%20Year%20Ended%2030%20June%20201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enerteamtn-my.sharepoint.com/personal/a_turki_enerteam_tn/Documents/Bureau/Tableau%20actualis&#233;%202.xlsx" TargetMode="External"/><Relationship Id="rId1" Type="http://schemas.openxmlformats.org/officeDocument/2006/relationships/externalLinkPath" Target="/personal/a_turki_enerteam_tn/Documents/Bureau/Tableau%20actualis&#233;%202.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AbdessalemTurki\AppData\Local\Temp\959a7e28-f244-46f7-ba9a-6e77cebfb44a_OneDrive_1_25-09-2024.zip.44a\CUMUL%20VOLUMES_TAXES%202022.xlsx" TargetMode="External"/><Relationship Id="rId1" Type="http://schemas.openxmlformats.org/officeDocument/2006/relationships/externalLinkPath" Target="file:///C:\Users\AbdessalemTurki\AppData\Local\Temp\959a7e28-f244-46f7-ba9a-6e77cebfb44a_OneDrive_1_25-09-2024.zip.44a\CUMUL%20VOLUMES_TAXES%202022.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AbdessalemTurki\AppData\Local\Temp\f669a131-5a1b-4652-ae93-31b837de5c1e_OneDrive_1_25-09-2024.zip.c1e\LOYER_20222023%20V%20ajust&#233;e.xlsx" TargetMode="External"/><Relationship Id="rId1" Type="http://schemas.openxmlformats.org/officeDocument/2006/relationships/externalLinkPath" Target="file:///C:\Users\AbdessalemTurki\AppData\Local\Temp\f669a131-5a1b-4652-ae93-31b837de5c1e_OneDrive_1_25-09-2024.zip.c1e\LOYER_20222023%20V%20ajust&#233;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llow-up Gvrn"/>
      <sheetName val="Follow-up Stés"/>
      <sheetName val="Reporting by Comp"/>
      <sheetName val="Reporting by tax"/>
      <sheetName val="Lists"/>
      <sheetName val="Company adjustment"/>
      <sheetName val="Government adjustment"/>
      <sheetName val="Ecart non justifié"/>
      <sheetName val="Taxes RCA 2022"/>
      <sheetName val="Taux de change RCA 2022"/>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sheetData sheetId="1"/>
      <sheetData sheetId="2"/>
      <sheetData sheetId="3">
        <row r="23">
          <cell r="H23">
            <v>754903699</v>
          </cell>
        </row>
      </sheetData>
      <sheetData sheetId="4">
        <row r="7">
          <cell r="A7" t="str">
            <v>Redevance équipement, informatique et finances (REIF)</v>
          </cell>
        </row>
        <row r="8">
          <cell r="A8" t="str">
            <v>Droit de sortie (DS)</v>
          </cell>
        </row>
        <row r="9">
          <cell r="A9" t="str">
            <v>Amendes et pénalités payées à la DGDDI (+)</v>
          </cell>
        </row>
        <row r="10">
          <cell r="A10" t="str">
            <v>Dividendes sur participation de l'Etat (+)</v>
          </cell>
        </row>
        <row r="11">
          <cell r="A11" t="str">
            <v>Bonus de signature versés par les investisseurs miniers (+) (DGTCP (FDM))</v>
          </cell>
        </row>
        <row r="12">
          <cell r="A12" t="str">
            <v>Redevance à la production (+)</v>
          </cell>
        </row>
        <row r="13">
          <cell r="A13" t="str">
            <v>Contribution au développement social (CDS)</v>
          </cell>
        </row>
        <row r="14">
          <cell r="A14" t="str">
            <v>Droit d'enregistrement (DE)</v>
          </cell>
        </row>
        <row r="15">
          <cell r="A15" t="str">
            <v>Impôt sur les revenus des personnes physiques (IRPP)</v>
          </cell>
        </row>
        <row r="16">
          <cell r="A16" t="str">
            <v>Impôt sur les sociétés (IS)</v>
          </cell>
        </row>
        <row r="17">
          <cell r="A17" t="str">
            <v>Loyer annuel</v>
          </cell>
        </row>
        <row r="18">
          <cell r="A18" t="str">
            <v>Patente</v>
          </cell>
        </row>
        <row r="19">
          <cell r="A19" t="str">
            <v xml:space="preserve">Taxe d'abattage  </v>
          </cell>
        </row>
        <row r="20">
          <cell r="A20" t="str">
            <v xml:space="preserve">Taxe de reboisement  </v>
          </cell>
        </row>
        <row r="21">
          <cell r="A21" t="str">
            <v>Impôt sur les fonciers bâtis (IFB)</v>
          </cell>
        </row>
        <row r="22">
          <cell r="A22" t="str">
            <v>Minimum impôt sur les sociétés (MIS)</v>
          </cell>
        </row>
        <row r="23">
          <cell r="A23" t="str">
            <v xml:space="preserve">Impôt minimum forfaitaire (IMF) </v>
          </cell>
        </row>
        <row r="24">
          <cell r="A24" t="str">
            <v>Précompte</v>
          </cell>
        </row>
        <row r="25">
          <cell r="A25" t="str">
            <v>Taxe sur la valeur ajoutée (TVA)</v>
          </cell>
        </row>
        <row r="26">
          <cell r="A26" t="str">
            <v>Impôt sur les revenus des loyers (IRL)</v>
          </cell>
        </row>
        <row r="27">
          <cell r="A27" t="str">
            <v>Droits fixes (sur l'octroi, renouvellement, transfert) (+)</v>
          </cell>
        </row>
        <row r="28">
          <cell r="A28" t="str">
            <v>Les redevances proportionnelles ou royalties sur les autorisations d'exploitation de carrière et les exploitations des mines (+)</v>
          </cell>
        </row>
        <row r="29">
          <cell r="A29" t="str">
            <v>Impôt sur les revenus des capitaux mobiliers (RCM) (+)</v>
          </cell>
        </row>
        <row r="30">
          <cell r="A30" t="str">
            <v>Taxe de Développement Artisanal (TDA) (+)</v>
          </cell>
        </row>
        <row r="31">
          <cell r="A31" t="str">
            <v>Amendes et pénalités payées à la DGID (+)</v>
          </cell>
        </row>
        <row r="32">
          <cell r="A32" t="str">
            <v>Redevance de déboisement (+)</v>
          </cell>
        </row>
        <row r="33">
          <cell r="A33" t="str">
            <v>Redevance de pré reconnaissance (+)</v>
          </cell>
        </row>
        <row r="34">
          <cell r="A34" t="str">
            <v>Contribution à la formation professionnelle et à la formation des cadres de l'Administration des Mines (+)</v>
          </cell>
        </row>
        <row r="35">
          <cell r="A35" t="str">
            <v>Droits d'attributions</v>
          </cell>
        </row>
        <row r="36">
          <cell r="A36" t="str">
            <v xml:space="preserve">Secrétariat permanent du processus de Kimberley (SPPK)  </v>
          </cell>
        </row>
        <row r="37">
          <cell r="A37" t="str">
            <v xml:space="preserve">Redevance superficiaire   </v>
          </cell>
        </row>
        <row r="38">
          <cell r="A38" t="str">
            <v>Projet de développement du secteur minier (PDSM)</v>
          </cell>
        </row>
        <row r="39">
          <cell r="A39" t="str">
            <v>Taxes superficiaires (+)</v>
          </cell>
        </row>
        <row r="40">
          <cell r="A40" t="str">
            <v>Taxe d’abattage  (+)</v>
          </cell>
        </row>
        <row r="41">
          <cell r="A41" t="str">
            <v>Taxe de reboisement (+)</v>
          </cell>
        </row>
        <row r="42">
          <cell r="A42" t="str">
            <v>Droit de sortie (DS)/Taxe Export (+)</v>
          </cell>
        </row>
        <row r="43">
          <cell r="A43" t="str">
            <v>Taxes environnementales sur les Stes forestières et Minières (+)</v>
          </cell>
        </row>
        <row r="44">
          <cell r="A44" t="str">
            <v>Affectation au titre la taxe de reboisement (+)</v>
          </cell>
        </row>
        <row r="45">
          <cell r="A45" t="str">
            <v>Affectation au titre de taxe d’abattage (+)</v>
          </cell>
        </row>
        <row r="46">
          <cell r="A46" t="str">
            <v>Transfert du trésor aux communes</v>
          </cell>
        </row>
        <row r="47">
          <cell r="A47" t="str">
            <v>Transfert infranational au titre de la taxe d'abattage (+)</v>
          </cell>
        </row>
        <row r="48">
          <cell r="A48" t="str">
            <v>Transfert infranational au titre de la taxe reboisement (+)</v>
          </cell>
        </row>
        <row r="49">
          <cell r="A49" t="str">
            <v>Transfert infranational au titre de la taxe environnementale (+)</v>
          </cell>
        </row>
        <row r="50">
          <cell r="A50" t="str">
            <v>Droit de sortie (DS)/Taxe Export (+)</v>
          </cell>
        </row>
        <row r="51">
          <cell r="A51" t="str">
            <v xml:space="preserve">Autres transferts au profit des communes </v>
          </cell>
        </row>
        <row r="68">
          <cell r="A68" t="str">
            <v>Taxes payées non reportées</v>
          </cell>
        </row>
        <row r="69">
          <cell r="A69" t="str">
            <v>Taxes payées hors période de réconciliation</v>
          </cell>
        </row>
        <row r="70">
          <cell r="A70" t="str">
            <v>Taxes hors périmètre de réconciliation</v>
          </cell>
        </row>
        <row r="71">
          <cell r="A71" t="str">
            <v>Erreur de reporting (montant et détail)</v>
          </cell>
        </row>
        <row r="72">
          <cell r="A72" t="str">
            <v>Taxes reportées non payées</v>
          </cell>
        </row>
        <row r="73">
          <cell r="A73" t="str">
            <v>Montant doublement déclaré</v>
          </cell>
        </row>
        <row r="74">
          <cell r="A74" t="str">
            <v>Erreur de classification</v>
          </cell>
        </row>
        <row r="75">
          <cell r="A75" t="str">
            <v>Taxes payées sous un autre NINEA</v>
          </cell>
        </row>
        <row r="76">
          <cell r="A76" t="str">
            <v>Différence de change</v>
          </cell>
        </row>
        <row r="80">
          <cell r="A80" t="str">
            <v>Taxes perçues non reportées par l'Etat</v>
          </cell>
        </row>
        <row r="81">
          <cell r="A81" t="str">
            <v>Montant doublement déclaré</v>
          </cell>
        </row>
        <row r="82">
          <cell r="A82" t="str">
            <v>Taxes perçues hors de la période de réconciliation</v>
          </cell>
        </row>
        <row r="83">
          <cell r="A83" t="str">
            <v>Erreur de reporting (montant et détail)</v>
          </cell>
        </row>
        <row r="84">
          <cell r="A84" t="str">
            <v>Taxe reportée par l'Etat non réellement encaissée</v>
          </cell>
        </row>
        <row r="85">
          <cell r="A85" t="str">
            <v>Erreur de classification</v>
          </cell>
        </row>
        <row r="86">
          <cell r="A86" t="str">
            <v>Taxes payées par la Ste sur un autre NINEA non reporté par l'Etat</v>
          </cell>
        </row>
        <row r="87">
          <cell r="A87" t="str">
            <v>Taxes hors périmètre de réconciliation</v>
          </cell>
        </row>
        <row r="91">
          <cell r="A91" t="str">
            <v>FD non soumis par la Société</v>
          </cell>
        </row>
        <row r="92">
          <cell r="A92" t="str">
            <v>FD non soumis par l'Etat</v>
          </cell>
        </row>
        <row r="93">
          <cell r="A93" t="str">
            <v>Différences provenant de détail soumis par la société et non soumis par l'Etat d'un coté et détail soumis pas l'Etat et non soumis par la société de l'autre coté</v>
          </cell>
        </row>
        <row r="94">
          <cell r="A94" t="str">
            <v>Les pièces justificatives ne coincident pas avec les données reportés par l'Etat</v>
          </cell>
        </row>
        <row r="95">
          <cell r="A95" t="str">
            <v xml:space="preserve">Détail par quittance non soumis par l'Entreprise Extractive </v>
          </cell>
        </row>
        <row r="96">
          <cell r="A96" t="str">
            <v>Détail non soumis par l'Etat</v>
          </cell>
        </row>
        <row r="97">
          <cell r="A97" t="str">
            <v>Taxes non reportées par l'Entreprise Extractive</v>
          </cell>
        </row>
        <row r="98">
          <cell r="A98" t="str">
            <v>Taxes non reportées par l'Etat</v>
          </cell>
        </row>
        <row r="99">
          <cell r="A99" t="str">
            <v>Montants non reportés par l'Etat</v>
          </cell>
        </row>
        <row r="100">
          <cell r="A100" t="str">
            <v>Différence de classification</v>
          </cell>
        </row>
        <row r="101">
          <cell r="A101" t="str">
            <v>Montants non reportés par la société</v>
          </cell>
        </row>
        <row r="102">
          <cell r="A102" t="str">
            <v>Non significatif &lt; 1 M FCFA</v>
          </cell>
        </row>
      </sheetData>
      <sheetData sheetId="5"/>
      <sheetData sheetId="6"/>
      <sheetData sheetId="7"/>
      <sheetData sheetId="8">
        <row r="2">
          <cell r="B2" t="str">
            <v>DGDDI</v>
          </cell>
        </row>
      </sheetData>
      <sheetData sheetId="9"/>
      <sheetData sheetId="10">
        <row r="3">
          <cell r="A3">
            <v>1</v>
          </cell>
        </row>
      </sheetData>
      <sheetData sheetId="11">
        <row r="5">
          <cell r="E5">
            <v>0</v>
          </cell>
        </row>
      </sheetData>
      <sheetData sheetId="12">
        <row r="5">
          <cell r="E5">
            <v>0</v>
          </cell>
        </row>
      </sheetData>
      <sheetData sheetId="13">
        <row r="5">
          <cell r="E5">
            <v>0</v>
          </cell>
        </row>
      </sheetData>
      <sheetData sheetId="14">
        <row r="5">
          <cell r="E5">
            <v>0</v>
          </cell>
        </row>
      </sheetData>
      <sheetData sheetId="15">
        <row r="5">
          <cell r="E5">
            <v>0</v>
          </cell>
        </row>
      </sheetData>
      <sheetData sheetId="16">
        <row r="5">
          <cell r="E5">
            <v>0</v>
          </cell>
        </row>
      </sheetData>
      <sheetData sheetId="17">
        <row r="5">
          <cell r="E5">
            <v>0</v>
          </cell>
        </row>
      </sheetData>
      <sheetData sheetId="18">
        <row r="5">
          <cell r="E5">
            <v>0</v>
          </cell>
        </row>
      </sheetData>
      <sheetData sheetId="19">
        <row r="5">
          <cell r="E5">
            <v>0</v>
          </cell>
        </row>
      </sheetData>
      <sheetData sheetId="20">
        <row r="5">
          <cell r="E5">
            <v>0</v>
          </cell>
        </row>
      </sheetData>
      <sheetData sheetId="21">
        <row r="5">
          <cell r="E5">
            <v>0</v>
          </cell>
        </row>
      </sheetData>
      <sheetData sheetId="22">
        <row r="5">
          <cell r="E5">
            <v>0</v>
          </cell>
        </row>
      </sheetData>
      <sheetData sheetId="23">
        <row r="5">
          <cell r="E5">
            <v>0</v>
          </cell>
        </row>
      </sheetData>
      <sheetData sheetId="24">
        <row r="5">
          <cell r="E5">
            <v>0</v>
          </cell>
        </row>
      </sheetData>
      <sheetData sheetId="25">
        <row r="5">
          <cell r="E5">
            <v>0</v>
          </cell>
        </row>
      </sheetData>
      <sheetData sheetId="26">
        <row r="5">
          <cell r="E5">
            <v>0</v>
          </cell>
        </row>
      </sheetData>
      <sheetData sheetId="27">
        <row r="5">
          <cell r="E5">
            <v>0</v>
          </cell>
        </row>
      </sheetData>
      <sheetData sheetId="28">
        <row r="5">
          <cell r="E5">
            <v>0</v>
          </cell>
        </row>
      </sheetData>
      <sheetData sheetId="29">
        <row r="5">
          <cell r="E5">
            <v>0</v>
          </cell>
        </row>
      </sheetData>
      <sheetData sheetId="30">
        <row r="5">
          <cell r="E5">
            <v>0</v>
          </cell>
        </row>
      </sheetData>
      <sheetData sheetId="31">
        <row r="5">
          <cell r="E5">
            <v>0</v>
          </cell>
        </row>
      </sheetData>
      <sheetData sheetId="32">
        <row r="5">
          <cell r="E5">
            <v>0</v>
          </cell>
        </row>
      </sheetData>
      <sheetData sheetId="33">
        <row r="5">
          <cell r="E5">
            <v>0</v>
          </cell>
        </row>
      </sheetData>
      <sheetData sheetId="34">
        <row r="5">
          <cell r="E5">
            <v>0</v>
          </cell>
        </row>
      </sheetData>
      <sheetData sheetId="35">
        <row r="5">
          <cell r="E5">
            <v>0</v>
          </cell>
        </row>
      </sheetData>
      <sheetData sheetId="36">
        <row r="5">
          <cell r="E5">
            <v>0</v>
          </cell>
        </row>
      </sheetData>
      <sheetData sheetId="37">
        <row r="5">
          <cell r="E5">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MUL VOLUMES ET TAXES 2022"/>
    </sheetNames>
    <sheetDataSet>
      <sheetData sheetId="0">
        <row r="28">
          <cell r="B28">
            <v>37455049.177524008</v>
          </cell>
          <cell r="C28">
            <v>28091286.883143004</v>
          </cell>
          <cell r="D28">
            <v>28091286.883143004</v>
          </cell>
        </row>
        <row r="29">
          <cell r="B29">
            <v>85558786.763732821</v>
          </cell>
          <cell r="C29">
            <v>64169090.072799608</v>
          </cell>
          <cell r="D29">
            <v>64169090.072799608</v>
          </cell>
        </row>
        <row r="30">
          <cell r="B30">
            <v>132039221.25950781</v>
          </cell>
          <cell r="C30">
            <v>99029415.944630861</v>
          </cell>
          <cell r="D30">
            <v>99029415.944630861</v>
          </cell>
        </row>
        <row r="31">
          <cell r="B31">
            <v>73448401.418336004</v>
          </cell>
          <cell r="C31">
            <v>55086301.063751996</v>
          </cell>
          <cell r="D31">
            <v>55086301.063751996</v>
          </cell>
        </row>
        <row r="32">
          <cell r="B32">
            <v>52680341.599872015</v>
          </cell>
          <cell r="C32">
            <v>39510256.199904002</v>
          </cell>
          <cell r="D32">
            <v>39510256.199904002</v>
          </cell>
        </row>
        <row r="33">
          <cell r="B33">
            <v>3468050.9617600003</v>
          </cell>
          <cell r="C33">
            <v>2601038.2213200005</v>
          </cell>
          <cell r="D33">
            <v>2601038.2213200005</v>
          </cell>
        </row>
        <row r="34">
          <cell r="B34">
            <v>16169143.872560004</v>
          </cell>
          <cell r="C34">
            <v>12126857.904420001</v>
          </cell>
          <cell r="D34">
            <v>12126857.904420001</v>
          </cell>
        </row>
        <row r="35">
          <cell r="B35">
            <v>71576979.681032002</v>
          </cell>
          <cell r="C35">
            <v>53682734.760774001</v>
          </cell>
          <cell r="D35">
            <v>53682734.760774001</v>
          </cell>
        </row>
        <row r="36">
          <cell r="B36">
            <v>60481094.219112001</v>
          </cell>
          <cell r="C36">
            <v>45360820.664333999</v>
          </cell>
          <cell r="D36">
            <v>45360820.664333999</v>
          </cell>
        </row>
        <row r="38">
          <cell r="B38">
            <v>168231907.75328004</v>
          </cell>
          <cell r="C38">
            <v>126173930.81496</v>
          </cell>
          <cell r="D38">
            <v>126173930.81496</v>
          </cell>
        </row>
        <row r="39">
          <cell r="B39">
            <v>38605323.038800009</v>
          </cell>
          <cell r="C39">
            <v>28953992.279100008</v>
          </cell>
          <cell r="D39">
            <v>28953992.279100008</v>
          </cell>
        </row>
        <row r="40">
          <cell r="B40">
            <v>668049.4800000001</v>
          </cell>
          <cell r="C40">
            <v>501037.11000000004</v>
          </cell>
          <cell r="D40">
            <v>501037.11000000004</v>
          </cell>
        </row>
        <row r="41">
          <cell r="B41">
            <v>9797431.8400000017</v>
          </cell>
          <cell r="C41">
            <v>7348073.8800000008</v>
          </cell>
          <cell r="D41">
            <v>7348073.8800000008</v>
          </cell>
        </row>
        <row r="43">
          <cell r="B43">
            <v>140529.64800000002</v>
          </cell>
          <cell r="C43">
            <v>105397.23600000002</v>
          </cell>
          <cell r="D43">
            <v>105397.23600000002</v>
          </cell>
        </row>
        <row r="47">
          <cell r="B47">
            <v>24571699.906145003</v>
          </cell>
          <cell r="C47">
            <v>49143399.812290005</v>
          </cell>
          <cell r="D47">
            <v>24571699.906145003</v>
          </cell>
        </row>
        <row r="48">
          <cell r="B48">
            <v>55544909.252458997</v>
          </cell>
          <cell r="C48">
            <v>111089818.50491799</v>
          </cell>
          <cell r="D48">
            <v>55544909.252458997</v>
          </cell>
        </row>
        <row r="49">
          <cell r="B49">
            <v>87448989.486755878</v>
          </cell>
          <cell r="C49">
            <v>174897978.97351176</v>
          </cell>
          <cell r="D49">
            <v>87448989.486755878</v>
          </cell>
        </row>
        <row r="50">
          <cell r="B50">
            <v>61254983.5678</v>
          </cell>
          <cell r="C50">
            <v>122509967.1356</v>
          </cell>
          <cell r="D50">
            <v>61254983.5678</v>
          </cell>
        </row>
        <row r="51">
          <cell r="B51">
            <v>19459517.460817501</v>
          </cell>
          <cell r="C51">
            <v>38919034.921635002</v>
          </cell>
          <cell r="D51">
            <v>19459517.460817501</v>
          </cell>
        </row>
        <row r="53">
          <cell r="B53">
            <v>12882432.196479999</v>
          </cell>
          <cell r="C53">
            <v>25764864.392959997</v>
          </cell>
          <cell r="D53">
            <v>12882432.196479999</v>
          </cell>
        </row>
        <row r="54">
          <cell r="B54">
            <v>30063739.813284993</v>
          </cell>
          <cell r="C54">
            <v>60127479.626569986</v>
          </cell>
          <cell r="D54">
            <v>30063739.813284993</v>
          </cell>
        </row>
        <row r="55">
          <cell r="B55">
            <v>30438473.286925003</v>
          </cell>
          <cell r="C55">
            <v>60876946.573850006</v>
          </cell>
          <cell r="D55">
            <v>30438473.286925003</v>
          </cell>
        </row>
        <row r="57">
          <cell r="B57">
            <v>77301349.036257491</v>
          </cell>
          <cell r="C57">
            <v>154602698.07251498</v>
          </cell>
          <cell r="D57">
            <v>77301349.036257491</v>
          </cell>
        </row>
        <row r="58">
          <cell r="B58">
            <v>477541.74847500003</v>
          </cell>
          <cell r="C58">
            <v>955083.49695000006</v>
          </cell>
          <cell r="D58">
            <v>477541.74847500003</v>
          </cell>
        </row>
        <row r="59">
          <cell r="B59">
            <v>834427.05637499993</v>
          </cell>
          <cell r="C59">
            <v>1668854.1127499999</v>
          </cell>
          <cell r="D59">
            <v>834427.05637499993</v>
          </cell>
        </row>
        <row r="60">
          <cell r="B60">
            <v>2559340.8356999997</v>
          </cell>
          <cell r="C60">
            <v>5118681.6713999994</v>
          </cell>
          <cell r="D60">
            <v>2559340.8356999997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YER 2022"/>
      <sheetName val="LOYER 20233"/>
    </sheetNames>
    <sheetDataSet>
      <sheetData sheetId="0">
        <row r="7">
          <cell r="D7">
            <v>142777740</v>
          </cell>
        </row>
        <row r="8">
          <cell r="D8">
            <v>61190460</v>
          </cell>
        </row>
        <row r="9">
          <cell r="D9">
            <v>130848060</v>
          </cell>
        </row>
        <row r="10">
          <cell r="D10">
            <v>56077740</v>
          </cell>
        </row>
        <row r="11">
          <cell r="D11">
            <v>96933900</v>
          </cell>
        </row>
        <row r="12">
          <cell r="D12">
            <v>41543100</v>
          </cell>
        </row>
        <row r="13">
          <cell r="D13">
            <v>77571900</v>
          </cell>
        </row>
        <row r="14">
          <cell r="D14">
            <v>33245100</v>
          </cell>
        </row>
        <row r="15">
          <cell r="D15">
            <v>33663940</v>
          </cell>
        </row>
        <row r="16">
          <cell r="D16">
            <v>16570260</v>
          </cell>
        </row>
        <row r="17">
          <cell r="D17">
            <v>72730980</v>
          </cell>
        </row>
        <row r="18">
          <cell r="D18">
            <v>31170420</v>
          </cell>
        </row>
        <row r="19">
          <cell r="D19">
            <v>86142000</v>
          </cell>
        </row>
        <row r="20">
          <cell r="D20">
            <v>36918000</v>
          </cell>
        </row>
        <row r="21">
          <cell r="D21">
            <v>78899520</v>
          </cell>
        </row>
        <row r="22">
          <cell r="D22">
            <v>33814080</v>
          </cell>
        </row>
        <row r="23">
          <cell r="D23">
            <v>11819602</v>
          </cell>
        </row>
        <row r="24">
          <cell r="D24">
            <v>26091240</v>
          </cell>
        </row>
        <row r="25">
          <cell r="D25">
            <v>84811440</v>
          </cell>
        </row>
        <row r="26">
          <cell r="D26">
            <v>36347760</v>
          </cell>
        </row>
        <row r="27">
          <cell r="D27">
            <v>37499280</v>
          </cell>
        </row>
        <row r="28">
          <cell r="D28">
            <v>16071120</v>
          </cell>
        </row>
        <row r="29">
          <cell r="D29">
            <v>10644840</v>
          </cell>
        </row>
        <row r="30">
          <cell r="D30">
            <v>24837960</v>
          </cell>
        </row>
        <row r="31">
          <cell r="D31">
            <v>173357100</v>
          </cell>
        </row>
        <row r="32">
          <cell r="D32">
            <v>74295900</v>
          </cell>
        </row>
        <row r="33">
          <cell r="D33">
            <v>271592790</v>
          </cell>
        </row>
        <row r="34">
          <cell r="D34">
            <v>116396910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1.Fiche signalétique"/>
      <sheetName val="2.Formulaire de décl - Synthèse"/>
      <sheetName val="Feuil1"/>
      <sheetName val="3.Détail paiements"/>
      <sheetName val="4.Production"/>
      <sheetName val="5.Exportations &amp; ventes "/>
      <sheetName val="6.Structure de capital"/>
      <sheetName val="7. Permis actifs"/>
      <sheetName val="8. Emploi"/>
      <sheetName val="9.Paiements sociaux obligatoir"/>
      <sheetName val="10.Transferts infranationaux"/>
      <sheetName val="12.Liste des sociétés extrative"/>
      <sheetName val="13. Définition des paiements"/>
    </sheetNames>
    <sheetDataSet>
      <sheetData sheetId="0"/>
      <sheetData sheetId="1"/>
      <sheetData sheetId="2"/>
      <sheetData sheetId="3">
        <row r="3">
          <cell r="C3">
            <v>2525000</v>
          </cell>
        </row>
        <row r="4">
          <cell r="C4">
            <v>3575752</v>
          </cell>
        </row>
        <row r="5">
          <cell r="C5">
            <v>1321250</v>
          </cell>
        </row>
        <row r="6">
          <cell r="C6">
            <v>1147500</v>
          </cell>
        </row>
        <row r="7">
          <cell r="C7">
            <v>2300000</v>
          </cell>
        </row>
        <row r="8">
          <cell r="C8">
            <v>7383384</v>
          </cell>
        </row>
        <row r="9">
          <cell r="C9">
            <v>2874500</v>
          </cell>
        </row>
        <row r="10">
          <cell r="C10">
            <v>60000</v>
          </cell>
        </row>
        <row r="11">
          <cell r="C11">
            <v>2456091</v>
          </cell>
        </row>
        <row r="12">
          <cell r="C12">
            <v>2262500</v>
          </cell>
        </row>
        <row r="13">
          <cell r="C13">
            <v>27257160</v>
          </cell>
        </row>
        <row r="14">
          <cell r="C14">
            <v>10644840</v>
          </cell>
        </row>
        <row r="15">
          <cell r="C15">
            <v>6300000</v>
          </cell>
        </row>
        <row r="16">
          <cell r="C16">
            <v>31000</v>
          </cell>
        </row>
        <row r="17">
          <cell r="C17">
            <v>1201750</v>
          </cell>
        </row>
        <row r="18">
          <cell r="C18">
            <v>470000</v>
          </cell>
        </row>
        <row r="19">
          <cell r="C19">
            <v>355000</v>
          </cell>
        </row>
        <row r="20">
          <cell r="C20">
            <v>6876752</v>
          </cell>
        </row>
        <row r="21">
          <cell r="C21">
            <v>22056775</v>
          </cell>
        </row>
        <row r="22">
          <cell r="C22">
            <v>2890000</v>
          </cell>
        </row>
        <row r="23">
          <cell r="C23">
            <v>2500000</v>
          </cell>
        </row>
        <row r="24">
          <cell r="C24">
            <v>216000</v>
          </cell>
        </row>
        <row r="25">
          <cell r="C25">
            <v>500000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mmaire"/>
      <sheetName val="1.Fiche signalétique"/>
      <sheetName val="2.Formulaire de décl - Synthèse"/>
      <sheetName val="Feuil1"/>
      <sheetName val="3.Détail paiements"/>
      <sheetName val="4.Production"/>
      <sheetName val="5.Exportations &amp; ventes "/>
      <sheetName val="6.Structure de capital"/>
      <sheetName val="7. Permis actifs"/>
      <sheetName val="8. Emploi"/>
      <sheetName val="9.Paiements sociaux obligatoir"/>
      <sheetName val="10.Transferts infranationaux"/>
      <sheetName val="12.Liste des sociétés extrative"/>
      <sheetName val="13. Définition des paiements"/>
    </sheetNames>
    <sheetDataSet>
      <sheetData sheetId="0"/>
      <sheetData sheetId="1"/>
      <sheetData sheetId="2"/>
      <sheetData sheetId="3">
        <row r="13">
          <cell r="C13">
            <v>27257160</v>
          </cell>
        </row>
        <row r="14">
          <cell r="C14">
            <v>10644840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llow-up Gvrn"/>
      <sheetName val="Follow-up Stés"/>
      <sheetName val="Reporting by tax"/>
      <sheetName val="Reporting by Comp"/>
      <sheetName val="Tableau (1)"/>
      <sheetName val="Tableau (2)"/>
      <sheetName val="Tableau (3)"/>
      <sheetName val="1 (2)"/>
      <sheetName val="Tableau (4)"/>
      <sheetName val="Tableau (5)"/>
      <sheetName val="Tableau 6"/>
      <sheetName val="Tableau 7"/>
      <sheetName val="Tableau (6)"/>
      <sheetName val="Tableau (9)"/>
      <sheetName val="Tableau (10)"/>
      <sheetName val="Tableau 11"/>
      <sheetName val="Tableau (11)"/>
      <sheetName val="Reporting by tax (2)"/>
      <sheetName val="Tableau (12)"/>
      <sheetName val="Tableau (13)"/>
      <sheetName val="Tableau (14)"/>
      <sheetName val="Tableau (15)"/>
      <sheetName val="Tableau (16)"/>
      <sheetName val="Tableau (17)"/>
      <sheetName val="Tableau (18)"/>
      <sheetName val="Tableau (19)"/>
      <sheetName val="Tableau (20)"/>
      <sheetName val="Tableau (21)"/>
      <sheetName val="Tableau (22)"/>
      <sheetName val="Tableau (23)"/>
      <sheetName val="Tablau (24)"/>
      <sheetName val="Tableau (25)"/>
      <sheetName val="Tableau (26)"/>
      <sheetName val="Tableau (27)"/>
      <sheetName val="Tableau (28)"/>
      <sheetName val="Tableau (29)"/>
      <sheetName val="Tableau (30)"/>
      <sheetName val="Tableau (31)"/>
      <sheetName val="Tableau (32)"/>
      <sheetName val="Tableau (33)"/>
      <sheetName val="Tableau (34)"/>
      <sheetName val="Tableau (35)"/>
      <sheetName val="Tableau (36)"/>
      <sheetName val="Tableau (37)"/>
      <sheetName val="Tableau (38)"/>
      <sheetName val="Tableau (39)"/>
      <sheetName val="Tableau (40)"/>
      <sheetName val="Tableau 39"/>
      <sheetName val="Tableau (41)"/>
      <sheetName val="Tableau (42)"/>
      <sheetName val="Tableau (43)"/>
      <sheetName val="Tableau (44)"/>
      <sheetName val="Tableau (45)"/>
      <sheetName val="Tableau (46)"/>
      <sheetName val="Tableau (47)"/>
      <sheetName val="Tableau (48)"/>
      <sheetName val="Tableau (49)"/>
      <sheetName val="Tableau (50)"/>
      <sheetName val="Tableau (51)"/>
      <sheetName val="Tableau (52)"/>
      <sheetName val="Tableau (53)"/>
      <sheetName val="Tableau (54)"/>
      <sheetName val="Tableau (55)"/>
      <sheetName val="Tableau PR"/>
      <sheetName val="Tableau 52"/>
      <sheetName val="Tableau (56-57)"/>
      <sheetName val="Tableau (58)"/>
      <sheetName val="Tableau (59)"/>
      <sheetName val="Tableau (60)"/>
      <sheetName val="Tableau 58"/>
      <sheetName val="Tableau 59"/>
      <sheetName val="Tableau 53"/>
      <sheetName val="Tableau (61-62)"/>
      <sheetName val="Tableau (63)"/>
      <sheetName val="Tableau (61)"/>
      <sheetName val="Tableau (64)"/>
      <sheetName val="Tableau (65)"/>
      <sheetName val="Tableau (66)"/>
      <sheetName val="Tableau (67)"/>
      <sheetName val="Tableau 65"/>
      <sheetName val="Tableau 66"/>
      <sheetName val="Lists"/>
      <sheetName val="Company adjustment"/>
      <sheetName val="Government adjustment"/>
      <sheetName val="Taxes RCA 2022"/>
      <sheetName val="Taux de change RCA 2022"/>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7">
          <cell r="A7" t="str">
            <v>Redevance équipement, informatique et finances (REIF)</v>
          </cell>
        </row>
        <row r="8">
          <cell r="A8" t="str">
            <v>Droit de sortie (DS)</v>
          </cell>
        </row>
        <row r="9">
          <cell r="A9" t="str">
            <v>Amendes et pénalités payées à la DGDDI (+)</v>
          </cell>
        </row>
        <row r="10">
          <cell r="A10" t="str">
            <v>Dividendes sur participation de l'Etat (+)</v>
          </cell>
        </row>
        <row r="11">
          <cell r="A11" t="str">
            <v>Bonus de signature versés par les investisseurs miniers (+) (DGTCP (FDM))</v>
          </cell>
        </row>
        <row r="12">
          <cell r="A12" t="str">
            <v>Redevance à la production (+)</v>
          </cell>
        </row>
        <row r="13">
          <cell r="A13" t="str">
            <v>Contribution au développement social (CDS)</v>
          </cell>
        </row>
        <row r="14">
          <cell r="A14" t="str">
            <v>Droit d'enregistrement (DE)</v>
          </cell>
        </row>
        <row r="15">
          <cell r="A15" t="str">
            <v>Impôt sur les revenus des personnes physiques (IRPP)</v>
          </cell>
        </row>
        <row r="16">
          <cell r="A16" t="str">
            <v>Impôt sur les sociétés (IS)</v>
          </cell>
        </row>
        <row r="17">
          <cell r="A17" t="str">
            <v>Loyer annuel</v>
          </cell>
        </row>
        <row r="18">
          <cell r="A18" t="str">
            <v>Patente</v>
          </cell>
        </row>
        <row r="19">
          <cell r="A19" t="str">
            <v xml:space="preserve">Taxe d'abattage  </v>
          </cell>
        </row>
        <row r="20">
          <cell r="A20" t="str">
            <v xml:space="preserve">Taxe de reboisement  </v>
          </cell>
        </row>
        <row r="21">
          <cell r="A21" t="str">
            <v>Impôt sur les fonciers bâtis (IFB)</v>
          </cell>
        </row>
        <row r="22">
          <cell r="A22" t="str">
            <v>Minimum impôt sur les sociétés (MIS)</v>
          </cell>
        </row>
        <row r="23">
          <cell r="A23" t="str">
            <v xml:space="preserve">Impôt minimum forfaitaire (IMF) </v>
          </cell>
        </row>
        <row r="24">
          <cell r="A24" t="str">
            <v>Précompte</v>
          </cell>
        </row>
        <row r="25">
          <cell r="A25" t="str">
            <v>Taxe sur la valeur ajoutée (TVA)</v>
          </cell>
        </row>
        <row r="26">
          <cell r="A26" t="str">
            <v>Impôt sur les revenus des loyers (IRL)</v>
          </cell>
        </row>
        <row r="27">
          <cell r="A27" t="str">
            <v>Droits fixes (sur l'octroi, renouvellement, transfert) (+)</v>
          </cell>
        </row>
        <row r="28">
          <cell r="A28" t="str">
            <v>Les redevances proportionnelles ou royalties sur les autorisations d'exploitation de carrière et les exploitations des mines (+)</v>
          </cell>
        </row>
        <row r="29">
          <cell r="A29" t="str">
            <v>Impôt sur les revenus des capitaux mobiliers (RCM) (+)</v>
          </cell>
        </row>
        <row r="30">
          <cell r="A30" t="str">
            <v>Taxe de Développement Artisanal (TDA) (+)</v>
          </cell>
        </row>
        <row r="31">
          <cell r="A31" t="str">
            <v>Amendes et pénalités payées à la DGID (+)</v>
          </cell>
        </row>
        <row r="32">
          <cell r="A32" t="str">
            <v>Redevance de déboisement (+)</v>
          </cell>
        </row>
        <row r="33">
          <cell r="A33" t="str">
            <v>Redevance de pré reconnaissance (+)</v>
          </cell>
        </row>
        <row r="34">
          <cell r="A34" t="str">
            <v>Contribution à la formation professionnelle et à la formation des cadres de l'Administration des Mines (+)</v>
          </cell>
        </row>
        <row r="35">
          <cell r="A35" t="str">
            <v>Droits d'attributions</v>
          </cell>
        </row>
        <row r="36">
          <cell r="A36" t="str">
            <v xml:space="preserve">Secrétariat permanent du processus de Kimberley (SPPK)  </v>
          </cell>
        </row>
        <row r="37">
          <cell r="A37" t="str">
            <v xml:space="preserve">Redevance superficiaire   </v>
          </cell>
        </row>
        <row r="38">
          <cell r="A38" t="str">
            <v>Projet de développement du secteur minier (PDSM)</v>
          </cell>
        </row>
        <row r="39">
          <cell r="A39" t="str">
            <v>Taxes superficiaires (+)</v>
          </cell>
        </row>
        <row r="40">
          <cell r="A40" t="str">
            <v>Taxe d’abattage  (+)</v>
          </cell>
        </row>
        <row r="41">
          <cell r="A41" t="str">
            <v>Taxe de reboisement (+)</v>
          </cell>
        </row>
        <row r="42">
          <cell r="A42" t="str">
            <v>Droit de sortie (DS)/Taxe Export (+)</v>
          </cell>
        </row>
        <row r="43">
          <cell r="A43" t="str">
            <v>Taxes environnementales sur les Stes forestières et Minières (+)</v>
          </cell>
        </row>
        <row r="44">
          <cell r="A44" t="str">
            <v>Affectation au titre la taxe de reboisement (+)</v>
          </cell>
        </row>
        <row r="45">
          <cell r="A45" t="str">
            <v>Affectation au titre de taxe d’abattage (+)</v>
          </cell>
        </row>
        <row r="46">
          <cell r="A46" t="str">
            <v>Transfert du trésor aux communes</v>
          </cell>
        </row>
        <row r="47">
          <cell r="A47" t="str">
            <v>Transfert infranational au titre de la taxe d'abattage (+)</v>
          </cell>
        </row>
        <row r="48">
          <cell r="A48" t="str">
            <v>Transfert infranational au titre de la taxe reboisement (+)</v>
          </cell>
        </row>
        <row r="49">
          <cell r="A49" t="str">
            <v>Transfert infranational au titre de la taxe environnementale (+)</v>
          </cell>
        </row>
        <row r="50">
          <cell r="A50" t="str">
            <v>Droit de sortie (DS)/Taxe Export (+)</v>
          </cell>
        </row>
        <row r="51">
          <cell r="A51" t="str">
            <v xml:space="preserve">Autres transferts au profit des communes </v>
          </cell>
        </row>
        <row r="68">
          <cell r="A68" t="str">
            <v>Taxes payées non reportées</v>
          </cell>
        </row>
        <row r="69">
          <cell r="A69" t="str">
            <v>Taxes payées hors période de réconciliation</v>
          </cell>
        </row>
        <row r="70">
          <cell r="A70" t="str">
            <v>Taxes hors périmètre de réconciliation</v>
          </cell>
        </row>
        <row r="71">
          <cell r="A71" t="str">
            <v>Erreur de reporting (montant et détail)</v>
          </cell>
        </row>
        <row r="72">
          <cell r="A72" t="str">
            <v>Taxes reportées non payées</v>
          </cell>
        </row>
        <row r="73">
          <cell r="A73" t="str">
            <v>Montant doublement déclaré</v>
          </cell>
        </row>
        <row r="74">
          <cell r="A74" t="str">
            <v>Erreur de classification</v>
          </cell>
        </row>
        <row r="75">
          <cell r="A75" t="str">
            <v>Taxes payées sous un autre NINEA</v>
          </cell>
        </row>
        <row r="76">
          <cell r="A76" t="str">
            <v>Différence de change</v>
          </cell>
        </row>
        <row r="80">
          <cell r="A80" t="str">
            <v>Taxes perçues non reportées par l'Etat</v>
          </cell>
        </row>
        <row r="81">
          <cell r="A81" t="str">
            <v>Montant doublement déclaré</v>
          </cell>
        </row>
        <row r="82">
          <cell r="A82" t="str">
            <v>Taxes perçues hors de la période de réconciliation</v>
          </cell>
        </row>
        <row r="83">
          <cell r="A83" t="str">
            <v>Erreur de reporting (montant et détail)</v>
          </cell>
        </row>
        <row r="84">
          <cell r="A84" t="str">
            <v>Taxe reportée par l'Etat non réellement encaissée</v>
          </cell>
        </row>
        <row r="85">
          <cell r="A85" t="str">
            <v>Erreur de classification</v>
          </cell>
        </row>
        <row r="86">
          <cell r="A86" t="str">
            <v>Taxes payées par la Ste sur un autre NINEA non reporté par l'Etat</v>
          </cell>
        </row>
        <row r="87">
          <cell r="A87" t="str">
            <v>Taxes hors périmètre de réconciliation</v>
          </cell>
        </row>
        <row r="91">
          <cell r="A91" t="str">
            <v>FD non soumis par la Société</v>
          </cell>
        </row>
        <row r="92">
          <cell r="A92" t="str">
            <v>FD non soumis par l'Etat</v>
          </cell>
        </row>
        <row r="93">
          <cell r="A93" t="str">
            <v>Différences provenant de détail soumis par la société et non soumis par l'Etat d'un coté et détail soumis pas l'Etat et non soumis par la société de l'autre coté</v>
          </cell>
        </row>
        <row r="94">
          <cell r="A94" t="str">
            <v>Les pièces justificatives ne coincident pas avec les données reportés par l'Etat</v>
          </cell>
        </row>
        <row r="95">
          <cell r="A95" t="str">
            <v xml:space="preserve">Détail par quittance non soumis par l'Entreprise Extractive </v>
          </cell>
        </row>
        <row r="96">
          <cell r="A96" t="str">
            <v>Détail non soumis par l'Etat</v>
          </cell>
        </row>
        <row r="97">
          <cell r="A97" t="str">
            <v>Taxes non reportées par l'Entreprise Extractive</v>
          </cell>
        </row>
        <row r="98">
          <cell r="A98" t="str">
            <v>Taxes non reportées par l'Etat</v>
          </cell>
        </row>
        <row r="99">
          <cell r="A99" t="str">
            <v>Montants non reportés par l'Etat</v>
          </cell>
        </row>
        <row r="100">
          <cell r="A100" t="str">
            <v>Différence de classification</v>
          </cell>
        </row>
        <row r="101">
          <cell r="A101" t="str">
            <v>Montants non reportés par la société</v>
          </cell>
        </row>
        <row r="102">
          <cell r="A102" t="str">
            <v>Non significatif &lt; 1 M FCFA</v>
          </cell>
        </row>
      </sheetData>
      <sheetData sheetId="82" refreshError="1"/>
      <sheetData sheetId="83" refreshError="1"/>
      <sheetData sheetId="84" refreshError="1"/>
      <sheetData sheetId="85" refreshError="1">
        <row r="11">
          <cell r="J11">
            <v>625.02175000000011</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llow-up Gvrn"/>
      <sheetName val="Follow-up Stés"/>
      <sheetName val="Reporting by Comp"/>
      <sheetName val="Tableau (1)"/>
      <sheetName val="Tableau (2)"/>
      <sheetName val="Tableau (3)"/>
      <sheetName val="Tableau (4)"/>
      <sheetName val="Tableau (5)"/>
      <sheetName val="Tableau (6)"/>
      <sheetName val="Tableau (7)"/>
      <sheetName val="Tableau (8)"/>
      <sheetName val="Tableau(9)"/>
      <sheetName val="Tableau (10)"/>
      <sheetName val="Tableau (11)"/>
      <sheetName val="Tableau (12)"/>
      <sheetName val="Tableau (13)"/>
      <sheetName val="Tableau (14)"/>
      <sheetName val="Tableau (15)"/>
      <sheetName val="Tableau (16)"/>
      <sheetName val="Tableau (17)"/>
      <sheetName val="Tableau (18)"/>
      <sheetName val="Tableau (19)"/>
      <sheetName val="Tableau (20)"/>
      <sheetName val="Tableau (21)"/>
      <sheetName val="Tableau (22)"/>
      <sheetName val="Tableau (23)"/>
      <sheetName val="Tableau (24)"/>
      <sheetName val="Tableau (25)"/>
      <sheetName val="Tablau (26)"/>
      <sheetName val="Tableau (27)"/>
      <sheetName val="Tableau (28)"/>
      <sheetName val="Tableau (29)"/>
      <sheetName val="Tbaleau (30)"/>
      <sheetName val="Tbaleau (31)"/>
      <sheetName val="Tableau (32)"/>
      <sheetName val="Tableau (33)"/>
      <sheetName val="Tableau (34)"/>
      <sheetName val="Tableau (35)"/>
      <sheetName val="Tableau (36)"/>
      <sheetName val="Tableau (37)"/>
      <sheetName val="Tableau (38)"/>
      <sheetName val="Tableau (39)"/>
      <sheetName val="Tableau (40)"/>
      <sheetName val="Tableau (41)"/>
      <sheetName val="Tableau (44)"/>
      <sheetName val="Tableau (45)"/>
      <sheetName val="Tbaleau (46)"/>
      <sheetName val="Tableau (47)"/>
      <sheetName val="Tableau (48)"/>
      <sheetName val="Tableau (49)"/>
      <sheetName val="Tableau (50)"/>
      <sheetName val="Tableau (51)"/>
      <sheetName val="Tableau (52)"/>
      <sheetName val="Tableau (53)"/>
      <sheetName val="Tableau (54)"/>
      <sheetName val="Tableau (55)"/>
      <sheetName val="Tableau (56)"/>
      <sheetName val="Tableau (57)"/>
      <sheetName val="Tableau (58)"/>
      <sheetName val="Tableau (59)"/>
      <sheetName val="Tableau (60)"/>
      <sheetName val="Tableau (61)"/>
      <sheetName val="Tableau (62)"/>
      <sheetName val="Tableau (63)"/>
      <sheetName val="Tableau (64)"/>
      <sheetName val="Tableau ()"/>
      <sheetName val="Tableau 31"/>
      <sheetName val="Tableau 32"/>
      <sheetName val="Tableau 36"/>
      <sheetName val="Tableau 33"/>
      <sheetName val="Tableau 34"/>
      <sheetName val="Tableau (()"/>
      <sheetName val="Reporting by tax"/>
      <sheetName val="Lists"/>
      <sheetName val="Company adjustment"/>
      <sheetName val="Government adjustment"/>
      <sheetName val="Ecart non justifié"/>
      <sheetName val="Taxes RCA 2022"/>
      <sheetName val="Taux de change RCA 2022"/>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7">
          <cell r="A7" t="str">
            <v>Redevance équipement, informatique et finances (REIF)</v>
          </cell>
        </row>
        <row r="8">
          <cell r="A8" t="str">
            <v>Droit de sortie (DS)</v>
          </cell>
        </row>
        <row r="9">
          <cell r="A9" t="str">
            <v>Amendes et pénalités payées à la DGDDI (+)</v>
          </cell>
        </row>
        <row r="10">
          <cell r="A10" t="str">
            <v>Dividendes sur participation de l'Etat (+)</v>
          </cell>
        </row>
        <row r="11">
          <cell r="A11" t="str">
            <v>Bonus de signature versés par les investisseurs miniers (+) (DGTCP (FDM))</v>
          </cell>
        </row>
        <row r="12">
          <cell r="A12" t="str">
            <v>Redevance à la production (+)</v>
          </cell>
        </row>
        <row r="13">
          <cell r="A13" t="str">
            <v>Contribution au développement social (CDS)</v>
          </cell>
        </row>
        <row r="14">
          <cell r="A14" t="str">
            <v>Droit d'enregistrement (DE)</v>
          </cell>
        </row>
        <row r="15">
          <cell r="A15" t="str">
            <v>Impôt sur les revenus des personnes physiques (IRPP)</v>
          </cell>
        </row>
        <row r="16">
          <cell r="A16" t="str">
            <v>Impôt sur les sociétés (IS)</v>
          </cell>
        </row>
        <row r="17">
          <cell r="A17" t="str">
            <v>Loyer annuel</v>
          </cell>
        </row>
        <row r="18">
          <cell r="A18" t="str">
            <v>Patente</v>
          </cell>
        </row>
        <row r="19">
          <cell r="A19" t="str">
            <v xml:space="preserve">Taxe d'abattage  </v>
          </cell>
        </row>
        <row r="20">
          <cell r="A20" t="str">
            <v xml:space="preserve">Taxe de reboisement  </v>
          </cell>
        </row>
        <row r="21">
          <cell r="A21" t="str">
            <v>Impôt sur les fonciers bâtis (IFB)</v>
          </cell>
        </row>
        <row r="22">
          <cell r="A22" t="str">
            <v>Minimum impôt sur les sociétés (MIS)</v>
          </cell>
        </row>
        <row r="23">
          <cell r="A23" t="str">
            <v xml:space="preserve">Impôt minimum forfaitaire (IMF) </v>
          </cell>
        </row>
        <row r="24">
          <cell r="A24" t="str">
            <v>Précompte</v>
          </cell>
        </row>
        <row r="25">
          <cell r="A25" t="str">
            <v>Taxe sur la valeur ajoutée (TVA)</v>
          </cell>
        </row>
        <row r="26">
          <cell r="A26" t="str">
            <v>Impôt sur les revenus des loyers (IRL)</v>
          </cell>
        </row>
        <row r="27">
          <cell r="A27" t="str">
            <v>Droits fixes (sur l'octroi, renouvellement, transfert) (+)</v>
          </cell>
        </row>
        <row r="28">
          <cell r="A28" t="str">
            <v>Les redevances proportionnelles ou royalties sur les autorisations d'exploitation de carrière et les exploitations des mines (+)</v>
          </cell>
        </row>
        <row r="29">
          <cell r="A29" t="str">
            <v>Impôt sur les revenus des capitaux mobiliers (RCM) (+)</v>
          </cell>
        </row>
        <row r="30">
          <cell r="A30" t="str">
            <v>Taxe de Développement Artisanal (TDA) (+)</v>
          </cell>
        </row>
        <row r="31">
          <cell r="A31" t="str">
            <v>Amendes et pénalités payées à la DGID (+)</v>
          </cell>
        </row>
        <row r="32">
          <cell r="A32" t="str">
            <v>Redevance de déboisement (+)</v>
          </cell>
        </row>
        <row r="33">
          <cell r="A33" t="str">
            <v>Redevance de pré reconnaissance (+)</v>
          </cell>
        </row>
        <row r="34">
          <cell r="A34" t="str">
            <v>Contribution à la formation professionnelle et à la formation des cadres de l'Administration des Mines (+)</v>
          </cell>
        </row>
        <row r="35">
          <cell r="A35" t="str">
            <v>Droits d'attributions</v>
          </cell>
        </row>
        <row r="36">
          <cell r="A36" t="str">
            <v xml:space="preserve">Secrétariat permanent du processus de Kimberley (SPPK)  </v>
          </cell>
        </row>
        <row r="37">
          <cell r="A37" t="str">
            <v xml:space="preserve">Redevance superficiaire   </v>
          </cell>
        </row>
        <row r="38">
          <cell r="A38" t="str">
            <v>Projet de développement du secteur minier (PDSM)</v>
          </cell>
        </row>
        <row r="39">
          <cell r="A39" t="str">
            <v>Taxes superficiaires (+)</v>
          </cell>
        </row>
        <row r="40">
          <cell r="A40" t="str">
            <v>Taxe d’abattage  (+)</v>
          </cell>
        </row>
        <row r="41">
          <cell r="A41" t="str">
            <v>Taxe de reboisement (+)</v>
          </cell>
        </row>
        <row r="42">
          <cell r="A42" t="str">
            <v>Droit de sortie (DS)/Taxe Export (+)</v>
          </cell>
        </row>
        <row r="43">
          <cell r="A43" t="str">
            <v>Taxes environnementales sur les Stes forestières et Minières (+)</v>
          </cell>
        </row>
        <row r="44">
          <cell r="A44" t="str">
            <v>Affectation au titre la taxe de reboisement (+)</v>
          </cell>
        </row>
        <row r="45">
          <cell r="A45" t="str">
            <v>Affectation au titre de taxe d’abattage (+)</v>
          </cell>
        </row>
        <row r="46">
          <cell r="A46" t="str">
            <v>Transfert du trésor aux communes</v>
          </cell>
        </row>
        <row r="47">
          <cell r="A47" t="str">
            <v>Transfert infranational au titre de la taxe d'abattage (+)</v>
          </cell>
        </row>
        <row r="48">
          <cell r="A48" t="str">
            <v>Transfert infranational au titre de la taxe reboisement (+)</v>
          </cell>
        </row>
        <row r="49">
          <cell r="A49" t="str">
            <v>Transfert infranational au titre de la taxe environnementale (+)</v>
          </cell>
        </row>
        <row r="50">
          <cell r="A50" t="str">
            <v>Droit de sortie (DS)/Taxe Export (+)</v>
          </cell>
        </row>
        <row r="51">
          <cell r="A51" t="str">
            <v xml:space="preserve">Autres transferts au profit des communes </v>
          </cell>
        </row>
        <row r="68">
          <cell r="A68" t="str">
            <v>Taxes payées non reportées</v>
          </cell>
        </row>
        <row r="69">
          <cell r="A69" t="str">
            <v>Taxes payées hors période de réconciliation</v>
          </cell>
        </row>
        <row r="70">
          <cell r="A70" t="str">
            <v>Taxes hors périmètre de réconciliation</v>
          </cell>
        </row>
        <row r="71">
          <cell r="A71" t="str">
            <v>Erreur de reporting (montant et détail)</v>
          </cell>
        </row>
        <row r="72">
          <cell r="A72" t="str">
            <v>Taxes reportées non payées</v>
          </cell>
        </row>
        <row r="73">
          <cell r="A73" t="str">
            <v>Montant doublement déclaré</v>
          </cell>
        </row>
        <row r="74">
          <cell r="A74" t="str">
            <v>Erreur de classification</v>
          </cell>
        </row>
        <row r="75">
          <cell r="A75" t="str">
            <v>Taxes payées sous un autre NINEA</v>
          </cell>
        </row>
        <row r="76">
          <cell r="A76" t="str">
            <v>Différence de change</v>
          </cell>
        </row>
        <row r="80">
          <cell r="A80" t="str">
            <v>Taxes perçues non reportées par l'Etat</v>
          </cell>
        </row>
        <row r="81">
          <cell r="A81" t="str">
            <v>Montant doublement déclaré</v>
          </cell>
        </row>
        <row r="82">
          <cell r="A82" t="str">
            <v>Taxes perçues hors de la période de réconciliation</v>
          </cell>
        </row>
        <row r="83">
          <cell r="A83" t="str">
            <v>Erreur de reporting (montant et détail)</v>
          </cell>
        </row>
        <row r="84">
          <cell r="A84" t="str">
            <v>Taxe reportée par l'Etat non réellement encaissée</v>
          </cell>
        </row>
        <row r="85">
          <cell r="A85" t="str">
            <v>Erreur de classification</v>
          </cell>
        </row>
        <row r="86">
          <cell r="A86" t="str">
            <v>Taxes payées par la Ste sur un autre NINEA non reporté par l'Etat</v>
          </cell>
        </row>
        <row r="87">
          <cell r="A87" t="str">
            <v>Taxes hors périmètre de réconciliation</v>
          </cell>
        </row>
        <row r="91">
          <cell r="A91" t="str">
            <v>FD non soumis par la Société</v>
          </cell>
        </row>
        <row r="92">
          <cell r="A92" t="str">
            <v>FD non soumis par l'Etat</v>
          </cell>
        </row>
        <row r="93">
          <cell r="A93" t="str">
            <v>Différences provenant de détail soumis par la société et non soumis par l'Etat d'un coté et détail soumis pas l'Etat et non soumis par la société de l'autre coté</v>
          </cell>
        </row>
        <row r="94">
          <cell r="A94" t="str">
            <v>Les pièces justificatives ne coincident pas avec les données reportés par l'Etat</v>
          </cell>
        </row>
        <row r="95">
          <cell r="A95" t="str">
            <v xml:space="preserve">Détail par quittance non soumis par l'Entreprise Extractive </v>
          </cell>
        </row>
        <row r="96">
          <cell r="A96" t="str">
            <v>Détail non soumis par l'Etat</v>
          </cell>
        </row>
        <row r="97">
          <cell r="A97" t="str">
            <v>Taxes non reportées par l'Entreprise Extractive</v>
          </cell>
        </row>
        <row r="98">
          <cell r="A98" t="str">
            <v>Taxes non reportées par l'Etat</v>
          </cell>
        </row>
        <row r="99">
          <cell r="A99" t="str">
            <v>Montants non reportés par l'Etat</v>
          </cell>
        </row>
        <row r="100">
          <cell r="A100" t="str">
            <v>Erreur de classification</v>
          </cell>
        </row>
        <row r="101">
          <cell r="A101" t="str">
            <v>Montants non reportés par la société</v>
          </cell>
        </row>
        <row r="102">
          <cell r="A102" t="str">
            <v>Non significatif &lt; 1 M FCFA</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llow-up Gvrn"/>
      <sheetName val="Follow-up Stés"/>
      <sheetName val="Reporting by Comp"/>
      <sheetName val="Tableau 31"/>
      <sheetName val="Tableau 33"/>
      <sheetName val="Tableau 34"/>
      <sheetName val="Tableau 35"/>
      <sheetName val="Tableau 36"/>
      <sheetName val="Ecart non justifié"/>
      <sheetName val="Tableau 32"/>
      <sheetName val="Reporting by tax"/>
      <sheetName val="Feuil2"/>
      <sheetName val="Tableau (1)"/>
      <sheetName val="Tableau (2)"/>
      <sheetName val="Tableau (3)"/>
      <sheetName val="Lists"/>
      <sheetName val="Company adjustment"/>
      <sheetName val="Government adjustment"/>
      <sheetName val="Taxes RCA 2022"/>
      <sheetName val="Taux de change RCA 2022"/>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refreshError="1"/>
      <sheetData sheetId="1" refreshError="1"/>
      <sheetData sheetId="2"/>
      <sheetData sheetId="3" refreshError="1"/>
      <sheetData sheetId="4"/>
      <sheetData sheetId="5">
        <row r="7">
          <cell r="F7">
            <v>161574519</v>
          </cell>
        </row>
      </sheetData>
      <sheetData sheetId="6" refreshError="1"/>
      <sheetData sheetId="7" refreshError="1"/>
      <sheetData sheetId="8" refreshError="1"/>
      <sheetData sheetId="9">
        <row r="7">
          <cell r="F7">
            <v>157356461.42250001</v>
          </cell>
        </row>
      </sheetData>
      <sheetData sheetId="10" refreshError="1"/>
      <sheetData sheetId="11"/>
      <sheetData sheetId="12" refreshError="1"/>
      <sheetData sheetId="13" refreshError="1"/>
      <sheetData sheetId="14" refreshError="1"/>
      <sheetData sheetId="15">
        <row r="7">
          <cell r="A7" t="str">
            <v>Redevance équipement, informatique et finances (REIF)</v>
          </cell>
        </row>
        <row r="8">
          <cell r="A8" t="str">
            <v>Droit de sortie (DS)</v>
          </cell>
        </row>
        <row r="9">
          <cell r="A9" t="str">
            <v>Amendes et pénalités payées à la DGDDI (+)</v>
          </cell>
        </row>
        <row r="10">
          <cell r="A10" t="str">
            <v>Dividendes sur participation de l'Etat (+)</v>
          </cell>
        </row>
        <row r="11">
          <cell r="A11" t="str">
            <v>Bonus de signature versés par les investisseurs miniers (+) (DGTCP (FDM))</v>
          </cell>
        </row>
        <row r="12">
          <cell r="A12" t="str">
            <v>Redevance à la production (+)</v>
          </cell>
        </row>
        <row r="13">
          <cell r="A13" t="str">
            <v>Contribution au développement social (CDS)</v>
          </cell>
        </row>
        <row r="14">
          <cell r="A14" t="str">
            <v>Droit d'enregistrement (DE)</v>
          </cell>
        </row>
        <row r="15">
          <cell r="A15" t="str">
            <v>Impôt sur les revenus des personnes physiques (IRPP)</v>
          </cell>
        </row>
        <row r="16">
          <cell r="A16" t="str">
            <v>Impôt sur les sociétés (IS)</v>
          </cell>
        </row>
        <row r="17">
          <cell r="A17" t="str">
            <v>Loyer annuel</v>
          </cell>
        </row>
        <row r="18">
          <cell r="A18" t="str">
            <v>Patente</v>
          </cell>
        </row>
        <row r="19">
          <cell r="A19" t="str">
            <v xml:space="preserve">Taxe d'abattage  </v>
          </cell>
        </row>
        <row r="20">
          <cell r="A20" t="str">
            <v xml:space="preserve">Taxe de reboisement  </v>
          </cell>
        </row>
        <row r="21">
          <cell r="A21" t="str">
            <v>Impôt sur les fonciers bâtis (IFB)</v>
          </cell>
        </row>
        <row r="22">
          <cell r="A22" t="str">
            <v>Minimum impôt sur les sociétés (MIS)</v>
          </cell>
        </row>
        <row r="23">
          <cell r="A23" t="str">
            <v xml:space="preserve">Impôt minimum forfaitaire (IMF) </v>
          </cell>
        </row>
        <row r="24">
          <cell r="A24" t="str">
            <v>Précompte</v>
          </cell>
        </row>
        <row r="25">
          <cell r="A25" t="str">
            <v>Taxe sur la valeur ajoutée (TVA)</v>
          </cell>
        </row>
        <row r="26">
          <cell r="A26" t="str">
            <v>Impôt sur les revenus des loyers (IRL)</v>
          </cell>
        </row>
        <row r="27">
          <cell r="A27" t="str">
            <v>Droits fixes (sur l'octroi, renouvellement, transfert) (+)</v>
          </cell>
        </row>
        <row r="28">
          <cell r="A28" t="str">
            <v>Les redevances proportionnelles ou royalties sur les autorisations d'exploitation de carrière et les exploitations des mines (+)</v>
          </cell>
        </row>
        <row r="29">
          <cell r="A29" t="str">
            <v>Impôt sur les revenus des capitaux mobiliers (RCM) (+)</v>
          </cell>
        </row>
        <row r="30">
          <cell r="A30" t="str">
            <v>Taxe de Développement Artisanal (TDA) (+)</v>
          </cell>
        </row>
        <row r="31">
          <cell r="A31" t="str">
            <v>Amendes et pénalités payées à la DGID (+)</v>
          </cell>
        </row>
        <row r="32">
          <cell r="A32" t="str">
            <v>Redevance de déboisement (+)</v>
          </cell>
        </row>
        <row r="33">
          <cell r="A33" t="str">
            <v>Redevance de pré reconnaissance (+)</v>
          </cell>
        </row>
        <row r="34">
          <cell r="A34" t="str">
            <v>Contribution à la formation professionnelle et à la formation des cadres de l'Administration des Mines (+)</v>
          </cell>
        </row>
        <row r="35">
          <cell r="A35" t="str">
            <v>Droits d'attributions</v>
          </cell>
        </row>
        <row r="36">
          <cell r="A36" t="str">
            <v xml:space="preserve">Secrétariat permanent du processus de Kimberley (SPPK)  </v>
          </cell>
        </row>
        <row r="37">
          <cell r="A37" t="str">
            <v xml:space="preserve">Redevance superficiaire   </v>
          </cell>
        </row>
        <row r="38">
          <cell r="A38" t="str">
            <v>Projet de développement du secteur minier (PDSM)</v>
          </cell>
        </row>
        <row r="39">
          <cell r="A39" t="str">
            <v>Taxes superficiaires (+)</v>
          </cell>
        </row>
        <row r="40">
          <cell r="A40" t="str">
            <v>Taxe d’abattage  (+)</v>
          </cell>
        </row>
        <row r="41">
          <cell r="A41" t="str">
            <v>Taxe de reboisement (+)</v>
          </cell>
        </row>
        <row r="42">
          <cell r="A42" t="str">
            <v>Droit de sortie (DS)/Taxe Export (+)</v>
          </cell>
        </row>
        <row r="43">
          <cell r="A43" t="str">
            <v>Taxes environnementales sur les Stes forestières et Minières (+)</v>
          </cell>
        </row>
        <row r="44">
          <cell r="A44" t="str">
            <v>Affectation au titre la taxe de reboisement (+)</v>
          </cell>
        </row>
        <row r="45">
          <cell r="A45" t="str">
            <v>Affectation au titre de taxe d’abattage (+)</v>
          </cell>
        </row>
        <row r="46">
          <cell r="A46" t="str">
            <v>Transfert du trésor aux communes</v>
          </cell>
        </row>
        <row r="47">
          <cell r="A47" t="str">
            <v>Transfert infranational au titre de la taxe d'abattage (+)</v>
          </cell>
        </row>
        <row r="48">
          <cell r="A48" t="str">
            <v>Transfert infranational au titre de la taxe reboisement (+)</v>
          </cell>
        </row>
        <row r="49">
          <cell r="A49" t="str">
            <v>Transfert infranational au titre de la taxe environnementale (+)</v>
          </cell>
        </row>
        <row r="50">
          <cell r="A50" t="str">
            <v>Droit de sortie (DS)/Taxe Export (+)</v>
          </cell>
        </row>
        <row r="51">
          <cell r="A51" t="str">
            <v xml:space="preserve">Autres transferts au profit des communes </v>
          </cell>
        </row>
        <row r="68">
          <cell r="A68" t="str">
            <v>Taxes payées non reportées</v>
          </cell>
        </row>
        <row r="69">
          <cell r="A69" t="str">
            <v>Taxes payées hors période de réconciliation</v>
          </cell>
        </row>
        <row r="70">
          <cell r="A70" t="str">
            <v>Taxes hors périmètre de réconciliation</v>
          </cell>
        </row>
        <row r="71">
          <cell r="A71" t="str">
            <v>Erreur de reporting (montant et détail)</v>
          </cell>
        </row>
        <row r="72">
          <cell r="A72" t="str">
            <v>Taxes reportées non payées</v>
          </cell>
        </row>
        <row r="73">
          <cell r="A73" t="str">
            <v>Montant doublement déclaré</v>
          </cell>
        </row>
        <row r="74">
          <cell r="A74" t="str">
            <v>Erreur de classification</v>
          </cell>
        </row>
        <row r="75">
          <cell r="A75" t="str">
            <v>Taxes payées sous un autre NINEA</v>
          </cell>
        </row>
        <row r="76">
          <cell r="A76" t="str">
            <v>Différence de change</v>
          </cell>
        </row>
        <row r="80">
          <cell r="A80" t="str">
            <v>Taxes perçues non reportées par l'Etat</v>
          </cell>
        </row>
        <row r="81">
          <cell r="A81" t="str">
            <v>Montant doublement déclaré</v>
          </cell>
        </row>
        <row r="82">
          <cell r="A82" t="str">
            <v>Taxes perçues hors de la période de réconciliation</v>
          </cell>
        </row>
        <row r="83">
          <cell r="A83" t="str">
            <v>Erreur de reporting (montant et détail)</v>
          </cell>
        </row>
        <row r="84">
          <cell r="A84" t="str">
            <v>Taxe reportée par l'Etat non réellement encaissée</v>
          </cell>
        </row>
        <row r="85">
          <cell r="A85" t="str">
            <v>Erreur de classification</v>
          </cell>
        </row>
        <row r="86">
          <cell r="A86" t="str">
            <v>Taxes payées par la Ste sur un autre NINEA non reporté par l'Etat</v>
          </cell>
        </row>
        <row r="87">
          <cell r="A87" t="str">
            <v>Taxes hors périmètre de réconciliation</v>
          </cell>
        </row>
        <row r="91">
          <cell r="A91" t="str">
            <v>FD non soumis par la Société</v>
          </cell>
        </row>
        <row r="92">
          <cell r="A92" t="str">
            <v>FD non soumis par l'Etat</v>
          </cell>
        </row>
        <row r="93">
          <cell r="A93" t="str">
            <v>Différences provenant de détail soumis par la société et non soumis par l'Etat d'un coté et détail soumis pas l'Etat et non soumis par la société de l'autre coté</v>
          </cell>
        </row>
        <row r="94">
          <cell r="A94" t="str">
            <v>Les pièces justificatives ne coincident pas avec les données reportés par l'Etat</v>
          </cell>
        </row>
        <row r="95">
          <cell r="A95" t="str">
            <v xml:space="preserve">Détail par quittance non soumis par l'Entreprise Extractive </v>
          </cell>
        </row>
        <row r="96">
          <cell r="A96" t="str">
            <v>Détail non soumis par l'Etat</v>
          </cell>
        </row>
        <row r="97">
          <cell r="A97" t="str">
            <v>Taxes non reportées par l'Entreprise Extractive</v>
          </cell>
        </row>
        <row r="98">
          <cell r="A98" t="str">
            <v>Taxes non reportées par l'Etat</v>
          </cell>
        </row>
        <row r="99">
          <cell r="A99" t="str">
            <v>Montants non reportés par l'Etat</v>
          </cell>
        </row>
        <row r="100">
          <cell r="A100" t="str">
            <v>Différence de classification</v>
          </cell>
        </row>
        <row r="101">
          <cell r="A101" t="str">
            <v>Montants non reportés par la société</v>
          </cell>
        </row>
        <row r="102">
          <cell r="A102" t="str">
            <v>Non significatif &lt; 1 M FCFA</v>
          </cell>
        </row>
      </sheetData>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llow-up Gvrn"/>
      <sheetName val="Follow-up Stés"/>
      <sheetName val="Reporting by tax"/>
      <sheetName val="Reporting by Comp"/>
      <sheetName val="Tableau (1)"/>
      <sheetName val="Tableau (2)"/>
      <sheetName val="Tableau (512)"/>
      <sheetName val="Tableau (3)"/>
      <sheetName val="Tableau (513)"/>
      <sheetName val="Tableau (51)"/>
      <sheetName val="1 (2)"/>
      <sheetName val="Tableau (4)"/>
      <sheetName val="Tableau (5)"/>
      <sheetName val="Tableau (6)"/>
      <sheetName val="Tableau (7)"/>
      <sheetName val="Tableau (8)"/>
      <sheetName val="Tableau (9)"/>
      <sheetName val="Tableau (10)"/>
      <sheetName val="Tableau (11)"/>
      <sheetName val="Tableau (12)"/>
      <sheetName val="Reporting by tax (2)"/>
      <sheetName val="Tableau (13)"/>
      <sheetName val="Tableau (14)"/>
      <sheetName val="Tableau (15)"/>
      <sheetName val="Tableau (16)"/>
      <sheetName val="Tableau (17)"/>
      <sheetName val="Tableau (18)"/>
      <sheetName val="Tableau (19)"/>
      <sheetName val="Tableau (20)"/>
      <sheetName val="Tableau (21)"/>
      <sheetName val="Tableau (22)"/>
      <sheetName val="Tableau (23)"/>
      <sheetName val="Tableau (24)"/>
      <sheetName val="Tablau (25)"/>
      <sheetName val="Tableau (26)"/>
      <sheetName val="Tableau (27)"/>
      <sheetName val="Tableau (28)"/>
      <sheetName val="Tableau (29)"/>
      <sheetName val="Tbaleau (30)"/>
      <sheetName val="Tbaleau (31)"/>
      <sheetName val="Tableau (32)"/>
      <sheetName val="Tableau (33)"/>
      <sheetName val="Tableau (34)"/>
      <sheetName val="Tableau (35)"/>
      <sheetName val="Tableau (36)"/>
      <sheetName val="Tableau (a)"/>
      <sheetName val="Tableau (37)"/>
      <sheetName val="Tableau (38)"/>
      <sheetName val="Tableau (39)"/>
      <sheetName val="Tableau (40)"/>
      <sheetName val="Tableau (41)"/>
      <sheetName val="Tableau (43)"/>
      <sheetName val="Tableau (44)"/>
      <sheetName val="Tableau (45)"/>
      <sheetName val="Tableau (46)"/>
      <sheetName val="Tableau (47)"/>
      <sheetName val="Tableau (48)"/>
      <sheetName val="Tableau (49)"/>
      <sheetName val="Ecart non justifié T50"/>
      <sheetName val="Tableau (52)"/>
      <sheetName val="Tableau (53)"/>
      <sheetName val="Tableau (54-55)"/>
      <sheetName val="Tableau (56)"/>
      <sheetName val="Tableau (57)"/>
      <sheetName val="Tableau (58)"/>
      <sheetName val="Tableau (59)"/>
      <sheetName val="Tableau (60)"/>
      <sheetName val="Tableau (61)"/>
      <sheetName val="Tableau (62)"/>
      <sheetName val="Tableau (63)"/>
      <sheetName val="Tableau (64)"/>
      <sheetName val="Tableau (65)"/>
      <sheetName val="Tableau (66)"/>
      <sheetName val="Lists"/>
      <sheetName val="Company adjustment"/>
      <sheetName val="Government adjustment"/>
      <sheetName val="Taxes RCA 2022"/>
      <sheetName val="Taux de change RCA 2022"/>
      <sheetName val="Compani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7">
          <cell r="A7" t="str">
            <v>Redevance équipement, informatique et finances (REIF)</v>
          </cell>
        </row>
        <row r="8">
          <cell r="A8" t="str">
            <v>Droit de sortie (DS)</v>
          </cell>
        </row>
        <row r="9">
          <cell r="A9" t="str">
            <v>Amendes et pénalités payées à la DGDDI (+)</v>
          </cell>
        </row>
        <row r="10">
          <cell r="A10" t="str">
            <v>Dividendes sur participation de l'Etat (+)</v>
          </cell>
        </row>
        <row r="11">
          <cell r="A11" t="str">
            <v>Bonus de signature versés par les investisseurs miniers (+) (DGTCP (FDM))</v>
          </cell>
        </row>
        <row r="12">
          <cell r="A12" t="str">
            <v>Redevance à la production (+)</v>
          </cell>
        </row>
        <row r="13">
          <cell r="A13" t="str">
            <v>Contribution au développement social (CDS)</v>
          </cell>
        </row>
        <row r="14">
          <cell r="A14" t="str">
            <v>Droit d'enregistrement (DE)</v>
          </cell>
        </row>
        <row r="15">
          <cell r="A15" t="str">
            <v>Impôt sur les revenus des personnes physiques (IRPP)</v>
          </cell>
        </row>
        <row r="16">
          <cell r="A16" t="str">
            <v>Impôt sur les sociétés (IS)</v>
          </cell>
        </row>
        <row r="17">
          <cell r="A17" t="str">
            <v>Loyer annuel</v>
          </cell>
        </row>
        <row r="18">
          <cell r="A18" t="str">
            <v>Patente</v>
          </cell>
        </row>
        <row r="19">
          <cell r="A19" t="str">
            <v xml:space="preserve">Taxe d'abattage  </v>
          </cell>
        </row>
        <row r="20">
          <cell r="A20" t="str">
            <v xml:space="preserve">Taxe de reboisement  </v>
          </cell>
        </row>
        <row r="21">
          <cell r="A21" t="str">
            <v>Impôt sur les fonciers bâtis (IFB)</v>
          </cell>
        </row>
        <row r="22">
          <cell r="A22" t="str">
            <v>Minimum impôt sur les sociétés (MIS)</v>
          </cell>
        </row>
        <row r="23">
          <cell r="A23" t="str">
            <v xml:space="preserve">Impôt minimum forfaitaire (IMF) </v>
          </cell>
        </row>
        <row r="24">
          <cell r="A24" t="str">
            <v>Précompte</v>
          </cell>
        </row>
        <row r="25">
          <cell r="A25" t="str">
            <v>Taxe sur la valeur ajoutée (TVA)</v>
          </cell>
        </row>
        <row r="26">
          <cell r="A26" t="str">
            <v>Impôt sur les revenus des loyers (IRL)</v>
          </cell>
        </row>
        <row r="27">
          <cell r="A27" t="str">
            <v>Droits fixes (sur l'octroi, renouvellement, transfert) (+)</v>
          </cell>
        </row>
        <row r="28">
          <cell r="A28" t="str">
            <v>Les redevances proportionnelles ou royalties sur les autorisations d'exploitation de carrière et les exploitations des mines (+)</v>
          </cell>
        </row>
        <row r="29">
          <cell r="A29" t="str">
            <v>Impôt sur les revenus des capitaux mobiliers (RCM) (+)</v>
          </cell>
        </row>
        <row r="30">
          <cell r="A30" t="str">
            <v>Taxe de Développement Artisanal (TDA) (+)</v>
          </cell>
        </row>
        <row r="31">
          <cell r="A31" t="str">
            <v>Amendes et pénalités payées à la DGID (+)</v>
          </cell>
        </row>
        <row r="32">
          <cell r="A32" t="str">
            <v>Redevance de déboisement (+)</v>
          </cell>
        </row>
        <row r="33">
          <cell r="A33" t="str">
            <v>Redevance de pré reconnaissance (+)</v>
          </cell>
        </row>
        <row r="34">
          <cell r="A34" t="str">
            <v>Contribution à la formation professionnelle et à la formation des cadres de l'Administration des Mines (+)</v>
          </cell>
        </row>
        <row r="35">
          <cell r="A35" t="str">
            <v>Droits d'attributions</v>
          </cell>
        </row>
        <row r="36">
          <cell r="A36" t="str">
            <v xml:space="preserve">Secrétariat permanent du processus de Kimberley (SPPK)  </v>
          </cell>
        </row>
        <row r="37">
          <cell r="A37" t="str">
            <v xml:space="preserve">Redevance superficiaire   </v>
          </cell>
        </row>
        <row r="38">
          <cell r="A38" t="str">
            <v>Projet de développement du secteur minier (PDSM)</v>
          </cell>
        </row>
        <row r="39">
          <cell r="A39" t="str">
            <v>Taxes superficiaires (+)</v>
          </cell>
        </row>
        <row r="40">
          <cell r="A40" t="str">
            <v>Taxe d’abattage  (+)</v>
          </cell>
        </row>
        <row r="41">
          <cell r="A41" t="str">
            <v>Taxe de reboisement (+)</v>
          </cell>
        </row>
        <row r="42">
          <cell r="A42" t="str">
            <v>Droit de sortie (DS)/Taxe Export (+)</v>
          </cell>
        </row>
        <row r="43">
          <cell r="A43" t="str">
            <v>Taxes environnementales sur les Stes forestières et Minières (+)</v>
          </cell>
        </row>
        <row r="44">
          <cell r="A44" t="str">
            <v>Affectation au titre la taxe de reboisement (+)</v>
          </cell>
        </row>
        <row r="45">
          <cell r="A45" t="str">
            <v>Affectation au titre de taxe d’abattage (+)</v>
          </cell>
        </row>
        <row r="46">
          <cell r="A46" t="str">
            <v>Transfert du trésor aux communes</v>
          </cell>
        </row>
        <row r="47">
          <cell r="A47" t="str">
            <v>Transfert infranational au titre de la taxe d'abattage (+)</v>
          </cell>
        </row>
        <row r="48">
          <cell r="A48" t="str">
            <v>Transfert infranational au titre de la taxe reboisement (+)</v>
          </cell>
        </row>
        <row r="49">
          <cell r="A49" t="str">
            <v>Transfert infranational au titre de la taxe environnementale (+)</v>
          </cell>
        </row>
        <row r="50">
          <cell r="A50" t="str">
            <v>Droit de sortie (DS)/Taxe Export (+)</v>
          </cell>
        </row>
        <row r="51">
          <cell r="A51" t="str">
            <v xml:space="preserve">Autres transferts au profit des communes </v>
          </cell>
        </row>
        <row r="68">
          <cell r="A68" t="str">
            <v>Taxes payées non reportées</v>
          </cell>
        </row>
        <row r="69">
          <cell r="A69" t="str">
            <v>Taxes payées hors période de réconciliation</v>
          </cell>
        </row>
        <row r="70">
          <cell r="A70" t="str">
            <v>Taxes hors périmètre de réconciliation</v>
          </cell>
        </row>
        <row r="71">
          <cell r="A71" t="str">
            <v>Erreur de reporting (montant et détail)</v>
          </cell>
        </row>
        <row r="72">
          <cell r="A72" t="str">
            <v>Taxes reportées non payées</v>
          </cell>
        </row>
        <row r="73">
          <cell r="A73" t="str">
            <v>Montant doublement déclaré</v>
          </cell>
        </row>
        <row r="74">
          <cell r="A74" t="str">
            <v>Erreur de classification</v>
          </cell>
        </row>
        <row r="75">
          <cell r="A75" t="str">
            <v>Taxes payées sous un autre NINEA</v>
          </cell>
        </row>
        <row r="76">
          <cell r="A76" t="str">
            <v>Différence de change</v>
          </cell>
        </row>
        <row r="80">
          <cell r="A80" t="str">
            <v>Taxes perçues non reportées par l'Etat</v>
          </cell>
        </row>
        <row r="81">
          <cell r="A81" t="str">
            <v>Montant doublement déclaré</v>
          </cell>
        </row>
        <row r="82">
          <cell r="A82" t="str">
            <v>Taxes perçues hors de la période de réconciliation</v>
          </cell>
        </row>
        <row r="83">
          <cell r="A83" t="str">
            <v>Erreur de reporting (montant et détail)</v>
          </cell>
        </row>
        <row r="84">
          <cell r="A84" t="str">
            <v>Taxe reportée par l'Etat non réellement encaissée</v>
          </cell>
        </row>
        <row r="85">
          <cell r="A85" t="str">
            <v>Erreur de classification</v>
          </cell>
        </row>
        <row r="86">
          <cell r="A86" t="str">
            <v>Taxes payées par la Ste sur un autre NINEA non reporté par l'Etat</v>
          </cell>
        </row>
        <row r="87">
          <cell r="A87" t="str">
            <v>Taxes hors périmètre de réconciliation</v>
          </cell>
        </row>
        <row r="91">
          <cell r="A91" t="str">
            <v>FD non soumis par la Société</v>
          </cell>
        </row>
        <row r="92">
          <cell r="A92" t="str">
            <v>FD non soumis par l'Etat</v>
          </cell>
        </row>
        <row r="93">
          <cell r="A93" t="str">
            <v>Différences provenant de détail soumis par la société et non soumis par l'Etat d'un coté et détail soumis pas l'Etat et non soumis par la société de l'autre coté</v>
          </cell>
        </row>
        <row r="94">
          <cell r="A94" t="str">
            <v>Les pièces justificatives ne coincident pas avec les données reportés par l'Etat</v>
          </cell>
        </row>
        <row r="95">
          <cell r="A95" t="str">
            <v xml:space="preserve">Détail par quittance non soumis par l'Entreprise Extractive </v>
          </cell>
        </row>
        <row r="96">
          <cell r="A96" t="str">
            <v>Détail non soumis par l'Etat</v>
          </cell>
        </row>
        <row r="97">
          <cell r="A97" t="str">
            <v>Taxes non reportées par l'Entreprise Extractive</v>
          </cell>
        </row>
        <row r="98">
          <cell r="A98" t="str">
            <v>Taxes non reportées par l'Etat</v>
          </cell>
        </row>
        <row r="99">
          <cell r="A99" t="str">
            <v>Montants non reportés par l'Etat</v>
          </cell>
        </row>
        <row r="100">
          <cell r="A100" t="str">
            <v>Différence de classification</v>
          </cell>
        </row>
        <row r="101">
          <cell r="A101" t="str">
            <v>Montants non reportés par la société</v>
          </cell>
        </row>
        <row r="102">
          <cell r="A102" t="str">
            <v>Non significatif &lt; 1 M FCFA</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Identification sheet"/>
      <sheetName val="b. Reporting template"/>
      <sheetName val="c. Payment flow details"/>
      <sheetName val="d. Social payment details"/>
      <sheetName val="e. Production details"/>
      <sheetName val="f. Export details"/>
      <sheetName val="MEM"/>
      <sheetName val="TPDC"/>
      <sheetName val="WITHHOLDING TAX"/>
      <sheetName val="PAYE"/>
      <sheetName val="SDL"/>
      <sheetName val="STAMP DUTY"/>
      <sheetName val="NSSF"/>
      <sheetName val="PPF"/>
      <sheetName val="CSR"/>
      <sheetName val="Feuil1"/>
    </sheetNames>
    <sheetDataSet>
      <sheetData sheetId="0"/>
      <sheetData sheetId="1"/>
      <sheetData sheetId="2"/>
      <sheetData sheetId="3"/>
      <sheetData sheetId="4"/>
      <sheetData sheetId="5"/>
      <sheetData sheetId="6">
        <row r="2">
          <cell r="E2">
            <v>51756800</v>
          </cell>
        </row>
      </sheetData>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au (62)"/>
      <sheetName val="Tableau 2"/>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MUL VOLUMES ET TAXES 2022"/>
    </sheetNames>
    <sheetDataSet>
      <sheetData sheetId="0" refreshError="1">
        <row r="29">
          <cell r="F29">
            <v>0.39319655331860703</v>
          </cell>
        </row>
        <row r="32">
          <cell r="F32">
            <v>0.93823418973297867</v>
          </cell>
        </row>
        <row r="48">
          <cell r="F48">
            <v>0.38844251217850229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YER 2022"/>
      <sheetName val="LOYER 20233"/>
    </sheetNames>
    <sheetDataSet>
      <sheetData sheetId="0">
        <row r="9">
          <cell r="K9">
            <v>0.57444435020227236</v>
          </cell>
        </row>
        <row r="24">
          <cell r="K24">
            <v>0.58558890138373942</v>
          </cell>
        </row>
      </sheetData>
      <sheetData sheetId="1"/>
    </sheetDataSet>
  </externalBook>
</externalLink>
</file>

<file path=xl/theme/theme1.xml><?xml version="1.0" encoding="utf-8"?>
<a:theme xmlns:a="http://schemas.openxmlformats.org/drawingml/2006/main" name="Theme BDO">
  <a:themeElements>
    <a:clrScheme name="BDO">
      <a:dk1>
        <a:sysClr val="windowText" lastClr="000000"/>
      </a:dk1>
      <a:lt1>
        <a:sysClr val="window" lastClr="FFFFFF"/>
      </a:lt1>
      <a:dk2>
        <a:srgbClr val="685040"/>
      </a:dk2>
      <a:lt2>
        <a:srgbClr val="EEE8E5"/>
      </a:lt2>
      <a:accent1>
        <a:srgbClr val="ED1A3B"/>
      </a:accent1>
      <a:accent2>
        <a:srgbClr val="2EAFA4"/>
      </a:accent2>
      <a:accent3>
        <a:srgbClr val="98002E"/>
      </a:accent3>
      <a:accent4>
        <a:srgbClr val="62CAE3"/>
      </a:accent4>
      <a:accent5>
        <a:srgbClr val="F65275"/>
      </a:accent5>
      <a:accent6>
        <a:srgbClr val="F3D03E"/>
      </a:accent6>
      <a:hlink>
        <a:srgbClr val="ED1A3B"/>
      </a:hlink>
      <a:folHlink>
        <a:srgbClr val="22409A"/>
      </a:folHlink>
    </a:clrScheme>
    <a:fontScheme name="BDO Template">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6350">
          <a:solidFill>
            <a:schemeClr val="accent1"/>
          </a:solidFill>
        </a:ln>
      </a:spPr>
      <a:bodyPr lIns="72000" tIns="72000" rIns="72000" bIns="72000"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Theme BDO" id="{6BCBF84E-C4CB-4089-A33D-14ECC6455FB5}" vid="{692DC6C8-34ED-4FE6-AFC9-86FF15C70B18}"/>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eac.int/wp-content/uploads/2023/10/Rapport-annuel-BEAC-2022.pdf"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5610-DC7C-4925-9302-1119173CD532}">
  <sheetPr codeName="Feuil3"/>
  <dimension ref="B1:AH30"/>
  <sheetViews>
    <sheetView workbookViewId="0">
      <selection activeCell="E2" sqref="E2:E3"/>
    </sheetView>
  </sheetViews>
  <sheetFormatPr baseColWidth="10" defaultRowHeight="12.5"/>
  <cols>
    <col min="2" max="2" width="43" bestFit="1" customWidth="1"/>
    <col min="3" max="3" width="5" bestFit="1" customWidth="1"/>
    <col min="4" max="4" width="5.26953125" bestFit="1" customWidth="1"/>
    <col min="5" max="5" width="3.7265625" bestFit="1" customWidth="1"/>
    <col min="6" max="6" width="4.26953125" bestFit="1" customWidth="1"/>
    <col min="7" max="7" width="8.26953125" bestFit="1" customWidth="1"/>
    <col min="8" max="8" width="4.26953125" bestFit="1" customWidth="1"/>
    <col min="9" max="9" width="8.26953125" bestFit="1" customWidth="1"/>
    <col min="10" max="10" width="0.7265625" customWidth="1"/>
    <col min="11" max="11" width="4.7265625" bestFit="1" customWidth="1"/>
    <col min="12" max="12" width="6.81640625" bestFit="1" customWidth="1"/>
    <col min="13" max="13" width="6.7265625" bestFit="1" customWidth="1"/>
    <col min="14" max="14" width="8.26953125" bestFit="1" customWidth="1"/>
    <col min="15" max="15" width="7.453125" bestFit="1" customWidth="1"/>
    <col min="16" max="16" width="12.26953125" bestFit="1" customWidth="1"/>
    <col min="17" max="17" width="7.453125" bestFit="1" customWidth="1"/>
    <col min="18" max="18" width="0.7265625" customWidth="1"/>
    <col min="19" max="19" width="4.7265625" bestFit="1" customWidth="1"/>
    <col min="20" max="20" width="6.81640625" bestFit="1" customWidth="1"/>
    <col min="21" max="21" width="6.7265625" bestFit="1" customWidth="1"/>
    <col min="22" max="22" width="8.26953125" bestFit="1" customWidth="1"/>
    <col min="23" max="23" width="7.453125" bestFit="1" customWidth="1"/>
    <col min="24" max="24" width="12.26953125" bestFit="1" customWidth="1"/>
    <col min="25" max="25" width="7.453125" bestFit="1" customWidth="1"/>
    <col min="26" max="26" width="0.7265625" customWidth="1"/>
    <col min="27" max="27" width="4.7265625" bestFit="1" customWidth="1"/>
    <col min="28" max="28" width="6.81640625" bestFit="1" customWidth="1"/>
    <col min="29" max="29" width="6.7265625" bestFit="1" customWidth="1"/>
    <col min="30" max="30" width="8.26953125" bestFit="1" customWidth="1"/>
    <col min="31" max="31" width="7.453125" bestFit="1" customWidth="1"/>
    <col min="32" max="32" width="12.26953125" bestFit="1" customWidth="1"/>
    <col min="33" max="33" width="7.453125" bestFit="1" customWidth="1"/>
  </cols>
  <sheetData>
    <row r="1" spans="2:34">
      <c r="C1" s="791" t="s">
        <v>98</v>
      </c>
      <c r="D1" s="791"/>
      <c r="E1" s="791"/>
      <c r="F1" s="791"/>
      <c r="G1" s="791"/>
      <c r="H1" s="791"/>
      <c r="I1" s="791"/>
      <c r="J1" s="174"/>
      <c r="K1" s="791" t="s">
        <v>113</v>
      </c>
      <c r="L1" s="791"/>
      <c r="M1" s="791"/>
      <c r="N1" s="791"/>
      <c r="O1" s="791"/>
      <c r="P1" s="791"/>
      <c r="Q1" s="791"/>
      <c r="R1" s="174"/>
      <c r="S1" s="791" t="s">
        <v>114</v>
      </c>
      <c r="T1" s="791"/>
      <c r="U1" s="791"/>
      <c r="V1" s="791"/>
      <c r="W1" s="791"/>
      <c r="X1" s="791"/>
      <c r="Y1" s="791"/>
      <c r="Z1" s="174"/>
      <c r="AA1" s="791" t="s">
        <v>115</v>
      </c>
      <c r="AB1" s="791"/>
      <c r="AC1" s="791"/>
      <c r="AD1" s="791"/>
      <c r="AE1" s="791"/>
      <c r="AF1" s="791"/>
      <c r="AG1" s="791"/>
    </row>
    <row r="2" spans="2:34">
      <c r="B2" s="787" t="s">
        <v>30</v>
      </c>
      <c r="C2" s="789" t="s">
        <v>99</v>
      </c>
      <c r="D2" s="789" t="s">
        <v>100</v>
      </c>
      <c r="E2" s="789" t="s">
        <v>101</v>
      </c>
      <c r="F2" s="787" t="s">
        <v>102</v>
      </c>
      <c r="G2" s="787"/>
      <c r="H2" s="787" t="s">
        <v>103</v>
      </c>
      <c r="I2" s="787"/>
      <c r="J2" s="175"/>
      <c r="K2" s="789" t="s">
        <v>105</v>
      </c>
      <c r="L2" s="789" t="s">
        <v>106</v>
      </c>
      <c r="M2" s="789" t="s">
        <v>112</v>
      </c>
      <c r="N2" s="789" t="s">
        <v>107</v>
      </c>
      <c r="O2" s="789" t="s">
        <v>108</v>
      </c>
      <c r="P2" s="789" t="s">
        <v>110</v>
      </c>
      <c r="Q2" s="789" t="s">
        <v>109</v>
      </c>
      <c r="R2" s="175"/>
      <c r="S2" s="789" t="s">
        <v>105</v>
      </c>
      <c r="T2" s="789" t="s">
        <v>106</v>
      </c>
      <c r="U2" s="789" t="s">
        <v>112</v>
      </c>
      <c r="V2" s="789" t="s">
        <v>107</v>
      </c>
      <c r="W2" s="789" t="s">
        <v>108</v>
      </c>
      <c r="X2" s="789" t="s">
        <v>110</v>
      </c>
      <c r="Y2" s="789" t="s">
        <v>109</v>
      </c>
      <c r="Z2" s="175"/>
      <c r="AA2" s="789" t="s">
        <v>105</v>
      </c>
      <c r="AB2" s="789" t="s">
        <v>106</v>
      </c>
      <c r="AC2" s="789" t="s">
        <v>112</v>
      </c>
      <c r="AD2" s="789" t="s">
        <v>107</v>
      </c>
      <c r="AE2" s="789" t="s">
        <v>108</v>
      </c>
      <c r="AF2" s="789" t="s">
        <v>110</v>
      </c>
      <c r="AG2" s="789" t="s">
        <v>109</v>
      </c>
    </row>
    <row r="3" spans="2:34" ht="24.5" thickBot="1">
      <c r="B3" s="788"/>
      <c r="C3" s="790"/>
      <c r="D3" s="790"/>
      <c r="E3" s="790"/>
      <c r="F3" s="176" t="s">
        <v>56</v>
      </c>
      <c r="G3" s="176" t="s">
        <v>104</v>
      </c>
      <c r="H3" s="176" t="s">
        <v>56</v>
      </c>
      <c r="I3" s="176" t="s">
        <v>104</v>
      </c>
      <c r="J3" s="175"/>
      <c r="K3" s="790"/>
      <c r="L3" s="790"/>
      <c r="M3" s="790"/>
      <c r="N3" s="790"/>
      <c r="O3" s="790"/>
      <c r="P3" s="790"/>
      <c r="Q3" s="790"/>
      <c r="R3" s="175"/>
      <c r="S3" s="790"/>
      <c r="T3" s="790"/>
      <c r="U3" s="790"/>
      <c r="V3" s="790"/>
      <c r="W3" s="790"/>
      <c r="X3" s="790"/>
      <c r="Y3" s="790"/>
      <c r="Z3" s="175"/>
      <c r="AA3" s="790"/>
      <c r="AB3" s="790"/>
      <c r="AC3" s="790"/>
      <c r="AD3" s="790"/>
      <c r="AE3" s="790"/>
      <c r="AF3" s="790"/>
      <c r="AG3" s="790"/>
    </row>
    <row r="4" spans="2:34">
      <c r="B4" s="89" t="s">
        <v>81</v>
      </c>
      <c r="C4" s="89" t="s">
        <v>238</v>
      </c>
      <c r="D4" s="89" t="s">
        <v>238</v>
      </c>
      <c r="E4" s="89"/>
      <c r="F4" s="89"/>
      <c r="G4" s="89"/>
      <c r="H4" s="89"/>
      <c r="I4" s="89"/>
      <c r="J4" s="174"/>
      <c r="K4" s="89"/>
      <c r="L4" s="89"/>
      <c r="M4" s="89"/>
      <c r="N4" s="89"/>
      <c r="O4" s="89"/>
      <c r="P4" s="89"/>
      <c r="Q4" s="89"/>
      <c r="R4" s="174"/>
      <c r="S4" s="89"/>
      <c r="T4" s="89"/>
      <c r="U4" s="89"/>
      <c r="V4" s="89"/>
      <c r="W4" s="89"/>
      <c r="X4" s="89"/>
      <c r="Y4" s="89"/>
      <c r="Z4" s="174"/>
      <c r="AA4" s="89"/>
      <c r="AB4" s="89"/>
      <c r="AC4" s="89"/>
      <c r="AD4" s="89"/>
      <c r="AE4" s="89"/>
      <c r="AF4" s="89"/>
      <c r="AG4" s="89"/>
    </row>
    <row r="5" spans="2:34">
      <c r="B5" s="177" t="s">
        <v>166</v>
      </c>
      <c r="C5" s="177" t="s">
        <v>238</v>
      </c>
      <c r="D5" s="177" t="s">
        <v>238</v>
      </c>
      <c r="E5" s="177"/>
      <c r="F5" s="177"/>
      <c r="G5" s="177"/>
      <c r="H5" s="177"/>
      <c r="I5" s="177"/>
      <c r="J5" s="174"/>
      <c r="K5" s="177"/>
      <c r="L5" s="177"/>
      <c r="M5" s="177"/>
      <c r="N5" s="177"/>
      <c r="O5" s="177"/>
      <c r="P5" s="177"/>
      <c r="Q5" s="177"/>
      <c r="R5" s="174"/>
      <c r="S5" s="177"/>
      <c r="T5" s="177"/>
      <c r="U5" s="177"/>
      <c r="V5" s="177"/>
      <c r="W5" s="177"/>
      <c r="X5" s="177"/>
      <c r="Y5" s="177"/>
      <c r="Z5" s="174"/>
      <c r="AA5" s="177"/>
      <c r="AB5" s="177"/>
      <c r="AC5" s="177"/>
      <c r="AD5" s="177"/>
      <c r="AE5" s="177"/>
      <c r="AF5" s="177"/>
      <c r="AG5" s="177"/>
      <c r="AH5" s="178"/>
    </row>
    <row r="6" spans="2:34">
      <c r="B6" s="89" t="s">
        <v>239</v>
      </c>
      <c r="C6" s="89" t="s">
        <v>238</v>
      </c>
      <c r="D6" s="89" t="s">
        <v>238</v>
      </c>
      <c r="E6" s="89"/>
      <c r="F6" s="89"/>
      <c r="G6" s="89"/>
      <c r="H6" s="89"/>
      <c r="I6" s="89"/>
      <c r="J6" s="174"/>
      <c r="K6" s="89"/>
      <c r="L6" s="89"/>
      <c r="M6" s="89"/>
      <c r="N6" s="89"/>
      <c r="O6" s="89"/>
      <c r="P6" s="89"/>
      <c r="Q6" s="89"/>
      <c r="R6" s="174"/>
      <c r="S6" s="89"/>
      <c r="T6" s="89"/>
      <c r="U6" s="89"/>
      <c r="V6" s="89"/>
      <c r="W6" s="89"/>
      <c r="X6" s="89"/>
      <c r="Y6" s="89"/>
      <c r="Z6" s="174"/>
      <c r="AA6" s="89"/>
      <c r="AB6" s="89"/>
      <c r="AC6" s="89"/>
      <c r="AD6" s="89"/>
      <c r="AE6" s="89"/>
      <c r="AF6" s="89"/>
      <c r="AG6" s="89"/>
    </row>
    <row r="7" spans="2:34">
      <c r="B7" s="177"/>
      <c r="C7" s="177"/>
      <c r="D7" s="177"/>
      <c r="E7" s="177"/>
      <c r="F7" s="177"/>
      <c r="G7" s="177"/>
      <c r="H7" s="177"/>
      <c r="I7" s="177"/>
      <c r="J7" s="174"/>
      <c r="K7" s="177"/>
      <c r="L7" s="177"/>
      <c r="M7" s="177"/>
      <c r="N7" s="177"/>
      <c r="O7" s="177"/>
      <c r="P7" s="177"/>
      <c r="Q7" s="177"/>
      <c r="R7" s="174"/>
      <c r="S7" s="177"/>
      <c r="T7" s="177"/>
      <c r="U7" s="177"/>
      <c r="V7" s="177"/>
      <c r="W7" s="177"/>
      <c r="X7" s="177"/>
      <c r="Y7" s="177"/>
      <c r="Z7" s="174"/>
      <c r="AA7" s="177"/>
      <c r="AB7" s="177"/>
      <c r="AC7" s="177"/>
      <c r="AD7" s="177"/>
      <c r="AE7" s="177"/>
      <c r="AF7" s="177"/>
      <c r="AG7" s="177"/>
      <c r="AH7" s="178"/>
    </row>
    <row r="8" spans="2:34">
      <c r="B8" s="89"/>
      <c r="C8" s="89"/>
      <c r="D8" s="89"/>
      <c r="E8" s="89"/>
      <c r="F8" s="89"/>
      <c r="G8" s="89"/>
      <c r="H8" s="89"/>
      <c r="I8" s="89"/>
      <c r="J8" s="174"/>
      <c r="K8" s="89"/>
      <c r="L8" s="89"/>
      <c r="M8" s="89"/>
      <c r="N8" s="89"/>
      <c r="O8" s="89"/>
      <c r="P8" s="89"/>
      <c r="Q8" s="89"/>
      <c r="R8" s="174"/>
      <c r="S8" s="89"/>
      <c r="T8" s="89"/>
      <c r="U8" s="89"/>
      <c r="V8" s="89"/>
      <c r="W8" s="89"/>
      <c r="X8" s="89"/>
      <c r="Y8" s="89"/>
      <c r="Z8" s="174"/>
      <c r="AA8" s="89"/>
      <c r="AB8" s="89"/>
      <c r="AC8" s="89"/>
      <c r="AD8" s="89"/>
      <c r="AE8" s="89"/>
      <c r="AF8" s="89"/>
      <c r="AG8" s="89"/>
    </row>
    <row r="9" spans="2:34">
      <c r="B9" s="177"/>
      <c r="C9" s="177"/>
      <c r="D9" s="177"/>
      <c r="E9" s="177"/>
      <c r="F9" s="177"/>
      <c r="G9" s="177"/>
      <c r="H9" s="177"/>
      <c r="I9" s="177"/>
      <c r="J9" s="174"/>
      <c r="K9" s="177"/>
      <c r="L9" s="177"/>
      <c r="M9" s="177"/>
      <c r="N9" s="177"/>
      <c r="O9" s="177"/>
      <c r="P9" s="177"/>
      <c r="Q9" s="177"/>
      <c r="R9" s="174"/>
      <c r="S9" s="177"/>
      <c r="T9" s="177"/>
      <c r="U9" s="177"/>
      <c r="V9" s="177"/>
      <c r="W9" s="177"/>
      <c r="X9" s="177"/>
      <c r="Y9" s="177"/>
      <c r="Z9" s="174"/>
      <c r="AA9" s="177"/>
      <c r="AB9" s="177"/>
      <c r="AC9" s="177"/>
      <c r="AD9" s="177"/>
      <c r="AE9" s="177"/>
      <c r="AF9" s="177"/>
      <c r="AG9" s="177"/>
      <c r="AH9" s="178"/>
    </row>
    <row r="10" spans="2:34">
      <c r="B10" s="89"/>
      <c r="C10" s="89"/>
      <c r="D10" s="89"/>
      <c r="E10" s="89"/>
      <c r="F10" s="89"/>
      <c r="G10" s="89"/>
      <c r="H10" s="89"/>
      <c r="I10" s="89"/>
      <c r="J10" s="174"/>
      <c r="K10" s="89"/>
      <c r="L10" s="89"/>
      <c r="M10" s="89"/>
      <c r="N10" s="89"/>
      <c r="O10" s="89"/>
      <c r="P10" s="89"/>
      <c r="Q10" s="89"/>
      <c r="R10" s="174"/>
      <c r="S10" s="89"/>
      <c r="T10" s="89"/>
      <c r="U10" s="89"/>
      <c r="V10" s="89"/>
      <c r="W10" s="89"/>
      <c r="X10" s="89"/>
      <c r="Y10" s="89"/>
      <c r="Z10" s="174"/>
      <c r="AA10" s="89"/>
      <c r="AB10" s="89"/>
      <c r="AC10" s="89"/>
      <c r="AD10" s="89"/>
      <c r="AE10" s="89"/>
      <c r="AF10" s="89"/>
      <c r="AG10" s="89"/>
    </row>
    <row r="11" spans="2:34">
      <c r="B11" s="177"/>
      <c r="C11" s="177"/>
      <c r="D11" s="177"/>
      <c r="E11" s="177"/>
      <c r="F11" s="177"/>
      <c r="G11" s="177"/>
      <c r="H11" s="177"/>
      <c r="I11" s="177"/>
      <c r="J11" s="174"/>
      <c r="K11" s="177"/>
      <c r="L11" s="177"/>
      <c r="M11" s="177"/>
      <c r="N11" s="177"/>
      <c r="O11" s="177"/>
      <c r="P11" s="177"/>
      <c r="Q11" s="177"/>
      <c r="R11" s="174"/>
      <c r="S11" s="177"/>
      <c r="T11" s="177"/>
      <c r="U11" s="177"/>
      <c r="V11" s="177"/>
      <c r="W11" s="177"/>
      <c r="X11" s="177"/>
      <c r="Y11" s="177"/>
      <c r="Z11" s="174"/>
      <c r="AA11" s="177"/>
      <c r="AB11" s="177"/>
      <c r="AC11" s="177"/>
      <c r="AD11" s="177"/>
      <c r="AE11" s="177"/>
      <c r="AF11" s="177"/>
      <c r="AG11" s="177"/>
      <c r="AH11" s="178"/>
    </row>
    <row r="12" spans="2:34">
      <c r="B12" s="89"/>
      <c r="C12" s="89"/>
      <c r="D12" s="89"/>
      <c r="E12" s="89"/>
      <c r="F12" s="89"/>
      <c r="G12" s="89"/>
      <c r="H12" s="89"/>
      <c r="I12" s="89"/>
      <c r="J12" s="174"/>
      <c r="K12" s="89"/>
      <c r="L12" s="89"/>
      <c r="M12" s="89"/>
      <c r="N12" s="89"/>
      <c r="O12" s="89"/>
      <c r="P12" s="89"/>
      <c r="Q12" s="89"/>
      <c r="R12" s="174"/>
      <c r="S12" s="89"/>
      <c r="T12" s="89"/>
      <c r="U12" s="89"/>
      <c r="V12" s="89"/>
      <c r="W12" s="89"/>
      <c r="X12" s="89"/>
      <c r="Y12" s="89"/>
      <c r="Z12" s="174"/>
      <c r="AA12" s="89"/>
      <c r="AB12" s="89"/>
      <c r="AC12" s="89"/>
      <c r="AD12" s="89"/>
      <c r="AE12" s="89"/>
      <c r="AF12" s="89"/>
      <c r="AG12" s="89"/>
    </row>
    <row r="13" spans="2:34">
      <c r="B13" s="177"/>
      <c r="C13" s="177"/>
      <c r="D13" s="177"/>
      <c r="E13" s="177"/>
      <c r="F13" s="177"/>
      <c r="G13" s="177"/>
      <c r="H13" s="177"/>
      <c r="I13" s="177"/>
      <c r="J13" s="174"/>
      <c r="K13" s="177"/>
      <c r="L13" s="177"/>
      <c r="M13" s="177"/>
      <c r="N13" s="177"/>
      <c r="O13" s="177"/>
      <c r="P13" s="177"/>
      <c r="Q13" s="177"/>
      <c r="R13" s="174"/>
      <c r="S13" s="177"/>
      <c r="T13" s="177"/>
      <c r="U13" s="177"/>
      <c r="V13" s="177"/>
      <c r="W13" s="177"/>
      <c r="X13" s="177"/>
      <c r="Y13" s="177"/>
      <c r="Z13" s="174"/>
      <c r="AA13" s="177"/>
      <c r="AB13" s="177"/>
      <c r="AC13" s="177"/>
      <c r="AD13" s="177"/>
      <c r="AE13" s="177"/>
      <c r="AF13" s="177"/>
      <c r="AG13" s="177"/>
      <c r="AH13" s="178"/>
    </row>
    <row r="14" spans="2:34">
      <c r="B14" s="89"/>
      <c r="C14" s="89"/>
      <c r="D14" s="89"/>
      <c r="E14" s="89"/>
      <c r="F14" s="89"/>
      <c r="G14" s="89"/>
      <c r="H14" s="89"/>
      <c r="I14" s="89"/>
      <c r="J14" s="174"/>
      <c r="K14" s="89"/>
      <c r="L14" s="89"/>
      <c r="M14" s="89"/>
      <c r="N14" s="89"/>
      <c r="O14" s="89"/>
      <c r="P14" s="89"/>
      <c r="Q14" s="89"/>
      <c r="R14" s="174"/>
      <c r="S14" s="89"/>
      <c r="T14" s="89"/>
      <c r="U14" s="89"/>
      <c r="V14" s="89"/>
      <c r="W14" s="89"/>
      <c r="X14" s="89"/>
      <c r="Y14" s="89"/>
      <c r="Z14" s="174"/>
      <c r="AA14" s="89"/>
      <c r="AB14" s="89"/>
      <c r="AC14" s="89"/>
      <c r="AD14" s="89"/>
      <c r="AE14" s="89"/>
      <c r="AF14" s="89"/>
      <c r="AG14" s="89"/>
    </row>
    <row r="15" spans="2:34">
      <c r="B15" s="177"/>
      <c r="C15" s="177"/>
      <c r="D15" s="177"/>
      <c r="E15" s="177"/>
      <c r="F15" s="177"/>
      <c r="G15" s="177"/>
      <c r="H15" s="177"/>
      <c r="I15" s="177"/>
      <c r="J15" s="174"/>
      <c r="K15" s="177"/>
      <c r="L15" s="177"/>
      <c r="M15" s="177"/>
      <c r="N15" s="177"/>
      <c r="O15" s="177"/>
      <c r="P15" s="177"/>
      <c r="Q15" s="177"/>
      <c r="R15" s="174"/>
      <c r="S15" s="177"/>
      <c r="T15" s="177"/>
      <c r="U15" s="177"/>
      <c r="V15" s="177"/>
      <c r="W15" s="177"/>
      <c r="X15" s="177"/>
      <c r="Y15" s="177"/>
      <c r="Z15" s="174"/>
      <c r="AA15" s="177"/>
      <c r="AB15" s="177"/>
      <c r="AC15" s="177"/>
      <c r="AD15" s="177"/>
      <c r="AE15" s="177"/>
      <c r="AF15" s="177"/>
      <c r="AG15" s="177"/>
      <c r="AH15" s="178"/>
    </row>
    <row r="16" spans="2:34">
      <c r="B16" s="89"/>
      <c r="C16" s="89"/>
      <c r="D16" s="89"/>
      <c r="E16" s="89"/>
      <c r="F16" s="89"/>
      <c r="G16" s="89"/>
      <c r="H16" s="89"/>
      <c r="I16" s="89"/>
      <c r="J16" s="174"/>
      <c r="K16" s="89"/>
      <c r="L16" s="89"/>
      <c r="M16" s="89"/>
      <c r="N16" s="89"/>
      <c r="O16" s="89"/>
      <c r="P16" s="89"/>
      <c r="Q16" s="89"/>
      <c r="R16" s="174"/>
      <c r="S16" s="89"/>
      <c r="T16" s="89"/>
      <c r="U16" s="89"/>
      <c r="V16" s="89"/>
      <c r="W16" s="89"/>
      <c r="X16" s="89"/>
      <c r="Y16" s="89"/>
      <c r="Z16" s="174"/>
      <c r="AA16" s="89"/>
      <c r="AB16" s="89"/>
      <c r="AC16" s="89"/>
      <c r="AD16" s="89"/>
      <c r="AE16" s="89"/>
      <c r="AF16" s="89"/>
      <c r="AG16" s="89"/>
    </row>
    <row r="17" spans="2:34">
      <c r="B17" s="177"/>
      <c r="C17" s="177"/>
      <c r="D17" s="177"/>
      <c r="E17" s="177"/>
      <c r="F17" s="177"/>
      <c r="G17" s="177"/>
      <c r="H17" s="177"/>
      <c r="I17" s="177"/>
      <c r="J17" s="174"/>
      <c r="K17" s="177"/>
      <c r="L17" s="177"/>
      <c r="M17" s="177"/>
      <c r="N17" s="177"/>
      <c r="O17" s="177"/>
      <c r="P17" s="177"/>
      <c r="Q17" s="177"/>
      <c r="R17" s="174"/>
      <c r="S17" s="177"/>
      <c r="T17" s="177"/>
      <c r="U17" s="177"/>
      <c r="V17" s="177"/>
      <c r="W17" s="177"/>
      <c r="X17" s="177"/>
      <c r="Y17" s="177"/>
      <c r="Z17" s="174"/>
      <c r="AA17" s="177"/>
      <c r="AB17" s="177"/>
      <c r="AC17" s="177"/>
      <c r="AD17" s="177"/>
      <c r="AE17" s="177"/>
      <c r="AF17" s="177"/>
      <c r="AG17" s="177"/>
      <c r="AH17" s="178"/>
    </row>
    <row r="18" spans="2:34">
      <c r="B18" s="89"/>
      <c r="C18" s="89"/>
      <c r="D18" s="89"/>
      <c r="E18" s="89"/>
      <c r="F18" s="89"/>
      <c r="G18" s="89"/>
      <c r="H18" s="89"/>
      <c r="I18" s="89"/>
      <c r="J18" s="174"/>
      <c r="K18" s="89"/>
      <c r="L18" s="89"/>
      <c r="M18" s="89"/>
      <c r="N18" s="89"/>
      <c r="O18" s="89"/>
      <c r="P18" s="89"/>
      <c r="Q18" s="89"/>
      <c r="R18" s="174"/>
      <c r="S18" s="89"/>
      <c r="T18" s="89"/>
      <c r="U18" s="89"/>
      <c r="V18" s="89"/>
      <c r="W18" s="89"/>
      <c r="X18" s="89"/>
      <c r="Y18" s="89"/>
      <c r="Z18" s="174"/>
      <c r="AA18" s="89"/>
      <c r="AB18" s="89"/>
      <c r="AC18" s="89"/>
      <c r="AD18" s="89"/>
      <c r="AE18" s="89"/>
      <c r="AF18" s="89"/>
      <c r="AG18" s="89"/>
    </row>
    <row r="19" spans="2:34">
      <c r="B19" s="177"/>
      <c r="C19" s="177"/>
      <c r="D19" s="177"/>
      <c r="E19" s="177"/>
      <c r="F19" s="177"/>
      <c r="G19" s="177"/>
      <c r="H19" s="177"/>
      <c r="I19" s="177"/>
      <c r="J19" s="174"/>
      <c r="K19" s="177"/>
      <c r="L19" s="177"/>
      <c r="M19" s="177"/>
      <c r="N19" s="177"/>
      <c r="O19" s="177"/>
      <c r="P19" s="177"/>
      <c r="Q19" s="177"/>
      <c r="R19" s="174"/>
      <c r="S19" s="177"/>
      <c r="T19" s="177"/>
      <c r="U19" s="177"/>
      <c r="V19" s="177"/>
      <c r="W19" s="177"/>
      <c r="X19" s="177"/>
      <c r="Y19" s="177"/>
      <c r="Z19" s="174"/>
      <c r="AA19" s="177"/>
      <c r="AB19" s="177"/>
      <c r="AC19" s="177"/>
      <c r="AD19" s="177"/>
      <c r="AE19" s="177"/>
      <c r="AF19" s="177"/>
      <c r="AG19" s="177"/>
      <c r="AH19" s="178"/>
    </row>
    <row r="20" spans="2:34">
      <c r="B20" s="89"/>
      <c r="C20" s="89"/>
      <c r="D20" s="89"/>
      <c r="E20" s="89"/>
      <c r="F20" s="89"/>
      <c r="G20" s="89"/>
      <c r="H20" s="89"/>
      <c r="I20" s="89"/>
      <c r="J20" s="174"/>
      <c r="K20" s="89"/>
      <c r="L20" s="89"/>
      <c r="M20" s="89"/>
      <c r="N20" s="89"/>
      <c r="O20" s="89"/>
      <c r="P20" s="89"/>
      <c r="Q20" s="89"/>
      <c r="R20" s="174"/>
      <c r="S20" s="89"/>
      <c r="T20" s="89"/>
      <c r="U20" s="89"/>
      <c r="V20" s="89"/>
      <c r="W20" s="89"/>
      <c r="X20" s="89"/>
      <c r="Y20" s="89"/>
      <c r="Z20" s="174"/>
      <c r="AA20" s="89"/>
      <c r="AB20" s="89"/>
      <c r="AC20" s="89"/>
      <c r="AD20" s="89"/>
      <c r="AE20" s="89"/>
      <c r="AF20" s="89"/>
      <c r="AG20" s="89"/>
    </row>
    <row r="21" spans="2:34">
      <c r="B21" s="177"/>
      <c r="C21" s="177"/>
      <c r="D21" s="177"/>
      <c r="E21" s="177"/>
      <c r="F21" s="177"/>
      <c r="G21" s="177"/>
      <c r="H21" s="177"/>
      <c r="I21" s="177"/>
      <c r="J21" s="174"/>
      <c r="K21" s="177"/>
      <c r="L21" s="177"/>
      <c r="M21" s="177"/>
      <c r="N21" s="177"/>
      <c r="O21" s="177"/>
      <c r="P21" s="177"/>
      <c r="Q21" s="177"/>
      <c r="R21" s="174"/>
      <c r="S21" s="177"/>
      <c r="T21" s="177"/>
      <c r="U21" s="177"/>
      <c r="V21" s="177"/>
      <c r="W21" s="177"/>
      <c r="X21" s="177"/>
      <c r="Y21" s="177"/>
      <c r="Z21" s="174"/>
      <c r="AA21" s="177"/>
      <c r="AB21" s="177"/>
      <c r="AC21" s="177"/>
      <c r="AD21" s="177"/>
      <c r="AE21" s="177"/>
      <c r="AF21" s="177"/>
      <c r="AG21" s="177"/>
      <c r="AH21" s="178"/>
    </row>
    <row r="22" spans="2:34">
      <c r="B22" s="89"/>
      <c r="C22" s="89"/>
      <c r="D22" s="89"/>
      <c r="E22" s="89"/>
      <c r="F22" s="89"/>
      <c r="G22" s="89"/>
      <c r="H22" s="89"/>
      <c r="I22" s="89"/>
      <c r="J22" s="174"/>
      <c r="K22" s="89"/>
      <c r="L22" s="89"/>
      <c r="M22" s="89"/>
      <c r="N22" s="89"/>
      <c r="O22" s="89"/>
      <c r="P22" s="89"/>
      <c r="Q22" s="89"/>
      <c r="R22" s="174"/>
      <c r="S22" s="89"/>
      <c r="T22" s="89"/>
      <c r="U22" s="89"/>
      <c r="V22" s="89"/>
      <c r="W22" s="89"/>
      <c r="X22" s="89"/>
      <c r="Y22" s="89"/>
      <c r="Z22" s="174"/>
      <c r="AA22" s="89"/>
      <c r="AB22" s="89"/>
      <c r="AC22" s="89"/>
      <c r="AD22" s="89"/>
      <c r="AE22" s="89"/>
      <c r="AF22" s="89"/>
      <c r="AG22" s="89"/>
    </row>
    <row r="23" spans="2:34">
      <c r="B23" s="177"/>
      <c r="C23" s="177"/>
      <c r="D23" s="177"/>
      <c r="E23" s="177"/>
      <c r="F23" s="177"/>
      <c r="G23" s="177"/>
      <c r="H23" s="177"/>
      <c r="I23" s="177"/>
      <c r="J23" s="174"/>
      <c r="K23" s="177"/>
      <c r="L23" s="177"/>
      <c r="M23" s="177"/>
      <c r="N23" s="177"/>
      <c r="O23" s="177"/>
      <c r="P23" s="177"/>
      <c r="Q23" s="177"/>
      <c r="R23" s="174"/>
      <c r="S23" s="177"/>
      <c r="T23" s="177"/>
      <c r="U23" s="177"/>
      <c r="V23" s="177"/>
      <c r="W23" s="177"/>
      <c r="X23" s="177"/>
      <c r="Y23" s="177"/>
      <c r="Z23" s="174"/>
      <c r="AA23" s="177"/>
      <c r="AB23" s="177"/>
      <c r="AC23" s="177"/>
      <c r="AD23" s="177"/>
      <c r="AE23" s="177"/>
      <c r="AF23" s="177"/>
      <c r="AG23" s="177"/>
      <c r="AH23" s="178"/>
    </row>
    <row r="24" spans="2:34">
      <c r="B24" s="89"/>
      <c r="C24" s="89"/>
      <c r="D24" s="89"/>
      <c r="E24" s="89"/>
      <c r="F24" s="89"/>
      <c r="G24" s="89"/>
      <c r="H24" s="89"/>
      <c r="I24" s="89"/>
      <c r="J24" s="174"/>
      <c r="K24" s="89"/>
      <c r="L24" s="89"/>
      <c r="M24" s="89"/>
      <c r="N24" s="89"/>
      <c r="O24" s="89"/>
      <c r="P24" s="89"/>
      <c r="Q24" s="89"/>
      <c r="R24" s="174"/>
      <c r="S24" s="89"/>
      <c r="T24" s="89"/>
      <c r="U24" s="89"/>
      <c r="V24" s="89"/>
      <c r="W24" s="89"/>
      <c r="X24" s="89"/>
      <c r="Y24" s="89"/>
      <c r="Z24" s="174"/>
      <c r="AA24" s="89"/>
      <c r="AB24" s="89"/>
      <c r="AC24" s="89"/>
      <c r="AD24" s="89"/>
      <c r="AE24" s="89"/>
      <c r="AF24" s="89"/>
      <c r="AG24" s="89"/>
    </row>
    <row r="25" spans="2:34">
      <c r="B25" s="177"/>
      <c r="C25" s="177"/>
      <c r="D25" s="177"/>
      <c r="E25" s="177"/>
      <c r="F25" s="177"/>
      <c r="G25" s="177"/>
      <c r="H25" s="177"/>
      <c r="I25" s="177"/>
      <c r="J25" s="174"/>
      <c r="K25" s="177"/>
      <c r="L25" s="177"/>
      <c r="M25" s="177"/>
      <c r="N25" s="177"/>
      <c r="O25" s="177"/>
      <c r="P25" s="177"/>
      <c r="Q25" s="177"/>
      <c r="R25" s="174"/>
      <c r="S25" s="177"/>
      <c r="T25" s="177"/>
      <c r="U25" s="177"/>
      <c r="V25" s="177"/>
      <c r="W25" s="177"/>
      <c r="X25" s="177"/>
      <c r="Y25" s="177"/>
      <c r="Z25" s="174"/>
      <c r="AA25" s="177"/>
      <c r="AB25" s="177"/>
      <c r="AC25" s="177"/>
      <c r="AD25" s="177"/>
      <c r="AE25" s="177"/>
      <c r="AF25" s="177"/>
      <c r="AG25" s="177"/>
      <c r="AH25" s="178"/>
    </row>
    <row r="26" spans="2:34">
      <c r="B26" s="89"/>
      <c r="C26" s="89"/>
      <c r="D26" s="89"/>
      <c r="E26" s="89"/>
      <c r="F26" s="89"/>
      <c r="G26" s="89"/>
      <c r="H26" s="89"/>
      <c r="I26" s="89"/>
      <c r="J26" s="174"/>
      <c r="K26" s="89"/>
      <c r="L26" s="89"/>
      <c r="M26" s="89"/>
      <c r="N26" s="89"/>
      <c r="O26" s="89"/>
      <c r="P26" s="89"/>
      <c r="Q26" s="89"/>
      <c r="R26" s="174"/>
      <c r="S26" s="89"/>
      <c r="T26" s="89"/>
      <c r="U26" s="89"/>
      <c r="V26" s="89"/>
      <c r="W26" s="89"/>
      <c r="X26" s="89"/>
      <c r="Y26" s="89"/>
      <c r="Z26" s="174"/>
      <c r="AA26" s="89"/>
      <c r="AB26" s="89"/>
      <c r="AC26" s="89"/>
      <c r="AD26" s="89"/>
      <c r="AE26" s="89"/>
      <c r="AF26" s="89"/>
      <c r="AG26" s="89"/>
    </row>
    <row r="27" spans="2:34">
      <c r="B27" s="177"/>
      <c r="C27" s="177"/>
      <c r="D27" s="177"/>
      <c r="E27" s="177"/>
      <c r="F27" s="177"/>
      <c r="G27" s="177"/>
      <c r="H27" s="177"/>
      <c r="I27" s="177"/>
      <c r="J27" s="174"/>
      <c r="K27" s="177"/>
      <c r="L27" s="177"/>
      <c r="M27" s="177"/>
      <c r="N27" s="177"/>
      <c r="O27" s="177"/>
      <c r="P27" s="177"/>
      <c r="Q27" s="177"/>
      <c r="R27" s="174"/>
      <c r="S27" s="177"/>
      <c r="T27" s="177"/>
      <c r="U27" s="177"/>
      <c r="V27" s="177"/>
      <c r="W27" s="177"/>
      <c r="X27" s="177"/>
      <c r="Y27" s="177"/>
      <c r="Z27" s="174"/>
      <c r="AA27" s="177"/>
      <c r="AB27" s="177"/>
      <c r="AC27" s="177"/>
      <c r="AD27" s="177"/>
      <c r="AE27" s="177"/>
      <c r="AF27" s="177"/>
      <c r="AG27" s="177"/>
      <c r="AH27" s="178"/>
    </row>
    <row r="28" spans="2:34">
      <c r="B28" s="89"/>
      <c r="C28" s="89"/>
      <c r="D28" s="89"/>
      <c r="E28" s="89"/>
      <c r="F28" s="89"/>
      <c r="G28" s="89"/>
      <c r="H28" s="89"/>
      <c r="I28" s="89"/>
      <c r="J28" s="174"/>
      <c r="K28" s="89"/>
      <c r="L28" s="89"/>
      <c r="M28" s="89"/>
      <c r="N28" s="89"/>
      <c r="O28" s="89"/>
      <c r="P28" s="89"/>
      <c r="Q28" s="89"/>
      <c r="R28" s="174"/>
      <c r="S28" s="89"/>
      <c r="T28" s="89"/>
      <c r="U28" s="89"/>
      <c r="V28" s="89"/>
      <c r="W28" s="89"/>
      <c r="X28" s="89"/>
      <c r="Y28" s="89"/>
      <c r="Z28" s="174"/>
      <c r="AA28" s="89"/>
      <c r="AB28" s="89"/>
      <c r="AC28" s="89"/>
      <c r="AD28" s="89"/>
      <c r="AE28" s="89"/>
      <c r="AF28" s="89"/>
      <c r="AG28" s="89"/>
    </row>
    <row r="29" spans="2:34">
      <c r="B29" s="177"/>
      <c r="C29" s="177"/>
      <c r="D29" s="177"/>
      <c r="E29" s="177"/>
      <c r="F29" s="177"/>
      <c r="G29" s="177"/>
      <c r="H29" s="177"/>
      <c r="I29" s="177"/>
      <c r="J29" s="174"/>
      <c r="K29" s="177"/>
      <c r="L29" s="177"/>
      <c r="M29" s="177"/>
      <c r="N29" s="177"/>
      <c r="O29" s="177"/>
      <c r="P29" s="177"/>
      <c r="Q29" s="177"/>
      <c r="R29" s="174"/>
      <c r="S29" s="177"/>
      <c r="T29" s="177"/>
      <c r="U29" s="177"/>
      <c r="V29" s="177"/>
      <c r="W29" s="177"/>
      <c r="X29" s="177"/>
      <c r="Y29" s="177"/>
      <c r="Z29" s="174"/>
      <c r="AA29" s="177"/>
      <c r="AB29" s="177"/>
      <c r="AC29" s="177"/>
      <c r="AD29" s="177"/>
      <c r="AE29" s="177"/>
      <c r="AF29" s="177"/>
      <c r="AG29" s="177"/>
      <c r="AH29" s="178"/>
    </row>
    <row r="30" spans="2:34">
      <c r="B30" s="89"/>
      <c r="C30" s="89"/>
      <c r="D30" s="89"/>
      <c r="E30" s="89"/>
      <c r="F30" s="89"/>
      <c r="G30" s="89"/>
      <c r="H30" s="89"/>
      <c r="I30" s="89"/>
      <c r="J30" s="174"/>
      <c r="K30" s="89"/>
      <c r="L30" s="89"/>
      <c r="M30" s="89"/>
      <c r="N30" s="89"/>
      <c r="O30" s="89"/>
      <c r="P30" s="89"/>
      <c r="Q30" s="89"/>
      <c r="R30" s="174"/>
      <c r="S30" s="89"/>
      <c r="T30" s="89"/>
      <c r="U30" s="89"/>
      <c r="V30" s="89"/>
      <c r="W30" s="89"/>
      <c r="X30" s="89"/>
      <c r="Y30" s="89"/>
      <c r="Z30" s="174"/>
      <c r="AA30" s="89"/>
      <c r="AB30" s="89"/>
      <c r="AC30" s="89"/>
      <c r="AD30" s="89"/>
      <c r="AE30" s="89"/>
      <c r="AF30" s="89"/>
      <c r="AG30" s="89"/>
    </row>
  </sheetData>
  <mergeCells count="31">
    <mergeCell ref="AC2:AC3"/>
    <mergeCell ref="AD2:AD3"/>
    <mergeCell ref="AE2:AE3"/>
    <mergeCell ref="AF2:AF3"/>
    <mergeCell ref="AG2:AG3"/>
    <mergeCell ref="V2:V3"/>
    <mergeCell ref="W2:W3"/>
    <mergeCell ref="X2:X3"/>
    <mergeCell ref="Y2:Y3"/>
    <mergeCell ref="AA2:AA3"/>
    <mergeCell ref="C1:I1"/>
    <mergeCell ref="K1:Q1"/>
    <mergeCell ref="S1:Y1"/>
    <mergeCell ref="AA1:AG1"/>
    <mergeCell ref="F2:G2"/>
    <mergeCell ref="H2:I2"/>
    <mergeCell ref="K2:K3"/>
    <mergeCell ref="L2:L3"/>
    <mergeCell ref="M2:M3"/>
    <mergeCell ref="AB2:AB3"/>
    <mergeCell ref="O2:O3"/>
    <mergeCell ref="P2:P3"/>
    <mergeCell ref="Q2:Q3"/>
    <mergeCell ref="S2:S3"/>
    <mergeCell ref="T2:T3"/>
    <mergeCell ref="U2:U3"/>
    <mergeCell ref="B2:B3"/>
    <mergeCell ref="C2:C3"/>
    <mergeCell ref="D2:D3"/>
    <mergeCell ref="E2:E3"/>
    <mergeCell ref="N2:N3"/>
  </mergeCells>
  <conditionalFormatting sqref="B4:AG30">
    <cfRule type="containsText" dxfId="118" priority="2" operator="containsText" text="Not">
      <formula>NOT(ISERROR(SEARCH("Not",B4)))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F28-3219-446F-A233-B1B5A772C0EC}">
  <sheetPr codeName="Feuil11"/>
  <dimension ref="A2:K26"/>
  <sheetViews>
    <sheetView zoomScaleNormal="100" workbookViewId="0">
      <selection activeCell="K1" sqref="K1"/>
    </sheetView>
  </sheetViews>
  <sheetFormatPr baseColWidth="10" defaultColWidth="11.453125" defaultRowHeight="14.5"/>
  <cols>
    <col min="1" max="1" width="17.54296875" style="247" customWidth="1"/>
    <col min="2" max="2" width="13.1796875" style="247" bestFit="1" customWidth="1"/>
    <col min="3" max="3" width="6.7265625" style="257" bestFit="1" customWidth="1"/>
    <col min="4" max="4" width="10" style="247" bestFit="1" customWidth="1"/>
    <col min="5" max="5" width="5.54296875" style="257" customWidth="1"/>
    <col min="6" max="6" width="11.453125" style="247"/>
    <col min="7" max="7" width="5.54296875" style="257" customWidth="1"/>
    <col min="8" max="8" width="11.453125" style="247"/>
    <col min="9" max="9" width="5.54296875" style="257" customWidth="1"/>
    <col min="10" max="10" width="11.453125" style="247"/>
    <col min="11" max="11" width="5.54296875" style="257" customWidth="1"/>
    <col min="12" max="16384" width="11.453125" style="247"/>
  </cols>
  <sheetData>
    <row r="2" spans="1:11" ht="15.5">
      <c r="A2" s="609" t="s">
        <v>726</v>
      </c>
      <c r="C2" s="247"/>
      <c r="E2" s="247"/>
      <c r="G2" s="247"/>
      <c r="I2" s="247"/>
      <c r="K2" s="247"/>
    </row>
    <row r="3" spans="1:11">
      <c r="A3" s="248"/>
    </row>
    <row r="4" spans="1:11">
      <c r="A4" s="258"/>
      <c r="B4" s="816">
        <v>2018</v>
      </c>
      <c r="C4" s="816"/>
      <c r="D4" s="816">
        <f>+B4+1</f>
        <v>2019</v>
      </c>
      <c r="E4" s="816"/>
      <c r="F4" s="816">
        <f>+D4+1</f>
        <v>2020</v>
      </c>
      <c r="G4" s="816"/>
      <c r="H4" s="816">
        <f>+F4+1</f>
        <v>2021</v>
      </c>
      <c r="I4" s="816"/>
      <c r="J4" s="816">
        <f t="shared" ref="J4" si="0">+H4+1</f>
        <v>2022</v>
      </c>
      <c r="K4" s="816"/>
    </row>
    <row r="5" spans="1:11" ht="15" thickBot="1">
      <c r="A5" s="249" t="s">
        <v>284</v>
      </c>
      <c r="B5" s="250" t="s">
        <v>285</v>
      </c>
      <c r="C5" s="259" t="s">
        <v>248</v>
      </c>
      <c r="D5" s="250" t="s">
        <v>285</v>
      </c>
      <c r="E5" s="259" t="s">
        <v>248</v>
      </c>
      <c r="F5" s="250" t="s">
        <v>285</v>
      </c>
      <c r="G5" s="259" t="s">
        <v>248</v>
      </c>
      <c r="H5" s="250" t="s">
        <v>285</v>
      </c>
      <c r="I5" s="259" t="s">
        <v>248</v>
      </c>
      <c r="J5" s="250" t="s">
        <v>285</v>
      </c>
      <c r="K5" s="259" t="s">
        <v>248</v>
      </c>
    </row>
    <row r="6" spans="1:11">
      <c r="A6" s="260" t="s">
        <v>250</v>
      </c>
      <c r="B6" s="261">
        <f>+B7+B8</f>
        <v>8.048</v>
      </c>
      <c r="C6" s="262">
        <f>+B6/$B$14</f>
        <v>9.3009280125738197E-2</v>
      </c>
      <c r="D6" s="261">
        <f>+D7+D8</f>
        <v>9.58</v>
      </c>
      <c r="E6" s="262">
        <f>+D6/D$14</f>
        <v>0.10297199978502714</v>
      </c>
      <c r="F6" s="261">
        <f>+F7+F8</f>
        <v>10.873999999999999</v>
      </c>
      <c r="G6" s="262">
        <f>+F6/F$14</f>
        <v>0.18483452601519609</v>
      </c>
      <c r="H6" s="261">
        <f>+H7+H8</f>
        <v>18.416</v>
      </c>
      <c r="I6" s="262">
        <f>+H6/H$14</f>
        <v>0.33005950247329552</v>
      </c>
      <c r="J6" s="261">
        <f>+J7+J8</f>
        <v>38.971000000000004</v>
      </c>
      <c r="K6" s="262">
        <f>+J6/J$14</f>
        <v>0.46455435158364028</v>
      </c>
    </row>
    <row r="7" spans="1:11">
      <c r="A7" s="253" t="s">
        <v>286</v>
      </c>
      <c r="B7" s="263">
        <v>5.9059999999999997</v>
      </c>
      <c r="C7" s="254"/>
      <c r="D7" s="263">
        <v>3.49</v>
      </c>
      <c r="E7" s="254"/>
      <c r="F7" s="263">
        <v>4.024</v>
      </c>
      <c r="G7" s="254"/>
      <c r="H7" s="263">
        <v>4.2160000000000002</v>
      </c>
      <c r="I7" s="254"/>
      <c r="J7" s="263">
        <v>8.93</v>
      </c>
      <c r="K7" s="254"/>
    </row>
    <row r="8" spans="1:11">
      <c r="A8" s="253" t="s">
        <v>287</v>
      </c>
      <c r="B8" s="264">
        <v>2.1419999999999999</v>
      </c>
      <c r="C8" s="265"/>
      <c r="D8" s="264">
        <v>6.09</v>
      </c>
      <c r="E8" s="265"/>
      <c r="F8" s="264">
        <v>6.85</v>
      </c>
      <c r="G8" s="265"/>
      <c r="H8" s="264">
        <v>14.2</v>
      </c>
      <c r="I8" s="265"/>
      <c r="J8" s="264">
        <v>30.041</v>
      </c>
      <c r="K8" s="265"/>
    </row>
    <row r="9" spans="1:11">
      <c r="A9" s="266" t="s">
        <v>288</v>
      </c>
      <c r="B9" s="267">
        <f>+B10+B11</f>
        <v>19.882999999999999</v>
      </c>
      <c r="C9" s="268">
        <f>+B9/$B$14</f>
        <v>0.22978423418738225</v>
      </c>
      <c r="D9" s="267">
        <f>+D10+D11</f>
        <v>16.173999999999999</v>
      </c>
      <c r="E9" s="268">
        <f>+D9/D$14</f>
        <v>0.17384855162035789</v>
      </c>
      <c r="F9" s="267">
        <f>+F10+F11</f>
        <v>26.509999999999998</v>
      </c>
      <c r="G9" s="268">
        <f>+F9/F$14</f>
        <v>0.45061277217793344</v>
      </c>
      <c r="H9" s="267">
        <f>+H10+H11</f>
        <v>26.450000000000003</v>
      </c>
      <c r="I9" s="268">
        <f>+H9/H$14</f>
        <v>0.47404831887590509</v>
      </c>
      <c r="J9" s="267">
        <f>+J10+J11</f>
        <v>19.853999999999999</v>
      </c>
      <c r="K9" s="268">
        <f>+J9/J$14</f>
        <v>0.23666988520545001</v>
      </c>
    </row>
    <row r="10" spans="1:11">
      <c r="A10" s="269" t="s">
        <v>289</v>
      </c>
      <c r="B10" s="270">
        <v>16.303999999999998</v>
      </c>
      <c r="C10" s="271"/>
      <c r="D10" s="270">
        <v>14.829000000000001</v>
      </c>
      <c r="E10" s="271"/>
      <c r="F10" s="270">
        <v>25.09</v>
      </c>
      <c r="G10" s="271"/>
      <c r="H10" s="270">
        <v>23.67</v>
      </c>
      <c r="I10" s="271"/>
      <c r="J10" s="270">
        <v>15.212999999999999</v>
      </c>
      <c r="K10" s="271"/>
    </row>
    <row r="11" spans="1:11">
      <c r="A11" s="269" t="s">
        <v>290</v>
      </c>
      <c r="B11" s="270">
        <v>3.5790000000000002</v>
      </c>
      <c r="C11" s="271"/>
      <c r="D11" s="272">
        <v>1.345</v>
      </c>
      <c r="E11" s="271"/>
      <c r="F11" s="270">
        <v>1.42</v>
      </c>
      <c r="G11" s="271"/>
      <c r="H11" s="270">
        <v>2.78</v>
      </c>
      <c r="I11" s="271"/>
      <c r="J11" s="270">
        <v>4.641</v>
      </c>
      <c r="K11" s="271"/>
    </row>
    <row r="12" spans="1:11">
      <c r="A12" s="253" t="s">
        <v>291</v>
      </c>
      <c r="B12" s="273">
        <v>13</v>
      </c>
      <c r="C12" s="262">
        <f>+B12/$B$14</f>
        <v>0.15023864831443795</v>
      </c>
      <c r="D12" s="273">
        <v>8</v>
      </c>
      <c r="E12" s="262">
        <f>+D12/D$14</f>
        <v>8.5989143870586329E-2</v>
      </c>
      <c r="F12" s="273">
        <v>9</v>
      </c>
      <c r="G12" s="262">
        <f>+F12/F$14</f>
        <v>0.15298057146742366</v>
      </c>
      <c r="H12" s="273">
        <v>0</v>
      </c>
      <c r="I12" s="262">
        <f>+H12/H$14</f>
        <v>0</v>
      </c>
      <c r="J12" s="273">
        <v>0</v>
      </c>
      <c r="K12" s="262">
        <f>+J12/J$14</f>
        <v>0</v>
      </c>
    </row>
    <row r="13" spans="1:11">
      <c r="A13" s="269" t="s">
        <v>247</v>
      </c>
      <c r="B13" s="270">
        <v>45.597999999999999</v>
      </c>
      <c r="C13" s="271">
        <f>+B13/B14</f>
        <v>0.52696783737244157</v>
      </c>
      <c r="D13" s="270">
        <v>59.280999999999999</v>
      </c>
      <c r="E13" s="271">
        <f>+D13/D14</f>
        <v>0.63719030472402849</v>
      </c>
      <c r="F13" s="270">
        <v>12.446999999999999</v>
      </c>
      <c r="G13" s="271">
        <f>+F13/F$14</f>
        <v>0.21157213033944691</v>
      </c>
      <c r="H13" s="270">
        <v>10.93</v>
      </c>
      <c r="I13" s="271">
        <f>+H13/H$14</f>
        <v>0.1958921786507993</v>
      </c>
      <c r="J13" s="270">
        <f>24.231+0.248+0.58+0.005</f>
        <v>25.064</v>
      </c>
      <c r="K13" s="271">
        <f>+J13/J$14</f>
        <v>0.2987757632109096</v>
      </c>
    </row>
    <row r="14" spans="1:11">
      <c r="A14" s="258" t="s">
        <v>292</v>
      </c>
      <c r="B14" s="274">
        <f>+B13+B12+B9+B6</f>
        <v>86.528999999999996</v>
      </c>
      <c r="C14" s="275">
        <f>SUM(C6:C13)</f>
        <v>1</v>
      </c>
      <c r="D14" s="274">
        <f>+D13+D12+D9+D6</f>
        <v>93.035000000000011</v>
      </c>
      <c r="E14" s="275">
        <f>SUM(E6:E13)</f>
        <v>0.99999999999999978</v>
      </c>
      <c r="F14" s="274">
        <f>+F13+F12+F9+F6</f>
        <v>58.830999999999989</v>
      </c>
      <c r="G14" s="275">
        <f>SUM(G6:G13)</f>
        <v>1</v>
      </c>
      <c r="H14" s="274">
        <f>+H13+H12+H9+H6</f>
        <v>55.796000000000006</v>
      </c>
      <c r="I14" s="275">
        <f>SUM(I6:I13)</f>
        <v>0.99999999999999989</v>
      </c>
      <c r="J14" s="274">
        <f>+J13+J12+J9+J6</f>
        <v>83.88900000000001</v>
      </c>
      <c r="K14" s="275">
        <f>SUM(K6:K13)</f>
        <v>0.99999999999999989</v>
      </c>
    </row>
    <row r="15" spans="1:11">
      <c r="B15" s="276"/>
      <c r="D15" s="276"/>
    </row>
    <row r="17" spans="1:11" ht="15" thickBot="1">
      <c r="A17" s="817" t="s">
        <v>763</v>
      </c>
      <c r="B17" s="819" t="s">
        <v>764</v>
      </c>
      <c r="C17" s="819"/>
      <c r="D17" s="819" t="s">
        <v>765</v>
      </c>
      <c r="E17" s="819"/>
    </row>
    <row r="18" spans="1:11" ht="14.25" customHeight="1" thickTop="1" thickBot="1">
      <c r="A18" s="818"/>
      <c r="B18" s="698" t="s">
        <v>57</v>
      </c>
      <c r="C18" s="698">
        <v>2022</v>
      </c>
      <c r="D18" s="698" t="s">
        <v>57</v>
      </c>
      <c r="E18" s="698">
        <v>2022</v>
      </c>
      <c r="F18" s="270"/>
      <c r="G18" s="271"/>
      <c r="H18" s="270"/>
      <c r="I18" s="271"/>
      <c r="J18" s="270"/>
      <c r="K18" s="271"/>
    </row>
    <row r="19" spans="1:11" ht="15" thickTop="1">
      <c r="A19" s="395" t="s">
        <v>527</v>
      </c>
      <c r="B19" s="270"/>
      <c r="C19" s="270"/>
      <c r="D19" s="272"/>
      <c r="E19" s="272"/>
    </row>
    <row r="20" spans="1:11">
      <c r="A20" s="388" t="s">
        <v>525</v>
      </c>
      <c r="B20" s="699" t="s">
        <v>524</v>
      </c>
      <c r="C20" s="700">
        <v>118.04</v>
      </c>
      <c r="D20" s="699" t="s">
        <v>766</v>
      </c>
      <c r="E20" s="700">
        <v>11.348801</v>
      </c>
    </row>
    <row r="21" spans="1:11" ht="24">
      <c r="A21" s="388" t="s">
        <v>526</v>
      </c>
      <c r="B21" s="699" t="s">
        <v>524</v>
      </c>
      <c r="C21" s="700">
        <v>115.52</v>
      </c>
      <c r="D21" s="699" t="s">
        <v>767</v>
      </c>
      <c r="E21" s="700">
        <v>8.2927999999999997</v>
      </c>
    </row>
    <row r="22" spans="1:11">
      <c r="A22" s="395" t="s">
        <v>287</v>
      </c>
      <c r="B22" s="270"/>
      <c r="C22" s="396"/>
      <c r="D22" s="272"/>
      <c r="E22" s="272"/>
    </row>
    <row r="23" spans="1:11" ht="24">
      <c r="A23" s="388" t="s">
        <v>525</v>
      </c>
      <c r="B23" s="699" t="s">
        <v>62</v>
      </c>
      <c r="C23" s="700" t="s">
        <v>768</v>
      </c>
      <c r="D23" s="699" t="s">
        <v>767</v>
      </c>
      <c r="E23" s="700" t="s">
        <v>768</v>
      </c>
    </row>
    <row r="24" spans="1:11" ht="24">
      <c r="A24" s="388" t="s">
        <v>526</v>
      </c>
      <c r="B24" s="699" t="s">
        <v>62</v>
      </c>
      <c r="C24" s="700">
        <v>1536.23</v>
      </c>
      <c r="D24" s="699" t="s">
        <v>767</v>
      </c>
      <c r="E24" s="700">
        <v>31.46</v>
      </c>
    </row>
    <row r="25" spans="1:11" ht="15.5">
      <c r="A25" s="637" t="s">
        <v>774</v>
      </c>
      <c r="B25" s="708"/>
      <c r="C25" s="708"/>
      <c r="D25" s="707"/>
      <c r="E25" s="707"/>
    </row>
    <row r="26" spans="1:11">
      <c r="A26" s="388" t="s">
        <v>775</v>
      </c>
      <c r="B26" s="391"/>
      <c r="C26" s="391" t="s">
        <v>768</v>
      </c>
      <c r="D26" s="391"/>
      <c r="E26" s="699" t="s">
        <v>768</v>
      </c>
    </row>
  </sheetData>
  <mergeCells count="8">
    <mergeCell ref="F4:G4"/>
    <mergeCell ref="H4:I4"/>
    <mergeCell ref="J4:K4"/>
    <mergeCell ref="A17:A18"/>
    <mergeCell ref="B17:C17"/>
    <mergeCell ref="D17:E17"/>
    <mergeCell ref="B4:C4"/>
    <mergeCell ref="D4: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91DD-CE7A-4752-BF91-F8689A771C72}">
  <sheetPr codeName="Feuil12">
    <tabColor theme="4"/>
  </sheetPr>
  <dimension ref="A3:J9"/>
  <sheetViews>
    <sheetView zoomScaleNormal="100" workbookViewId="0">
      <selection activeCell="L18" sqref="L18"/>
    </sheetView>
  </sheetViews>
  <sheetFormatPr baseColWidth="10" defaultColWidth="11.453125" defaultRowHeight="14.5"/>
  <cols>
    <col min="1" max="1" width="42" style="279" bestFit="1" customWidth="1"/>
    <col min="2" max="2" width="9.453125" style="277" customWidth="1"/>
    <col min="3" max="3" width="9.453125" style="279" customWidth="1"/>
    <col min="4" max="4" width="9.453125" style="277" customWidth="1"/>
    <col min="5" max="5" width="9.453125" style="279" customWidth="1"/>
    <col min="6" max="6" width="9.453125" style="277" customWidth="1"/>
    <col min="7" max="7" width="11.453125" style="279"/>
    <col min="8" max="8" width="5.54296875" style="277" customWidth="1"/>
    <col min="9" max="9" width="11.453125" style="279"/>
    <col min="10" max="10" width="5.54296875" style="277" customWidth="1"/>
    <col min="11" max="16384" width="11.453125" style="279"/>
  </cols>
  <sheetData>
    <row r="3" spans="1:7" ht="15.5">
      <c r="A3" s="609" t="s">
        <v>727</v>
      </c>
      <c r="B3" s="279"/>
      <c r="D3" s="279"/>
      <c r="F3" s="279"/>
    </row>
    <row r="4" spans="1:7">
      <c r="A4" s="278"/>
      <c r="B4" s="279"/>
      <c r="D4" s="279"/>
      <c r="F4" s="279"/>
    </row>
    <row r="5" spans="1:7" ht="15" thickBot="1">
      <c r="A5" s="280" t="s">
        <v>293</v>
      </c>
      <c r="B5" s="281">
        <v>2017</v>
      </c>
      <c r="C5" s="281">
        <v>2018</v>
      </c>
      <c r="D5" s="281">
        <v>2019</v>
      </c>
      <c r="E5" s="281">
        <v>2020</v>
      </c>
      <c r="F5" s="282">
        <v>2021</v>
      </c>
      <c r="G5" s="282">
        <v>2022</v>
      </c>
    </row>
    <row r="6" spans="1:7" ht="15" thickTop="1">
      <c r="A6" s="283" t="s">
        <v>294</v>
      </c>
      <c r="B6" s="284">
        <v>47.64</v>
      </c>
      <c r="C6" s="284">
        <v>13.6</v>
      </c>
      <c r="D6" s="284">
        <v>27.55</v>
      </c>
      <c r="E6" s="284">
        <v>61.74</v>
      </c>
      <c r="F6" s="285">
        <v>92.77</v>
      </c>
      <c r="G6" s="285">
        <v>118.04</v>
      </c>
    </row>
    <row r="7" spans="1:7">
      <c r="A7" s="286" t="s">
        <v>295</v>
      </c>
      <c r="B7" s="287" t="s">
        <v>296</v>
      </c>
      <c r="C7" s="288">
        <f>+(C6-B6)/B6</f>
        <v>-0.71452560873215787</v>
      </c>
      <c r="D7" s="288">
        <f>+(D6-C6)/C6</f>
        <v>1.0257352941176472</v>
      </c>
      <c r="E7" s="288">
        <f>+(E6-D6)/D6</f>
        <v>1.2410163339382938</v>
      </c>
      <c r="F7" s="288">
        <f>+(F6-E6)/E6</f>
        <v>0.50259151279559433</v>
      </c>
      <c r="G7" s="288">
        <f>+(G6-F6)/F6</f>
        <v>0.27239409291796929</v>
      </c>
    </row>
    <row r="8" spans="1:7">
      <c r="A8" s="283" t="s">
        <v>297</v>
      </c>
      <c r="B8" s="284">
        <v>59.89</v>
      </c>
      <c r="C8" s="284">
        <v>91.81</v>
      </c>
      <c r="D8" s="284">
        <v>26.23</v>
      </c>
      <c r="E8" s="284">
        <v>50.44</v>
      </c>
      <c r="F8" s="285">
        <v>103.65</v>
      </c>
      <c r="G8" s="285">
        <v>115.52</v>
      </c>
    </row>
    <row r="9" spans="1:7">
      <c r="A9" s="286" t="s">
        <v>295</v>
      </c>
      <c r="B9" s="287" t="s">
        <v>296</v>
      </c>
      <c r="C9" s="288">
        <f>+(C8-B8)/B8</f>
        <v>0.5329771247286692</v>
      </c>
      <c r="D9" s="288">
        <f>+(D8-C8)/C8</f>
        <v>-0.71430127437098356</v>
      </c>
      <c r="E9" s="288">
        <f>+(E8-D8)/D8</f>
        <v>0.92298894395730069</v>
      </c>
      <c r="F9" s="288">
        <f>+(F8-E8)/E8</f>
        <v>1.0549167327517845</v>
      </c>
      <c r="G9" s="288">
        <f>+(G8-F8)/F8</f>
        <v>0.11452001929570661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0418-F266-4D9F-94E6-C801162D0A80}">
  <sheetPr codeName="Feuil13">
    <tabColor theme="4"/>
  </sheetPr>
  <dimension ref="A1:J8"/>
  <sheetViews>
    <sheetView zoomScaleNormal="100" workbookViewId="0">
      <selection activeCell="K33" sqref="K33"/>
    </sheetView>
  </sheetViews>
  <sheetFormatPr baseColWidth="10" defaultColWidth="11.453125" defaultRowHeight="14.5"/>
  <cols>
    <col min="1" max="1" width="42" style="279" bestFit="1" customWidth="1"/>
    <col min="2" max="2" width="9.453125" style="277" customWidth="1"/>
    <col min="3" max="3" width="9.453125" style="279" customWidth="1"/>
    <col min="4" max="4" width="9.453125" style="277" customWidth="1"/>
    <col min="5" max="5" width="9.453125" style="279" customWidth="1"/>
    <col min="6" max="6" width="9.453125" style="277" customWidth="1"/>
    <col min="7" max="7" width="11.453125" style="279"/>
    <col min="8" max="8" width="5.54296875" style="277" customWidth="1"/>
    <col min="9" max="9" width="11.453125" style="279"/>
    <col min="10" max="10" width="5.54296875" style="277" customWidth="1"/>
    <col min="11" max="16384" width="11.453125" style="279"/>
  </cols>
  <sheetData>
    <row r="1" spans="1:7">
      <c r="B1" s="279"/>
      <c r="D1" s="279"/>
      <c r="F1" s="279"/>
    </row>
    <row r="2" spans="1:7">
      <c r="A2" s="820" t="s">
        <v>298</v>
      </c>
      <c r="B2" s="820"/>
      <c r="C2" s="820"/>
      <c r="D2" s="820"/>
      <c r="E2" s="820"/>
      <c r="F2" s="820"/>
      <c r="G2" s="820"/>
    </row>
    <row r="3" spans="1:7">
      <c r="A3" s="278"/>
      <c r="B3" s="279"/>
      <c r="D3" s="279"/>
      <c r="F3" s="279"/>
    </row>
    <row r="4" spans="1:7" ht="15" thickBot="1">
      <c r="A4" s="280" t="s">
        <v>293</v>
      </c>
      <c r="B4" s="281">
        <v>2017</v>
      </c>
      <c r="C4" s="281">
        <v>2018</v>
      </c>
      <c r="D4" s="281">
        <v>2019</v>
      </c>
      <c r="E4" s="281">
        <v>2020</v>
      </c>
      <c r="F4" s="282">
        <v>2021</v>
      </c>
      <c r="G4" s="282">
        <v>2022</v>
      </c>
    </row>
    <row r="5" spans="1:7" ht="15" thickTop="1">
      <c r="A5" s="283" t="s">
        <v>299</v>
      </c>
      <c r="B5" s="289">
        <v>126.1</v>
      </c>
      <c r="C5" s="289">
        <v>141.80000000000001</v>
      </c>
      <c r="D5" s="289">
        <v>358.9</v>
      </c>
      <c r="E5" s="290">
        <v>401.1</v>
      </c>
      <c r="F5" s="290">
        <v>857</v>
      </c>
      <c r="G5" s="290">
        <v>1506.0840000000001</v>
      </c>
    </row>
    <row r="6" spans="1:7">
      <c r="A6" s="286" t="s">
        <v>295</v>
      </c>
      <c r="B6" s="288" t="s">
        <v>296</v>
      </c>
      <c r="C6" s="288">
        <f>+(C5-B5)/B5</f>
        <v>0.12450436161776382</v>
      </c>
      <c r="D6" s="288">
        <f>+(D5-C5)/C5</f>
        <v>1.5310296191819461</v>
      </c>
      <c r="E6" s="288">
        <f>+(E5-D5)/D5</f>
        <v>0.11758149902479813</v>
      </c>
      <c r="F6" s="288">
        <f>+(F5-E5)/E5</f>
        <v>1.1366242832211417</v>
      </c>
      <c r="G6" s="288">
        <f>+(G5-F5)/F5</f>
        <v>0.75739089848308061</v>
      </c>
    </row>
    <row r="7" spans="1:7">
      <c r="A7" s="283" t="s">
        <v>300</v>
      </c>
      <c r="B7" s="289">
        <v>108.04</v>
      </c>
      <c r="C7" s="289">
        <v>141.80000000000001</v>
      </c>
      <c r="D7" s="289">
        <v>358.9</v>
      </c>
      <c r="E7" s="290">
        <v>401.1</v>
      </c>
      <c r="F7" s="290">
        <v>840.4</v>
      </c>
      <c r="G7" s="290">
        <v>1536.2339999999999</v>
      </c>
    </row>
    <row r="8" spans="1:7">
      <c r="A8" s="286" t="s">
        <v>295</v>
      </c>
      <c r="B8" s="288" t="s">
        <v>296</v>
      </c>
      <c r="C8" s="288">
        <f>+(C7-B7)/B7</f>
        <v>0.31247686042206591</v>
      </c>
      <c r="D8" s="288">
        <f>+(D7-C7)/C7</f>
        <v>1.5310296191819461</v>
      </c>
      <c r="E8" s="288">
        <f>+(E7-D7)/D7</f>
        <v>0.11758149902479813</v>
      </c>
      <c r="F8" s="288">
        <f>+(F7-E7)/E7</f>
        <v>1.0952380952380951</v>
      </c>
      <c r="G8" s="288">
        <f>+(G7-F7)/F7</f>
        <v>0.82797953355544973</v>
      </c>
    </row>
  </sheetData>
  <mergeCells count="1">
    <mergeCell ref="A2:G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C8223-37AE-43A1-B49C-0F46C11B4DCD}">
  <dimension ref="A2:D13"/>
  <sheetViews>
    <sheetView workbookViewId="0">
      <selection activeCell="K12" sqref="K12"/>
    </sheetView>
  </sheetViews>
  <sheetFormatPr baseColWidth="10" defaultRowHeight="12.5"/>
  <cols>
    <col min="2" max="2" width="15.1796875" customWidth="1"/>
    <col min="3" max="3" width="12.453125" customWidth="1"/>
    <col min="4" max="4" width="36.81640625" customWidth="1"/>
  </cols>
  <sheetData>
    <row r="2" spans="1:4">
      <c r="A2" t="s">
        <v>747</v>
      </c>
    </row>
    <row r="4" spans="1:4" ht="13" thickBot="1">
      <c r="A4" s="341" t="s">
        <v>6</v>
      </c>
      <c r="B4" s="341" t="s">
        <v>479</v>
      </c>
      <c r="C4" s="341" t="s">
        <v>78</v>
      </c>
      <c r="D4" s="341" t="s">
        <v>498</v>
      </c>
    </row>
    <row r="5" spans="1:4" ht="72.5" thickTop="1">
      <c r="A5" s="821">
        <v>1</v>
      </c>
      <c r="B5" s="823" t="s">
        <v>530</v>
      </c>
      <c r="C5" s="823" t="s">
        <v>79</v>
      </c>
      <c r="D5" s="545" t="s">
        <v>741</v>
      </c>
    </row>
    <row r="6" spans="1:4" ht="48">
      <c r="A6" s="822"/>
      <c r="B6" s="824"/>
      <c r="C6" s="824"/>
      <c r="D6" s="545" t="s">
        <v>742</v>
      </c>
    </row>
    <row r="7" spans="1:4" ht="48">
      <c r="A7" s="825">
        <v>2</v>
      </c>
      <c r="B7" s="826" t="s">
        <v>132</v>
      </c>
      <c r="C7" s="826" t="s">
        <v>79</v>
      </c>
      <c r="D7" s="546" t="s">
        <v>743</v>
      </c>
    </row>
    <row r="8" spans="1:4" ht="48">
      <c r="A8" s="825"/>
      <c r="B8" s="826"/>
      <c r="C8" s="826"/>
      <c r="D8" s="546" t="s">
        <v>742</v>
      </c>
    </row>
    <row r="9" spans="1:4" ht="72">
      <c r="A9" s="822">
        <v>3</v>
      </c>
      <c r="B9" s="827" t="s">
        <v>136</v>
      </c>
      <c r="C9" s="827" t="s">
        <v>79</v>
      </c>
      <c r="D9" s="654" t="s">
        <v>744</v>
      </c>
    </row>
    <row r="10" spans="1:4" ht="48">
      <c r="A10" s="822"/>
      <c r="B10" s="827"/>
      <c r="C10" s="827"/>
      <c r="D10" s="654" t="s">
        <v>742</v>
      </c>
    </row>
    <row r="11" spans="1:4" ht="60">
      <c r="A11" s="391">
        <v>4</v>
      </c>
      <c r="B11" s="546" t="s">
        <v>745</v>
      </c>
      <c r="C11" s="546" t="s">
        <v>145</v>
      </c>
      <c r="D11" s="546" t="s">
        <v>531</v>
      </c>
    </row>
    <row r="12" spans="1:4" ht="72">
      <c r="A12" s="822">
        <v>5</v>
      </c>
      <c r="B12" s="827" t="s">
        <v>153</v>
      </c>
      <c r="C12" s="827" t="s">
        <v>145</v>
      </c>
      <c r="D12" s="654" t="s">
        <v>746</v>
      </c>
    </row>
    <row r="13" spans="1:4" ht="48">
      <c r="A13" s="822"/>
      <c r="B13" s="827"/>
      <c r="C13" s="827"/>
      <c r="D13" s="654" t="s">
        <v>742</v>
      </c>
    </row>
  </sheetData>
  <mergeCells count="12">
    <mergeCell ref="A9:A10"/>
    <mergeCell ref="B9:B10"/>
    <mergeCell ref="C9:C10"/>
    <mergeCell ref="A12:A13"/>
    <mergeCell ref="B12:B13"/>
    <mergeCell ref="C12:C13"/>
    <mergeCell ref="A5:A6"/>
    <mergeCell ref="B5:B6"/>
    <mergeCell ref="C5:C6"/>
    <mergeCell ref="A7:A8"/>
    <mergeCell ref="B7:B8"/>
    <mergeCell ref="C7:C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D8A00-48B9-4C6C-9EE6-1145E00FCCAF}">
  <sheetPr codeName="Feuil42">
    <tabColor theme="4"/>
  </sheetPr>
  <dimension ref="B1:D13"/>
  <sheetViews>
    <sheetView workbookViewId="0">
      <selection activeCell="N11" sqref="N11"/>
    </sheetView>
  </sheetViews>
  <sheetFormatPr baseColWidth="10" defaultColWidth="11.54296875" defaultRowHeight="14.5"/>
  <cols>
    <col min="1" max="2" width="11.54296875" style="291"/>
    <col min="3" max="3" width="23.26953125" style="291" customWidth="1"/>
    <col min="4" max="4" width="29.7265625" style="291" customWidth="1"/>
    <col min="5" max="16384" width="11.54296875" style="291"/>
  </cols>
  <sheetData>
    <row r="1" spans="2:4" ht="27" customHeight="1">
      <c r="B1" s="828" t="s">
        <v>301</v>
      </c>
      <c r="C1" s="828"/>
      <c r="D1" s="828"/>
    </row>
    <row r="3" spans="2:4" ht="15" thickBot="1">
      <c r="B3" s="292" t="s">
        <v>6</v>
      </c>
      <c r="C3" s="293" t="s">
        <v>302</v>
      </c>
      <c r="D3" s="293" t="s">
        <v>303</v>
      </c>
    </row>
    <row r="4" spans="2:4" ht="36.5" thickTop="1">
      <c r="B4" s="829">
        <v>1</v>
      </c>
      <c r="C4" s="831" t="s">
        <v>304</v>
      </c>
      <c r="D4" s="294" t="s">
        <v>305</v>
      </c>
    </row>
    <row r="5" spans="2:4" ht="36">
      <c r="B5" s="830"/>
      <c r="C5" s="832"/>
      <c r="D5" s="294" t="s">
        <v>306</v>
      </c>
    </row>
    <row r="6" spans="2:4" ht="36">
      <c r="B6" s="830"/>
      <c r="C6" s="832"/>
      <c r="D6" s="294" t="s">
        <v>307</v>
      </c>
    </row>
    <row r="7" spans="2:4" ht="84">
      <c r="B7" s="296" t="s">
        <v>308</v>
      </c>
      <c r="C7" s="297" t="s">
        <v>309</v>
      </c>
      <c r="D7" s="297" t="s">
        <v>310</v>
      </c>
    </row>
    <row r="8" spans="2:4" ht="60">
      <c r="B8" s="295">
        <v>3</v>
      </c>
      <c r="C8" s="294" t="s">
        <v>311</v>
      </c>
      <c r="D8" s="294" t="s">
        <v>312</v>
      </c>
    </row>
    <row r="9" spans="2:4" ht="60">
      <c r="B9" s="296">
        <v>4</v>
      </c>
      <c r="C9" s="297" t="s">
        <v>313</v>
      </c>
      <c r="D9" s="297" t="s">
        <v>314</v>
      </c>
    </row>
    <row r="10" spans="2:4" ht="60">
      <c r="B10" s="295">
        <v>5</v>
      </c>
      <c r="C10" s="294" t="s">
        <v>315</v>
      </c>
      <c r="D10" s="294" t="s">
        <v>316</v>
      </c>
    </row>
    <row r="11" spans="2:4" ht="60">
      <c r="B11" s="296">
        <v>6</v>
      </c>
      <c r="C11" s="297" t="s">
        <v>317</v>
      </c>
      <c r="D11" s="297" t="s">
        <v>318</v>
      </c>
    </row>
    <row r="12" spans="2:4" ht="60">
      <c r="B12" s="295">
        <v>7</v>
      </c>
      <c r="C12" s="294" t="s">
        <v>319</v>
      </c>
      <c r="D12" s="294" t="s">
        <v>320</v>
      </c>
    </row>
    <row r="13" spans="2:4" ht="36">
      <c r="B13" s="296">
        <v>9</v>
      </c>
      <c r="C13" s="298" t="s">
        <v>321</v>
      </c>
      <c r="D13" s="299" t="s">
        <v>322</v>
      </c>
    </row>
  </sheetData>
  <mergeCells count="3">
    <mergeCell ref="B1:D1"/>
    <mergeCell ref="B4:B6"/>
    <mergeCell ref="C4:C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86956-BCF4-4D75-8133-B2D9933738E8}">
  <sheetPr codeName="Feuil45"/>
  <dimension ref="A1:L77"/>
  <sheetViews>
    <sheetView showGridLines="0" zoomScaleNormal="100" workbookViewId="0">
      <selection activeCell="H15" sqref="H15"/>
    </sheetView>
  </sheetViews>
  <sheetFormatPr baseColWidth="10" defaultColWidth="11.54296875" defaultRowHeight="12"/>
  <cols>
    <col min="1" max="1" width="3.7265625" style="17" customWidth="1"/>
    <col min="2" max="2" width="56" style="30" customWidth="1"/>
    <col min="3" max="3" width="15.54296875" style="21" customWidth="1"/>
    <col min="4" max="4" width="14.26953125" style="17" bestFit="1" customWidth="1"/>
    <col min="5" max="5" width="15.26953125" style="21" customWidth="1"/>
    <col min="6" max="6" width="15.26953125" style="21" bestFit="1" customWidth="1"/>
    <col min="7" max="7" width="15.54296875" style="21" bestFit="1" customWidth="1"/>
    <col min="8" max="8" width="15.26953125" style="21" bestFit="1" customWidth="1"/>
    <col min="9" max="9" width="15.54296875" style="21" bestFit="1" customWidth="1"/>
    <col min="10" max="16384" width="11.54296875" style="21"/>
  </cols>
  <sheetData>
    <row r="1" spans="1:10">
      <c r="A1" s="787" t="s">
        <v>6</v>
      </c>
      <c r="B1" s="792" t="s">
        <v>27</v>
      </c>
      <c r="C1" s="793" t="s">
        <v>71</v>
      </c>
      <c r="D1" s="793"/>
      <c r="E1" s="793"/>
      <c r="F1" s="793" t="s">
        <v>30</v>
      </c>
      <c r="G1" s="793"/>
      <c r="H1" s="793"/>
      <c r="I1" s="794" t="s">
        <v>31</v>
      </c>
    </row>
    <row r="2" spans="1:10">
      <c r="A2" s="787"/>
      <c r="B2" s="792"/>
      <c r="C2" s="70" t="s">
        <v>28</v>
      </c>
      <c r="D2" s="70" t="s">
        <v>29</v>
      </c>
      <c r="E2" s="70" t="s">
        <v>3</v>
      </c>
      <c r="F2" s="70" t="s">
        <v>28</v>
      </c>
      <c r="G2" s="70" t="s">
        <v>29</v>
      </c>
      <c r="H2" s="70" t="s">
        <v>3</v>
      </c>
      <c r="I2" s="794"/>
    </row>
    <row r="3" spans="1:10">
      <c r="A3" s="78" t="s">
        <v>94</v>
      </c>
      <c r="B3" s="77"/>
      <c r="C3" s="164">
        <f>+'1'!E5+'2'!E5+'3'!E5+'4'!E5+'5'!E5+'6'!E5+'7'!E5+'8'!E5+'9'!E5+'10'!E5+'11'!E5+'12'!E5+'13'!E5+'14'!E5+'15'!E5+'16'!E5+'17'!E5+'18'!E5+'19'!E5+'20'!E5+'21'!E5+'22'!E5+'23'!E5+'24'!E5+'25'!E5+'26'!E5+'27'!E5</f>
        <v>0</v>
      </c>
      <c r="D3" s="164">
        <f>+'1'!F5+'2'!F5+'3'!F5+'4'!F5+'5'!F5+'6'!F5+'7'!F5+'8'!F5+'9'!F5+'10'!F5+'11'!F5+'12'!F5+'13'!F5+'14'!F5+'15'!F5+'16'!F5+'17'!F5+'18'!F5+'19'!F5+'20'!F5+'21'!F5+'22'!F5+'23'!F5+'24'!F5+'25'!F5+'26'!F5+'27'!F5</f>
        <v>0</v>
      </c>
      <c r="E3" s="164">
        <f>+'1'!G5+'2'!G5+'3'!G5+'4'!G5+'5'!G5+'6'!G5+'7'!G5+'8'!G5+'9'!G5+'10'!G5+'11'!G5+'12'!G5+'13'!G5+'14'!G5+'15'!G5+'16'!G5+'17'!G5+'18'!G5+'19'!G5+'20'!G5+'21'!G5+'22'!G5+'23'!G5+'24'!G5+'25'!G5+'26'!G5+'27'!G5</f>
        <v>0</v>
      </c>
      <c r="F3" s="164">
        <f>+'1'!I5+'2'!I5+'3'!I5+'4'!I5+'5'!I5+'6'!I5+'7'!I5+'8'!I5+'9'!I5+'10'!I5+'11'!I5+'12'!I5+'13'!I5+'14'!I5+'15'!I5+'16'!I5+'17'!I5+'18'!I5+'19'!I5+'20'!I5+'21'!I5+'22'!I5+'23'!I5+'24'!I5+'25'!I5+'26'!I5+'27'!I5</f>
        <v>0</v>
      </c>
      <c r="G3" s="164">
        <f ca="1">+'1'!J5+'2'!J5+'3'!J5+'4'!J5+'5'!J5+'6'!J5+'7'!J5+'8'!J5+'9'!J5+'10'!J5+'11'!J5+'12'!J5+'13'!J5+'14'!J5+'15'!J5+'16'!J5+'17'!J5+'18'!J5+'19'!J5+'20'!J5+'21'!J5+'22'!J5+'23'!J5+'24'!J5+'25'!J5+'26'!J5+'27'!J5</f>
        <v>0</v>
      </c>
      <c r="H3" s="164">
        <f ca="1">+'1'!K5+'2'!K5+'3'!K5+'4'!K5+'5'!K5+'6'!K5+'7'!K5+'8'!K5+'9'!K5+'10'!K5+'11'!K5+'12'!K5+'13'!K5+'14'!K5+'15'!K5+'16'!K5+'17'!K5+'18'!K5+'19'!K5+'20'!K5+'21'!K5+'22'!K5+'23'!K5+'24'!K5+'25'!K5+'26'!K5+'27'!K5</f>
        <v>0</v>
      </c>
      <c r="I3" s="164">
        <f ca="1">+'1'!M5+'2'!M5+'3'!M5+'4'!M5+'5'!M5+'6'!M5+'7'!M5+'8'!M5+'9'!M5+'10'!M5+'11'!M5+'12'!M5+'13'!M5+'14'!M5+'15'!M5+'16'!M5+'17'!M5+'18'!M5+'19'!M5+'20'!M5+'21'!M5+'22'!M5+'23'!M5+'24'!M5+'25'!M5+'26'!M5+'27'!M5</f>
        <v>0</v>
      </c>
    </row>
    <row r="4" spans="1:10">
      <c r="A4" s="67"/>
      <c r="B4" s="69"/>
      <c r="C4" s="165">
        <f>+'1'!E6+'2'!E6+'3'!E6+'4'!E6+'5'!E6+'6'!E6+'7'!E6+'8'!E6+'9'!E6+'10'!E6+'11'!E6+'12'!E6+'13'!E6+'14'!E6+'15'!E6+'16'!E6+'17'!E6+'18'!E6+'19'!E6+'20'!E6+'21'!E6+'22'!E6+'23'!E6+'24'!E6+'25'!E6+'26'!E6+'27'!E6</f>
        <v>0</v>
      </c>
      <c r="D4" s="165">
        <f>+'1'!F6+'2'!F6+'3'!F6+'4'!F6+'5'!F6+'6'!F6+'7'!F6+'8'!F6+'9'!F6+'10'!F6+'11'!F6+'12'!F6+'13'!F6+'14'!F6+'15'!F6+'16'!F6+'17'!F6+'18'!F6+'19'!F6+'20'!F6+'21'!F6+'22'!F6+'23'!F6+'24'!F6+'25'!F6+'26'!F6+'27'!F6</f>
        <v>0</v>
      </c>
      <c r="E4" s="165">
        <f>+'1'!G6+'2'!G6+'3'!G6+'4'!G6+'5'!G6+'6'!G6+'7'!G6+'8'!G6+'9'!G6+'10'!G6+'11'!G6+'12'!G6+'13'!G6+'14'!G6+'15'!G6+'16'!G6+'17'!G6+'18'!G6+'19'!G6+'20'!G6+'21'!G6+'22'!G6+'23'!G6+'24'!G6+'25'!G6+'26'!G6+'27'!G6</f>
        <v>0</v>
      </c>
      <c r="F4" s="165">
        <f>+'1'!I6+'2'!I6+'3'!I6+'4'!I6+'5'!I6+'6'!I6+'7'!I6+'8'!I6+'9'!I6+'10'!I6+'11'!I6+'12'!I6+'13'!I6+'14'!I6+'15'!I6+'16'!I6+'17'!I6+'18'!I6+'19'!I6+'20'!I6+'21'!I6+'22'!I6+'23'!I6+'24'!I6+'25'!I6+'26'!I6+'27'!I6</f>
        <v>0</v>
      </c>
      <c r="G4" s="165">
        <f ca="1">+'1'!J6+'2'!J6+'3'!J6+'4'!J6+'5'!J6+'6'!J6+'7'!J6+'8'!J6+'9'!J6+'10'!J6+'11'!J6+'12'!J6+'13'!J6+'14'!J6+'15'!J6+'16'!J6+'17'!J6+'18'!J6+'19'!J6+'20'!J6+'21'!J6+'22'!J6+'23'!J6+'24'!J6+'25'!J6+'26'!J6+'27'!J6</f>
        <v>0</v>
      </c>
      <c r="H4" s="165">
        <f ca="1">+'1'!K6+'2'!K6+'3'!K6+'4'!K6+'5'!K6+'6'!K6+'7'!K6+'8'!K6+'9'!K6+'10'!K6+'11'!K6+'12'!K6+'13'!K6+'14'!K6+'15'!K6+'16'!K6+'17'!K6+'18'!K6+'19'!K6+'20'!K6+'21'!K6+'22'!K6+'23'!K6+'24'!K6+'25'!K6+'26'!K6+'27'!K6</f>
        <v>0</v>
      </c>
      <c r="I4" s="165">
        <f ca="1">+'1'!M6+'2'!M6+'3'!M6+'4'!M6+'5'!M6+'6'!M6+'7'!M6+'8'!M6+'9'!M6+'10'!M6+'11'!M6+'12'!M6+'13'!M6+'14'!M6+'15'!M6+'16'!M6+'17'!M6+'18'!M6+'19'!M6+'20'!M6+'21'!M6+'22'!M6+'23'!M6+'24'!M6+'25'!M6+'26'!M6+'27'!M6</f>
        <v>0</v>
      </c>
    </row>
    <row r="5" spans="1:10">
      <c r="B5" s="24"/>
      <c r="C5" s="114">
        <f>+'1'!E7+'2'!E7+'3'!E7+'4'!E7+'5'!E7+'6'!E7+'7'!E7+'8'!E7+'9'!E7+'10'!E7+'11'!E7+'12'!E7+'13'!E7+'14'!E7+'15'!E7+'16'!E7+'17'!E7+'18'!E7+'19'!E7+'20'!E7+'21'!E7+'22'!E7+'23'!E7+'24'!E7+'25'!E7+'26'!E7+'27'!E7</f>
        <v>0</v>
      </c>
      <c r="D5" s="114">
        <f>+'1'!F7+'2'!F7+'3'!F7+'4'!F7+'5'!F7+'6'!F7+'7'!F7+'8'!F7+'9'!F7+'10'!F7+'11'!F7+'12'!F7+'13'!F7+'14'!F7+'15'!F7+'16'!F7+'17'!F7+'18'!F7+'19'!F7+'20'!F7+'21'!F7+'22'!F7+'23'!F7+'24'!F7+'25'!F7+'26'!F7+'27'!F7</f>
        <v>0</v>
      </c>
      <c r="E5" s="114">
        <f>+'1'!G7+'2'!G7+'3'!G7+'4'!G7+'5'!G7+'6'!G7+'7'!G7+'8'!G7+'9'!G7+'10'!G7+'11'!G7+'12'!G7+'13'!G7+'14'!G7+'15'!G7+'16'!G7+'17'!G7+'18'!G7+'19'!G7+'20'!G7+'21'!G7+'22'!G7+'23'!G7+'24'!G7+'25'!G7+'26'!G7+'27'!G7</f>
        <v>0</v>
      </c>
      <c r="F5" s="114">
        <f>+'1'!I7+'2'!I7+'3'!I7+'4'!I7+'5'!I7+'6'!I7+'7'!I7+'8'!I7+'9'!I7+'10'!I7+'11'!I7+'12'!I7+'13'!I7+'14'!I7+'15'!I7+'16'!I7+'17'!I7+'18'!I7+'19'!I7+'20'!I7+'21'!I7+'22'!I7+'23'!I7+'24'!I7+'25'!I7+'26'!I7+'27'!I7</f>
        <v>0</v>
      </c>
      <c r="G5" s="114">
        <f ca="1">+'1'!J7+'2'!J7+'3'!J7+'4'!J7+'5'!J7+'6'!J7+'7'!J7+'8'!J7+'9'!J7+'10'!J7+'11'!J7+'12'!J7+'13'!J7+'14'!J7+'15'!J7+'16'!J7+'17'!J7+'18'!J7+'19'!J7+'20'!J7+'21'!J7+'22'!J7+'23'!J7+'24'!J7+'25'!J7+'26'!J7+'27'!J7</f>
        <v>0</v>
      </c>
      <c r="H5" s="114">
        <f ca="1">+'1'!K7+'2'!K7+'3'!K7+'4'!K7+'5'!K7+'6'!K7+'7'!K7+'8'!K7+'9'!K7+'10'!K7+'11'!K7+'12'!K7+'13'!K7+'14'!K7+'15'!K7+'16'!K7+'17'!K7+'18'!K7+'19'!K7+'20'!K7+'21'!K7+'22'!K7+'23'!K7+'24'!K7+'25'!K7+'26'!K7+'27'!K7</f>
        <v>0</v>
      </c>
      <c r="I5" s="114">
        <f ca="1">+'1'!M7+'2'!M7+'3'!M7+'4'!M7+'5'!M7+'6'!M7+'7'!M7+'8'!M7+'9'!M7+'10'!M7+'11'!M7+'12'!M7+'13'!M7+'14'!M7+'15'!M7+'16'!M7+'17'!M7+'18'!M7+'19'!M7+'20'!M7+'21'!M7+'22'!M7+'23'!M7+'24'!M7+'25'!M7+'26'!M7+'27'!M7</f>
        <v>0</v>
      </c>
    </row>
    <row r="6" spans="1:10">
      <c r="A6" s="78" t="s">
        <v>93</v>
      </c>
      <c r="B6" s="77"/>
      <c r="C6" s="164">
        <f>+'1'!E8+'2'!E8+'3'!E8+'4'!E8+'5'!E8+'6'!E8+'7'!E8+'8'!E8+'9'!E8+'10'!E8+'11'!E8+'12'!E8+'13'!E8+'14'!E8+'15'!E8+'16'!E8+'17'!E8+'18'!E8+'19'!E8+'20'!E8+'21'!E8+'22'!E8+'23'!E8+'24'!E8+'25'!E8+'26'!E8+'27'!E8</f>
        <v>1264452414</v>
      </c>
      <c r="D6" s="164">
        <f>+'1'!F8+'2'!F8+'3'!F8+'4'!F8+'5'!F8+'6'!F8+'7'!F8+'8'!F8+'9'!F8+'10'!F8+'11'!F8+'12'!F8+'13'!F8+'14'!F8+'15'!F8+'16'!F8+'17'!F8+'18'!F8+'19'!F8+'20'!F8+'21'!F8+'22'!F8+'23'!F8+'24'!F8+'25'!F8+'26'!F8+'27'!F8</f>
        <v>4017021.2250000015</v>
      </c>
      <c r="E6" s="164">
        <f>+'1'!G8+'2'!G8+'3'!G8+'4'!G8+'5'!G8+'6'!G8+'7'!G8+'8'!G8+'9'!G8+'10'!G8+'11'!G8+'12'!G8+'13'!G8+'14'!G8+'15'!G8+'16'!G8+'17'!G8+'18'!G8+'19'!G8+'20'!G8+'21'!G8+'22'!G8+'23'!G8+'24'!G8+'25'!G8+'26'!G8+'27'!G8</f>
        <v>1268469435.2249999</v>
      </c>
      <c r="F6" s="164">
        <f>+'1'!I8+'2'!I8+'3'!I8+'4'!I8+'5'!I8+'6'!I8+'7'!I8+'8'!I8+'9'!I8+'10'!I8+'11'!I8+'12'!I8+'13'!I8+'14'!I8+'15'!I8+'16'!I8+'17'!I8+'18'!I8+'19'!I8+'20'!I8+'21'!I8+'22'!I8+'23'!I8+'24'!I8+'25'!I8+'26'!I8+'27'!I8</f>
        <v>5746098274.899353</v>
      </c>
      <c r="G6" s="164">
        <f ca="1">+'1'!J8+'2'!J8+'3'!J8+'4'!J8+'5'!J8+'6'!J8+'7'!J8+'8'!J8+'9'!J8+'10'!J8+'11'!J8+'12'!J8+'13'!J8+'14'!J8+'15'!J8+'16'!J8+'17'!J8+'18'!J8+'19'!J8+'20'!J8+'21'!J8+'22'!J8+'23'!J8+'24'!J8+'25'!J8+'26'!J8+'27'!J8</f>
        <v>893187668.42857158</v>
      </c>
      <c r="H6" s="164">
        <f ca="1">+'1'!K8+'2'!K8+'3'!K8+'4'!K8+'5'!K8+'6'!K8+'7'!K8+'8'!K8+'9'!K8+'10'!K8+'11'!K8+'12'!K8+'13'!K8+'14'!K8+'15'!K8+'16'!K8+'17'!K8+'18'!K8+'19'!K8+'20'!K8+'21'!K8+'22'!K8+'23'!K8+'24'!K8+'25'!K8+'26'!K8+'27'!K8</f>
        <v>6639285943.3279247</v>
      </c>
      <c r="I6" s="164">
        <f ca="1">+'1'!M8+'2'!M8+'3'!M8+'4'!M8+'5'!M8+'6'!M8+'7'!M8+'8'!M8+'9'!M8+'10'!M8+'11'!M8+'12'!M8+'13'!M8+'14'!M8+'15'!M8+'16'!M8+'17'!M8+'18'!M8+'19'!M8+'20'!M8+'21'!M8+'22'!M8+'23'!M8+'24'!M8+'25'!M8+'26'!M8+'27'!M8</f>
        <v>-5370816508.1029243</v>
      </c>
      <c r="J6" s="195">
        <f ca="1">+E6/H6</f>
        <v>0.19105509930623396</v>
      </c>
    </row>
    <row r="7" spans="1:10">
      <c r="A7" s="58"/>
      <c r="B7" s="58" t="str">
        <f>+'Taxes RCA 2022'!B2</f>
        <v>DGDDI</v>
      </c>
      <c r="C7" s="166">
        <f>+'1'!E9+'2'!E9+'3'!E9+'4'!E9+'5'!E9+'6'!E9+'7'!E9+'8'!E9+'9'!E9+'10'!E9+'11'!E9+'12'!E9+'13'!E9+'14'!E9+'15'!E9+'16'!E9+'17'!E9+'18'!E9+'19'!E9+'20'!E9+'21'!E9+'22'!E9+'23'!E9+'24'!E9+'25'!E9+'26'!E9+'27'!E9</f>
        <v>166875588</v>
      </c>
      <c r="D7" s="166">
        <f>+'1'!F9+'2'!F9+'3'!F9+'4'!F9+'5'!F9+'6'!F9+'7'!F9+'8'!F9+'9'!F9+'10'!F9+'11'!F9+'12'!F9+'13'!F9+'14'!F9+'15'!F9+'16'!F9+'17'!F9+'18'!F9+'19'!F9+'20'!F9+'21'!F9+'22'!F9+'23'!F9+'24'!F9+'25'!F9+'26'!F9+'27'!F9</f>
        <v>25205240.175000001</v>
      </c>
      <c r="E7" s="166">
        <f>+'1'!G9+'2'!G9+'3'!G9+'4'!G9+'5'!G9+'6'!G9+'7'!G9+'8'!G9+'9'!G9+'10'!G9+'11'!G9+'12'!G9+'13'!G9+'14'!G9+'15'!G9+'16'!G9+'17'!G9+'18'!G9+'19'!G9+'20'!G9+'21'!G9+'22'!G9+'23'!G9+'24'!G9+'25'!G9+'26'!G9+'27'!G9</f>
        <v>192080828.17500001</v>
      </c>
      <c r="F7" s="166">
        <f>+'1'!I9+'2'!I9+'3'!I9+'4'!I9+'5'!I9+'6'!I9+'7'!I9+'8'!I9+'9'!I9+'10'!I9+'11'!I9+'12'!I9+'13'!I9+'14'!I9+'15'!I9+'16'!I9+'17'!I9+'18'!I9+'19'!I9+'20'!I9+'21'!I9+'22'!I9+'23'!I9+'24'!I9+'25'!I9+'26'!I9+'27'!I9</f>
        <v>619390919.5625</v>
      </c>
      <c r="G7" s="166">
        <f ca="1">+'1'!J9+'2'!J9+'3'!J9+'4'!J9+'5'!J9+'6'!J9+'7'!J9+'8'!J9+'9'!J9+'10'!J9+'11'!J9+'12'!J9+'13'!J9+'14'!J9+'15'!J9+'16'!J9+'17'!J9+'18'!J9+'19'!J9+'20'!J9+'21'!J9+'22'!J9+'23'!J9+'24'!J9+'25'!J9+'26'!J9+'27'!J9</f>
        <v>437146090</v>
      </c>
      <c r="H7" s="166">
        <f ca="1">+'1'!K9+'2'!K9+'3'!K9+'4'!K9+'5'!K9+'6'!K9+'7'!K9+'8'!K9+'9'!K9+'10'!K9+'11'!K9+'12'!K9+'13'!K9+'14'!K9+'15'!K9+'16'!K9+'17'!K9+'18'!K9+'19'!K9+'20'!K9+'21'!K9+'22'!K9+'23'!K9+'24'!K9+'25'!K9+'26'!K9+'27'!K9</f>
        <v>1056537009.5625</v>
      </c>
      <c r="I7" s="166">
        <f ca="1">+'1'!M9+'2'!M9+'3'!M9+'4'!M9+'5'!M9+'6'!M9+'7'!M9+'8'!M9+'9'!M9+'10'!M9+'11'!M9+'12'!M9+'13'!M9+'14'!M9+'15'!M9+'16'!M9+'17'!M9+'18'!M9+'19'!M9+'20'!M9+'21'!M9+'22'!M9+'23'!M9+'24'!M9+'25'!M9+'26'!M9+'27'!M9</f>
        <v>-864456181.38750005</v>
      </c>
      <c r="J7" s="226">
        <f ca="1">100%-J6</f>
        <v>0.80894490069376601</v>
      </c>
    </row>
    <row r="8" spans="1:10">
      <c r="A8" s="64">
        <f>+'Taxes RCA 2022'!A3</f>
        <v>1</v>
      </c>
      <c r="B8" s="68" t="str">
        <f>+'Taxes RCA 2022'!B3</f>
        <v>Redevance équipement, informatique et finances (REIF)</v>
      </c>
      <c r="C8" s="165">
        <f>+'1'!E10+'2'!E10+'3'!E10+'4'!E10+'5'!E10+'6'!E10+'7'!E10+'8'!E10+'9'!E10+'10'!E10+'11'!E10+'12'!E10+'13'!E10+'14'!E10+'15'!E10+'16'!E10+'17'!E10+'18'!E10+'19'!E10+'20'!E10+'21'!E10+'22'!E10+'23'!E10+'24'!E10+'25'!E10+'26'!E10+'27'!E10</f>
        <v>20045555</v>
      </c>
      <c r="D8" s="165">
        <f>+'1'!F10+'2'!F10+'3'!F10+'4'!F10+'5'!F10+'6'!F10+'7'!F10+'8'!F10+'9'!F10+'10'!F10+'11'!F10+'12'!F10+'13'!F10+'14'!F10+'15'!F10+'16'!F10+'17'!F10+'18'!F10+'19'!F10+'20'!F10+'21'!F10+'22'!F10+'23'!F10+'24'!F10+'25'!F10+'26'!F10+'27'!F10</f>
        <v>1307838.05</v>
      </c>
      <c r="E8" s="165">
        <f>+'1'!G10+'2'!G10+'3'!G10+'4'!G10+'5'!G10+'6'!G10+'7'!G10+'8'!G10+'9'!G10+'10'!G10+'11'!G10+'12'!G10+'13'!G10+'14'!G10+'15'!G10+'16'!G10+'17'!G10+'18'!G10+'19'!G10+'20'!G10+'21'!G10+'22'!G10+'23'!G10+'24'!G10+'25'!G10+'26'!G10+'27'!G10</f>
        <v>21353393.050000001</v>
      </c>
      <c r="F8" s="165">
        <f>+'1'!I10+'2'!I10+'3'!I10+'4'!I10+'5'!I10+'6'!I10+'7'!I10+'8'!I10+'9'!I10+'10'!I10+'11'!I10+'12'!I10+'13'!I10+'14'!I10+'15'!I10+'16'!I10+'17'!I10+'18'!I10+'19'!I10+'20'!I10+'21'!I10+'22'!I10+'23'!I10+'24'!I10+'25'!I10+'26'!I10+'27'!I10</f>
        <v>157356461.42250001</v>
      </c>
      <c r="G8" s="165">
        <f>+'1'!J10+'2'!J10+'3'!J10+'4'!J10+'5'!J10+'6'!J10+'7'!J10+'8'!J10+'9'!J10+'10'!J10+'11'!J10+'12'!J10+'13'!J10+'14'!J10+'15'!J10+'16'!J10+'17'!J10+'18'!J10+'19'!J10+'20'!J10+'21'!J10+'22'!J10+'23'!J10+'24'!J10+'25'!J10+'26'!J10+'27'!J10</f>
        <v>23598149</v>
      </c>
      <c r="H8" s="165">
        <f>+'1'!K10+'2'!K10+'3'!K10+'4'!K10+'5'!K10+'6'!K10+'7'!K10+'8'!K10+'9'!K10+'10'!K10+'11'!K10+'12'!K10+'13'!K10+'14'!K10+'15'!K10+'16'!K10+'17'!K10+'18'!K10+'19'!K10+'20'!K10+'21'!K10+'22'!K10+'23'!K10+'24'!K10+'25'!K10+'26'!K10+'27'!K10</f>
        <v>180954610.42250001</v>
      </c>
      <c r="I8" s="165">
        <f>+'1'!M10+'2'!M10+'3'!M10+'4'!M10+'5'!M10+'6'!M10+'7'!M10+'8'!M10+'9'!M10+'10'!M10+'11'!M10+'12'!M10+'13'!M10+'14'!M10+'15'!M10+'16'!M10+'17'!M10+'18'!M10+'19'!M10+'20'!M10+'21'!M10+'22'!M10+'23'!M10+'24'!M10+'25'!M10+'26'!M10+'27'!M10</f>
        <v>-159601217.3725</v>
      </c>
    </row>
    <row r="9" spans="1:10">
      <c r="A9" s="53">
        <f>+'Taxes RCA 2022'!A4</f>
        <v>2</v>
      </c>
      <c r="B9" s="18" t="str">
        <f>+'Taxes RCA 2022'!B4</f>
        <v>Droit de sortie (DS)</v>
      </c>
      <c r="C9" s="114">
        <f>+'1'!E11+'2'!E11+'3'!E11+'4'!E11+'5'!E11+'6'!E11+'7'!E11+'8'!E11+'9'!E11+'10'!E11+'11'!E11+'12'!E11+'13'!E11+'14'!E11+'15'!E11+'16'!E11+'17'!E11+'18'!E11+'19'!E11+'20'!E11+'21'!E11+'22'!E11+'23'!E11+'24'!E11+'25'!E11+'26'!E11+'27'!E11</f>
        <v>146830033</v>
      </c>
      <c r="D9" s="114">
        <f>+'1'!F11+'2'!F11+'3'!F11+'4'!F11+'5'!F11+'6'!F11+'7'!F11+'8'!F11+'9'!F11+'10'!F11+'11'!F11+'12'!F11+'13'!F11+'14'!F11+'15'!F11+'16'!F11+'17'!F11+'18'!F11+'19'!F11+'20'!F11+'21'!F11+'22'!F11+'23'!F11+'24'!F11+'25'!F11+'26'!F11+'27'!F11</f>
        <v>23897402.125</v>
      </c>
      <c r="E9" s="114">
        <f>+'1'!G11+'2'!G11+'3'!G11+'4'!G11+'5'!G11+'6'!G11+'7'!G11+'8'!G11+'9'!G11+'10'!G11+'11'!G11+'12'!G11+'13'!G11+'14'!G11+'15'!G11+'16'!G11+'17'!G11+'18'!G11+'19'!G11+'20'!G11+'21'!G11+'22'!G11+'23'!G11+'24'!G11+'25'!G11+'26'!G11+'27'!G11</f>
        <v>170727435.125</v>
      </c>
      <c r="F9" s="114">
        <f>+'1'!I11+'2'!I11+'3'!I11+'4'!I11+'5'!I11+'6'!I11+'7'!I11+'8'!I11+'9'!I11+'10'!I11+'11'!I11+'12'!I11+'13'!I11+'14'!I11+'15'!I11+'16'!I11+'17'!I11+'18'!I11+'19'!I11+'20'!I11+'21'!I11+'22'!I11+'23'!I11+'24'!I11+'25'!I11+'26'!I11+'27'!I11</f>
        <v>462034458.13999999</v>
      </c>
      <c r="G9" s="114">
        <f>+'1'!J11+'2'!J11+'3'!J11+'4'!J11+'5'!J11+'6'!J11+'7'!J11+'8'!J11+'9'!J11+'10'!J11+'11'!J11+'12'!J11+'13'!J11+'14'!J11+'15'!J11+'16'!J11+'17'!J11+'18'!J11+'19'!J11+'20'!J11+'21'!J11+'22'!J11+'23'!J11+'24'!J11+'25'!J11+'26'!J11+'27'!J11</f>
        <v>413547941</v>
      </c>
      <c r="H9" s="114">
        <f>+'1'!K11+'2'!K11+'3'!K11+'4'!K11+'5'!K11+'6'!K11+'7'!K11+'8'!K11+'9'!K11+'10'!K11+'11'!K11+'12'!K11+'13'!K11+'14'!K11+'15'!K11+'16'!K11+'17'!K11+'18'!K11+'19'!K11+'20'!K11+'21'!K11+'22'!K11+'23'!K11+'24'!K11+'25'!K11+'26'!K11+'27'!K11</f>
        <v>875582399.13999999</v>
      </c>
      <c r="I9" s="114">
        <f>+'1'!M11+'2'!M11+'3'!M11+'4'!M11+'5'!M11+'6'!M11+'7'!M11+'8'!M11+'9'!M11+'10'!M11+'11'!M11+'12'!M11+'13'!M11+'14'!M11+'15'!M11+'16'!M11+'17'!M11+'18'!M11+'19'!M11+'20'!M11+'21'!M11+'22'!M11+'23'!M11+'24'!M11+'25'!M11+'26'!M11+'27'!M11</f>
        <v>-704854964.01499987</v>
      </c>
    </row>
    <row r="10" spans="1:10">
      <c r="A10" s="64">
        <f>+'Taxes RCA 2022'!A5</f>
        <v>3</v>
      </c>
      <c r="B10" s="68" t="str">
        <f>+'Taxes RCA 2022'!B5</f>
        <v>Amendes et pénalités payées à la DGDDI (+)</v>
      </c>
      <c r="C10" s="165">
        <f>+'1'!E12+'2'!E12+'3'!E12+'4'!E12+'5'!E12+'6'!E12+'7'!E12+'8'!E12+'9'!E12+'10'!E12+'11'!E12+'12'!E12+'13'!E12+'14'!E12+'15'!E12+'16'!E12+'17'!E12+'18'!E12+'19'!E12+'20'!E12+'21'!E12+'22'!E12+'23'!E12+'24'!E12+'25'!E12+'26'!E12+'27'!E12</f>
        <v>0</v>
      </c>
      <c r="D10" s="165">
        <f>+'1'!F12+'2'!F12+'3'!F12+'4'!F12+'5'!F12+'6'!F12+'7'!F12+'8'!F12+'9'!F12+'10'!F12+'11'!F12+'12'!F12+'13'!F12+'14'!F12+'15'!F12+'16'!F12+'17'!F12+'18'!F12+'19'!F12+'20'!F12+'21'!F12+'22'!F12+'23'!F12+'24'!F12+'25'!F12+'26'!F12+'27'!F12</f>
        <v>0</v>
      </c>
      <c r="E10" s="165">
        <f>+'1'!G12+'2'!G12+'3'!G12+'4'!G12+'5'!G12+'6'!G12+'7'!G12+'8'!G12+'9'!G12+'10'!G12+'11'!G12+'12'!G12+'13'!G12+'14'!G12+'15'!G12+'16'!G12+'17'!G12+'18'!G12+'19'!G12+'20'!G12+'21'!G12+'22'!G12+'23'!G12+'24'!G12+'25'!G12+'26'!G12+'27'!G12</f>
        <v>0</v>
      </c>
      <c r="F10" s="165">
        <f>+'1'!I12+'2'!I12+'3'!I12+'4'!I12+'5'!I12+'6'!I12+'7'!I12+'8'!I12+'9'!I12+'10'!I12+'11'!I12+'12'!I12+'13'!I12+'14'!I12+'15'!I12+'16'!I12+'17'!I12+'18'!I12+'19'!I12+'20'!I12+'21'!I12+'22'!I12+'23'!I12+'24'!I12+'25'!I12+'26'!I12+'27'!I12</f>
        <v>0</v>
      </c>
      <c r="G10" s="165">
        <f ca="1">+'1'!J12+'2'!J12+'3'!J12+'4'!J12+'5'!J12+'6'!J12+'7'!J12+'8'!J12+'9'!J12+'10'!J12+'11'!J12+'12'!J12+'13'!J12+'14'!J12+'15'!J12+'16'!J12+'17'!J12+'18'!J12+'19'!J12+'20'!J12+'21'!J12+'22'!J12+'23'!J12+'24'!J12+'25'!J12+'26'!J12+'27'!J12</f>
        <v>0</v>
      </c>
      <c r="H10" s="165">
        <f ca="1">+'1'!K12+'2'!K12+'3'!K12+'4'!K12+'5'!K12+'6'!K12+'7'!K12+'8'!K12+'9'!K12+'10'!K12+'11'!K12+'12'!K12+'13'!K12+'14'!K12+'15'!K12+'16'!K12+'17'!K12+'18'!K12+'19'!K12+'20'!K12+'21'!K12+'22'!K12+'23'!K12+'24'!K12+'25'!K12+'26'!K12+'27'!K12</f>
        <v>0</v>
      </c>
      <c r="I10" s="165">
        <f ca="1">+'1'!M12+'2'!M12+'3'!M12+'4'!M12+'5'!M12+'6'!M12+'7'!M12+'8'!M12+'9'!M12+'10'!M12+'11'!M12+'12'!M12+'13'!M12+'14'!M12+'15'!M12+'16'!M12+'17'!M12+'18'!M12+'19'!M12+'20'!M12+'21'!M12+'22'!M12+'23'!M12+'24'!M12+'25'!M12+'26'!M12+'27'!M12</f>
        <v>0</v>
      </c>
    </row>
    <row r="11" spans="1:10">
      <c r="A11" s="163"/>
      <c r="B11" s="58" t="str">
        <f>+'Taxes RCA 2022'!B6</f>
        <v>DGTCP</v>
      </c>
      <c r="C11" s="166">
        <f>+'1'!E13+'2'!E13+'3'!E13+'4'!E13+'5'!E13+'6'!E13+'7'!E13+'8'!E13+'9'!E13+'10'!E13+'11'!E13+'12'!E13+'13'!E13+'14'!E13+'15'!E13+'16'!E13+'17'!E13+'18'!E13+'19'!E13+'20'!E13+'21'!E13+'22'!E13+'23'!E13+'24'!E13+'25'!E13+'26'!E13+'27'!E13</f>
        <v>0</v>
      </c>
      <c r="D11" s="166">
        <f>+'1'!F13+'2'!F13+'3'!F13+'4'!F13+'5'!F13+'6'!F13+'7'!F13+'8'!F13+'9'!F13+'10'!F13+'11'!F13+'12'!F13+'13'!F13+'14'!F13+'15'!F13+'16'!F13+'17'!F13+'18'!F13+'19'!F13+'20'!F13+'21'!F13+'22'!F13+'23'!F13+'24'!F13+'25'!F13+'26'!F13+'27'!F13</f>
        <v>0</v>
      </c>
      <c r="E11" s="166">
        <f>+'1'!G13+'2'!G13+'3'!G13+'4'!G13+'5'!G13+'6'!G13+'7'!G13+'8'!G13+'9'!G13+'10'!G13+'11'!G13+'12'!G13+'13'!G13+'14'!G13+'15'!G13+'16'!G13+'17'!G13+'18'!G13+'19'!G13+'20'!G13+'21'!G13+'22'!G13+'23'!G13+'24'!G13+'25'!G13+'26'!G13+'27'!G13</f>
        <v>0</v>
      </c>
      <c r="F11" s="166">
        <f>+'1'!I13+'2'!I13+'3'!I13+'4'!I13+'5'!I13+'6'!I13+'7'!I13+'8'!I13+'9'!I13+'10'!I13+'11'!I13+'12'!I13+'13'!I13+'14'!I13+'15'!I13+'16'!I13+'17'!I13+'18'!I13+'19'!I13+'20'!I13+'21'!I13+'22'!I13+'23'!I13+'24'!I13+'25'!I13+'26'!I13+'27'!I13</f>
        <v>0</v>
      </c>
      <c r="G11" s="166">
        <f ca="1">+'1'!J13+'2'!J13+'3'!J13+'4'!J13+'5'!J13+'6'!J13+'7'!J13+'8'!J13+'9'!J13+'10'!J13+'11'!J13+'12'!J13+'13'!J13+'14'!J13+'15'!J13+'16'!J13+'17'!J13+'18'!J13+'19'!J13+'20'!J13+'21'!J13+'22'!J13+'23'!J13+'24'!J13+'25'!J13+'26'!J13+'27'!J13</f>
        <v>0</v>
      </c>
      <c r="H11" s="166">
        <f ca="1">+'1'!K13+'2'!K13+'3'!K13+'4'!K13+'5'!K13+'6'!K13+'7'!K13+'8'!K13+'9'!K13+'10'!K13+'11'!K13+'12'!K13+'13'!K13+'14'!K13+'15'!K13+'16'!K13+'17'!K13+'18'!K13+'19'!K13+'20'!K13+'21'!K13+'22'!K13+'23'!K13+'24'!K13+'25'!K13+'26'!K13+'27'!K13</f>
        <v>0</v>
      </c>
      <c r="I11" s="166">
        <f ca="1">+'1'!M13+'2'!M13+'3'!M13+'4'!M13+'5'!M13+'6'!M13+'7'!M13+'8'!M13+'9'!M13+'10'!M13+'11'!M13+'12'!M13+'13'!M13+'14'!M13+'15'!M13+'16'!M13+'17'!M13+'18'!M13+'19'!M13+'20'!M13+'21'!M13+'22'!M13+'23'!M13+'24'!M13+'25'!M13+'26'!M13+'27'!M13</f>
        <v>0</v>
      </c>
    </row>
    <row r="12" spans="1:10">
      <c r="A12" s="53">
        <f>+'Taxes RCA 2022'!A7</f>
        <v>4</v>
      </c>
      <c r="B12" s="18" t="str">
        <f>+'Taxes RCA 2022'!B7</f>
        <v>Dividendes sur participation de l'Etat (+)</v>
      </c>
      <c r="C12" s="114">
        <f>+'1'!E14+'2'!E14+'3'!E14+'4'!E14+'5'!E14+'6'!E14+'7'!E14+'8'!E14+'9'!E14+'10'!E14+'11'!E14+'12'!E14+'13'!E14+'14'!E14+'15'!E14+'16'!E14+'17'!E14+'18'!E14+'19'!E14+'20'!E14+'21'!E14+'22'!E14+'23'!E14+'24'!E14+'25'!E14+'26'!E14+'27'!E14</f>
        <v>0</v>
      </c>
      <c r="D12" s="114">
        <f>+'1'!F14+'2'!F14+'3'!F14+'4'!F14+'5'!F14+'6'!F14+'7'!F14+'8'!F14+'9'!F14+'10'!F14+'11'!F14+'12'!F14+'13'!F14+'14'!F14+'15'!F14+'16'!F14+'17'!F14+'18'!F14+'19'!F14+'20'!F14+'21'!F14+'22'!F14+'23'!F14+'24'!F14+'25'!F14+'26'!F14+'27'!F14</f>
        <v>0</v>
      </c>
      <c r="E12" s="114">
        <f>+'1'!G14+'2'!G14+'3'!G14+'4'!G14+'5'!G14+'6'!G14+'7'!G14+'8'!G14+'9'!G14+'10'!G14+'11'!G14+'12'!G14+'13'!G14+'14'!G14+'15'!G14+'16'!G14+'17'!G14+'18'!G14+'19'!G14+'20'!G14+'21'!G14+'22'!G14+'23'!G14+'24'!G14+'25'!G14+'26'!G14+'27'!G14</f>
        <v>0</v>
      </c>
      <c r="F12" s="114">
        <f>+'1'!I14+'2'!I14+'3'!I14+'4'!I14+'5'!I14+'6'!I14+'7'!I14+'8'!I14+'9'!I14+'10'!I14+'11'!I14+'12'!I14+'13'!I14+'14'!I14+'15'!I14+'16'!I14+'17'!I14+'18'!I14+'19'!I14+'20'!I14+'21'!I14+'22'!I14+'23'!I14+'24'!I14+'25'!I14+'26'!I14+'27'!I14</f>
        <v>0</v>
      </c>
      <c r="G12" s="114">
        <f ca="1">+'1'!J14+'2'!J14+'3'!J14+'4'!J14+'5'!J14+'6'!J14+'7'!J14+'8'!J14+'9'!J14+'10'!J14+'11'!J14+'12'!J14+'13'!J14+'14'!J14+'15'!J14+'16'!J14+'17'!J14+'18'!J14+'19'!J14+'20'!J14+'21'!J14+'22'!J14+'23'!J14+'24'!J14+'25'!J14+'26'!J14+'27'!J14</f>
        <v>0</v>
      </c>
      <c r="H12" s="114">
        <f ca="1">+'1'!K14+'2'!K14+'3'!K14+'4'!K14+'5'!K14+'6'!K14+'7'!K14+'8'!K14+'9'!K14+'10'!K14+'11'!K14+'12'!K14+'13'!K14+'14'!K14+'15'!K14+'16'!K14+'17'!K14+'18'!K14+'19'!K14+'20'!K14+'21'!K14+'22'!K14+'23'!K14+'24'!K14+'25'!K14+'26'!K14+'27'!K14</f>
        <v>0</v>
      </c>
      <c r="I12" s="114">
        <f ca="1">+'1'!M14+'2'!M14+'3'!M14+'4'!M14+'5'!M14+'6'!M14+'7'!M14+'8'!M14+'9'!M14+'10'!M14+'11'!M14+'12'!M14+'13'!M14+'14'!M14+'15'!M14+'16'!M14+'17'!M14+'18'!M14+'19'!M14+'20'!M14+'21'!M14+'22'!M14+'23'!M14+'24'!M14+'25'!M14+'26'!M14+'27'!M14</f>
        <v>0</v>
      </c>
    </row>
    <row r="13" spans="1:10">
      <c r="A13" s="163"/>
      <c r="B13" s="58" t="str">
        <f>+'Taxes RCA 2022'!B8</f>
        <v>DGTCP (FDM)</v>
      </c>
      <c r="C13" s="166">
        <f>+'1'!E15+'2'!E15+'3'!E15+'4'!E15+'5'!E15+'6'!E15+'7'!E15+'8'!E15+'9'!E15+'10'!E15+'11'!E15+'12'!E15+'13'!E15+'14'!E15+'15'!E15+'16'!E15+'17'!E15+'18'!E15+'19'!E15+'20'!E15+'21'!E15+'22'!E15+'23'!E15+'24'!E15+'25'!E15+'26'!E15+'27'!E15</f>
        <v>0</v>
      </c>
      <c r="D13" s="166">
        <f>+'1'!F15+'2'!F15+'3'!F15+'4'!F15+'5'!F15+'6'!F15+'7'!F15+'8'!F15+'9'!F15+'10'!F15+'11'!F15+'12'!F15+'13'!F15+'14'!F15+'15'!F15+'16'!F15+'17'!F15+'18'!F15+'19'!F15+'20'!F15+'21'!F15+'22'!F15+'23'!F15+'24'!F15+'25'!F15+'26'!F15+'27'!F15</f>
        <v>0</v>
      </c>
      <c r="E13" s="166">
        <f>+'1'!G15+'2'!G15+'3'!G15+'4'!G15+'5'!G15+'6'!G15+'7'!G15+'8'!G15+'9'!G15+'10'!G15+'11'!G15+'12'!G15+'13'!G15+'14'!G15+'15'!G15+'16'!G15+'17'!G15+'18'!G15+'19'!G15+'20'!G15+'21'!G15+'22'!G15+'23'!G15+'24'!G15+'25'!G15+'26'!G15+'27'!G15</f>
        <v>0</v>
      </c>
      <c r="F13" s="166">
        <f>+'1'!I15+'2'!I15+'3'!I15+'4'!I15+'5'!I15+'6'!I15+'7'!I15+'8'!I15+'9'!I15+'10'!I15+'11'!I15+'12'!I15+'13'!I15+'14'!I15+'15'!I15+'16'!I15+'17'!I15+'18'!I15+'19'!I15+'20'!I15+'21'!I15+'22'!I15+'23'!I15+'24'!I15+'25'!I15+'26'!I15+'27'!I15</f>
        <v>0</v>
      </c>
      <c r="G13" s="166">
        <f ca="1">+'1'!J15+'2'!J15+'3'!J15+'4'!J15+'5'!J15+'6'!J15+'7'!J15+'8'!J15+'9'!J15+'10'!J15+'11'!J15+'12'!J15+'13'!J15+'14'!J15+'15'!J15+'16'!J15+'17'!J15+'18'!J15+'19'!J15+'20'!J15+'21'!J15+'22'!J15+'23'!J15+'24'!J15+'25'!J15+'26'!J15+'27'!J15</f>
        <v>0</v>
      </c>
      <c r="H13" s="166">
        <f ca="1">+'1'!K15+'2'!K15+'3'!K15+'4'!K15+'5'!K15+'6'!K15+'7'!K15+'8'!K15+'9'!K15+'10'!K15+'11'!K15+'12'!K15+'13'!K15+'14'!K15+'15'!K15+'16'!K15+'17'!K15+'18'!K15+'19'!K15+'20'!K15+'21'!K15+'22'!K15+'23'!K15+'24'!K15+'25'!K15+'26'!K15+'27'!K15</f>
        <v>0</v>
      </c>
      <c r="I13" s="166">
        <f ca="1">+'1'!M15+'2'!M15+'3'!M15+'4'!M15+'5'!M15+'6'!M15+'7'!M15+'8'!M15+'9'!M15+'10'!M15+'11'!M15+'12'!M15+'13'!M15+'14'!M15+'15'!M15+'16'!M15+'17'!M15+'18'!M15+'19'!M15+'20'!M15+'21'!M15+'22'!M15+'23'!M15+'24'!M15+'25'!M15+'26'!M15+'27'!M15</f>
        <v>0</v>
      </c>
    </row>
    <row r="14" spans="1:10">
      <c r="A14" s="64">
        <f>+'Taxes RCA 2022'!A9</f>
        <v>5</v>
      </c>
      <c r="B14" s="68" t="str">
        <f>+'Taxes RCA 2022'!B9</f>
        <v>Bonus de signature versés par les investisseurs miniers (+) (DGTCP (FDM))</v>
      </c>
      <c r="C14" s="165">
        <f>+'1'!E16+'2'!E16+'3'!E16+'4'!E16+'5'!E16+'6'!E16+'7'!E16+'8'!E16+'9'!E16+'10'!E16+'11'!E16+'12'!E16+'13'!E16+'14'!E16+'15'!E16+'16'!E16+'17'!E16+'18'!E16+'19'!E16+'20'!E16+'21'!E16+'22'!E16+'23'!E16+'24'!E16+'25'!E16+'26'!E16+'27'!E16</f>
        <v>0</v>
      </c>
      <c r="D14" s="165">
        <f>+'1'!F16+'2'!F16+'3'!F16+'4'!F16+'5'!F16+'6'!F16+'7'!F16+'8'!F16+'9'!F16+'10'!F16+'11'!F16+'12'!F16+'13'!F16+'14'!F16+'15'!F16+'16'!F16+'17'!F16+'18'!F16+'19'!F16+'20'!F16+'21'!F16+'22'!F16+'23'!F16+'24'!F16+'25'!F16+'26'!F16+'27'!F16</f>
        <v>0</v>
      </c>
      <c r="E14" s="165">
        <f>+'1'!G16+'2'!G16+'3'!G16+'4'!G16+'5'!G16+'6'!G16+'7'!G16+'8'!G16+'9'!G16+'10'!G16+'11'!G16+'12'!G16+'13'!G16+'14'!G16+'15'!G16+'16'!G16+'17'!G16+'18'!G16+'19'!G16+'20'!G16+'21'!G16+'22'!G16+'23'!G16+'24'!G16+'25'!G16+'26'!G16+'27'!G16</f>
        <v>0</v>
      </c>
      <c r="F14" s="165">
        <f>+'1'!I16+'2'!I16+'3'!I16+'4'!I16+'5'!I16+'6'!I16+'7'!I16+'8'!I16+'9'!I16+'10'!I16+'11'!I16+'12'!I16+'13'!I16+'14'!I16+'15'!I16+'16'!I16+'17'!I16+'18'!I16+'19'!I16+'20'!I16+'21'!I16+'22'!I16+'23'!I16+'24'!I16+'25'!I16+'26'!I16+'27'!I16</f>
        <v>0</v>
      </c>
      <c r="G14" s="165">
        <f ca="1">+'1'!J16+'2'!J16+'3'!J16+'4'!J16+'5'!J16+'6'!J16+'7'!J16+'8'!J16+'9'!J16+'10'!J16+'11'!J16+'12'!J16+'13'!J16+'14'!J16+'15'!J16+'16'!J16+'17'!J16+'18'!J16+'19'!J16+'20'!J16+'21'!J16+'22'!J16+'23'!J16+'24'!J16+'25'!J16+'26'!J16+'27'!J16</f>
        <v>0</v>
      </c>
      <c r="H14" s="165">
        <f ca="1">+'1'!K16+'2'!K16+'3'!K16+'4'!K16+'5'!K16+'6'!K16+'7'!K16+'8'!K16+'9'!K16+'10'!K16+'11'!K16+'12'!K16+'13'!K16+'14'!K16+'15'!K16+'16'!K16+'17'!K16+'18'!K16+'19'!K16+'20'!K16+'21'!K16+'22'!K16+'23'!K16+'24'!K16+'25'!K16+'26'!K16+'27'!K16</f>
        <v>0</v>
      </c>
      <c r="I14" s="165">
        <f ca="1">+'1'!M16+'2'!M16+'3'!M16+'4'!M16+'5'!M16+'6'!M16+'7'!M16+'8'!M16+'9'!M16+'10'!M16+'11'!M16+'12'!M16+'13'!M16+'14'!M16+'15'!M16+'16'!M16+'17'!M16+'18'!M16+'19'!M16+'20'!M16+'21'!M16+'22'!M16+'23'!M16+'24'!M16+'25'!M16+'26'!M16+'27'!M16</f>
        <v>0</v>
      </c>
    </row>
    <row r="15" spans="1:10">
      <c r="A15" s="163"/>
      <c r="B15" s="58" t="str">
        <f>+'Taxes RCA 2022'!B10</f>
        <v>DGID</v>
      </c>
      <c r="C15" s="166">
        <f>+'1'!E17+'2'!E17+'3'!E17+'4'!E17+'5'!E17+'6'!E17+'7'!E17+'8'!E17+'9'!E17+'10'!E17+'11'!E17+'12'!E17+'13'!E17+'14'!E17+'15'!E17+'16'!E17+'17'!E17+'18'!E17+'19'!E17+'20'!E17+'21'!E17+'22'!E17+'23'!E17+'24'!E17+'25'!E17+'26'!E17+'27'!E17</f>
        <v>660451928</v>
      </c>
      <c r="D15" s="166">
        <f>+'1'!F17+'2'!F17+'3'!F17+'4'!F17+'5'!F17+'6'!F17+'7'!F17+'8'!F17+'9'!F17+'10'!F17+'11'!F17+'12'!F17+'13'!F17+'14'!F17+'15'!F17+'16'!F17+'17'!F17+'18'!F17+'19'!F17+'20'!F17+'21'!F17+'22'!F17+'23'!F17+'24'!F17+'25'!F17+'26'!F17+'27'!F17</f>
        <v>-34501101</v>
      </c>
      <c r="E15" s="166">
        <f>+'1'!G17+'2'!G17+'3'!G17+'4'!G17+'5'!G17+'6'!G17+'7'!G17+'8'!G17+'9'!G17+'10'!G17+'11'!G17+'12'!G17+'13'!G17+'14'!G17+'15'!G17+'16'!G17+'17'!G17+'18'!G17+'19'!G17+'20'!G17+'21'!G17+'22'!G17+'23'!G17+'24'!G17+'25'!G17+'26'!G17+'27'!G17</f>
        <v>625950827</v>
      </c>
      <c r="F15" s="166">
        <f>+'1'!I17+'2'!I17+'3'!I17+'4'!I17+'5'!I17+'6'!I17+'7'!I17+'8'!I17+'9'!I17+'10'!I17+'11'!I17+'12'!I17+'13'!I17+'14'!I17+'15'!I17+'16'!I17+'17'!I17+'18'!I17+'19'!I17+'20'!I17+'21'!I17+'22'!I17+'23'!I17+'24'!I17+'25'!I17+'26'!I17+'27'!I17</f>
        <v>2393975946</v>
      </c>
      <c r="G15" s="166">
        <f ca="1">+'1'!J17+'2'!J17+'3'!J17+'4'!J17+'5'!J17+'6'!J17+'7'!J17+'8'!J17+'9'!J17+'10'!J17+'11'!J17+'12'!J17+'13'!J17+'14'!J17+'15'!J17+'16'!J17+'17'!J17+'18'!J17+'19'!J17+'20'!J17+'21'!J17+'22'!J17+'23'!J17+'24'!J17+'25'!J17+'26'!J17+'27'!J17</f>
        <v>352128578.4285714</v>
      </c>
      <c r="H15" s="166">
        <f ca="1">+'1'!K17+'2'!K17+'3'!K17+'4'!K17+'5'!K17+'6'!K17+'7'!K17+'8'!K17+'9'!K17+'10'!K17+'11'!K17+'12'!K17+'13'!K17+'14'!K17+'15'!K17+'16'!K17+'17'!K17+'18'!K17+'19'!K17+'20'!K17+'21'!K17+'22'!K17+'23'!K17+'24'!K17+'25'!K17+'26'!K17+'27'!K17</f>
        <v>2746104524.4285712</v>
      </c>
      <c r="I15" s="166">
        <f ca="1">+'1'!M17+'2'!M17+'3'!M17+'4'!M17+'5'!M17+'6'!M17+'7'!M17+'8'!M17+'9'!M17+'10'!M17+'11'!M17+'12'!M17+'13'!M17+'14'!M17+'15'!M17+'16'!M17+'17'!M17+'18'!M17+'19'!M17+'20'!M17+'21'!M17+'22'!M17+'23'!M17+'24'!M17+'25'!M17+'26'!M17+'27'!M17</f>
        <v>-2120153697.4285712</v>
      </c>
    </row>
    <row r="16" spans="1:10">
      <c r="A16" s="53">
        <f>+'Taxes RCA 2022'!A11</f>
        <v>6</v>
      </c>
      <c r="B16" s="18" t="str">
        <f>+'Taxes RCA 2022'!B11</f>
        <v>Redevance à la production (+)</v>
      </c>
      <c r="C16" s="114">
        <f>+'1'!E18+'2'!E18+'3'!E18+'4'!E18+'5'!E18+'6'!E18+'7'!E18+'8'!E18+'9'!E18+'10'!E18+'11'!E18+'12'!E18+'13'!E18+'14'!E18+'15'!E18+'16'!E18+'17'!E18+'18'!E18+'19'!E18+'20'!E18+'21'!E18+'22'!E18+'23'!E18+'24'!E18+'25'!E18+'26'!E18+'27'!E18</f>
        <v>0</v>
      </c>
      <c r="D16" s="114">
        <f>+'1'!F18+'2'!F18+'3'!F18+'4'!F18+'5'!F18+'6'!F18+'7'!F18+'8'!F18+'9'!F18+'10'!F18+'11'!F18+'12'!F18+'13'!F18+'14'!F18+'15'!F18+'16'!F18+'17'!F18+'18'!F18+'19'!F18+'20'!F18+'21'!F18+'22'!F18+'23'!F18+'24'!F18+'25'!F18+'26'!F18+'27'!F18</f>
        <v>0</v>
      </c>
      <c r="E16" s="114">
        <f>+'1'!G18+'2'!G18+'3'!G18+'4'!G18+'5'!G18+'6'!G18+'7'!G18+'8'!G18+'9'!G18+'10'!G18+'11'!G18+'12'!G18+'13'!G18+'14'!G18+'15'!G18+'16'!G18+'17'!G18+'18'!G18+'19'!G18+'20'!G18+'21'!G18+'22'!G18+'23'!G18+'24'!G18+'25'!G18+'26'!G18+'27'!G18</f>
        <v>0</v>
      </c>
      <c r="F16" s="114">
        <f>+'1'!I18+'2'!I18+'3'!I18+'4'!I18+'5'!I18+'6'!I18+'7'!I18+'8'!I18+'9'!I18+'10'!I18+'11'!I18+'12'!I18+'13'!I18+'14'!I18+'15'!I18+'16'!I18+'17'!I18+'18'!I18+'19'!I18+'20'!I18+'21'!I18+'22'!I18+'23'!I18+'24'!I18+'25'!I18+'26'!I18+'27'!I18</f>
        <v>0</v>
      </c>
      <c r="G16" s="114">
        <f ca="1">+'1'!J18+'2'!J18+'3'!J18+'4'!J18+'5'!J18+'6'!J18+'7'!J18+'8'!J18+'9'!J18+'10'!J18+'11'!J18+'12'!J18+'13'!J18+'14'!J18+'15'!J18+'16'!J18+'17'!J18+'18'!J18+'19'!J18+'20'!J18+'21'!J18+'22'!J18+'23'!J18+'24'!J18+'25'!J18+'26'!J18+'27'!J18</f>
        <v>0</v>
      </c>
      <c r="H16" s="114">
        <f ca="1">+'1'!K18+'2'!K18+'3'!K18+'4'!K18+'5'!K18+'6'!K18+'7'!K18+'8'!K18+'9'!K18+'10'!K18+'11'!K18+'12'!K18+'13'!K18+'14'!K18+'15'!K18+'16'!K18+'17'!K18+'18'!K18+'19'!K18+'20'!K18+'21'!K18+'22'!K18+'23'!K18+'24'!K18+'25'!K18+'26'!K18+'27'!K18</f>
        <v>0</v>
      </c>
      <c r="I16" s="114">
        <f ca="1">+'1'!M18+'2'!M18+'3'!M18+'4'!M18+'5'!M18+'6'!M18+'7'!M18+'8'!M18+'9'!M18+'10'!M18+'11'!M18+'12'!M18+'13'!M18+'14'!M18+'15'!M18+'16'!M18+'17'!M18+'18'!M18+'19'!M18+'20'!M18+'21'!M18+'22'!M18+'23'!M18+'24'!M18+'25'!M18+'26'!M18+'27'!M18</f>
        <v>0</v>
      </c>
    </row>
    <row r="17" spans="1:12">
      <c r="A17" s="64">
        <f>+'Taxes RCA 2022'!A12</f>
        <v>7</v>
      </c>
      <c r="B17" s="68" t="str">
        <f>+'Taxes RCA 2022'!B12</f>
        <v>Contribution au développement social (CDS)</v>
      </c>
      <c r="C17" s="165">
        <f>+'1'!E19+'2'!E19+'3'!E19+'4'!E19+'5'!E19+'6'!E19+'7'!E19+'8'!E19+'9'!E19+'10'!E19+'11'!E19+'12'!E19+'13'!E19+'14'!E19+'15'!E19+'16'!E19+'17'!E19+'18'!E19+'19'!E19+'20'!E19+'21'!E19+'22'!E19+'23'!E19+'24'!E19+'25'!E19+'26'!E19+'27'!E19</f>
        <v>61623768</v>
      </c>
      <c r="D17" s="165">
        <f>+'1'!F19+'2'!F19+'3'!F19+'4'!F19+'5'!F19+'6'!F19+'7'!F19+'8'!F19+'9'!F19+'10'!F19+'11'!F19+'12'!F19+'13'!F19+'14'!F19+'15'!F19+'16'!F19+'17'!F19+'18'!F19+'19'!F19+'20'!F19+'21'!F19+'22'!F19+'23'!F19+'24'!F19+'25'!F19+'26'!F19+'27'!F19</f>
        <v>0</v>
      </c>
      <c r="E17" s="165">
        <f>+'1'!G19+'2'!G19+'3'!G19+'4'!G19+'5'!G19+'6'!G19+'7'!G19+'8'!G19+'9'!G19+'10'!G19+'11'!G19+'12'!G19+'13'!G19+'14'!G19+'15'!G19+'16'!G19+'17'!G19+'18'!G19+'19'!G19+'20'!G19+'21'!G19+'22'!G19+'23'!G19+'24'!G19+'25'!G19+'26'!G19+'27'!G19</f>
        <v>61623768</v>
      </c>
      <c r="F17" s="165">
        <f>+'1'!I19+'2'!I19+'3'!I19+'4'!I19+'5'!I19+'6'!I19+'7'!I19+'8'!I19+'9'!I19+'10'!I19+'11'!I19+'12'!I19+'13'!I19+'14'!I19+'15'!I19+'16'!I19+'17'!I19+'18'!I19+'19'!I19+'20'!I19+'21'!I19+'22'!I19+'23'!I19+'24'!I19+'25'!I19+'26'!I19+'27'!I19</f>
        <v>47617339</v>
      </c>
      <c r="G17" s="165">
        <f ca="1">+'1'!J19+'2'!J19+'3'!J19+'4'!J19+'5'!J19+'6'!J19+'7'!J19+'8'!J19+'9'!J19+'10'!J19+'11'!J19+'12'!J19+'13'!J19+'14'!J19+'15'!J19+'16'!J19+'17'!J19+'18'!J19+'19'!J19+'20'!J19+'21'!J19+'22'!J19+'23'!J19+'24'!J19+'25'!J19+'26'!J19+'27'!J19</f>
        <v>0</v>
      </c>
      <c r="H17" s="165">
        <f ca="1">+'1'!K19+'2'!K19+'3'!K19+'4'!K19+'5'!K19+'6'!K19+'7'!K19+'8'!K19+'9'!K19+'10'!K19+'11'!K19+'12'!K19+'13'!K19+'14'!K19+'15'!K19+'16'!K19+'17'!K19+'18'!K19+'19'!K19+'20'!K19+'21'!K19+'22'!K19+'23'!K19+'24'!K19+'25'!K19+'26'!K19+'27'!K19</f>
        <v>47617339</v>
      </c>
      <c r="I17" s="165">
        <f ca="1">+'1'!M19+'2'!M19+'3'!M19+'4'!M19+'5'!M19+'6'!M19+'7'!M19+'8'!M19+'9'!M19+'10'!M19+'11'!M19+'12'!M19+'13'!M19+'14'!M19+'15'!M19+'16'!M19+'17'!M19+'18'!M19+'19'!M19+'20'!M19+'21'!M19+'22'!M19+'23'!M19+'24'!M19+'25'!M19+'26'!M19+'27'!M19</f>
        <v>14006429</v>
      </c>
    </row>
    <row r="18" spans="1:12">
      <c r="A18" s="53">
        <f>+'Taxes RCA 2022'!A13</f>
        <v>8</v>
      </c>
      <c r="B18" s="18" t="str">
        <f>+'Taxes RCA 2022'!B13</f>
        <v>Droit d'enregistrement (DE)</v>
      </c>
      <c r="C18" s="114">
        <f>+'1'!E20+'2'!E20+'3'!E20+'4'!E20+'5'!E20+'6'!E20+'7'!E20+'8'!E20+'9'!E20+'10'!E20+'11'!E20+'12'!E20+'13'!E20+'14'!E20+'15'!E20+'16'!E20+'17'!E20+'18'!E20+'19'!E20+'20'!E20+'21'!E20+'22'!E20+'23'!E20+'24'!E20+'25'!E20+'26'!E20+'27'!E20</f>
        <v>11944400</v>
      </c>
      <c r="D18" s="114">
        <f>+'1'!F20+'2'!F20+'3'!F20+'4'!F20+'5'!F20+'6'!F20+'7'!F20+'8'!F20+'9'!F20+'10'!F20+'11'!F20+'12'!F20+'13'!F20+'14'!F20+'15'!F20+'16'!F20+'17'!F20+'18'!F20+'19'!F20+'20'!F20+'21'!F20+'22'!F20+'23'!F20+'24'!F20+'25'!F20+'26'!F20+'27'!F20</f>
        <v>0</v>
      </c>
      <c r="E18" s="114">
        <f>+'1'!G20+'2'!G20+'3'!G20+'4'!G20+'5'!G20+'6'!G20+'7'!G20+'8'!G20+'9'!G20+'10'!G20+'11'!G20+'12'!G20+'13'!G20+'14'!G20+'15'!G20+'16'!G20+'17'!G20+'18'!G20+'19'!G20+'20'!G20+'21'!G20+'22'!G20+'23'!G20+'24'!G20+'25'!G20+'26'!G20+'27'!G20</f>
        <v>11944400</v>
      </c>
      <c r="F18" s="114">
        <f>+'1'!I20+'2'!I20+'3'!I20+'4'!I20+'5'!I20+'6'!I20+'7'!I20+'8'!I20+'9'!I20+'10'!I20+'11'!I20+'12'!I20+'13'!I20+'14'!I20+'15'!I20+'16'!I20+'17'!I20+'18'!I20+'19'!I20+'20'!I20+'21'!I20+'22'!I20+'23'!I20+'24'!I20+'25'!I20+'26'!I20+'27'!I20</f>
        <v>12700800</v>
      </c>
      <c r="G18" s="114">
        <f ca="1">+'1'!J20+'2'!J20+'3'!J20+'4'!J20+'5'!J20+'6'!J20+'7'!J20+'8'!J20+'9'!J20+'10'!J20+'11'!J20+'12'!J20+'13'!J20+'14'!J20+'15'!J20+'16'!J20+'17'!J20+'18'!J20+'19'!J20+'20'!J20+'21'!J20+'22'!J20+'23'!J20+'24'!J20+'25'!J20+'26'!J20+'27'!J20</f>
        <v>0</v>
      </c>
      <c r="H18" s="114">
        <f ca="1">+'1'!K20+'2'!K20+'3'!K20+'4'!K20+'5'!K20+'6'!K20+'7'!K20+'8'!K20+'9'!K20+'10'!K20+'11'!K20+'12'!K20+'13'!K20+'14'!K20+'15'!K20+'16'!K20+'17'!K20+'18'!K20+'19'!K20+'20'!K20+'21'!K20+'22'!K20+'23'!K20+'24'!K20+'25'!K20+'26'!K20+'27'!K20</f>
        <v>12700800</v>
      </c>
      <c r="I18" s="114">
        <f ca="1">+'1'!M20+'2'!M20+'3'!M20+'4'!M20+'5'!M20+'6'!M20+'7'!M20+'8'!M20+'9'!M20+'10'!M20+'11'!M20+'12'!M20+'13'!M20+'14'!M20+'15'!M20+'16'!M20+'17'!M20+'18'!M20+'19'!M20+'20'!M20+'21'!M20+'22'!M20+'23'!M20+'24'!M20+'25'!M20+'26'!M20+'27'!M20</f>
        <v>-756400</v>
      </c>
    </row>
    <row r="19" spans="1:12">
      <c r="A19" s="64">
        <f>+'Taxes RCA 2022'!A14</f>
        <v>9</v>
      </c>
      <c r="B19" s="68" t="str">
        <f>+'Taxes RCA 2022'!B14</f>
        <v>Impôt sur les revenus des personnes physiques (IRPP)</v>
      </c>
      <c r="C19" s="165">
        <f>+'1'!E21+'2'!E21+'3'!E21+'4'!E21+'5'!E21+'6'!E21+'7'!E21+'8'!E21+'9'!E21+'10'!E21+'11'!E21+'12'!E21+'13'!E21+'14'!E21+'15'!E21+'16'!E21+'17'!E21+'18'!E21+'19'!E21+'20'!E21+'21'!E21+'22'!E21+'23'!E21+'24'!E21+'25'!E21+'26'!E21+'27'!E21</f>
        <v>21942844</v>
      </c>
      <c r="D19" s="165">
        <f>+'1'!F21+'2'!F21+'3'!F21+'4'!F21+'5'!F21+'6'!F21+'7'!F21+'8'!F21+'9'!F21+'10'!F21+'11'!F21+'12'!F21+'13'!F21+'14'!F21+'15'!F21+'16'!F21+'17'!F21+'18'!F21+'19'!F21+'20'!F21+'21'!F21+'22'!F21+'23'!F21+'24'!F21+'25'!F21+'26'!F21+'27'!F21</f>
        <v>22765838</v>
      </c>
      <c r="E19" s="165">
        <f>+'1'!G21+'2'!G21+'3'!G21+'4'!G21+'5'!G21+'6'!G21+'7'!G21+'8'!G21+'9'!G21+'10'!G21+'11'!G21+'12'!G21+'13'!G21+'14'!G21+'15'!G21+'16'!G21+'17'!G21+'18'!G21+'19'!G21+'20'!G21+'21'!G21+'22'!G21+'23'!G21+'24'!G21+'25'!G21+'26'!G21+'27'!G21</f>
        <v>44708682</v>
      </c>
      <c r="F19" s="165">
        <f>+'1'!I21+'2'!I21+'3'!I21+'4'!I21+'5'!I21+'6'!I21+'7'!I21+'8'!I21+'9'!I21+'10'!I21+'11'!I21+'12'!I21+'13'!I21+'14'!I21+'15'!I21+'16'!I21+'17'!I21+'18'!I21+'19'!I21+'20'!I21+'21'!I21+'22'!I21+'23'!I21+'24'!I21+'25'!I21+'26'!I21+'27'!I21</f>
        <v>67906877</v>
      </c>
      <c r="G19" s="165">
        <f ca="1">+'1'!J21+'2'!J21+'3'!J21+'4'!J21+'5'!J21+'6'!J21+'7'!J21+'8'!J21+'9'!J21+'10'!J21+'11'!J21+'12'!J21+'13'!J21+'14'!J21+'15'!J21+'16'!J21+'17'!J21+'18'!J21+'19'!J21+'20'!J21+'21'!J21+'22'!J21+'23'!J21+'24'!J21+'25'!J21+'26'!J21+'27'!J21</f>
        <v>3749760</v>
      </c>
      <c r="H19" s="165">
        <f ca="1">+'1'!K21+'2'!K21+'3'!K21+'4'!K21+'5'!K21+'6'!K21+'7'!K21+'8'!K21+'9'!K21+'10'!K21+'11'!K21+'12'!K21+'13'!K21+'14'!K21+'15'!K21+'16'!K21+'17'!K21+'18'!K21+'19'!K21+'20'!K21+'21'!K21+'22'!K21+'23'!K21+'24'!K21+'25'!K21+'26'!K21+'27'!K21</f>
        <v>71656637</v>
      </c>
      <c r="I19" s="165">
        <f ca="1">+'1'!M21+'2'!M21+'3'!M21+'4'!M21+'5'!M21+'6'!M21+'7'!M21+'8'!M21+'9'!M21+'10'!M21+'11'!M21+'12'!M21+'13'!M21+'14'!M21+'15'!M21+'16'!M21+'17'!M21+'18'!M21+'19'!M21+'20'!M21+'21'!M21+'22'!M21+'23'!M21+'24'!M21+'25'!M21+'26'!M21+'27'!M21</f>
        <v>-26947955</v>
      </c>
    </row>
    <row r="20" spans="1:12">
      <c r="A20" s="53">
        <f>+'Taxes RCA 2022'!A15</f>
        <v>10</v>
      </c>
      <c r="B20" s="18" t="str">
        <f>+'Taxes RCA 2022'!B15</f>
        <v>Impôt sur les sociétés (IS)</v>
      </c>
      <c r="C20" s="114">
        <f>+'1'!E22+'2'!E22+'3'!E22+'4'!E22+'5'!E22+'6'!E22+'7'!E22+'8'!E22+'9'!E22+'10'!E22+'11'!E22+'12'!E22+'13'!E22+'14'!E22+'15'!E22+'16'!E22+'17'!E22+'18'!E22+'19'!E22+'20'!E22+'21'!E22+'22'!E22+'23'!E22+'24'!E22+'25'!E22+'26'!E22+'27'!E22</f>
        <v>0</v>
      </c>
      <c r="D20" s="114">
        <f>+'1'!F22+'2'!F22+'3'!F22+'4'!F22+'5'!F22+'6'!F22+'7'!F22+'8'!F22+'9'!F22+'10'!F22+'11'!F22+'12'!F22+'13'!F22+'14'!F22+'15'!F22+'16'!F22+'17'!F22+'18'!F22+'19'!F22+'20'!F22+'21'!F22+'22'!F22+'23'!F22+'24'!F22+'25'!F22+'26'!F22+'27'!F22</f>
        <v>0</v>
      </c>
      <c r="E20" s="114">
        <f>+'1'!G22+'2'!G22+'3'!G22+'4'!G22+'5'!G22+'6'!G22+'7'!G22+'8'!G22+'9'!G22+'10'!G22+'11'!G22+'12'!G22+'13'!G22+'14'!G22+'15'!G22+'16'!G22+'17'!G22+'18'!G22+'19'!G22+'20'!G22+'21'!G22+'22'!G22+'23'!G22+'24'!G22+'25'!G22+'26'!G22+'27'!G22</f>
        <v>0</v>
      </c>
      <c r="F20" s="114">
        <f>+'1'!I22+'2'!I22+'3'!I22+'4'!I22+'5'!I22+'6'!I22+'7'!I22+'8'!I22+'9'!I22+'10'!I22+'11'!I22+'12'!I22+'13'!I22+'14'!I22+'15'!I22+'16'!I22+'17'!I22+'18'!I22+'19'!I22+'20'!I22+'21'!I22+'22'!I22+'23'!I22+'24'!I22+'25'!I22+'26'!I22+'27'!I22</f>
        <v>23903895</v>
      </c>
      <c r="G20" s="114">
        <f ca="1">+'1'!J22+'2'!J22+'3'!J22+'4'!J22+'5'!J22+'6'!J22+'7'!J22+'8'!J22+'9'!J22+'10'!J22+'11'!J22+'12'!J22+'13'!J22+'14'!J22+'15'!J22+'16'!J22+'17'!J22+'18'!J22+'19'!J22+'20'!J22+'21'!J22+'22'!J22+'23'!J22+'24'!J22+'25'!J22+'26'!J22+'27'!J22</f>
        <v>0</v>
      </c>
      <c r="H20" s="114">
        <f ca="1">+'1'!K22+'2'!K22+'3'!K22+'4'!K22+'5'!K22+'6'!K22+'7'!K22+'8'!K22+'9'!K22+'10'!K22+'11'!K22+'12'!K22+'13'!K22+'14'!K22+'15'!K22+'16'!K22+'17'!K22+'18'!K22+'19'!K22+'20'!K22+'21'!K22+'22'!K22+'23'!K22+'24'!K22+'25'!K22+'26'!K22+'27'!K22</f>
        <v>23903895</v>
      </c>
      <c r="I20" s="114">
        <f ca="1">+'1'!M22+'2'!M22+'3'!M22+'4'!M22+'5'!M22+'6'!M22+'7'!M22+'8'!M22+'9'!M22+'10'!M22+'11'!M22+'12'!M22+'13'!M22+'14'!M22+'15'!M22+'16'!M22+'17'!M22+'18'!M22+'19'!M22+'20'!M22+'21'!M22+'22'!M22+'23'!M22+'24'!M22+'25'!M22+'26'!M22+'27'!M22</f>
        <v>-23903895</v>
      </c>
    </row>
    <row r="21" spans="1:12">
      <c r="A21" s="64">
        <f>+'Taxes RCA 2022'!A16</f>
        <v>11</v>
      </c>
      <c r="B21" s="68" t="str">
        <f>+'Taxes RCA 2022'!B16</f>
        <v>Loyer annuel</v>
      </c>
      <c r="C21" s="165">
        <f>+'1'!E23+'2'!E23+'3'!E23+'4'!E23+'5'!E23+'6'!E23+'7'!E23+'8'!E23+'9'!E23+'10'!E23+'11'!E23+'12'!E23+'13'!E23+'14'!E23+'15'!E23+'16'!E23+'17'!E23+'18'!E23+'19'!E23+'20'!E23+'21'!E23+'22'!E23+'23'!E23+'24'!E23+'25'!E23+'26'!E23+'27'!E23</f>
        <v>153926400</v>
      </c>
      <c r="D21" s="165">
        <f>+'1'!F23+'2'!F23+'3'!F23+'4'!F23+'5'!F23+'6'!F23+'7'!F23+'8'!F23+'9'!F23+'10'!F23+'11'!F23+'12'!F23+'13'!F23+'14'!F23+'15'!F23+'16'!F23+'17'!F23+'18'!F23+'19'!F23+'20'!F23+'21'!F23+'22'!F23+'23'!F23+'24'!F23+'25'!F23+'26'!F23+'27'!F23</f>
        <v>-1200000</v>
      </c>
      <c r="E21" s="165">
        <f>+'1'!G23+'2'!G23+'3'!G23+'4'!G23+'5'!G23+'6'!G23+'7'!G23+'8'!G23+'9'!G23+'10'!G23+'11'!G23+'12'!G23+'13'!G23+'14'!G23+'15'!G23+'16'!G23+'17'!G23+'18'!G23+'19'!G23+'20'!G23+'21'!G23+'22'!G23+'23'!G23+'24'!G23+'25'!G23+'26'!G23+'27'!G23</f>
        <v>152726400</v>
      </c>
      <c r="F21" s="165">
        <f>+'1'!I23+'2'!I23+'3'!I23+'4'!I23+'5'!I23+'6'!I23+'7'!I23+'8'!I23+'9'!I23+'10'!I23+'11'!I23+'12'!I23+'13'!I23+'14'!I23+'15'!I23+'16'!I23+'17'!I23+'18'!I23+'19'!I23+'20'!I23+'21'!I23+'22'!I23+'23'!I23+'24'!I23+'25'!I23+'26'!I23+'27'!I23</f>
        <v>849586752</v>
      </c>
      <c r="G21" s="165">
        <f ca="1">+'1'!J23+'2'!J23+'3'!J23+'4'!J23+'5'!J23+'6'!J23+'7'!J23+'8'!J23+'9'!J23+'10'!J23+'11'!J23+'12'!J23+'13'!J23+'14'!J23+'15'!J23+'16'!J23+'17'!J23+'18'!J23+'19'!J23+'20'!J23+'21'!J23+'22'!J23+'23'!J23+'24'!J23+'25'!J23+'26'!J23+'27'!J23</f>
        <v>345791979.4285714</v>
      </c>
      <c r="H21" s="165">
        <f ca="1">+'1'!K23+'2'!K23+'3'!K23+'4'!K23+'5'!K23+'6'!K23+'7'!K23+'8'!K23+'9'!K23+'10'!K23+'11'!K23+'12'!K23+'13'!K23+'14'!K23+'15'!K23+'16'!K23+'17'!K23+'18'!K23+'19'!K23+'20'!K23+'21'!K23+'22'!K23+'23'!K23+'24'!K23+'25'!K23+'26'!K23+'27'!K23</f>
        <v>1195378731.4285715</v>
      </c>
      <c r="I21" s="165">
        <f ca="1">+'1'!M23+'2'!M23+'3'!M23+'4'!M23+'5'!M23+'6'!M23+'7'!M23+'8'!M23+'9'!M23+'10'!M23+'11'!M23+'12'!M23+'13'!M23+'14'!M23+'15'!M23+'16'!M23+'17'!M23+'18'!M23+'19'!M23+'20'!M23+'21'!M23+'22'!M23+'23'!M23+'24'!M23+'25'!M23+'26'!M23+'27'!M23</f>
        <v>-1042652331.4285715</v>
      </c>
    </row>
    <row r="22" spans="1:12">
      <c r="A22" s="53">
        <f>+'Taxes RCA 2022'!A17</f>
        <v>12</v>
      </c>
      <c r="B22" s="18" t="str">
        <f>+'Taxes RCA 2022'!B17</f>
        <v>Patente</v>
      </c>
      <c r="C22" s="114">
        <f>+'1'!E24+'2'!E24+'3'!E24+'4'!E24+'5'!E24+'6'!E24+'7'!E24+'8'!E24+'9'!E24+'10'!E24+'11'!E24+'12'!E24+'13'!E24+'14'!E24+'15'!E24+'16'!E24+'17'!E24+'18'!E24+'19'!E24+'20'!E24+'21'!E24+'22'!E24+'23'!E24+'24'!E24+'25'!E24+'26'!E24+'27'!E24</f>
        <v>35068469</v>
      </c>
      <c r="D22" s="114">
        <f>+'1'!F24+'2'!F24+'3'!F24+'4'!F24+'5'!F24+'6'!F24+'7'!F24+'8'!F24+'9'!F24+'10'!F24+'11'!F24+'12'!F24+'13'!F24+'14'!F24+'15'!F24+'16'!F24+'17'!F24+'18'!F24+'19'!F24+'20'!F24+'21'!F24+'22'!F24+'23'!F24+'24'!F24+'25'!F24+'26'!F24+'27'!F24</f>
        <v>0</v>
      </c>
      <c r="E22" s="114">
        <f>+'1'!G24+'2'!G24+'3'!G24+'4'!G24+'5'!G24+'6'!G24+'7'!G24+'8'!G24+'9'!G24+'10'!G24+'11'!G24+'12'!G24+'13'!G24+'14'!G24+'15'!G24+'16'!G24+'17'!G24+'18'!G24+'19'!G24+'20'!G24+'21'!G24+'22'!G24+'23'!G24+'24'!G24+'25'!G24+'26'!G24+'27'!G24</f>
        <v>35068469</v>
      </c>
      <c r="F22" s="114">
        <f>+'1'!I24+'2'!I24+'3'!I24+'4'!I24+'5'!I24+'6'!I24+'7'!I24+'8'!I24+'9'!I24+'10'!I24+'11'!I24+'12'!I24+'13'!I24+'14'!I24+'15'!I24+'16'!I24+'17'!I24+'18'!I24+'19'!I24+'20'!I24+'21'!I24+'22'!I24+'23'!I24+'24'!I24+'25'!I24+'26'!I24+'27'!I24</f>
        <v>71166128</v>
      </c>
      <c r="G22" s="114">
        <f ca="1">+'1'!J24+'2'!J24+'3'!J24+'4'!J24+'5'!J24+'6'!J24+'7'!J24+'8'!J24+'9'!J24+'10'!J24+'11'!J24+'12'!J24+'13'!J24+'14'!J24+'15'!J24+'16'!J24+'17'!J24+'18'!J24+'19'!J24+'20'!J24+'21'!J24+'22'!J24+'23'!J24+'24'!J24+'25'!J24+'26'!J24+'27'!J24</f>
        <v>0</v>
      </c>
      <c r="H22" s="114">
        <f ca="1">+'1'!K24+'2'!K24+'3'!K24+'4'!K24+'5'!K24+'6'!K24+'7'!K24+'8'!K24+'9'!K24+'10'!K24+'11'!K24+'12'!K24+'13'!K24+'14'!K24+'15'!K24+'16'!K24+'17'!K24+'18'!K24+'19'!K24+'20'!K24+'21'!K24+'22'!K24+'23'!K24+'24'!K24+'25'!K24+'26'!K24+'27'!K24</f>
        <v>71166128</v>
      </c>
      <c r="I22" s="114">
        <f ca="1">+'1'!M24+'2'!M24+'3'!M24+'4'!M24+'5'!M24+'6'!M24+'7'!M24+'8'!M24+'9'!M24+'10'!M24+'11'!M24+'12'!M24+'13'!M24+'14'!M24+'15'!M24+'16'!M24+'17'!M24+'18'!M24+'19'!M24+'20'!M24+'21'!M24+'22'!M24+'23'!M24+'24'!M24+'25'!M24+'26'!M24+'27'!M24</f>
        <v>-36097659</v>
      </c>
    </row>
    <row r="23" spans="1:12">
      <c r="A23" s="64">
        <f>+'Taxes RCA 2022'!A18</f>
        <v>13</v>
      </c>
      <c r="B23" s="68" t="str">
        <f>+'Taxes RCA 2022'!B18</f>
        <v xml:space="preserve">Taxe d'abattage  </v>
      </c>
      <c r="C23" s="165">
        <f>+'1'!E25+'2'!E25+'3'!E25+'4'!E25+'5'!E25+'6'!E25+'7'!E25+'8'!E25+'9'!E25+'10'!E25+'11'!E25+'12'!E25+'13'!E25+'14'!E25+'15'!E25+'16'!E25+'17'!E25+'18'!E25+'19'!E25+'20'!E25+'21'!E25+'22'!E25+'23'!E25+'24'!E25+'25'!E25+'26'!E25+'27'!E25</f>
        <v>137167326</v>
      </c>
      <c r="D23" s="165">
        <f>+'1'!F25+'2'!F25+'3'!F25+'4'!F25+'5'!F25+'6'!F25+'7'!F25+'8'!F25+'9'!F25+'10'!F25+'11'!F25+'12'!F25+'13'!F25+'14'!F25+'15'!F25+'16'!F25+'17'!F25+'18'!F25+'19'!F25+'20'!F25+'21'!F25+'22'!F25+'23'!F25+'24'!F25+'25'!F25+'26'!F25+'27'!F25</f>
        <v>-36400617</v>
      </c>
      <c r="E23" s="165">
        <f>+'1'!G25+'2'!G25+'3'!G25+'4'!G25+'5'!G25+'6'!G25+'7'!G25+'8'!G25+'9'!G25+'10'!G25+'11'!G25+'12'!G25+'13'!G25+'14'!G25+'15'!G25+'16'!G25+'17'!G25+'18'!G25+'19'!G25+'20'!G25+'21'!G25+'22'!G25+'23'!G25+'24'!G25+'25'!G25+'26'!G25+'27'!G25</f>
        <v>100766709</v>
      </c>
      <c r="F23" s="165">
        <f>+'1'!I25+'2'!I25+'3'!I25+'4'!I25+'5'!I25+'6'!I25+'7'!I25+'8'!I25+'9'!I25+'10'!I25+'11'!I25+'12'!I25+'13'!I25+'14'!I25+'15'!I25+'16'!I25+'17'!I25+'18'!I25+'19'!I25+'20'!I25+'21'!I25+'22'!I25+'23'!I25+'24'!I25+'25'!I25+'26'!I25+'27'!I25</f>
        <v>749797157</v>
      </c>
      <c r="G23" s="165">
        <f ca="1">+'1'!J25+'2'!J25+'3'!J25+'4'!J25+'5'!J25+'6'!J25+'7'!J25+'8'!J25+'9'!J25+'10'!J25+'11'!J25+'12'!J25+'13'!J25+'14'!J25+'15'!J25+'16'!J25+'17'!J25+'18'!J25+'19'!J25+'20'!J25+'21'!J25+'22'!J25+'23'!J25+'24'!J25+'25'!J25+'26'!J25+'27'!J25</f>
        <v>-11766691</v>
      </c>
      <c r="H23" s="165">
        <f ca="1">+'1'!K25+'2'!K25+'3'!K25+'4'!K25+'5'!K25+'6'!K25+'7'!K25+'8'!K25+'9'!K25+'10'!K25+'11'!K25+'12'!K25+'13'!K25+'14'!K25+'15'!K25+'16'!K25+'17'!K25+'18'!K25+'19'!K25+'20'!K25+'21'!K25+'22'!K25+'23'!K25+'24'!K25+'25'!K25+'26'!K25+'27'!K25</f>
        <v>738030466</v>
      </c>
      <c r="I23" s="165">
        <f ca="1">+'1'!M25+'2'!M25+'3'!M25+'4'!M25+'5'!M25+'6'!M25+'7'!M25+'8'!M25+'9'!M25+'10'!M25+'11'!M25+'12'!M25+'13'!M25+'14'!M25+'15'!M25+'16'!M25+'17'!M25+'18'!M25+'19'!M25+'20'!M25+'21'!M25+'22'!M25+'23'!M25+'24'!M25+'25'!M25+'26'!M25+'27'!M25</f>
        <v>-637263757</v>
      </c>
    </row>
    <row r="24" spans="1:12">
      <c r="A24" s="53">
        <f>+'Taxes RCA 2022'!A19</f>
        <v>14</v>
      </c>
      <c r="B24" s="18" t="str">
        <f>+'Taxes RCA 2022'!B19</f>
        <v xml:space="preserve">Taxe de reboisement  </v>
      </c>
      <c r="C24" s="114">
        <f>+'1'!E26+'2'!E26+'3'!E26+'4'!E26+'5'!E26+'6'!E26+'7'!E26+'8'!E26+'9'!E26+'10'!E26+'11'!E26+'12'!E26+'13'!E26+'14'!E26+'15'!E26+'16'!E26+'17'!E26+'18'!E26+'19'!E26+'20'!E26+'21'!E26+'22'!E26+'23'!E26+'24'!E26+'25'!E26+'26'!E26+'27'!E26</f>
        <v>100784487</v>
      </c>
      <c r="D24" s="114">
        <f>+'1'!F26+'2'!F26+'3'!F26+'4'!F26+'5'!F26+'6'!F26+'7'!F26+'8'!F26+'9'!F26+'10'!F26+'11'!F26+'12'!F26+'13'!F26+'14'!F26+'15'!F26+'16'!F26+'17'!F26+'18'!F26+'19'!F26+'20'!F26+'21'!F26+'22'!F26+'23'!F26+'24'!F26+'25'!F26+'26'!F26+'27'!F26</f>
        <v>-35469282</v>
      </c>
      <c r="E24" s="114">
        <f>+'1'!G26+'2'!G26+'3'!G26+'4'!G26+'5'!G26+'6'!G26+'7'!G26+'8'!G26+'9'!G26+'10'!G26+'11'!G26+'12'!G26+'13'!G26+'14'!G26+'15'!G26+'16'!G26+'17'!G26+'18'!G26+'19'!G26+'20'!G26+'21'!G26+'22'!G26+'23'!G26+'24'!G26+'25'!G26+'26'!G26+'27'!G26</f>
        <v>65315205</v>
      </c>
      <c r="F24" s="114">
        <f>+'1'!I26+'2'!I26+'3'!I26+'4'!I26+'5'!I26+'6'!I26+'7'!I26+'8'!I26+'9'!I26+'10'!I26+'11'!I26+'12'!I26+'13'!I26+'14'!I26+'15'!I26+'16'!I26+'17'!I26+'18'!I26+'19'!I26+'20'!I26+'21'!I26+'22'!I26+'23'!I26+'24'!I26+'25'!I26+'26'!I26+'27'!I26</f>
        <v>25466715</v>
      </c>
      <c r="G24" s="114">
        <f ca="1">+'1'!J26+'2'!J26+'3'!J26+'4'!J26+'5'!J26+'6'!J26+'7'!J26+'8'!J26+'9'!J26+'10'!J26+'11'!J26+'12'!J26+'13'!J26+'14'!J26+'15'!J26+'16'!J26+'17'!J26+'18'!J26+'19'!J26+'20'!J26+'21'!J26+'22'!J26+'23'!J26+'24'!J26+'25'!J26+'26'!J26+'27'!J26</f>
        <v>350109825</v>
      </c>
      <c r="H24" s="114">
        <f ca="1">+'1'!K26+'2'!K26+'3'!K26+'4'!K26+'5'!K26+'6'!K26+'7'!K26+'8'!K26+'9'!K26+'10'!K26+'11'!K26+'12'!K26+'13'!K26+'14'!K26+'15'!K26+'16'!K26+'17'!K26+'18'!K26+'19'!K26+'20'!K26+'21'!K26+'22'!K26+'23'!K26+'24'!K26+'25'!K26+'26'!K26+'27'!K26</f>
        <v>375576540</v>
      </c>
      <c r="I24" s="114">
        <f ca="1">+'1'!M26+'2'!M26+'3'!M26+'4'!M26+'5'!M26+'6'!M26+'7'!M26+'8'!M26+'9'!M26+'10'!M26+'11'!M26+'12'!M26+'13'!M26+'14'!M26+'15'!M26+'16'!M26+'17'!M26+'18'!M26+'19'!M26+'20'!M26+'21'!M26+'22'!M26+'23'!M26+'24'!M26+'25'!M26+'26'!M26+'27'!M26</f>
        <v>-310261335</v>
      </c>
    </row>
    <row r="25" spans="1:12">
      <c r="A25" s="64">
        <f>+'Taxes RCA 2022'!A20</f>
        <v>15</v>
      </c>
      <c r="B25" s="68" t="str">
        <f>+'Taxes RCA 2022'!B20</f>
        <v>Impôt sur les fonciers bâtis (IFB)</v>
      </c>
      <c r="C25" s="165">
        <f>+'1'!E27+'2'!E27+'3'!E27+'4'!E27+'5'!E27+'6'!E27+'7'!E27+'8'!E27+'9'!E27+'10'!E27+'11'!E27+'12'!E27+'13'!E27+'14'!E27+'15'!E27+'16'!E27+'17'!E27+'18'!E27+'19'!E27+'20'!E27+'21'!E27+'22'!E27+'23'!E27+'24'!E27+'25'!E27+'26'!E27+'27'!E27</f>
        <v>15427409</v>
      </c>
      <c r="D25" s="165">
        <f>+'1'!F27+'2'!F27+'3'!F27+'4'!F27+'5'!F27+'6'!F27+'7'!F27+'8'!F27+'9'!F27+'10'!F27+'11'!F27+'12'!F27+'13'!F27+'14'!F27+'15'!F27+'16'!F27+'17'!F27+'18'!F27+'19'!F27+'20'!F27+'21'!F27+'22'!F27+'23'!F27+'24'!F27+'25'!F27+'26'!F27+'27'!F27</f>
        <v>0</v>
      </c>
      <c r="E25" s="165">
        <f>+'1'!G27+'2'!G27+'3'!G27+'4'!G27+'5'!G27+'6'!G27+'7'!G27+'8'!G27+'9'!G27+'10'!G27+'11'!G27+'12'!G27+'13'!G27+'14'!G27+'15'!G27+'16'!G27+'17'!G27+'18'!G27+'19'!G27+'20'!G27+'21'!G27+'22'!G27+'23'!G27+'24'!G27+'25'!G27+'26'!G27+'27'!G27</f>
        <v>15427409</v>
      </c>
      <c r="F25" s="165">
        <f>+'1'!I27+'2'!I27+'3'!I27+'4'!I27+'5'!I27+'6'!I27+'7'!I27+'8'!I27+'9'!I27+'10'!I27+'11'!I27+'12'!I27+'13'!I27+'14'!I27+'15'!I27+'16'!I27+'17'!I27+'18'!I27+'19'!I27+'20'!I27+'21'!I27+'22'!I27+'23'!I27+'24'!I27+'25'!I27+'26'!I27+'27'!I27</f>
        <v>4290500</v>
      </c>
      <c r="G25" s="165">
        <f ca="1">+'1'!J27+'2'!J27+'3'!J27+'4'!J27+'5'!J27+'6'!J27+'7'!J27+'8'!J27+'9'!J27+'10'!J27+'11'!J27+'12'!J27+'13'!J27+'14'!J27+'15'!J27+'16'!J27+'17'!J27+'18'!J27+'19'!J27+'20'!J27+'21'!J27+'22'!J27+'23'!J27+'24'!J27+'25'!J27+'26'!J27+'27'!J27</f>
        <v>0</v>
      </c>
      <c r="H25" s="165">
        <f ca="1">+'1'!K27+'2'!K27+'3'!K27+'4'!K27+'5'!K27+'6'!K27+'7'!K27+'8'!K27+'9'!K27+'10'!K27+'11'!K27+'12'!K27+'13'!K27+'14'!K27+'15'!K27+'16'!K27+'17'!K27+'18'!K27+'19'!K27+'20'!K27+'21'!K27+'22'!K27+'23'!K27+'24'!K27+'25'!K27+'26'!K27+'27'!K27</f>
        <v>4290500</v>
      </c>
      <c r="I25" s="165">
        <f ca="1">+'1'!M27+'2'!M27+'3'!M27+'4'!M27+'5'!M27+'6'!M27+'7'!M27+'8'!M27+'9'!M27+'10'!M27+'11'!M27+'12'!M27+'13'!M27+'14'!M27+'15'!M27+'16'!M27+'17'!M27+'18'!M27+'19'!M27+'20'!M27+'21'!M27+'22'!M27+'23'!M27+'24'!M27+'25'!M27+'26'!M27+'27'!M27</f>
        <v>11136909</v>
      </c>
      <c r="L25" s="227">
        <v>235252670</v>
      </c>
    </row>
    <row r="26" spans="1:12">
      <c r="A26" s="53">
        <f>+'Taxes RCA 2022'!A21</f>
        <v>16</v>
      </c>
      <c r="B26" s="18" t="str">
        <f>+'Taxes RCA 2022'!B21</f>
        <v>Minimum impôt sur les sociétés (MIS)</v>
      </c>
      <c r="C26" s="114">
        <f>+'1'!E28+'2'!E28+'3'!E28+'4'!E28+'5'!E28+'6'!E28+'7'!E28+'8'!E28+'9'!E28+'10'!E28+'11'!E28+'12'!E28+'13'!E28+'14'!E28+'15'!E28+'16'!E28+'17'!E28+'18'!E28+'19'!E28+'20'!E28+'21'!E28+'22'!E28+'23'!E28+'24'!E28+'25'!E28+'26'!E28+'27'!E28</f>
        <v>4070000</v>
      </c>
      <c r="D26" s="114">
        <f>+'1'!F28+'2'!F28+'3'!F28+'4'!F28+'5'!F28+'6'!F28+'7'!F28+'8'!F28+'9'!F28+'10'!F28+'11'!F28+'12'!F28+'13'!F28+'14'!F28+'15'!F28+'16'!F28+'17'!F28+'18'!F28+'19'!F28+'20'!F28+'21'!F28+'22'!F28+'23'!F28+'24'!F28+'25'!F28+'26'!F28+'27'!F28</f>
        <v>9120578</v>
      </c>
      <c r="E26" s="114">
        <f>+'1'!G28+'2'!G28+'3'!G28+'4'!G28+'5'!G28+'6'!G28+'7'!G28+'8'!G28+'9'!G28+'10'!G28+'11'!G28+'12'!G28+'13'!G28+'14'!G28+'15'!G28+'16'!G28+'17'!G28+'18'!G28+'19'!G28+'20'!G28+'21'!G28+'22'!G28+'23'!G28+'24'!G28+'25'!G28+'26'!G28+'27'!G28</f>
        <v>13190578</v>
      </c>
      <c r="F26" s="114">
        <f>+'1'!I28+'2'!I28+'3'!I28+'4'!I28+'5'!I28+'6'!I28+'7'!I28+'8'!I28+'9'!I28+'10'!I28+'11'!I28+'12'!I28+'13'!I28+'14'!I28+'15'!I28+'16'!I28+'17'!I28+'18'!I28+'19'!I28+'20'!I28+'21'!I28+'22'!I28+'23'!I28+'24'!I28+'25'!I28+'26'!I28+'27'!I28</f>
        <v>56715150</v>
      </c>
      <c r="G26" s="114">
        <f ca="1">+'1'!J28+'2'!J28+'3'!J28+'4'!J28+'5'!J28+'6'!J28+'7'!J28+'8'!J28+'9'!J28+'10'!J28+'11'!J28+'12'!J28+'13'!J28+'14'!J28+'15'!J28+'16'!J28+'17'!J28+'18'!J28+'19'!J28+'20'!J28+'21'!J28+'22'!J28+'23'!J28+'24'!J28+'25'!J28+'26'!J28+'27'!J28</f>
        <v>-9094605</v>
      </c>
      <c r="H26" s="114">
        <f ca="1">+'1'!K28+'2'!K28+'3'!K28+'4'!K28+'5'!K28+'6'!K28+'7'!K28+'8'!K28+'9'!K28+'10'!K28+'11'!K28+'12'!K28+'13'!K28+'14'!K28+'15'!K28+'16'!K28+'17'!K28+'18'!K28+'19'!K28+'20'!K28+'21'!K28+'22'!K28+'23'!K28+'24'!K28+'25'!K28+'26'!K28+'27'!K28</f>
        <v>47620545</v>
      </c>
      <c r="I26" s="114">
        <f ca="1">+'1'!M28+'2'!M28+'3'!M28+'4'!M28+'5'!M28+'6'!M28+'7'!M28+'8'!M28+'9'!M28+'10'!M28+'11'!M28+'12'!M28+'13'!M28+'14'!M28+'15'!M28+'16'!M28+'17'!M28+'18'!M28+'19'!M28+'20'!M28+'21'!M28+'22'!M28+'23'!M28+'24'!M28+'25'!M28+'26'!M28+'27'!M28</f>
        <v>-34429967</v>
      </c>
      <c r="L26" s="227"/>
    </row>
    <row r="27" spans="1:12">
      <c r="A27" s="64">
        <f>+'Taxes RCA 2022'!A22</f>
        <v>17</v>
      </c>
      <c r="B27" s="68" t="str">
        <f>+'Taxes RCA 2022'!B22</f>
        <v xml:space="preserve">Impôt minimum forfaitaire (IMF) </v>
      </c>
      <c r="C27" s="165">
        <f>+'1'!E29+'2'!E29+'3'!E29+'4'!E29+'5'!E29+'6'!E29+'7'!E29+'8'!E29+'9'!E29+'10'!E29+'11'!E29+'12'!E29+'13'!E29+'14'!E29+'15'!E29+'16'!E29+'17'!E29+'18'!E29+'19'!E29+'20'!E29+'21'!E29+'22'!E29+'23'!E29+'24'!E29+'25'!E29+'26'!E29+'27'!E29</f>
        <v>115386245</v>
      </c>
      <c r="D27" s="165">
        <f>+'1'!F29+'2'!F29+'3'!F29+'4'!F29+'5'!F29+'6'!F29+'7'!F29+'8'!F29+'9'!F29+'10'!F29+'11'!F29+'12'!F29+'13'!F29+'14'!F29+'15'!F29+'16'!F29+'17'!F29+'18'!F29+'19'!F29+'20'!F29+'21'!F29+'22'!F29+'23'!F29+'24'!F29+'25'!F29+'26'!F29+'27'!F29</f>
        <v>-12700786.609999999</v>
      </c>
      <c r="E27" s="165">
        <f>+'1'!G29+'2'!G29+'3'!G29+'4'!G29+'5'!G29+'6'!G29+'7'!G29+'8'!G29+'9'!G29+'10'!G29+'11'!G29+'12'!G29+'13'!G29+'14'!G29+'15'!G29+'16'!G29+'17'!G29+'18'!G29+'19'!G29+'20'!G29+'21'!G29+'22'!G29+'23'!G29+'24'!G29+'25'!G29+'26'!G29+'27'!G29</f>
        <v>102685458.39</v>
      </c>
      <c r="F27" s="165">
        <f>+'1'!I29+'2'!I29+'3'!I29+'4'!I29+'5'!I29+'6'!I29+'7'!I29+'8'!I29+'9'!I29+'10'!I29+'11'!I29+'12'!I29+'13'!I29+'14'!I29+'15'!I29+'16'!I29+'17'!I29+'18'!I29+'19'!I29+'20'!I29+'21'!I29+'22'!I29+'23'!I29+'24'!I29+'25'!I29+'26'!I29+'27'!I29</f>
        <v>113427777</v>
      </c>
      <c r="G27" s="165">
        <f ca="1">+'1'!J29+'2'!J29+'3'!J29+'4'!J29+'5'!J29+'6'!J29+'7'!J29+'8'!J29+'9'!J29+'10'!J29+'11'!J29+'12'!J29+'13'!J29+'14'!J29+'15'!J29+'16'!J29+'17'!J29+'18'!J29+'19'!J29+'20'!J29+'21'!J29+'22'!J29+'23'!J29+'24'!J29+'25'!J29+'26'!J29+'27'!J29</f>
        <v>11681444</v>
      </c>
      <c r="H27" s="165">
        <f ca="1">+'1'!K29+'2'!K29+'3'!K29+'4'!K29+'5'!K29+'6'!K29+'7'!K29+'8'!K29+'9'!K29+'10'!K29+'11'!K29+'12'!K29+'13'!K29+'14'!K29+'15'!K29+'16'!K29+'17'!K29+'18'!K29+'19'!K29+'20'!K29+'21'!K29+'22'!K29+'23'!K29+'24'!K29+'25'!K29+'26'!K29+'27'!K29</f>
        <v>125109221</v>
      </c>
      <c r="I27" s="165">
        <f ca="1">+'1'!M29+'2'!M29+'3'!M29+'4'!M29+'5'!M29+'6'!M29+'7'!M29+'8'!M29+'9'!M29+'10'!M29+'11'!M29+'12'!M29+'13'!M29+'14'!M29+'15'!M29+'16'!M29+'17'!M29+'18'!M29+'19'!M29+'20'!M29+'21'!M29+'22'!M29+'23'!M29+'24'!M29+'25'!M29+'26'!M29+'27'!M29</f>
        <v>-22423762.609999999</v>
      </c>
      <c r="L27" s="227">
        <v>220500000</v>
      </c>
    </row>
    <row r="28" spans="1:12">
      <c r="A28" s="53">
        <f>+'Taxes RCA 2022'!A23</f>
        <v>18</v>
      </c>
      <c r="B28" s="18" t="str">
        <f>+'Taxes RCA 2022'!B23</f>
        <v>Précompte</v>
      </c>
      <c r="C28" s="114">
        <f>+'1'!E30+'2'!E30+'3'!E30+'4'!E30+'5'!E30+'6'!E30+'7'!E30+'8'!E30+'9'!E30+'10'!E30+'11'!E30+'12'!E30+'13'!E30+'14'!E30+'15'!E30+'16'!E30+'17'!E30+'18'!E30+'19'!E30+'20'!E30+'21'!E30+'22'!E30+'23'!E30+'24'!E30+'25'!E30+'26'!E30+'27'!E30</f>
        <v>15189540</v>
      </c>
      <c r="D28" s="114">
        <f>+'1'!F30+'2'!F30+'3'!F30+'4'!F30+'5'!F30+'6'!F30+'7'!F30+'8'!F30+'9'!F30+'10'!F30+'11'!F30+'12'!F30+'13'!F30+'14'!F30+'15'!F30+'16'!F30+'17'!F30+'18'!F30+'19'!F30+'20'!F30+'21'!F30+'22'!F30+'23'!F30+'24'!F30+'25'!F30+'26'!F30+'27'!F30</f>
        <v>3580208.6100000003</v>
      </c>
      <c r="E28" s="114">
        <f>+'1'!G30+'2'!G30+'3'!G30+'4'!G30+'5'!G30+'6'!G30+'7'!G30+'8'!G30+'9'!G30+'10'!G30+'11'!G30+'12'!G30+'13'!G30+'14'!G30+'15'!G30+'16'!G30+'17'!G30+'18'!G30+'19'!G30+'20'!G30+'21'!G30+'22'!G30+'23'!G30+'24'!G30+'25'!G30+'26'!G30+'27'!G30</f>
        <v>18769748.609999999</v>
      </c>
      <c r="F28" s="114">
        <f>+'1'!I30+'2'!I30+'3'!I30+'4'!I30+'5'!I30+'6'!I30+'7'!I30+'8'!I30+'9'!I30+'10'!I30+'11'!I30+'12'!I30+'13'!I30+'14'!I30+'15'!I30+'16'!I30+'17'!I30+'18'!I30+'19'!I30+'20'!I30+'21'!I30+'22'!I30+'23'!I30+'24'!I30+'25'!I30+'26'!I30+'27'!I30</f>
        <v>26730126</v>
      </c>
      <c r="G28" s="114">
        <f ca="1">+'1'!J30+'2'!J30+'3'!J30+'4'!J30+'5'!J30+'6'!J30+'7'!J30+'8'!J30+'9'!J30+'10'!J30+'11'!J30+'12'!J30+'13'!J30+'14'!J30+'15'!J30+'16'!J30+'17'!J30+'18'!J30+'19'!J30+'20'!J30+'21'!J30+'22'!J30+'23'!J30+'24'!J30+'25'!J30+'26'!J30+'27'!J30</f>
        <v>0</v>
      </c>
      <c r="H28" s="114">
        <f ca="1">+'1'!K30+'2'!K30+'3'!K30+'4'!K30+'5'!K30+'6'!K30+'7'!K30+'8'!K30+'9'!K30+'10'!K30+'11'!K30+'12'!K30+'13'!K30+'14'!K30+'15'!K30+'16'!K30+'17'!K30+'18'!K30+'19'!K30+'20'!K30+'21'!K30+'22'!K30+'23'!K30+'24'!K30+'25'!K30+'26'!K30+'27'!K30</f>
        <v>26730126</v>
      </c>
      <c r="I28" s="114">
        <f ca="1">+'1'!M30+'2'!M30+'3'!M30+'4'!M30+'5'!M30+'6'!M30+'7'!M30+'8'!M30+'9'!M30+'10'!M30+'11'!M30+'12'!M30+'13'!M30+'14'!M30+'15'!M30+'16'!M30+'17'!M30+'18'!M30+'19'!M30+'20'!M30+'21'!M30+'22'!M30+'23'!M30+'24'!M30+'25'!M30+'26'!M30+'27'!M30</f>
        <v>-7960377.3900000006</v>
      </c>
    </row>
    <row r="29" spans="1:12">
      <c r="A29" s="64">
        <f>+'Taxes RCA 2022'!A24</f>
        <v>19</v>
      </c>
      <c r="B29" s="68" t="str">
        <f>+'Taxes RCA 2022'!B24</f>
        <v>Taxe sur la valeur ajoutée (TVA)</v>
      </c>
      <c r="C29" s="165">
        <f>+'1'!E31+'2'!E31+'3'!E31+'4'!E31+'5'!E31+'6'!E31+'7'!E31+'8'!E31+'9'!E31+'10'!E31+'11'!E31+'12'!E31+'13'!E31+'14'!E31+'15'!E31+'16'!E31+'17'!E31+'18'!E31+'19'!E31+'20'!E31+'21'!E31+'22'!E31+'23'!E31+'24'!E31+'25'!E31+'26'!E31+'27'!E31</f>
        <v>-14940960</v>
      </c>
      <c r="D29" s="165">
        <f>+'1'!F31+'2'!F31+'3'!F31+'4'!F31+'5'!F31+'6'!F31+'7'!F31+'8'!F31+'9'!F31+'10'!F31+'11'!F31+'12'!F31+'13'!F31+'14'!F31+'15'!F31+'16'!F31+'17'!F31+'18'!F31+'19'!F31+'20'!F31+'21'!F31+'22'!F31+'23'!F31+'24'!F31+'25'!F31+'26'!F31+'27'!F31</f>
        <v>14940960</v>
      </c>
      <c r="E29" s="165">
        <f>+'1'!G31+'2'!G31+'3'!G31+'4'!G31+'5'!G31+'6'!G31+'7'!G31+'8'!G31+'9'!G31+'10'!G31+'11'!G31+'12'!G31+'13'!G31+'14'!G31+'15'!G31+'16'!G31+'17'!G31+'18'!G31+'19'!G31+'20'!G31+'21'!G31+'22'!G31+'23'!G31+'24'!G31+'25'!G31+'26'!G31+'27'!G31</f>
        <v>0</v>
      </c>
      <c r="F29" s="165">
        <f>+'1'!I31+'2'!I31+'3'!I31+'4'!I31+'5'!I31+'6'!I31+'7'!I31+'8'!I31+'9'!I31+'10'!I31+'11'!I31+'12'!I31+'13'!I31+'14'!I31+'15'!I31+'16'!I31+'17'!I31+'18'!I31+'19'!I31+'20'!I31+'21'!I31+'22'!I31+'23'!I31+'24'!I31+'25'!I31+'26'!I31+'27'!I31</f>
        <v>4210396</v>
      </c>
      <c r="G29" s="165">
        <f ca="1">+'1'!J31+'2'!J31+'3'!J31+'4'!J31+'5'!J31+'6'!J31+'7'!J31+'8'!J31+'9'!J31+'10'!J31+'11'!J31+'12'!J31+'13'!J31+'14'!J31+'15'!J31+'16'!J31+'17'!J31+'18'!J31+'19'!J31+'20'!J31+'21'!J31+'22'!J31+'23'!J31+'24'!J31+'25'!J31+'26'!J31+'27'!J31</f>
        <v>0</v>
      </c>
      <c r="H29" s="165">
        <f ca="1">+'1'!K31+'2'!K31+'3'!K31+'4'!K31+'5'!K31+'6'!K31+'7'!K31+'8'!K31+'9'!K31+'10'!K31+'11'!K31+'12'!K31+'13'!K31+'14'!K31+'15'!K31+'16'!K31+'17'!K31+'18'!K31+'19'!K31+'20'!K31+'21'!K31+'22'!K31+'23'!K31+'24'!K31+'25'!K31+'26'!K31+'27'!K31</f>
        <v>4210396</v>
      </c>
      <c r="I29" s="165">
        <f ca="1">+'1'!M31+'2'!M31+'3'!M31+'4'!M31+'5'!M31+'6'!M31+'7'!M31+'8'!M31+'9'!M31+'10'!M31+'11'!M31+'12'!M31+'13'!M31+'14'!M31+'15'!M31+'16'!M31+'17'!M31+'18'!M31+'19'!M31+'20'!M31+'21'!M31+'22'!M31+'23'!M31+'24'!M31+'25'!M31+'26'!M31+'27'!M31</f>
        <v>-4210396</v>
      </c>
    </row>
    <row r="30" spans="1:12">
      <c r="A30" s="53">
        <f>+'Taxes RCA 2022'!A25</f>
        <v>20</v>
      </c>
      <c r="B30" s="18" t="str">
        <f>+'Taxes RCA 2022'!B25</f>
        <v>Impôt sur les revenus des loyers (IRL)</v>
      </c>
      <c r="C30" s="114">
        <f>+'1'!E32+'2'!E32+'3'!E32+'4'!E32+'5'!E32+'6'!E32+'7'!E32+'8'!E32+'9'!E32+'10'!E32+'11'!E32+'12'!E32+'13'!E32+'14'!E32+'15'!E32+'16'!E32+'17'!E32+'18'!E32+'19'!E32+'20'!E32+'21'!E32+'22'!E32+'23'!E32+'24'!E32+'25'!E32+'26'!E32+'27'!E32</f>
        <v>2862000</v>
      </c>
      <c r="D30" s="114">
        <f>+'1'!F32+'2'!F32+'3'!F32+'4'!F32+'5'!F32+'6'!F32+'7'!F32+'8'!F32+'9'!F32+'10'!F32+'11'!F32+'12'!F32+'13'!F32+'14'!F32+'15'!F32+'16'!F32+'17'!F32+'18'!F32+'19'!F32+'20'!F32+'21'!F32+'22'!F32+'23'!F32+'24'!F32+'25'!F32+'26'!F32+'27'!F32</f>
        <v>-1638000</v>
      </c>
      <c r="E30" s="114">
        <f>+'1'!G32+'2'!G32+'3'!G32+'4'!G32+'5'!G32+'6'!G32+'7'!G32+'8'!G32+'9'!G32+'10'!G32+'11'!G32+'12'!G32+'13'!G32+'14'!G32+'15'!G32+'16'!G32+'17'!G32+'18'!G32+'19'!G32+'20'!G32+'21'!G32+'22'!G32+'23'!G32+'24'!G32+'25'!G32+'26'!G32+'27'!G32</f>
        <v>1224000</v>
      </c>
      <c r="F30" s="114">
        <f>+'1'!I32+'2'!I32+'3'!I32+'4'!I32+'5'!I32+'6'!I32+'7'!I32+'8'!I32+'9'!I32+'10'!I32+'11'!I32+'12'!I32+'13'!I32+'14'!I32+'15'!I32+'16'!I32+'17'!I32+'18'!I32+'19'!I32+'20'!I32+'21'!I32+'22'!I32+'23'!I32+'24'!I32+'25'!I32+'26'!I32+'27'!I32</f>
        <v>2113200</v>
      </c>
      <c r="G30" s="114">
        <f ca="1">+'1'!J32+'2'!J32+'3'!J32+'4'!J32+'5'!J32+'6'!J32+'7'!J32+'8'!J32+'9'!J32+'10'!J32+'11'!J32+'12'!J32+'13'!J32+'14'!J32+'15'!J32+'16'!J32+'17'!J32+'18'!J32+'19'!J32+'20'!J32+'21'!J32+'22'!J32+'23'!J32+'24'!J32+'25'!J32+'26'!J32+'27'!J32</f>
        <v>0</v>
      </c>
      <c r="H30" s="114">
        <f ca="1">+'1'!K32+'2'!K32+'3'!K32+'4'!K32+'5'!K32+'6'!K32+'7'!K32+'8'!K32+'9'!K32+'10'!K32+'11'!K32+'12'!K32+'13'!K32+'14'!K32+'15'!K32+'16'!K32+'17'!K32+'18'!K32+'19'!K32+'20'!K32+'21'!K32+'22'!K32+'23'!K32+'24'!K32+'25'!K32+'26'!K32+'27'!K32</f>
        <v>2113200</v>
      </c>
      <c r="I30" s="114">
        <f ca="1">+'1'!M32+'2'!M32+'3'!M32+'4'!M32+'5'!M32+'6'!M32+'7'!M32+'8'!M32+'9'!M32+'10'!M32+'11'!M32+'12'!M32+'13'!M32+'14'!M32+'15'!M32+'16'!M32+'17'!M32+'18'!M32+'19'!M32+'20'!M32+'21'!M32+'22'!M32+'23'!M32+'24'!M32+'25'!M32+'26'!M32+'27'!M32</f>
        <v>-889200</v>
      </c>
    </row>
    <row r="31" spans="1:12">
      <c r="A31" s="64">
        <f>+'Taxes RCA 2022'!A26</f>
        <v>21</v>
      </c>
      <c r="B31" s="68" t="str">
        <f>+'Taxes RCA 2022'!B26</f>
        <v>Droits fixes (sur l'octroi, renouvellement, transfert) (+)</v>
      </c>
      <c r="C31" s="165">
        <f>+'1'!E33+'2'!E33+'3'!E33+'4'!E33+'5'!E33+'6'!E33+'7'!E33+'8'!E33+'9'!E33+'10'!E33+'11'!E33+'12'!E33+'13'!E33+'14'!E33+'15'!E33+'16'!E33+'17'!E33+'18'!E33+'19'!E33+'20'!E33+'21'!E33+'22'!E33+'23'!E33+'24'!E33+'25'!E33+'26'!E33+'27'!E33</f>
        <v>0</v>
      </c>
      <c r="D31" s="165">
        <f>+'1'!F33+'2'!F33+'3'!F33+'4'!F33+'5'!F33+'6'!F33+'7'!F33+'8'!F33+'9'!F33+'10'!F33+'11'!F33+'12'!F33+'13'!F33+'14'!F33+'15'!F33+'16'!F33+'17'!F33+'18'!F33+'19'!F33+'20'!F33+'21'!F33+'22'!F33+'23'!F33+'24'!F33+'25'!F33+'26'!F33+'27'!F33</f>
        <v>0</v>
      </c>
      <c r="E31" s="165">
        <f>+'1'!G33+'2'!G33+'3'!G33+'4'!G33+'5'!G33+'6'!G33+'7'!G33+'8'!G33+'9'!G33+'10'!G33+'11'!G33+'12'!G33+'13'!G33+'14'!G33+'15'!G33+'16'!G33+'17'!G33+'18'!G33+'19'!G33+'20'!G33+'21'!G33+'22'!G33+'23'!G33+'24'!G33+'25'!G33+'26'!G33+'27'!G33</f>
        <v>0</v>
      </c>
      <c r="F31" s="165">
        <f>+'1'!I33+'2'!I33+'3'!I33+'4'!I33+'5'!I33+'6'!I33+'7'!I33+'8'!I33+'9'!I33+'10'!I33+'11'!I33+'12'!I33+'13'!I33+'14'!I33+'15'!I33+'16'!I33+'17'!I33+'18'!I33+'19'!I33+'20'!I33+'21'!I33+'22'!I33+'23'!I33+'24'!I33+'25'!I33+'26'!I33+'27'!I33</f>
        <v>0</v>
      </c>
      <c r="G31" s="165">
        <f ca="1">+'1'!J33+'2'!J33+'3'!J33+'4'!J33+'5'!J33+'6'!J33+'7'!J33+'8'!J33+'9'!J33+'10'!J33+'11'!J33+'12'!J33+'13'!J33+'14'!J33+'15'!J33+'16'!J33+'17'!J33+'18'!J33+'19'!J33+'20'!J33+'21'!J33+'22'!J33+'23'!J33+'24'!J33+'25'!J33+'26'!J33+'27'!J33</f>
        <v>0</v>
      </c>
      <c r="H31" s="165">
        <f ca="1">+'1'!K33+'2'!K33+'3'!K33+'4'!K33+'5'!K33+'6'!K33+'7'!K33+'8'!K33+'9'!K33+'10'!K33+'11'!K33+'12'!K33+'13'!K33+'14'!K33+'15'!K33+'16'!K33+'17'!K33+'18'!K33+'19'!K33+'20'!K33+'21'!K33+'22'!K33+'23'!K33+'24'!K33+'25'!K33+'26'!K33+'27'!K33</f>
        <v>0</v>
      </c>
      <c r="I31" s="165">
        <f ca="1">+'1'!M33+'2'!M33+'3'!M33+'4'!M33+'5'!M33+'6'!M33+'7'!M33+'8'!M33+'9'!M33+'10'!M33+'11'!M33+'12'!M33+'13'!M33+'14'!M33+'15'!M33+'16'!M33+'17'!M33+'18'!M33+'19'!M33+'20'!M33+'21'!M33+'22'!M33+'23'!M33+'24'!M33+'25'!M33+'26'!M33+'27'!M33</f>
        <v>0</v>
      </c>
    </row>
    <row r="32" spans="1:12" s="20" customFormat="1" ht="24">
      <c r="A32" s="53">
        <f>+'Taxes RCA 2022'!A27</f>
        <v>22</v>
      </c>
      <c r="B32" s="171" t="str">
        <f>+'Taxes RCA 2022'!B27</f>
        <v>Les redevances proportionnelles ou royalties sur les autorisations d'exploitation de carrière et les exploitations des mines (+)</v>
      </c>
      <c r="C32" s="114">
        <f>+'1'!E34+'2'!E34+'3'!E34+'4'!E34+'5'!E34+'6'!E34+'7'!E34+'8'!E34+'9'!E34+'10'!E34+'11'!E34+'12'!E34+'13'!E34+'14'!E34+'15'!E34+'16'!E34+'17'!E34+'18'!E34+'19'!E34+'20'!E34+'21'!E34+'22'!E34+'23'!E34+'24'!E34+'25'!E34+'26'!E34+'27'!E34</f>
        <v>0</v>
      </c>
      <c r="D32" s="114">
        <f>+'1'!F34+'2'!F34+'3'!F34+'4'!F34+'5'!F34+'6'!F34+'7'!F34+'8'!F34+'9'!F34+'10'!F34+'11'!F34+'12'!F34+'13'!F34+'14'!F34+'15'!F34+'16'!F34+'17'!F34+'18'!F34+'19'!F34+'20'!F34+'21'!F34+'22'!F34+'23'!F34+'24'!F34+'25'!F34+'26'!F34+'27'!F34</f>
        <v>0</v>
      </c>
      <c r="E32" s="114">
        <f>+'1'!G34+'2'!G34+'3'!G34+'4'!G34+'5'!G34+'6'!G34+'7'!G34+'8'!G34+'9'!G34+'10'!G34+'11'!G34+'12'!G34+'13'!G34+'14'!G34+'15'!G34+'16'!G34+'17'!G34+'18'!G34+'19'!G34+'20'!G34+'21'!G34+'22'!G34+'23'!G34+'24'!G34+'25'!G34+'26'!G34+'27'!G34</f>
        <v>0</v>
      </c>
      <c r="F32" s="114">
        <f>+'1'!I34+'2'!I34+'3'!I34+'4'!I34+'5'!I34+'6'!I34+'7'!I34+'8'!I34+'9'!I34+'10'!I34+'11'!I34+'12'!I34+'13'!I34+'14'!I34+'15'!I34+'16'!I34+'17'!I34+'18'!I34+'19'!I34+'20'!I34+'21'!I34+'22'!I34+'23'!I34+'24'!I34+'25'!I34+'26'!I34+'27'!I34</f>
        <v>0</v>
      </c>
      <c r="G32" s="114">
        <f ca="1">+'1'!J34+'2'!J34+'3'!J34+'4'!J34+'5'!J34+'6'!J34+'7'!J34+'8'!J34+'9'!J34+'10'!J34+'11'!J34+'12'!J34+'13'!J34+'14'!J34+'15'!J34+'16'!J34+'17'!J34+'18'!J34+'19'!J34+'20'!J34+'21'!J34+'22'!J34+'23'!J34+'24'!J34+'25'!J34+'26'!J34+'27'!J34</f>
        <v>0</v>
      </c>
      <c r="H32" s="114">
        <f ca="1">+'1'!K34+'2'!K34+'3'!K34+'4'!K34+'5'!K34+'6'!K34+'7'!K34+'8'!K34+'9'!K34+'10'!K34+'11'!K34+'12'!K34+'13'!K34+'14'!K34+'15'!K34+'16'!K34+'17'!K34+'18'!K34+'19'!K34+'20'!K34+'21'!K34+'22'!K34+'23'!K34+'24'!K34+'25'!K34+'26'!K34+'27'!K34</f>
        <v>0</v>
      </c>
      <c r="I32" s="114">
        <f ca="1">+'1'!M34+'2'!M34+'3'!M34+'4'!M34+'5'!M34+'6'!M34+'7'!M34+'8'!M34+'9'!M34+'10'!M34+'11'!M34+'12'!M34+'13'!M34+'14'!M34+'15'!M34+'16'!M34+'17'!M34+'18'!M34+'19'!M34+'20'!M34+'21'!M34+'22'!M34+'23'!M34+'24'!M34+'25'!M34+'26'!M34+'27'!M34</f>
        <v>0</v>
      </c>
    </row>
    <row r="33" spans="1:9">
      <c r="A33" s="64">
        <f>+'Taxes RCA 2022'!A28</f>
        <v>23</v>
      </c>
      <c r="B33" s="68" t="str">
        <f>+'Taxes RCA 2022'!B28</f>
        <v>Impôt sur les revenus des capitaux mobiliers (RCM) (+)</v>
      </c>
      <c r="C33" s="165">
        <f>+'1'!E35+'2'!E35+'3'!E35+'4'!E35+'5'!E35+'6'!E35+'7'!E35+'8'!E35+'9'!E35+'10'!E35+'11'!E35+'12'!E35+'13'!E35+'14'!E35+'15'!E35+'16'!E35+'17'!E35+'18'!E35+'19'!E35+'20'!E35+'21'!E35+'22'!E35+'23'!E35+'24'!E35+'25'!E35+'26'!E35+'27'!E35</f>
        <v>0</v>
      </c>
      <c r="D33" s="165">
        <f>+'1'!F35+'2'!F35+'3'!F35+'4'!F35+'5'!F35+'6'!F35+'7'!F35+'8'!F35+'9'!F35+'10'!F35+'11'!F35+'12'!F35+'13'!F35+'14'!F35+'15'!F35+'16'!F35+'17'!F35+'18'!F35+'19'!F35+'20'!F35+'21'!F35+'22'!F35+'23'!F35+'24'!F35+'25'!F35+'26'!F35+'27'!F35</f>
        <v>0</v>
      </c>
      <c r="E33" s="165">
        <f>+'1'!G35+'2'!G35+'3'!G35+'4'!G35+'5'!G35+'6'!G35+'7'!G35+'8'!G35+'9'!G35+'10'!G35+'11'!G35+'12'!G35+'13'!G35+'14'!G35+'15'!G35+'16'!G35+'17'!G35+'18'!G35+'19'!G35+'20'!G35+'21'!G35+'22'!G35+'23'!G35+'24'!G35+'25'!G35+'26'!G35+'27'!G35</f>
        <v>0</v>
      </c>
      <c r="F33" s="165">
        <f>+'1'!I35+'2'!I35+'3'!I35+'4'!I35+'5'!I35+'6'!I35+'7'!I35+'8'!I35+'9'!I35+'10'!I35+'11'!I35+'12'!I35+'13'!I35+'14'!I35+'15'!I35+'16'!I35+'17'!I35+'18'!I35+'19'!I35+'20'!I35+'21'!I35+'22'!I35+'23'!I35+'24'!I35+'25'!I35+'26'!I35+'27'!I35</f>
        <v>0</v>
      </c>
      <c r="G33" s="165">
        <f ca="1">+'1'!J35+'2'!J35+'3'!J35+'4'!J35+'5'!J35+'6'!J35+'7'!J35+'8'!J35+'9'!J35+'10'!J35+'11'!J35+'12'!J35+'13'!J35+'14'!J35+'15'!J35+'16'!J35+'17'!J35+'18'!J35+'19'!J35+'20'!J35+'21'!J35+'22'!J35+'23'!J35+'24'!J35+'25'!J35+'26'!J35+'27'!J35</f>
        <v>0</v>
      </c>
      <c r="H33" s="165">
        <f ca="1">+'1'!K35+'2'!K35+'3'!K35+'4'!K35+'5'!K35+'6'!K35+'7'!K35+'8'!K35+'9'!K35+'10'!K35+'11'!K35+'12'!K35+'13'!K35+'14'!K35+'15'!K35+'16'!K35+'17'!K35+'18'!K35+'19'!K35+'20'!K35+'21'!K35+'22'!K35+'23'!K35+'24'!K35+'25'!K35+'26'!K35+'27'!K35</f>
        <v>0</v>
      </c>
      <c r="I33" s="165">
        <f ca="1">+'1'!M35+'2'!M35+'3'!M35+'4'!M35+'5'!M35+'6'!M35+'7'!M35+'8'!M35+'9'!M35+'10'!M35+'11'!M35+'12'!M35+'13'!M35+'14'!M35+'15'!M35+'16'!M35+'17'!M35+'18'!M35+'19'!M35+'20'!M35+'21'!M35+'22'!M35+'23'!M35+'24'!M35+'25'!M35+'26'!M35+'27'!M35</f>
        <v>0</v>
      </c>
    </row>
    <row r="34" spans="1:9">
      <c r="A34" s="53">
        <f>+'Taxes RCA 2022'!A29</f>
        <v>24</v>
      </c>
      <c r="B34" s="18" t="str">
        <f>+'Taxes RCA 2022'!B29</f>
        <v>Taxe de Développement Artisanal (TDA) (+)</v>
      </c>
      <c r="C34" s="114">
        <f>+'1'!E36+'2'!E36+'3'!E36+'4'!E36+'5'!E36+'6'!E36+'7'!E36+'8'!E36+'9'!E36+'10'!E36+'11'!E36+'12'!E36+'13'!E36+'14'!E36+'15'!E36+'16'!E36+'17'!E36+'18'!E36+'19'!E36+'20'!E36+'21'!E36+'22'!E36+'23'!E36+'24'!E36+'25'!E36+'26'!E36+'27'!E36</f>
        <v>0</v>
      </c>
      <c r="D34" s="114">
        <f>+'1'!F36+'2'!F36+'3'!F36+'4'!F36+'5'!F36+'6'!F36+'7'!F36+'8'!F36+'9'!F36+'10'!F36+'11'!F36+'12'!F36+'13'!F36+'14'!F36+'15'!F36+'16'!F36+'17'!F36+'18'!F36+'19'!F36+'20'!F36+'21'!F36+'22'!F36+'23'!F36+'24'!F36+'25'!F36+'26'!F36+'27'!F36</f>
        <v>0</v>
      </c>
      <c r="E34" s="114">
        <f>+'1'!G36+'2'!G36+'3'!G36+'4'!G36+'5'!G36+'6'!G36+'7'!G36+'8'!G36+'9'!G36+'10'!G36+'11'!G36+'12'!G36+'13'!G36+'14'!G36+'15'!G36+'16'!G36+'17'!G36+'18'!G36+'19'!G36+'20'!G36+'21'!G36+'22'!G36+'23'!G36+'24'!G36+'25'!G36+'26'!G36+'27'!G36</f>
        <v>0</v>
      </c>
      <c r="F34" s="114">
        <f>+'1'!I36+'2'!I36+'3'!I36+'4'!I36+'5'!I36+'6'!I36+'7'!I36+'8'!I36+'9'!I36+'10'!I36+'11'!I36+'12'!I36+'13'!I36+'14'!I36+'15'!I36+'16'!I36+'17'!I36+'18'!I36+'19'!I36+'20'!I36+'21'!I36+'22'!I36+'23'!I36+'24'!I36+'25'!I36+'26'!I36+'27'!I36</f>
        <v>0</v>
      </c>
      <c r="G34" s="114">
        <f ca="1">+'1'!J36+'2'!J36+'3'!J36+'4'!J36+'5'!J36+'6'!J36+'7'!J36+'8'!J36+'9'!J36+'10'!J36+'11'!J36+'12'!J36+'13'!J36+'14'!J36+'15'!J36+'16'!J36+'17'!J36+'18'!J36+'19'!J36+'20'!J36+'21'!J36+'22'!J36+'23'!J36+'24'!J36+'25'!J36+'26'!J36+'27'!J36</f>
        <v>0</v>
      </c>
      <c r="H34" s="114">
        <f ca="1">+'1'!K36+'2'!K36+'3'!K36+'4'!K36+'5'!K36+'6'!K36+'7'!K36+'8'!K36+'9'!K36+'10'!K36+'11'!K36+'12'!K36+'13'!K36+'14'!K36+'15'!K36+'16'!K36+'17'!K36+'18'!K36+'19'!K36+'20'!K36+'21'!K36+'22'!K36+'23'!K36+'24'!K36+'25'!K36+'26'!K36+'27'!K36</f>
        <v>0</v>
      </c>
      <c r="I34" s="114">
        <f ca="1">+'1'!M36+'2'!M36+'3'!M36+'4'!M36+'5'!M36+'6'!M36+'7'!M36+'8'!M36+'9'!M36+'10'!M36+'11'!M36+'12'!M36+'13'!M36+'14'!M36+'15'!M36+'16'!M36+'17'!M36+'18'!M36+'19'!M36+'20'!M36+'21'!M36+'22'!M36+'23'!M36+'24'!M36+'25'!M36+'26'!M36+'27'!M36</f>
        <v>0</v>
      </c>
    </row>
    <row r="35" spans="1:9">
      <c r="A35" s="64">
        <f>+'Taxes RCA 2022'!A30</f>
        <v>25</v>
      </c>
      <c r="B35" s="68" t="str">
        <f>+'Taxes RCA 2022'!B30</f>
        <v>Amendes et pénalités payées à la DGID (+)</v>
      </c>
      <c r="C35" s="165">
        <f>+'1'!E37+'2'!E37+'3'!E37+'4'!E37+'5'!E37+'6'!E37+'7'!E37+'8'!E37+'9'!E37+'10'!E37+'11'!E37+'12'!E37+'13'!E37+'14'!E37+'15'!E37+'16'!E37+'17'!E37+'18'!E37+'19'!E37+'20'!E37+'21'!E37+'22'!E37+'23'!E37+'24'!E37+'25'!E37+'26'!E37+'27'!E37</f>
        <v>0</v>
      </c>
      <c r="D35" s="165">
        <f>+'1'!F37+'2'!F37+'3'!F37+'4'!F37+'5'!F37+'6'!F37+'7'!F37+'8'!F37+'9'!F37+'10'!F37+'11'!F37+'12'!F37+'13'!F37+'14'!F37+'15'!F37+'16'!F37+'17'!F37+'18'!F37+'19'!F37+'20'!F37+'21'!F37+'22'!F37+'23'!F37+'24'!F37+'25'!F37+'26'!F37+'27'!F37</f>
        <v>2500000</v>
      </c>
      <c r="E35" s="165">
        <f>+'1'!G37+'2'!G37+'3'!G37+'4'!G37+'5'!G37+'6'!G37+'7'!G37+'8'!G37+'9'!G37+'10'!G37+'11'!G37+'12'!G37+'13'!G37+'14'!G37+'15'!G37+'16'!G37+'17'!G37+'18'!G37+'19'!G37+'20'!G37+'21'!G37+'22'!G37+'23'!G37+'24'!G37+'25'!G37+'26'!G37+'27'!G37</f>
        <v>2500000</v>
      </c>
      <c r="F35" s="165">
        <f>+'1'!I37+'2'!I37+'3'!I37+'4'!I37+'5'!I37+'6'!I37+'7'!I37+'8'!I37+'9'!I37+'10'!I37+'11'!I37+'12'!I37+'13'!I37+'14'!I37+'15'!I37+'16'!I37+'17'!I37+'18'!I37+'19'!I37+'20'!I37+'21'!I37+'22'!I37+'23'!I37+'24'!I37+'25'!I37+'26'!I37+'27'!I37</f>
        <v>0</v>
      </c>
      <c r="G35" s="165">
        <f ca="1">+'1'!J37+'2'!J37+'3'!J37+'4'!J37+'5'!J37+'6'!J37+'7'!J37+'8'!J37+'9'!J37+'10'!J37+'11'!J37+'12'!J37+'13'!J37+'14'!J37+'15'!J37+'16'!J37+'17'!J37+'18'!J37+'19'!J37+'20'!J37+'21'!J37+'22'!J37+'23'!J37+'24'!J37+'25'!J37+'26'!J37+'27'!J37</f>
        <v>0</v>
      </c>
      <c r="H35" s="165">
        <f ca="1">+'1'!K37+'2'!K37+'3'!K37+'4'!K37+'5'!K37+'6'!K37+'7'!K37+'8'!K37+'9'!K37+'10'!K37+'11'!K37+'12'!K37+'13'!K37+'14'!K37+'15'!K37+'16'!K37+'17'!K37+'18'!K37+'19'!K37+'20'!K37+'21'!K37+'22'!K37+'23'!K37+'24'!K37+'25'!K37+'26'!K37+'27'!K37</f>
        <v>0</v>
      </c>
      <c r="I35" s="165">
        <f ca="1">+'1'!M37+'2'!M37+'3'!M37+'4'!M37+'5'!M37+'6'!M37+'7'!M37+'8'!M37+'9'!M37+'10'!M37+'11'!M37+'12'!M37+'13'!M37+'14'!M37+'15'!M37+'16'!M37+'17'!M37+'18'!M37+'19'!M37+'20'!M37+'21'!M37+'22'!M37+'23'!M37+'24'!M37+'25'!M37+'26'!M37+'27'!M37</f>
        <v>2500000</v>
      </c>
    </row>
    <row r="36" spans="1:9">
      <c r="A36" s="53">
        <f>+'Taxes RCA 2022'!A31</f>
        <v>26</v>
      </c>
      <c r="B36" s="18" t="str">
        <f>+'Taxes RCA 2022'!B31</f>
        <v>Redevance de déboisement (+)</v>
      </c>
      <c r="C36" s="114">
        <f>+'1'!E38+'2'!E38+'3'!E38+'4'!E38+'5'!E38+'6'!E38+'7'!E38+'8'!E38+'9'!E38+'10'!E38+'11'!E38+'12'!E38+'13'!E38+'14'!E38+'15'!E38+'16'!E38+'17'!E38+'18'!E38+'19'!E38+'20'!E38+'21'!E38+'22'!E38+'23'!E38+'24'!E38+'25'!E38+'26'!E38+'27'!E38</f>
        <v>0</v>
      </c>
      <c r="D36" s="114">
        <f>+'1'!F38+'2'!F38+'3'!F38+'4'!F38+'5'!F38+'6'!F38+'7'!F38+'8'!F38+'9'!F38+'10'!F38+'11'!F38+'12'!F38+'13'!F38+'14'!F38+'15'!F38+'16'!F38+'17'!F38+'18'!F38+'19'!F38+'20'!F38+'21'!F38+'22'!F38+'23'!F38+'24'!F38+'25'!F38+'26'!F38+'27'!F38</f>
        <v>0</v>
      </c>
      <c r="E36" s="114">
        <f>+'1'!G38+'2'!G38+'3'!G38+'4'!G38+'5'!G38+'6'!G38+'7'!G38+'8'!G38+'9'!G38+'10'!G38+'11'!G38+'12'!G38+'13'!G38+'14'!G38+'15'!G38+'16'!G38+'17'!G38+'18'!G38+'19'!G38+'20'!G38+'21'!G38+'22'!G38+'23'!G38+'24'!G38+'25'!G38+'26'!G38+'27'!G38</f>
        <v>0</v>
      </c>
      <c r="F36" s="114">
        <f>+'1'!I38+'2'!I38+'3'!I38+'4'!I38+'5'!I38+'6'!I38+'7'!I38+'8'!I38+'9'!I38+'10'!I38+'11'!I38+'12'!I38+'13'!I38+'14'!I38+'15'!I38+'16'!I38+'17'!I38+'18'!I38+'19'!I38+'20'!I38+'21'!I38+'22'!I38+'23'!I38+'24'!I38+'25'!I38+'26'!I38+'27'!I38</f>
        <v>338343134</v>
      </c>
      <c r="G36" s="114">
        <f ca="1">+'1'!J38+'2'!J38+'3'!J38+'4'!J38+'5'!J38+'6'!J38+'7'!J38+'8'!J38+'9'!J38+'10'!J38+'11'!J38+'12'!J38+'13'!J38+'14'!J38+'15'!J38+'16'!J38+'17'!J38+'18'!J38+'19'!J38+'20'!J38+'21'!J38+'22'!J38+'23'!J38+'24'!J38+'25'!J38+'26'!J38+'27'!J38</f>
        <v>-338343134</v>
      </c>
      <c r="H36" s="114">
        <f ca="1">+'1'!K38+'2'!K38+'3'!K38+'4'!K38+'5'!K38+'6'!K38+'7'!K38+'8'!K38+'9'!K38+'10'!K38+'11'!K38+'12'!K38+'13'!K38+'14'!K38+'15'!K38+'16'!K38+'17'!K38+'18'!K38+'19'!K38+'20'!K38+'21'!K38+'22'!K38+'23'!K38+'24'!K38+'25'!K38+'26'!K38+'27'!K38</f>
        <v>0</v>
      </c>
      <c r="I36" s="114">
        <f ca="1">+'1'!M38+'2'!M38+'3'!M38+'4'!M38+'5'!M38+'6'!M38+'7'!M38+'8'!M38+'9'!M38+'10'!M38+'11'!M38+'12'!M38+'13'!M38+'14'!M38+'15'!M38+'16'!M38+'17'!M38+'18'!M38+'19'!M38+'20'!M38+'21'!M38+'22'!M38+'23'!M38+'24'!M38+'25'!M38+'26'!M38+'27'!M38</f>
        <v>0</v>
      </c>
    </row>
    <row r="37" spans="1:9">
      <c r="A37" s="64">
        <f>+'Taxes RCA 2022'!A32</f>
        <v>27</v>
      </c>
      <c r="B37" s="68" t="str">
        <f>+'Taxes RCA 2022'!B32</f>
        <v>Redevance de pré reconnaissance (+)</v>
      </c>
      <c r="C37" s="165">
        <f>+'1'!E39+'2'!E39+'3'!E39+'4'!E39+'5'!E39+'6'!E39+'7'!E39+'8'!E39+'9'!E39+'10'!E39+'11'!E39+'12'!E39+'13'!E39+'14'!E39+'15'!E39+'16'!E39+'17'!E39+'18'!E39+'19'!E39+'20'!E39+'21'!E39+'22'!E39+'23'!E39+'24'!E39+'25'!E39+'26'!E39+'27'!E39</f>
        <v>0</v>
      </c>
      <c r="D37" s="165">
        <f>+'1'!F39+'2'!F39+'3'!F39+'4'!F39+'5'!F39+'6'!F39+'7'!F39+'8'!F39+'9'!F39+'10'!F39+'11'!F39+'12'!F39+'13'!F39+'14'!F39+'15'!F39+'16'!F39+'17'!F39+'18'!F39+'19'!F39+'20'!F39+'21'!F39+'22'!F39+'23'!F39+'24'!F39+'25'!F39+'26'!F39+'27'!F39</f>
        <v>0</v>
      </c>
      <c r="E37" s="165">
        <f>+'1'!G39+'2'!G39+'3'!G39+'4'!G39+'5'!G39+'6'!G39+'7'!G39+'8'!G39+'9'!G39+'10'!G39+'11'!G39+'12'!G39+'13'!G39+'14'!G39+'15'!G39+'16'!G39+'17'!G39+'18'!G39+'19'!G39+'20'!G39+'21'!G39+'22'!G39+'23'!G39+'24'!G39+'25'!G39+'26'!G39+'27'!G39</f>
        <v>0</v>
      </c>
      <c r="F37" s="165">
        <f>+'1'!I39+'2'!I39+'3'!I39+'4'!I39+'5'!I39+'6'!I39+'7'!I39+'8'!I39+'9'!I39+'10'!I39+'11'!I39+'12'!I39+'13'!I39+'14'!I39+'15'!I39+'16'!I39+'17'!I39+'18'!I39+'19'!I39+'20'!I39+'21'!I39+'22'!I39+'23'!I39+'24'!I39+'25'!I39+'26'!I39+'27'!I39</f>
        <v>0</v>
      </c>
      <c r="G37" s="165">
        <f ca="1">+'1'!J39+'2'!J39+'3'!J39+'4'!J39+'5'!J39+'6'!J39+'7'!J39+'8'!J39+'9'!J39+'10'!J39+'11'!J39+'12'!J39+'13'!J39+'14'!J39+'15'!J39+'16'!J39+'17'!J39+'18'!J39+'19'!J39+'20'!J39+'21'!J39+'22'!J39+'23'!J39+'24'!J39+'25'!J39+'26'!J39+'27'!J39</f>
        <v>0</v>
      </c>
      <c r="H37" s="165">
        <f ca="1">+'1'!K39+'2'!K39+'3'!K39+'4'!K39+'5'!K39+'6'!K39+'7'!K39+'8'!K39+'9'!K39+'10'!K39+'11'!K39+'12'!K39+'13'!K39+'14'!K39+'15'!K39+'16'!K39+'17'!K39+'18'!K39+'19'!K39+'20'!K39+'21'!K39+'22'!K39+'23'!K39+'24'!K39+'25'!K39+'26'!K39+'27'!K39</f>
        <v>0</v>
      </c>
      <c r="I37" s="165">
        <f ca="1">+'1'!M39+'2'!M39+'3'!M39+'4'!M39+'5'!M39+'6'!M39+'7'!M39+'8'!M39+'9'!M39+'10'!M39+'11'!M39+'12'!M39+'13'!M39+'14'!M39+'15'!M39+'16'!M39+'17'!M39+'18'!M39+'19'!M39+'20'!M39+'21'!M39+'22'!M39+'23'!M39+'24'!M39+'25'!M39+'26'!M39+'27'!M39</f>
        <v>0</v>
      </c>
    </row>
    <row r="38" spans="1:9">
      <c r="A38" s="163"/>
      <c r="B38" s="58" t="str">
        <f>+'Taxes RCA 2022'!B33</f>
        <v>DGTCP (MMG)</v>
      </c>
      <c r="C38" s="166">
        <f>+'1'!E40+'2'!E40+'3'!E40+'4'!E40+'5'!E40+'6'!E40+'7'!E40+'8'!E40+'9'!E40+'10'!E40+'11'!E40+'12'!E40+'13'!E40+'14'!E40+'15'!E40+'16'!E40+'17'!E40+'18'!E40+'19'!E40+'20'!E40+'21'!E40+'22'!E40+'23'!E40+'24'!E40+'25'!E40+'26'!E40+'27'!E40</f>
        <v>58809993</v>
      </c>
      <c r="D38" s="166">
        <f>+'1'!F40+'2'!F40+'3'!F40+'4'!F40+'5'!F40+'6'!F40+'7'!F40+'8'!F40+'9'!F40+'10'!F40+'11'!F40+'12'!F40+'13'!F40+'14'!F40+'15'!F40+'16'!F40+'17'!F40+'18'!F40+'19'!F40+'20'!F40+'21'!F40+'22'!F40+'23'!F40+'24'!F40+'25'!F40+'26'!F40+'27'!F40</f>
        <v>1307838.05</v>
      </c>
      <c r="E38" s="166">
        <f>+'1'!G40+'2'!G40+'3'!G40+'4'!G40+'5'!G40+'6'!G40+'7'!G40+'8'!G40+'9'!G40+'10'!G40+'11'!G40+'12'!G40+'13'!G40+'14'!G40+'15'!G40+'16'!G40+'17'!G40+'18'!G40+'19'!G40+'20'!G40+'21'!G40+'22'!G40+'23'!G40+'24'!G40+'25'!G40+'26'!G40+'27'!G40</f>
        <v>60117831.049999997</v>
      </c>
      <c r="F38" s="166">
        <f>+'1'!I40+'2'!I40+'3'!I40+'4'!I40+'5'!I40+'6'!I40+'7'!I40+'8'!I40+'9'!I40+'10'!I40+'11'!I40+'12'!I40+'13'!I40+'14'!I40+'15'!I40+'16'!I40+'17'!I40+'18'!I40+'19'!I40+'20'!I40+'21'!I40+'22'!I40+'23'!I40+'24'!I40+'25'!I40+'26'!I40+'27'!I40</f>
        <v>338543352.875</v>
      </c>
      <c r="G38" s="166">
        <f ca="1">+'1'!J40+'2'!J40+'3'!J40+'4'!J40+'5'!J40+'6'!J40+'7'!J40+'8'!J40+'9'!J40+'10'!J40+'11'!J40+'12'!J40+'13'!J40+'14'!J40+'15'!J40+'16'!J40+'17'!J40+'18'!J40+'19'!J40+'20'!J40+'21'!J40+'22'!J40+'23'!J40+'24'!J40+'25'!J40+'26'!J40+'27'!J40</f>
        <v>103113000</v>
      </c>
      <c r="H38" s="166">
        <f ca="1">+'1'!K40+'2'!K40+'3'!K40+'4'!K40+'5'!K40+'6'!K40+'7'!K40+'8'!K40+'9'!K40+'10'!K40+'11'!K40+'12'!K40+'13'!K40+'14'!K40+'15'!K40+'16'!K40+'17'!K40+'18'!K40+'19'!K40+'20'!K40+'21'!K40+'22'!K40+'23'!K40+'24'!K40+'25'!K40+'26'!K40+'27'!K40</f>
        <v>441656352.875</v>
      </c>
      <c r="I38" s="166">
        <f ca="1">+'1'!M40+'2'!M40+'3'!M40+'4'!M40+'5'!M40+'6'!M40+'7'!M40+'8'!M40+'9'!M40+'10'!M40+'11'!M40+'12'!M40+'13'!M40+'14'!M40+'15'!M40+'16'!M40+'17'!M40+'18'!M40+'19'!M40+'20'!M40+'21'!M40+'22'!M40+'23'!M40+'24'!M40+'25'!M40+'26'!M40+'27'!M40</f>
        <v>-381538521.82500005</v>
      </c>
    </row>
    <row r="39" spans="1:9" ht="24">
      <c r="A39" s="53">
        <f>+'Taxes RCA 2022'!A34</f>
        <v>28</v>
      </c>
      <c r="B39" s="171" t="str">
        <f>+'Taxes RCA 2022'!B34</f>
        <v>Contribution à la formation professionnelle et à la formation des cadres de l'Administration des Mines (+)</v>
      </c>
      <c r="C39" s="114">
        <f>+'1'!E41+'2'!E41+'3'!E41+'4'!E41+'5'!E41+'6'!E41+'7'!E41+'8'!E41+'9'!E41+'10'!E41+'11'!E41+'12'!E41+'13'!E41+'14'!E41+'15'!E41+'16'!E41+'17'!E41+'18'!E41+'19'!E41+'20'!E41+'21'!E41+'22'!E41+'23'!E41+'24'!E41+'25'!E41+'26'!E41+'27'!E41</f>
        <v>0</v>
      </c>
      <c r="D39" s="114">
        <f>+'1'!F41+'2'!F41+'3'!F41+'4'!F41+'5'!F41+'6'!F41+'7'!F41+'8'!F41+'9'!F41+'10'!F41+'11'!F41+'12'!F41+'13'!F41+'14'!F41+'15'!F41+'16'!F41+'17'!F41+'18'!F41+'19'!F41+'20'!F41+'21'!F41+'22'!F41+'23'!F41+'24'!F41+'25'!F41+'26'!F41+'27'!F41</f>
        <v>0</v>
      </c>
      <c r="E39" s="114">
        <f>+'1'!G41+'2'!G41+'3'!G41+'4'!G41+'5'!G41+'6'!G41+'7'!G41+'8'!G41+'9'!G41+'10'!G41+'11'!G41+'12'!G41+'13'!G41+'14'!G41+'15'!G41+'16'!G41+'17'!G41+'18'!G41+'19'!G41+'20'!G41+'21'!G41+'22'!G41+'23'!G41+'24'!G41+'25'!G41+'26'!G41+'27'!G41</f>
        <v>0</v>
      </c>
      <c r="F39" s="114">
        <f>+'1'!I41+'2'!I41+'3'!I41+'4'!I41+'5'!I41+'6'!I41+'7'!I41+'8'!I41+'9'!I41+'10'!I41+'11'!I41+'12'!I41+'13'!I41+'14'!I41+'15'!I41+'16'!I41+'17'!I41+'18'!I41+'19'!I41+'20'!I41+'21'!I41+'22'!I41+'23'!I41+'24'!I41+'25'!I41+'26'!I41+'27'!I41</f>
        <v>0</v>
      </c>
      <c r="G39" s="114">
        <f ca="1">+'1'!J41+'2'!J41+'3'!J41+'4'!J41+'5'!J41+'6'!J41+'7'!J41+'8'!J41+'9'!J41+'10'!J41+'11'!J41+'12'!J41+'13'!J41+'14'!J41+'15'!J41+'16'!J41+'17'!J41+'18'!J41+'19'!J41+'20'!J41+'21'!J41+'22'!J41+'23'!J41+'24'!J41+'25'!J41+'26'!J41+'27'!J41</f>
        <v>0</v>
      </c>
      <c r="H39" s="114">
        <f ca="1">+'1'!K41+'2'!K41+'3'!K41+'4'!K41+'5'!K41+'6'!K41+'7'!K41+'8'!K41+'9'!K41+'10'!K41+'11'!K41+'12'!K41+'13'!K41+'14'!K41+'15'!K41+'16'!K41+'17'!K41+'18'!K41+'19'!K41+'20'!K41+'21'!K41+'22'!K41+'23'!K41+'24'!K41+'25'!K41+'26'!K41+'27'!K41</f>
        <v>0</v>
      </c>
      <c r="I39" s="114">
        <f ca="1">+'1'!M41+'2'!M41+'3'!M41+'4'!M41+'5'!M41+'6'!M41+'7'!M41+'8'!M41+'9'!M41+'10'!M41+'11'!M41+'12'!M41+'13'!M41+'14'!M41+'15'!M41+'16'!M41+'17'!M41+'18'!M41+'19'!M41+'20'!M41+'21'!M41+'22'!M41+'23'!M41+'24'!M41+'25'!M41+'26'!M41+'27'!M41</f>
        <v>0</v>
      </c>
    </row>
    <row r="40" spans="1:9">
      <c r="A40" s="64">
        <f>+'Taxes RCA 2022'!A35</f>
        <v>29</v>
      </c>
      <c r="B40" s="68" t="str">
        <f>+'Taxes RCA 2022'!B35</f>
        <v>Droits d'attributions</v>
      </c>
      <c r="C40" s="165">
        <f>+'1'!E42+'2'!E42+'3'!E42+'4'!E42+'5'!E42+'6'!E42+'7'!E42+'8'!E42+'9'!E42+'10'!E42+'11'!E42+'12'!E42+'13'!E42+'14'!E42+'15'!E42+'16'!E42+'17'!E42+'18'!E42+'19'!E42+'20'!E42+'21'!E42+'22'!E42+'23'!E42+'24'!E42+'25'!E42+'26'!E42+'27'!E42</f>
        <v>5600000</v>
      </c>
      <c r="D40" s="165">
        <f>+'1'!F42+'2'!F42+'3'!F42+'4'!F42+'5'!F42+'6'!F42+'7'!F42+'8'!F42+'9'!F42+'10'!F42+'11'!F42+'12'!F42+'13'!F42+'14'!F42+'15'!F42+'16'!F42+'17'!F42+'18'!F42+'19'!F42+'20'!F42+'21'!F42+'22'!F42+'23'!F42+'24'!F42+'25'!F42+'26'!F42+'27'!F42</f>
        <v>0</v>
      </c>
      <c r="E40" s="165">
        <f>+'1'!G42+'2'!G42+'3'!G42+'4'!G42+'5'!G42+'6'!G42+'7'!G42+'8'!G42+'9'!G42+'10'!G42+'11'!G42+'12'!G42+'13'!G42+'14'!G42+'15'!G42+'16'!G42+'17'!G42+'18'!G42+'19'!G42+'20'!G42+'21'!G42+'22'!G42+'23'!G42+'24'!G42+'25'!G42+'26'!G42+'27'!G42</f>
        <v>5600000</v>
      </c>
      <c r="F40" s="165">
        <f>+'1'!I42+'2'!I42+'3'!I42+'4'!I42+'5'!I42+'6'!I42+'7'!I42+'8'!I42+'9'!I42+'10'!I42+'11'!I42+'12'!I42+'13'!I42+'14'!I42+'15'!I42+'16'!I42+'17'!I42+'18'!I42+'19'!I42+'20'!I42+'21'!I42+'22'!I42+'23'!I42+'24'!I42+'25'!I42+'26'!I42+'27'!I42</f>
        <v>0</v>
      </c>
      <c r="G40" s="165">
        <f ca="1">+'1'!J42+'2'!J42+'3'!J42+'4'!J42+'5'!J42+'6'!J42+'7'!J42+'8'!J42+'9'!J42+'10'!J42+'11'!J42+'12'!J42+'13'!J42+'14'!J42+'15'!J42+'16'!J42+'17'!J42+'18'!J42+'19'!J42+'20'!J42+'21'!J42+'22'!J42+'23'!J42+'24'!J42+'25'!J42+'26'!J42+'27'!J42</f>
        <v>51000000</v>
      </c>
      <c r="H40" s="165">
        <f ca="1">+'1'!K42+'2'!K42+'3'!K42+'4'!K42+'5'!K42+'6'!K42+'7'!K42+'8'!K42+'9'!K42+'10'!K42+'11'!K42+'12'!K42+'13'!K42+'14'!K42+'15'!K42+'16'!K42+'17'!K42+'18'!K42+'19'!K42+'20'!K42+'21'!K42+'22'!K42+'23'!K42+'24'!K42+'25'!K42+'26'!K42+'27'!K42</f>
        <v>51000000</v>
      </c>
      <c r="I40" s="165">
        <f ca="1">+'1'!M42+'2'!M42+'3'!M42+'4'!M42+'5'!M42+'6'!M42+'7'!M42+'8'!M42+'9'!M42+'10'!M42+'11'!M42+'12'!M42+'13'!M42+'14'!M42+'15'!M42+'16'!M42+'17'!M42+'18'!M42+'19'!M42+'20'!M42+'21'!M42+'22'!M42+'23'!M42+'24'!M42+'25'!M42+'26'!M42+'27'!M42</f>
        <v>-45400000</v>
      </c>
    </row>
    <row r="41" spans="1:9">
      <c r="A41" s="53">
        <f>+'Taxes RCA 2022'!A71</f>
        <v>56</v>
      </c>
      <c r="B41" s="18" t="str">
        <f>+'Taxes RCA 2022'!B71</f>
        <v xml:space="preserve">Secrétariat permanent du processus de Kimberley (SPPK)  </v>
      </c>
      <c r="C41" s="114">
        <f>+'1'!E78+'2'!E78+'3'!E78+'4'!E78+'5'!E78+'6'!E78+'7'!E78+'8'!E78+'9'!E78+'10'!E78+'11'!E78+'12'!E78+'13'!E78+'14'!E78+'15'!E78+'16'!E78+'17'!E78+'18'!E78+'19'!E78+'20'!E78+'21'!E78+'22'!E78+'23'!E78+'24'!E78+'25'!E78+'26'!E78+'27'!E78</f>
        <v>37009993</v>
      </c>
      <c r="D41" s="114">
        <f>+'1'!F78+'2'!F78+'3'!F78+'4'!F78+'5'!F78+'6'!F78+'7'!F78+'8'!F78+'9'!F78+'10'!F78+'11'!F78+'12'!F78+'13'!F78+'14'!F78+'15'!F78+'16'!F78+'17'!F78+'18'!F78+'19'!F78+'20'!F78+'21'!F78+'22'!F78+'23'!F78+'24'!F78+'25'!F78+'26'!F78+'27'!F78</f>
        <v>0</v>
      </c>
      <c r="E41" s="114">
        <f>+'1'!G78+'2'!G78+'3'!G78+'4'!G78+'5'!G78+'6'!G78+'7'!G78+'8'!G78+'9'!G78+'10'!G78+'11'!G78+'12'!G78+'13'!G78+'14'!G78+'15'!G78+'16'!G78+'17'!G78+'18'!G78+'19'!G78+'20'!G78+'21'!G78+'22'!G78+'23'!G78+'24'!G78+'25'!G78+'26'!G78+'27'!G78</f>
        <v>37009993</v>
      </c>
      <c r="F41" s="114">
        <f>+'1'!I78+'2'!I78+'3'!I78+'4'!I78+'5'!I78+'6'!I78+'7'!I78+'8'!I78+'9'!I78+'10'!I78+'11'!I78+'12'!I78+'13'!I78+'14'!I78+'15'!I78+'16'!I78+'17'!I78+'18'!I78+'19'!I78+'20'!I78+'21'!I78+'22'!I78+'23'!I78+'24'!I78+'25'!I78+'26'!I78+'27'!I78</f>
        <v>39224744.905000001</v>
      </c>
      <c r="G41" s="114">
        <f ca="1">+'1'!J78+'2'!J78+'3'!J78+'4'!J78+'5'!J78+'6'!J78+'7'!J78+'8'!J78+'9'!J78+'10'!J78+'11'!J78+'12'!J78+'13'!J78+'14'!J78+'15'!J78+'16'!J78+'17'!J78+'18'!J78+'19'!J78+'20'!J78+'21'!J78+'22'!J78+'23'!J78+'24'!J78+'25'!J78+'26'!J78+'27'!J78</f>
        <v>0</v>
      </c>
      <c r="H41" s="114">
        <f ca="1">+'1'!K78+'2'!K78+'3'!K78+'4'!K78+'5'!K78+'6'!K78+'7'!K78+'8'!K78+'9'!K78+'10'!K78+'11'!K78+'12'!K78+'13'!K78+'14'!K78+'15'!K78+'16'!K78+'17'!K78+'18'!K78+'19'!K78+'20'!K78+'21'!K78+'22'!K78+'23'!K78+'24'!K78+'25'!K78+'26'!K78+'27'!K78</f>
        <v>39224744.905000001</v>
      </c>
      <c r="I41" s="114">
        <f ca="1">+'1'!M78+'2'!M78+'3'!M78+'4'!M78+'5'!M78+'6'!M78+'7'!M78+'8'!M78+'9'!M78+'10'!M78+'11'!M78+'12'!M78+'13'!M78+'14'!M78+'15'!M78+'16'!M78+'17'!M78+'18'!M78+'19'!M78+'20'!M78+'21'!M78+'22'!M78+'23'!M78+'24'!M78+'25'!M78+'26'!M78+'27'!M78</f>
        <v>-2214751.9049999984</v>
      </c>
    </row>
    <row r="42" spans="1:9">
      <c r="A42" s="64">
        <f>+'Taxes RCA 2022'!A36</f>
        <v>30</v>
      </c>
      <c r="B42" s="68" t="str">
        <f>+'Taxes RCA 2022'!B36</f>
        <v xml:space="preserve">Redevance superficiaire   </v>
      </c>
      <c r="C42" s="165">
        <f>+'1'!E43+'2'!E43+'3'!E43+'4'!E43+'5'!E43+'6'!E43+'7'!E43+'8'!E43+'9'!E43+'10'!E43+'11'!E43+'12'!E43+'13'!E43+'14'!E43+'15'!E43+'16'!E43+'17'!E43+'18'!E43+'19'!E43+'20'!E43+'21'!E43+'22'!E43+'23'!E43+'24'!E43+'25'!E43+'26'!E43+'27'!E43</f>
        <v>16200000</v>
      </c>
      <c r="D42" s="165">
        <f>+'1'!F43+'2'!F43+'3'!F43+'4'!F43+'5'!F43+'6'!F43+'7'!F43+'8'!F43+'9'!F43+'10'!F43+'11'!F43+'12'!F43+'13'!F43+'14'!F43+'15'!F43+'16'!F43+'17'!F43+'18'!F43+'19'!F43+'20'!F43+'21'!F43+'22'!F43+'23'!F43+'24'!F43+'25'!F43+'26'!F43+'27'!F43</f>
        <v>0</v>
      </c>
      <c r="E42" s="165">
        <f>+'1'!G43+'2'!G43+'3'!G43+'4'!G43+'5'!G43+'6'!G43+'7'!G43+'8'!G43+'9'!G43+'10'!G43+'11'!G43+'12'!G43+'13'!G43+'14'!G43+'15'!G43+'16'!G43+'17'!G43+'18'!G43+'19'!G43+'20'!G43+'21'!G43+'22'!G43+'23'!G43+'24'!G43+'25'!G43+'26'!G43+'27'!G43</f>
        <v>16200000</v>
      </c>
      <c r="F42" s="165">
        <f>+'1'!I43+'2'!I43+'3'!I43+'4'!I43+'5'!I43+'6'!I43+'7'!I43+'8'!I43+'9'!I43+'10'!I43+'11'!I43+'12'!I43+'13'!I43+'14'!I43+'15'!I43+'16'!I43+'17'!I43+'18'!I43+'19'!I43+'20'!I43+'21'!I43+'22'!I43+'23'!I43+'24'!I43+'25'!I43+'26'!I43+'27'!I43</f>
        <v>161574519</v>
      </c>
      <c r="G42" s="165">
        <f ca="1">+'1'!J43+'2'!J43+'3'!J43+'4'!J43+'5'!J43+'6'!J43+'7'!J43+'8'!J43+'9'!J43+'10'!J43+'11'!J43+'12'!J43+'13'!J43+'14'!J43+'15'!J43+'16'!J43+'17'!J43+'18'!J43+'19'!J43+'20'!J43+'21'!J43+'22'!J43+'23'!J43+'24'!J43+'25'!J43+'26'!J43+'27'!J43</f>
        <v>52113000</v>
      </c>
      <c r="H42" s="165">
        <f ca="1">+'1'!K43+'2'!K43+'3'!K43+'4'!K43+'5'!K43+'6'!K43+'7'!K43+'8'!K43+'9'!K43+'10'!K43+'11'!K43+'12'!K43+'13'!K43+'14'!K43+'15'!K43+'16'!K43+'17'!K43+'18'!K43+'19'!K43+'20'!K43+'21'!K43+'22'!K43+'23'!K43+'24'!K43+'25'!K43+'26'!K43+'27'!K43</f>
        <v>213687519</v>
      </c>
      <c r="I42" s="165">
        <f ca="1">+'1'!M43+'2'!M43+'3'!M43+'4'!M43+'5'!M43+'6'!M43+'7'!M43+'8'!M43+'9'!M43+'10'!M43+'11'!M43+'12'!M43+'13'!M43+'14'!M43+'15'!M43+'16'!M43+'17'!M43+'18'!M43+'19'!M43+'20'!M43+'21'!M43+'22'!M43+'23'!M43+'24'!M43+'25'!M43+'26'!M43+'27'!M43</f>
        <v>-197487519</v>
      </c>
    </row>
    <row r="43" spans="1:9">
      <c r="A43" s="53">
        <f>+'Taxes RCA 2022'!A37</f>
        <v>31</v>
      </c>
      <c r="B43" s="18" t="str">
        <f>+'Taxes RCA 2022'!B37</f>
        <v>Projet de développement du secteur minier (PDSM)</v>
      </c>
      <c r="C43" s="114">
        <f>+'1'!E44+'2'!E44+'3'!E44+'4'!E44+'5'!E44+'6'!E44+'7'!E44+'8'!E44+'9'!E44+'10'!E44+'11'!E44+'12'!E44+'13'!E44+'14'!E44+'15'!E44+'16'!E44+'17'!E44+'18'!E44+'19'!E44+'20'!E44+'21'!E44+'22'!E44+'23'!E44+'24'!E44+'25'!E44+'26'!E44+'27'!E44</f>
        <v>37009993</v>
      </c>
      <c r="D43" s="114">
        <f>+'1'!F44+'2'!F44+'3'!F44+'4'!F44+'5'!F44+'6'!F44+'7'!F44+'8'!F44+'9'!F44+'10'!F44+'11'!F44+'12'!F44+'13'!F44+'14'!F44+'15'!F44+'16'!F44+'17'!F44+'18'!F44+'19'!F44+'20'!F44+'21'!F44+'22'!F44+'23'!F44+'24'!F44+'25'!F44+'26'!F44+'27'!F44</f>
        <v>1307838.05</v>
      </c>
      <c r="E43" s="114">
        <f>+'1'!G44+'2'!G44+'3'!G44+'4'!G44+'5'!G44+'6'!G44+'7'!G44+'8'!G44+'9'!G44+'10'!G44+'11'!G44+'12'!G44+'13'!G44+'14'!G44+'15'!G44+'16'!G44+'17'!G44+'18'!G44+'19'!G44+'20'!G44+'21'!G44+'22'!G44+'23'!G44+'24'!G44+'25'!G44+'26'!G44+'27'!G44</f>
        <v>38317831.049999997</v>
      </c>
      <c r="F43" s="114">
        <f>+'1'!I44+'2'!I44+'3'!I44+'4'!I44+'5'!I44+'6'!I44+'7'!I44+'8'!I44+'9'!I44+'10'!I44+'11'!I44+'12'!I44+'13'!I44+'14'!I44+'15'!I44+'16'!I44+'17'!I44+'18'!I44+'19'!I44+'20'!I44+'21'!I44+'22'!I44+'23'!I44+'24'!I44+'25'!I44+'26'!I44+'27'!I44</f>
        <v>176968833.87500003</v>
      </c>
      <c r="G43" s="114">
        <f ca="1">+'1'!J44+'2'!J44+'3'!J44+'4'!J44+'5'!J44+'6'!J44+'7'!J44+'8'!J44+'9'!J44+'10'!J44+'11'!J44+'12'!J44+'13'!J44+'14'!J44+'15'!J44+'16'!J44+'17'!J44+'18'!J44+'19'!J44+'20'!J44+'21'!J44+'22'!J44+'23'!J44+'24'!J44+'25'!J44+'26'!J44+'27'!J44</f>
        <v>0</v>
      </c>
      <c r="H43" s="114">
        <f ca="1">+'1'!K44+'2'!K44+'3'!K44+'4'!K44+'5'!K44+'6'!K44+'7'!K44+'8'!K44+'9'!K44+'10'!K44+'11'!K44+'12'!K44+'13'!K44+'14'!K44+'15'!K44+'16'!K44+'17'!K44+'18'!K44+'19'!K44+'20'!K44+'21'!K44+'22'!K44+'23'!K44+'24'!K44+'25'!K44+'26'!K44+'27'!K44</f>
        <v>176968833.87500003</v>
      </c>
      <c r="I43" s="114">
        <f ca="1">+'1'!M44+'2'!M44+'3'!M44+'4'!M44+'5'!M44+'6'!M44+'7'!M44+'8'!M44+'9'!M44+'10'!M44+'11'!M44+'12'!M44+'13'!M44+'14'!M44+'15'!M44+'16'!M44+'17'!M44+'18'!M44+'19'!M44+'20'!M44+'21'!M44+'22'!M44+'23'!M44+'24'!M44+'25'!M44+'26'!M44+'27'!M44</f>
        <v>-138651002.82500002</v>
      </c>
    </row>
    <row r="44" spans="1:9">
      <c r="A44" s="163"/>
      <c r="B44" s="58" t="str">
        <f>+'Taxes RCA 2022'!B38</f>
        <v xml:space="preserve">Paiements infranationaux au profit des communes </v>
      </c>
      <c r="C44" s="166">
        <f>+'1'!E45+'2'!E45+'3'!E45+'4'!E45+'5'!E45+'6'!E45+'7'!E45+'8'!E45+'9'!E45+'10'!E45+'11'!E45+'12'!E45+'13'!E45+'14'!E45+'15'!E45+'16'!E45+'17'!E45+'18'!E45+'19'!E45+'20'!E45+'21'!E45+'22'!E45+'23'!E45+'24'!E45+'25'!E45+'26'!E45+'27'!E45</f>
        <v>800000</v>
      </c>
      <c r="D44" s="166">
        <f>+'1'!F45+'2'!F45+'3'!F45+'4'!F45+'5'!F45+'6'!F45+'7'!F45+'8'!F45+'9'!F45+'10'!F45+'11'!F45+'12'!F45+'13'!F45+'14'!F45+'15'!F45+'16'!F45+'17'!F45+'18'!F45+'19'!F45+'20'!F45+'21'!F45+'22'!F45+'23'!F45+'24'!F45+'25'!F45+'26'!F45+'27'!F45</f>
        <v>0</v>
      </c>
      <c r="E44" s="166">
        <f>+'1'!G45+'2'!G45+'3'!G45+'4'!G45+'5'!G45+'6'!G45+'7'!G45+'8'!G45+'9'!G45+'10'!G45+'11'!G45+'12'!G45+'13'!G45+'14'!G45+'15'!G45+'16'!G45+'17'!G45+'18'!G45+'19'!G45+'20'!G45+'21'!G45+'22'!G45+'23'!G45+'24'!G45+'25'!G45+'26'!G45+'27'!G45</f>
        <v>800000</v>
      </c>
      <c r="F44" s="166">
        <f>+'1'!I45+'2'!I45+'3'!I45+'4'!I45+'5'!I45+'6'!I45+'7'!I45+'8'!I45+'9'!I45+'10'!I45+'11'!I45+'12'!I45+'13'!I45+'14'!I45+'15'!I45+'16'!I45+'17'!I45+'18'!I45+'19'!I45+'20'!I45+'21'!I45+'22'!I45+'23'!I45+'24'!I45+'25'!I45+'26'!I45+'27'!I45</f>
        <v>0</v>
      </c>
      <c r="G44" s="166">
        <f ca="1">+'1'!J45+'2'!J45+'3'!J45+'4'!J45+'5'!J45+'6'!J45+'7'!J45+'8'!J45+'9'!J45+'10'!J45+'11'!J45+'12'!J45+'13'!J45+'14'!J45+'15'!J45+'16'!J45+'17'!J45+'18'!J45+'19'!J45+'20'!J45+'21'!J45+'22'!J45+'23'!J45+'24'!J45+'25'!J45+'26'!J45+'27'!J45</f>
        <v>800000</v>
      </c>
      <c r="H44" s="166">
        <f ca="1">+'1'!K45+'2'!K45+'3'!K45+'4'!K45+'5'!K45+'6'!K45+'7'!K45+'8'!K45+'9'!K45+'10'!K45+'11'!K45+'12'!K45+'13'!K45+'14'!K45+'15'!K45+'16'!K45+'17'!K45+'18'!K45+'19'!K45+'20'!K45+'21'!K45+'22'!K45+'23'!K45+'24'!K45+'25'!K45+'26'!K45+'27'!K45</f>
        <v>800000</v>
      </c>
      <c r="I44" s="166">
        <f ca="1">+'1'!M45+'2'!M45+'3'!M45+'4'!M45+'5'!M45+'6'!M45+'7'!M45+'8'!M45+'9'!M45+'10'!M45+'11'!M45+'12'!M45+'13'!M45+'14'!M45+'15'!M45+'16'!M45+'17'!M45+'18'!M45+'19'!M45+'20'!M45+'21'!M45+'22'!M45+'23'!M45+'24'!M45+'25'!M45+'26'!M45+'27'!M45</f>
        <v>0</v>
      </c>
    </row>
    <row r="45" spans="1:9">
      <c r="A45" s="64">
        <f>+'Taxes RCA 2022'!A39</f>
        <v>32</v>
      </c>
      <c r="B45" s="68" t="str">
        <f>+'Taxes RCA 2022'!B39</f>
        <v>Taxes superficiaires (+)</v>
      </c>
      <c r="C45" s="165">
        <f>+'1'!E46+'2'!E46+'3'!E46+'4'!E46+'5'!E46+'6'!E46+'7'!E46+'8'!E46+'9'!E46+'10'!E46+'11'!E46+'12'!E46+'13'!E46+'14'!E46+'15'!E46+'16'!E46+'17'!E46+'18'!E46+'19'!E46+'20'!E46+'21'!E46+'22'!E46+'23'!E46+'24'!E46+'25'!E46+'26'!E46+'27'!E46</f>
        <v>800000</v>
      </c>
      <c r="D45" s="165">
        <f>+'1'!F46+'2'!F46+'3'!F46+'4'!F46+'5'!F46+'6'!F46+'7'!F46+'8'!F46+'9'!F46+'10'!F46+'11'!F46+'12'!F46+'13'!F46+'14'!F46+'15'!F46+'16'!F46+'17'!F46+'18'!F46+'19'!F46+'20'!F46+'21'!F46+'22'!F46+'23'!F46+'24'!F46+'25'!F46+'26'!F46+'27'!F46</f>
        <v>0</v>
      </c>
      <c r="E45" s="165">
        <f>+'1'!G46+'2'!G46+'3'!G46+'4'!G46+'5'!G46+'6'!G46+'7'!G46+'8'!G46+'9'!G46+'10'!G46+'11'!G46+'12'!G46+'13'!G46+'14'!G46+'15'!G46+'16'!G46+'17'!G46+'18'!G46+'19'!G46+'20'!G46+'21'!G46+'22'!G46+'23'!G46+'24'!G46+'25'!G46+'26'!G46+'27'!G46</f>
        <v>800000</v>
      </c>
      <c r="F45" s="165">
        <f>+'1'!I46+'2'!I46+'3'!I46+'4'!I46+'5'!I46+'6'!I46+'7'!I46+'8'!I46+'9'!I46+'10'!I46+'11'!I46+'12'!I46+'13'!I46+'14'!I46+'15'!I46+'16'!I46+'17'!I46+'18'!I46+'19'!I46+'20'!I46+'21'!I46+'22'!I46+'23'!I46+'24'!I46+'25'!I46+'26'!I46+'27'!I46</f>
        <v>0</v>
      </c>
      <c r="G45" s="165">
        <f ca="1">+'1'!J46+'2'!J46+'3'!J46+'4'!J46+'5'!J46+'6'!J46+'7'!J46+'8'!J46+'9'!J46+'10'!J46+'11'!J46+'12'!J46+'13'!J46+'14'!J46+'15'!J46+'16'!J46+'17'!J46+'18'!J46+'19'!J46+'20'!J46+'21'!J46+'22'!J46+'23'!J46+'24'!J46+'25'!J46+'26'!J46+'27'!J46</f>
        <v>800000</v>
      </c>
      <c r="H45" s="165">
        <f ca="1">+'1'!K46+'2'!K46+'3'!K46+'4'!K46+'5'!K46+'6'!K46+'7'!K46+'8'!K46+'9'!K46+'10'!K46+'11'!K46+'12'!K46+'13'!K46+'14'!K46+'15'!K46+'16'!K46+'17'!K46+'18'!K46+'19'!K46+'20'!K46+'21'!K46+'22'!K46+'23'!K46+'24'!K46+'25'!K46+'26'!K46+'27'!K46</f>
        <v>800000</v>
      </c>
      <c r="I45" s="165">
        <f ca="1">+'1'!M46+'2'!M46+'3'!M46+'4'!M46+'5'!M46+'6'!M46+'7'!M46+'8'!M46+'9'!M46+'10'!M46+'11'!M46+'12'!M46+'13'!M46+'14'!M46+'15'!M46+'16'!M46+'17'!M46+'18'!M46+'19'!M46+'20'!M46+'21'!M46+'22'!M46+'23'!M46+'24'!M46+'25'!M46+'26'!M46+'27'!M46</f>
        <v>0</v>
      </c>
    </row>
    <row r="46" spans="1:9">
      <c r="A46" s="53">
        <f>+'Taxes RCA 2022'!A41</f>
        <v>33</v>
      </c>
      <c r="B46" s="18" t="str">
        <f>+'Taxes RCA 2022'!B41</f>
        <v>Taxe d’abattage  (+)</v>
      </c>
      <c r="C46" s="114">
        <f>+'1'!E48+'2'!E48+'3'!E48+'4'!E48+'5'!E48+'6'!E48+'7'!E48+'8'!E48+'9'!E48+'10'!E48+'11'!E48+'12'!E48+'13'!E48+'14'!E48+'15'!E48+'16'!E48+'17'!E48+'18'!E48+'19'!E48+'20'!E48+'21'!E48+'22'!E48+'23'!E48+'24'!E48+'25'!E48+'26'!E48+'27'!E48</f>
        <v>42311295</v>
      </c>
      <c r="D46" s="114">
        <f>+'1'!F48+'2'!F48+'3'!F48+'4'!F48+'5'!F48+'6'!F48+'7'!F48+'8'!F48+'9'!F48+'10'!F48+'11'!F48+'12'!F48+'13'!F48+'14'!F48+'15'!F48+'16'!F48+'17'!F48+'18'!F48+'19'!F48+'20'!F48+'21'!F48+'22'!F48+'23'!F48+'24'!F48+'25'!F48+'26'!F48+'27'!F48</f>
        <v>32011675</v>
      </c>
      <c r="E46" s="114">
        <f>+'1'!G48+'2'!G48+'3'!G48+'4'!G48+'5'!G48+'6'!G48+'7'!G48+'8'!G48+'9'!G48+'10'!G48+'11'!G48+'12'!G48+'13'!G48+'14'!G48+'15'!G48+'16'!G48+'17'!G48+'18'!G48+'19'!G48+'20'!G48+'21'!G48+'22'!G48+'23'!G48+'24'!G48+'25'!G48+'26'!G48+'27'!G48</f>
        <v>74322970</v>
      </c>
      <c r="F46" s="114">
        <f>+'1'!I48+'2'!I48+'3'!I48+'4'!I48+'5'!I48+'6'!I48+'7'!I48+'8'!I48+'9'!I48+'10'!I48+'11'!I48+'12'!I48+'13'!I48+'14'!I48+'15'!I48+'16'!I48+'17'!I48+'18'!I48+'19'!I48+'20'!I48+'21'!I48+'22'!I48+'23'!I48+'24'!I48+'25'!I48+'26'!I48+'27'!I48</f>
        <v>562133798.57764697</v>
      </c>
      <c r="G46" s="114">
        <f ca="1">+'1'!J48+'2'!J48+'3'!J48+'4'!J48+'5'!J48+'6'!J48+'7'!J48+'8'!J48+'9'!J48+'10'!J48+'11'!J48+'12'!J48+'13'!J48+'14'!J48+'15'!J48+'16'!J48+'17'!J48+'18'!J48+'19'!J48+'20'!J48+'21'!J48+'22'!J48+'23'!J48+'24'!J48+'25'!J48+'26'!J48+'27'!J48</f>
        <v>0</v>
      </c>
      <c r="H46" s="114">
        <f ca="1">+'1'!K48+'2'!K48+'3'!K48+'4'!K48+'5'!K48+'6'!K48+'7'!K48+'8'!K48+'9'!K48+'10'!K48+'11'!K48+'12'!K48+'13'!K48+'14'!K48+'15'!K48+'16'!K48+'17'!K48+'18'!K48+'19'!K48+'20'!K48+'21'!K48+'22'!K48+'23'!K48+'24'!K48+'25'!K48+'26'!K48+'27'!K48</f>
        <v>562133798.57764697</v>
      </c>
      <c r="I46" s="114">
        <f ca="1">+'1'!M48+'2'!M48+'3'!M48+'4'!M48+'5'!M48+'6'!M48+'7'!M48+'8'!M48+'9'!M48+'10'!M48+'11'!M48+'12'!M48+'13'!M48+'14'!M48+'15'!M48+'16'!M48+'17'!M48+'18'!M48+'19'!M48+'20'!M48+'21'!M48+'22'!M48+'23'!M48+'24'!M48+'25'!M48+'26'!M48+'27'!M48</f>
        <v>-487810828.57764703</v>
      </c>
    </row>
    <row r="47" spans="1:9">
      <c r="A47" s="64">
        <f>+'Taxes RCA 2022'!A42</f>
        <v>34</v>
      </c>
      <c r="B47" s="68" t="str">
        <f>+'Taxes RCA 2022'!B42</f>
        <v>Taxe de reboisement (+)</v>
      </c>
      <c r="C47" s="165">
        <f>+'1'!E49+'2'!E49+'3'!E49+'4'!E49+'5'!E49+'6'!E49+'7'!E49+'8'!E49+'9'!E49+'10'!E49+'11'!E49+'12'!E49+'13'!E49+'14'!E49+'15'!E49+'16'!E49+'17'!E49+'18'!E49+'19'!E49+'20'!E49+'21'!E49+'22'!E49+'23'!E49+'24'!E49+'25'!E49+'26'!E49+'27'!E49</f>
        <v>44174405</v>
      </c>
      <c r="D47" s="165">
        <f>+'1'!F49+'2'!F49+'3'!F49+'4'!F49+'5'!F49+'6'!F49+'7'!F49+'8'!F49+'9'!F49+'10'!F49+'11'!F49+'12'!F49+'13'!F49+'14'!F49+'15'!F49+'16'!F49+'17'!F49+'18'!F49+'19'!F49+'20'!F49+'21'!F49+'22'!F49+'23'!F49+'24'!F49+'25'!F49+'26'!F49+'27'!F49</f>
        <v>17734644</v>
      </c>
      <c r="E47" s="165">
        <f>+'1'!G49+'2'!G49+'3'!G49+'4'!G49+'5'!G49+'6'!G49+'7'!G49+'8'!G49+'9'!G49+'10'!G49+'11'!G49+'12'!G49+'13'!G49+'14'!G49+'15'!G49+'16'!G49+'17'!G49+'18'!G49+'19'!G49+'20'!G49+'21'!G49+'22'!G49+'23'!G49+'24'!G49+'25'!G49+'26'!G49+'27'!G49</f>
        <v>61909049</v>
      </c>
      <c r="F47" s="165">
        <f>+'1'!I49+'2'!I49+'3'!I49+'4'!I49+'5'!I49+'6'!I49+'7'!I49+'8'!I49+'9'!I49+'10'!I49+'11'!I49+'12'!I49+'13'!I49+'14'!I49+'15'!I49+'16'!I49+'17'!I49+'18'!I49+'19'!I49+'20'!I49+'21'!I49+'22'!I49+'23'!I49+'24'!I49+'25'!I49+'26'!I49+'27'!I49</f>
        <v>398966094.26770997</v>
      </c>
      <c r="G47" s="165">
        <f ca="1">+'1'!J49+'2'!J49+'3'!J49+'4'!J49+'5'!J49+'6'!J49+'7'!J49+'8'!J49+'9'!J49+'10'!J49+'11'!J49+'12'!J49+'13'!J49+'14'!J49+'15'!J49+'16'!J49+'17'!J49+'18'!J49+'19'!J49+'20'!J49+'21'!J49+'22'!J49+'23'!J49+'24'!J49+'25'!J49+'26'!J49+'27'!J49</f>
        <v>0</v>
      </c>
      <c r="H47" s="165">
        <f ca="1">+'1'!K49+'2'!K49+'3'!K49+'4'!K49+'5'!K49+'6'!K49+'7'!K49+'8'!K49+'9'!K49+'10'!K49+'11'!K49+'12'!K49+'13'!K49+'14'!K49+'15'!K49+'16'!K49+'17'!K49+'18'!K49+'19'!K49+'20'!K49+'21'!K49+'22'!K49+'23'!K49+'24'!K49+'25'!K49+'26'!K49+'27'!K49</f>
        <v>398966094.26770997</v>
      </c>
      <c r="I47" s="165">
        <f ca="1">+'1'!M49+'2'!M49+'3'!M49+'4'!M49+'5'!M49+'6'!M49+'7'!M49+'8'!M49+'9'!M49+'10'!M49+'11'!M49+'12'!M49+'13'!M49+'14'!M49+'15'!M49+'16'!M49+'17'!M49+'18'!M49+'19'!M49+'20'!M49+'21'!M49+'22'!M49+'23'!M49+'24'!M49+'25'!M49+'26'!M49+'27'!M49</f>
        <v>-337057045.26770997</v>
      </c>
    </row>
    <row r="48" spans="1:9">
      <c r="A48" s="53">
        <f>+'Taxes RCA 2022'!A43</f>
        <v>35</v>
      </c>
      <c r="B48" s="18" t="str">
        <f>+'Taxes RCA 2022'!B43</f>
        <v>Droit de sortie (DS)/Taxe Export (+)</v>
      </c>
      <c r="C48" s="114">
        <f>+'1'!E50+'2'!E50+'3'!E50+'4'!E50+'5'!E50+'6'!E50+'7'!E50+'8'!E50+'9'!E50+'10'!E50+'11'!E50+'12'!E50+'13'!E50+'14'!E50+'15'!E50+'16'!E50+'17'!E50+'18'!E50+'19'!E50+'20'!E50+'21'!E50+'22'!E50+'23'!E50+'24'!E50+'25'!E50+'26'!E50+'27'!E50</f>
        <v>0</v>
      </c>
      <c r="D48" s="114">
        <f>+'1'!F50+'2'!F50+'3'!F50+'4'!F50+'5'!F50+'6'!F50+'7'!F50+'8'!F50+'9'!F50+'10'!F50+'11'!F50+'12'!F50+'13'!F50+'14'!F50+'15'!F50+'16'!F50+'17'!F50+'18'!F50+'19'!F50+'20'!F50+'21'!F50+'22'!F50+'23'!F50+'24'!F50+'25'!F50+'26'!F50+'27'!F50</f>
        <v>0</v>
      </c>
      <c r="E48" s="114">
        <f>+'1'!G50+'2'!G50+'3'!G50+'4'!G50+'5'!G50+'6'!G50+'7'!G50+'8'!G50+'9'!G50+'10'!G50+'11'!G50+'12'!G50+'13'!G50+'14'!G50+'15'!G50+'16'!G50+'17'!G50+'18'!G50+'19'!G50+'20'!G50+'21'!G50+'22'!G50+'23'!G50+'24'!G50+'25'!G50+'26'!G50+'27'!G50</f>
        <v>0</v>
      </c>
      <c r="F48" s="114">
        <f>+'1'!I50+'2'!I50+'3'!I50+'4'!I50+'5'!I50+'6'!I50+'7'!I50+'8'!I50+'9'!I50+'10'!I50+'11'!I50+'12'!I50+'13'!I50+'14'!I50+'15'!I50+'16'!I50+'17'!I50+'18'!I50+'19'!I50+'20'!I50+'21'!I50+'22'!I50+'23'!I50+'24'!I50+'25'!I50+'26'!I50+'27'!I50</f>
        <v>0</v>
      </c>
      <c r="G48" s="114">
        <f ca="1">+'1'!J50+'2'!J50+'3'!J50+'4'!J50+'5'!J50+'6'!J50+'7'!J50+'8'!J50+'9'!J50+'10'!J50+'11'!J50+'12'!J50+'13'!J50+'14'!J50+'15'!J50+'16'!J50+'17'!J50+'18'!J50+'19'!J50+'20'!J50+'21'!J50+'22'!J50+'23'!J50+'24'!J50+'25'!J50+'26'!J50+'27'!J50</f>
        <v>0</v>
      </c>
      <c r="H48" s="114">
        <f ca="1">+'1'!K50+'2'!K50+'3'!K50+'4'!K50+'5'!K50+'6'!K50+'7'!K50+'8'!K50+'9'!K50+'10'!K50+'11'!K50+'12'!K50+'13'!K50+'14'!K50+'15'!K50+'16'!K50+'17'!K50+'18'!K50+'19'!K50+'20'!K50+'21'!K50+'22'!K50+'23'!K50+'24'!K50+'25'!K50+'26'!K50+'27'!K50</f>
        <v>0</v>
      </c>
      <c r="I48" s="114">
        <f ca="1">+'1'!M50+'2'!M50+'3'!M50+'4'!M50+'5'!M50+'6'!M50+'7'!M50+'8'!M50+'9'!M50+'10'!M50+'11'!M50+'12'!M50+'13'!M50+'14'!M50+'15'!M50+'16'!M50+'17'!M50+'18'!M50+'19'!M50+'20'!M50+'21'!M50+'22'!M50+'23'!M50+'24'!M50+'25'!M50+'26'!M50+'27'!M50</f>
        <v>0</v>
      </c>
    </row>
    <row r="49" spans="1:9">
      <c r="A49" s="64">
        <f>+'Taxes RCA 2022'!A44</f>
        <v>36</v>
      </c>
      <c r="B49" s="68" t="str">
        <f>+'Taxes RCA 2022'!B44</f>
        <v>Taxes environnementales sur les Stes forestières et Minières (+)</v>
      </c>
      <c r="C49" s="165">
        <f>+'1'!E51+'2'!E51+'3'!E51+'4'!E51+'5'!E51+'6'!E51+'7'!E51+'8'!E51+'9'!E51+'10'!E51+'11'!E51+'12'!E51+'13'!E51+'14'!E51+'15'!E51+'16'!E51+'17'!E51+'18'!E51+'19'!E51+'20'!E51+'21'!E51+'22'!E51+'23'!E51+'24'!E51+'25'!E51+'26'!E51+'27'!E51</f>
        <v>0</v>
      </c>
      <c r="D49" s="165">
        <f>+'1'!F51+'2'!F51+'3'!F51+'4'!F51+'5'!F51+'6'!F51+'7'!F51+'8'!F51+'9'!F51+'10'!F51+'11'!F51+'12'!F51+'13'!F51+'14'!F51+'15'!F51+'16'!F51+'17'!F51+'18'!F51+'19'!F51+'20'!F51+'21'!F51+'22'!F51+'23'!F51+'24'!F51+'25'!F51+'26'!F51+'27'!F51</f>
        <v>0</v>
      </c>
      <c r="E49" s="165">
        <f>+'1'!G51+'2'!G51+'3'!G51+'4'!G51+'5'!G51+'6'!G51+'7'!G51+'8'!G51+'9'!G51+'10'!G51+'11'!G51+'12'!G51+'13'!G51+'14'!G51+'15'!G51+'16'!G51+'17'!G51+'18'!G51+'19'!G51+'20'!G51+'21'!G51+'22'!G51+'23'!G51+'24'!G51+'25'!G51+'26'!G51+'27'!G51</f>
        <v>0</v>
      </c>
      <c r="F49" s="165">
        <f>+'1'!I51+'2'!I51+'3'!I51+'4'!I51+'5'!I51+'6'!I51+'7'!I51+'8'!I51+'9'!I51+'10'!I51+'11'!I51+'12'!I51+'13'!I51+'14'!I51+'15'!I51+'16'!I51+'17'!I51+'18'!I51+'19'!I51+'20'!I51+'21'!I51+'22'!I51+'23'!I51+'24'!I51+'25'!I51+'26'!I51+'27'!I51</f>
        <v>0</v>
      </c>
      <c r="G49" s="165">
        <f ca="1">+'1'!J51+'2'!J51+'3'!J51+'4'!J51+'5'!J51+'6'!J51+'7'!J51+'8'!J51+'9'!J51+'10'!J51+'11'!J51+'12'!J51+'13'!J51+'14'!J51+'15'!J51+'16'!J51+'17'!J51+'18'!J51+'19'!J51+'20'!J51+'21'!J51+'22'!J51+'23'!J51+'24'!J51+'25'!J51+'26'!J51+'27'!J51</f>
        <v>0</v>
      </c>
      <c r="H49" s="165">
        <f ca="1">+'1'!K51+'2'!K51+'3'!K51+'4'!K51+'5'!K51+'6'!K51+'7'!K51+'8'!K51+'9'!K51+'10'!K51+'11'!K51+'12'!K51+'13'!K51+'14'!K51+'15'!K51+'16'!K51+'17'!K51+'18'!K51+'19'!K51+'20'!K51+'21'!K51+'22'!K51+'23'!K51+'24'!K51+'25'!K51+'26'!K51+'27'!K51</f>
        <v>0</v>
      </c>
      <c r="I49" s="165">
        <f ca="1">+'1'!M51+'2'!M51+'3'!M51+'4'!M51+'5'!M51+'6'!M51+'7'!M51+'8'!M51+'9'!M51+'10'!M51+'11'!M51+'12'!M51+'13'!M51+'14'!M51+'15'!M51+'16'!M51+'17'!M51+'18'!M51+'19'!M51+'20'!M51+'21'!M51+'22'!M51+'23'!M51+'24'!M51+'25'!M51+'26'!M51+'27'!M51</f>
        <v>0</v>
      </c>
    </row>
    <row r="50" spans="1:9">
      <c r="A50" s="163"/>
      <c r="B50" s="58" t="str">
        <f>+'Taxes RCA 2022'!B45</f>
        <v>Affectations spéciales</v>
      </c>
      <c r="C50" s="166">
        <f>+'1'!E52+'2'!E52+'3'!E52+'4'!E52+'5'!E52+'6'!E52+'7'!E52+'8'!E52+'9'!E52+'10'!E52+'11'!E52+'12'!E52+'13'!E52+'14'!E52+'15'!E52+'16'!E52+'17'!E52+'18'!E52+'19'!E52+'20'!E52+'21'!E52+'22'!E52+'23'!E52+'24'!E52+'25'!E52+'26'!E52+'27'!E52</f>
        <v>135145069</v>
      </c>
      <c r="D50" s="166">
        <f>+'1'!F52+'2'!F52+'3'!F52+'4'!F52+'5'!F52+'6'!F52+'7'!F52+'8'!F52+'9'!F52+'10'!F52+'11'!F52+'12'!F52+'13'!F52+'14'!F52+'15'!F52+'16'!F52+'17'!F52+'18'!F52+'19'!F52+'20'!F52+'21'!F52+'22'!F52+'23'!F52+'24'!F52+'25'!F52+'26'!F52+'27'!F52</f>
        <v>68832868</v>
      </c>
      <c r="E50" s="166">
        <f>+'1'!G52+'2'!G52+'3'!G52+'4'!G52+'5'!G52+'6'!G52+'7'!G52+'8'!G52+'9'!G52+'10'!G52+'11'!G52+'12'!G52+'13'!G52+'14'!G52+'15'!G52+'16'!G52+'17'!G52+'18'!G52+'19'!G52+'20'!G52+'21'!G52+'22'!G52+'23'!G52+'24'!G52+'25'!G52+'26'!G52+'27'!G52</f>
        <v>203977937</v>
      </c>
      <c r="F50" s="166">
        <f>+'1'!I52+'2'!I52+'3'!I52+'4'!I52+'5'!I52+'6'!I52+'7'!I52+'8'!I52+'9'!I52+'10'!I52+'11'!I52+'12'!I52+'13'!I52+'14'!I52+'15'!I52+'16'!I52+'17'!I52+'18'!I52+'19'!I52+'20'!I52+'21'!I52+'22'!I52+'23'!I52+'24'!I52+'25'!I52+'26'!I52+'27'!I52</f>
        <v>1369863418.7114968</v>
      </c>
      <c r="G50" s="166">
        <f ca="1">+'1'!J52+'2'!J52+'3'!J52+'4'!J52+'5'!J52+'6'!J52+'7'!J52+'8'!J52+'9'!J52+'10'!J52+'11'!J52+'12'!J52+'13'!J52+'14'!J52+'15'!J52+'16'!J52+'17'!J52+'18'!J52+'19'!J52+'20'!J52+'21'!J52+'22'!J52+'23'!J52+'24'!J52+'25'!J52+'26'!J52+'27'!J52</f>
        <v>0</v>
      </c>
      <c r="H50" s="166">
        <f ca="1">+'1'!K52+'2'!K52+'3'!K52+'4'!K52+'5'!K52+'6'!K52+'7'!K52+'8'!K52+'9'!K52+'10'!K52+'11'!K52+'12'!K52+'13'!K52+'14'!K52+'15'!K52+'16'!K52+'17'!K52+'18'!K52+'19'!K52+'20'!K52+'21'!K52+'22'!K52+'23'!K52+'24'!K52+'25'!K52+'26'!K52+'27'!K52</f>
        <v>1369863418.7114968</v>
      </c>
      <c r="I50" s="166">
        <f ca="1">+'1'!M52+'2'!M52+'3'!M52+'4'!M52+'5'!M52+'6'!M52+'7'!M52+'8'!M52+'9'!M52+'10'!M52+'11'!M52+'12'!M52+'13'!M52+'14'!M52+'15'!M52+'16'!M52+'17'!M52+'18'!M52+'19'!M52+'20'!M52+'21'!M52+'22'!M52+'23'!M52+'24'!M52+'25'!M52+'26'!M52+'27'!M52</f>
        <v>-1165885481.7114968</v>
      </c>
    </row>
    <row r="51" spans="1:9">
      <c r="A51" s="53">
        <f>+'Taxes RCA 2022'!A46</f>
        <v>37</v>
      </c>
      <c r="B51" s="18" t="str">
        <f>+'Taxes RCA 2022'!B46</f>
        <v>Affectation au titre la taxe de reboisement (+)</v>
      </c>
      <c r="C51" s="114">
        <f>+'1'!E53+'2'!E53+'3'!E53+'4'!E53+'5'!E53+'6'!E53+'7'!E53+'8'!E53+'9'!E53+'10'!E53+'11'!E53+'12'!E53+'13'!E53+'14'!E53+'15'!E53+'16'!E53+'17'!E53+'18'!E53+'19'!E53+'20'!E53+'21'!E53+'22'!E53+'23'!E53+'24'!E53+'25'!E53+'26'!E53+'27'!E53</f>
        <v>43298449</v>
      </c>
      <c r="D51" s="114">
        <f>+'1'!F53+'2'!F53+'3'!F53+'4'!F53+'5'!F53+'6'!F53+'7'!F53+'8'!F53+'9'!F53+'10'!F53+'11'!F53+'12'!F53+'13'!F53+'14'!F53+'15'!F53+'16'!F53+'17'!F53+'18'!F53+'19'!F53+'20'!F53+'21'!F53+'22'!F53+'23'!F53+'24'!F53+'25'!F53+'26'!F53+'27'!F53</f>
        <v>35469279</v>
      </c>
      <c r="E51" s="114">
        <f>+'1'!G53+'2'!G53+'3'!G53+'4'!G53+'5'!G53+'6'!G53+'7'!G53+'8'!G53+'9'!G53+'10'!G53+'11'!G53+'12'!G53+'13'!G53+'14'!G53+'15'!G53+'16'!G53+'17'!G53+'18'!G53+'19'!G53+'20'!G53+'21'!G53+'22'!G53+'23'!G53+'24'!G53+'25'!G53+'26'!G53+'27'!G53</f>
        <v>78767728</v>
      </c>
      <c r="F51" s="114">
        <f>+'1'!I53+'2'!I53+'3'!I53+'4'!I53+'5'!I53+'6'!I53+'7'!I53+'8'!I53+'9'!I53+'10'!I53+'11'!I53+'12'!I53+'13'!I53+'14'!I53+'15'!I53+'16'!I53+'17'!I53+'18'!I53+'19'!I53+'20'!I53+'21'!I53+'22'!I53+'23'!I53+'24'!I53+'25'!I53+'26'!I53+'27'!I53</f>
        <v>797932188.01384962</v>
      </c>
      <c r="G51" s="114">
        <f ca="1">+'1'!J53+'2'!J53+'3'!J53+'4'!J53+'5'!J53+'6'!J53+'7'!J53+'8'!J53+'9'!J53+'10'!J53+'11'!J53+'12'!J53+'13'!J53+'14'!J53+'15'!J53+'16'!J53+'17'!J53+'18'!J53+'19'!J53+'20'!J53+'21'!J53+'22'!J53+'23'!J53+'24'!J53+'25'!J53+'26'!J53+'27'!J53</f>
        <v>0</v>
      </c>
      <c r="H51" s="114">
        <f ca="1">+'1'!K53+'2'!K53+'3'!K53+'4'!K53+'5'!K53+'6'!K53+'7'!K53+'8'!K53+'9'!K53+'10'!K53+'11'!K53+'12'!K53+'13'!K53+'14'!K53+'15'!K53+'16'!K53+'17'!K53+'18'!K53+'19'!K53+'20'!K53+'21'!K53+'22'!K53+'23'!K53+'24'!K53+'25'!K53+'26'!K53+'27'!K53</f>
        <v>797932188.01384962</v>
      </c>
      <c r="I51" s="114">
        <f ca="1">+'1'!M53+'2'!M53+'3'!M53+'4'!M53+'5'!M53+'6'!M53+'7'!M53+'8'!M53+'9'!M53+'10'!M53+'11'!M53+'12'!M53+'13'!M53+'14'!M53+'15'!M53+'16'!M53+'17'!M53+'18'!M53+'19'!M53+'20'!M53+'21'!M53+'22'!M53+'23'!M53+'24'!M53+'25'!M53+'26'!M53+'27'!M53</f>
        <v>-719164460.01384962</v>
      </c>
    </row>
    <row r="52" spans="1:9">
      <c r="A52" s="64">
        <f>+'Taxes RCA 2022'!A47</f>
        <v>38</v>
      </c>
      <c r="B52" s="68" t="str">
        <f>+'Taxes RCA 2022'!B47</f>
        <v>Affectation au titre de taxe d’abattage (+)</v>
      </c>
      <c r="C52" s="165">
        <f>+'1'!E54+'2'!E54+'3'!E54+'4'!E54+'5'!E54+'6'!E54+'7'!E54+'8'!E54+'9'!E54+'10'!E54+'11'!E54+'12'!E54+'13'!E54+'14'!E54+'15'!E54+'16'!E54+'17'!E54+'18'!E54+'19'!E54+'20'!E54+'21'!E54+'22'!E54+'23'!E54+'24'!E54+'25'!E54+'26'!E54+'27'!E54</f>
        <v>91846620</v>
      </c>
      <c r="D52" s="165">
        <f>+'1'!F54+'2'!F54+'3'!F54+'4'!F54+'5'!F54+'6'!F54+'7'!F54+'8'!F54+'9'!F54+'10'!F54+'11'!F54+'12'!F54+'13'!F54+'14'!F54+'15'!F54+'16'!F54+'17'!F54+'18'!F54+'19'!F54+'20'!F54+'21'!F54+'22'!F54+'23'!F54+'24'!F54+'25'!F54+'26'!F54+'27'!F54</f>
        <v>33363589</v>
      </c>
      <c r="E52" s="165">
        <f>+'1'!G54+'2'!G54+'3'!G54+'4'!G54+'5'!G54+'6'!G54+'7'!G54+'8'!G54+'9'!G54+'10'!G54+'11'!G54+'12'!G54+'13'!G54+'14'!G54+'15'!G54+'16'!G54+'17'!G54+'18'!G54+'19'!G54+'20'!G54+'21'!G54+'22'!G54+'23'!G54+'24'!G54+'25'!G54+'26'!G54+'27'!G54</f>
        <v>125210209</v>
      </c>
      <c r="F52" s="165">
        <f>+'1'!I54+'2'!I54+'3'!I54+'4'!I54+'5'!I54+'6'!I54+'7'!I54+'8'!I54+'9'!I54+'10'!I54+'11'!I54+'12'!I54+'13'!I54+'14'!I54+'15'!I54+'16'!I54+'17'!I54+'18'!I54+'19'!I54+'20'!I54+'21'!I54+'22'!I54+'23'!I54+'24'!I54+'25'!I54+'26'!I54+'27'!I54</f>
        <v>571931230.69764698</v>
      </c>
      <c r="G52" s="165">
        <f ca="1">+'1'!J54+'2'!J54+'3'!J54+'4'!J54+'5'!J54+'6'!J54+'7'!J54+'8'!J54+'9'!J54+'10'!J54+'11'!J54+'12'!J54+'13'!J54+'14'!J54+'15'!J54+'16'!J54+'17'!J54+'18'!J54+'19'!J54+'20'!J54+'21'!J54+'22'!J54+'23'!J54+'24'!J54+'25'!J54+'26'!J54+'27'!J54</f>
        <v>0</v>
      </c>
      <c r="H52" s="165">
        <f ca="1">+'1'!K54+'2'!K54+'3'!K54+'4'!K54+'5'!K54+'6'!K54+'7'!K54+'8'!K54+'9'!K54+'10'!K54+'11'!K54+'12'!K54+'13'!K54+'14'!K54+'15'!K54+'16'!K54+'17'!K54+'18'!K54+'19'!K54+'20'!K54+'21'!K54+'22'!K54+'23'!K54+'24'!K54+'25'!K54+'26'!K54+'27'!K54</f>
        <v>571931230.69764698</v>
      </c>
      <c r="I52" s="165">
        <f ca="1">+'1'!M54+'2'!M54+'3'!M54+'4'!M54+'5'!M54+'6'!M54+'7'!M54+'8'!M54+'9'!M54+'10'!M54+'11'!M54+'12'!M54+'13'!M54+'14'!M54+'15'!M54+'16'!M54+'17'!M54+'18'!M54+'19'!M54+'20'!M54+'21'!M54+'22'!M54+'23'!M54+'24'!M54+'25'!M54+'26'!M54+'27'!M54</f>
        <v>-446721021.69764704</v>
      </c>
    </row>
    <row r="53" spans="1:9">
      <c r="A53" s="163"/>
      <c r="B53" s="58" t="str">
        <f>+'Taxes RCA 2022'!B48</f>
        <v xml:space="preserve">Transferts du Trésor aux communes </v>
      </c>
      <c r="C53" s="166">
        <f>+'1'!E55+'2'!E55+'3'!E55+'4'!E55+'5'!E55+'6'!E55+'7'!E55+'8'!E55+'9'!E55+'10'!E55+'11'!E55+'12'!E55+'13'!E55+'14'!E55+'15'!E55+'16'!E55+'17'!E55+'18'!E55+'19'!E55+'20'!E55+'21'!E55+'22'!E55+'23'!E55+'24'!E55+'25'!E55+'26'!E55+'27'!E55</f>
        <v>0</v>
      </c>
      <c r="D53" s="166">
        <f>+'1'!F55+'2'!F55+'3'!F55+'4'!F55+'5'!F55+'6'!F55+'7'!F55+'8'!F55+'9'!F55+'10'!F55+'11'!F55+'12'!F55+'13'!F55+'14'!F55+'15'!F55+'16'!F55+'17'!F55+'18'!F55+'19'!F55+'20'!F55+'21'!F55+'22'!F55+'23'!F55+'24'!F55+'25'!F55+'26'!F55+'27'!F55</f>
        <v>0</v>
      </c>
      <c r="E53" s="166">
        <f>+'1'!G55+'2'!G55+'3'!G55+'4'!G55+'5'!G55+'6'!G55+'7'!G55+'8'!G55+'9'!G55+'10'!G55+'11'!G55+'12'!G55+'13'!G55+'14'!G55+'15'!G55+'16'!G55+'17'!G55+'18'!G55+'19'!G55+'20'!G55+'21'!G55+'22'!G55+'23'!G55+'24'!G55+'25'!G55+'26'!G55+'27'!G55</f>
        <v>0</v>
      </c>
      <c r="F53" s="166">
        <f>+'1'!I55+'2'!I55+'3'!I55+'4'!I55+'5'!I55+'6'!I55+'7'!I55+'8'!I55+'9'!I55+'10'!I55+'11'!I55+'12'!I55+'13'!I55+'14'!I55+'15'!I55+'16'!I55+'17'!I55+'18'!I55+'19'!I55+'20'!I55+'21'!I55+'22'!I55+'23'!I55+'24'!I55+'25'!I55+'26'!I55+'27'!I55</f>
        <v>0</v>
      </c>
      <c r="G53" s="166">
        <f ca="1">+'1'!J55+'2'!J55+'3'!J55+'4'!J55+'5'!J55+'6'!J55+'7'!J55+'8'!J55+'9'!J55+'10'!J55+'11'!J55+'12'!J55+'13'!J55+'14'!J55+'15'!J55+'16'!J55+'17'!J55+'18'!J55+'19'!J55+'20'!J55+'21'!J55+'22'!J55+'23'!J55+'24'!J55+'25'!J55+'26'!J55+'27'!J55</f>
        <v>0</v>
      </c>
      <c r="H53" s="166">
        <f ca="1">+'1'!K55+'2'!K55+'3'!K55+'4'!K55+'5'!K55+'6'!K55+'7'!K55+'8'!K55+'9'!K55+'10'!K55+'11'!K55+'12'!K55+'13'!K55+'14'!K55+'15'!K55+'16'!K55+'17'!K55+'18'!K55+'19'!K55+'20'!K55+'21'!K55+'22'!K55+'23'!K55+'24'!K55+'25'!K55+'26'!K55+'27'!K55</f>
        <v>0</v>
      </c>
      <c r="I53" s="166">
        <f ca="1">+'1'!M55+'2'!M55+'3'!M55+'4'!M55+'5'!M55+'6'!M55+'7'!M55+'8'!M55+'9'!M55+'10'!M55+'11'!M55+'12'!M55+'13'!M55+'14'!M55+'15'!M55+'16'!M55+'17'!M55+'18'!M55+'19'!M55+'20'!M55+'21'!M55+'22'!M55+'23'!M55+'24'!M55+'25'!M55+'26'!M55+'27'!M55</f>
        <v>0</v>
      </c>
    </row>
    <row r="54" spans="1:9">
      <c r="A54" s="53">
        <f>+'Taxes RCA 2022'!A49</f>
        <v>0</v>
      </c>
      <c r="B54" s="18" t="str">
        <f>+'Taxes RCA 2022'!B49</f>
        <v>Transfert du trésor aux communes</v>
      </c>
      <c r="C54" s="114">
        <f>+'1'!E56+'2'!E56+'3'!E56+'4'!E56+'5'!E56+'6'!E56+'7'!E56+'8'!E56+'9'!E56+'10'!E56+'11'!E56+'12'!E56+'13'!E56+'14'!E56+'15'!E56+'16'!E56+'17'!E56+'18'!E56+'19'!E56+'20'!E56+'21'!E56+'22'!E56+'23'!E56+'24'!E56+'25'!E56+'26'!E56+'27'!E56</f>
        <v>0</v>
      </c>
      <c r="D54" s="114">
        <f>+'1'!F56+'2'!F56+'3'!F56+'4'!F56+'5'!F56+'6'!F56+'7'!F56+'8'!F56+'9'!F56+'10'!F56+'11'!F56+'12'!F56+'13'!F56+'14'!F56+'15'!F56+'16'!F56+'17'!F56+'18'!F56+'19'!F56+'20'!F56+'21'!F56+'22'!F56+'23'!F56+'24'!F56+'25'!F56+'26'!F56+'27'!F56</f>
        <v>0</v>
      </c>
      <c r="E54" s="114">
        <f>+'1'!G56+'2'!G56+'3'!G56+'4'!G56+'5'!G56+'6'!G56+'7'!G56+'8'!G56+'9'!G56+'10'!G56+'11'!G56+'12'!G56+'13'!G56+'14'!G56+'15'!G56+'16'!G56+'17'!G56+'18'!G56+'19'!G56+'20'!G56+'21'!G56+'22'!G56+'23'!G56+'24'!G56+'25'!G56+'26'!G56+'27'!G56</f>
        <v>0</v>
      </c>
      <c r="F54" s="114">
        <f>+'1'!I56+'2'!I56+'3'!I56+'4'!I56+'5'!I56+'6'!I56+'7'!I56+'8'!I56+'9'!I56+'10'!I56+'11'!I56+'12'!I56+'13'!I56+'14'!I56+'15'!I56+'16'!I56+'17'!I56+'18'!I56+'19'!I56+'20'!I56+'21'!I56+'22'!I56+'23'!I56+'24'!I56+'25'!I56+'26'!I56+'27'!I56</f>
        <v>0</v>
      </c>
      <c r="G54" s="114">
        <f ca="1">+'1'!J56+'2'!J56+'3'!J56+'4'!J56+'5'!J56+'6'!J56+'7'!J56+'8'!J56+'9'!J56+'10'!J56+'11'!J56+'12'!J56+'13'!J56+'14'!J56+'15'!J56+'16'!J56+'17'!J56+'18'!J56+'19'!J56+'20'!J56+'21'!J56+'22'!J56+'23'!J56+'24'!J56+'25'!J56+'26'!J56+'27'!J56</f>
        <v>0</v>
      </c>
      <c r="H54" s="114">
        <f ca="1">+'1'!K56+'2'!K56+'3'!K56+'4'!K56+'5'!K56+'6'!K56+'7'!K56+'8'!K56+'9'!K56+'10'!K56+'11'!K56+'12'!K56+'13'!K56+'14'!K56+'15'!K56+'16'!K56+'17'!K56+'18'!K56+'19'!K56+'20'!K56+'21'!K56+'22'!K56+'23'!K56+'24'!K56+'25'!K56+'26'!K56+'27'!K56</f>
        <v>0</v>
      </c>
      <c r="I54" s="114">
        <f ca="1">+'1'!M56+'2'!M56+'3'!M56+'4'!M56+'5'!M56+'6'!M56+'7'!M56+'8'!M56+'9'!M56+'10'!M56+'11'!M56+'12'!M56+'13'!M56+'14'!M56+'15'!M56+'16'!M56+'17'!M56+'18'!M56+'19'!M56+'20'!M56+'21'!M56+'22'!M56+'23'!M56+'24'!M56+'25'!M56+'26'!M56+'27'!M56</f>
        <v>0</v>
      </c>
    </row>
    <row r="55" spans="1:9">
      <c r="A55" s="64">
        <f>+'Taxes RCA 2022'!A50</f>
        <v>39</v>
      </c>
      <c r="B55" s="68" t="str">
        <f>+'Taxes RCA 2022'!B50</f>
        <v>Transfert infranational au titre de la taxe d'abattage (+)</v>
      </c>
      <c r="C55" s="165">
        <f>+'1'!E57+'2'!E57+'3'!E57+'4'!E57+'5'!E57+'6'!E57+'7'!E57+'8'!E57+'9'!E57+'10'!E57+'11'!E57+'12'!E57+'13'!E57+'14'!E57+'15'!E57+'16'!E57+'17'!E57+'18'!E57+'19'!E57+'20'!E57+'21'!E57+'22'!E57+'23'!E57+'24'!E57+'25'!E57+'26'!E57+'27'!E57</f>
        <v>0</v>
      </c>
      <c r="D55" s="165">
        <f>+'1'!F57+'2'!F57+'3'!F57+'4'!F57+'5'!F57+'6'!F57+'7'!F57+'8'!F57+'9'!F57+'10'!F57+'11'!F57+'12'!F57+'13'!F57+'14'!F57+'15'!F57+'16'!F57+'17'!F57+'18'!F57+'19'!F57+'20'!F57+'21'!F57+'22'!F57+'23'!F57+'24'!F57+'25'!F57+'26'!F57+'27'!F57</f>
        <v>0</v>
      </c>
      <c r="E55" s="165">
        <f>+'1'!G57+'2'!G57+'3'!G57+'4'!G57+'5'!G57+'6'!G57+'7'!G57+'8'!G57+'9'!G57+'10'!G57+'11'!G57+'12'!G57+'13'!G57+'14'!G57+'15'!G57+'16'!G57+'17'!G57+'18'!G57+'19'!G57+'20'!G57+'21'!G57+'22'!G57+'23'!G57+'24'!G57+'25'!G57+'26'!G57+'27'!G57</f>
        <v>0</v>
      </c>
      <c r="F55" s="165">
        <f>+'1'!I57+'2'!I57+'3'!I57+'4'!I57+'5'!I57+'6'!I57+'7'!I57+'8'!I57+'9'!I57+'10'!I57+'11'!I57+'12'!I57+'13'!I57+'14'!I57+'15'!I57+'16'!I57+'17'!I57+'18'!I57+'19'!I57+'20'!I57+'21'!I57+'22'!I57+'23'!I57+'24'!I57+'25'!I57+'26'!I57+'27'!I57</f>
        <v>0</v>
      </c>
      <c r="G55" s="165">
        <f ca="1">+'1'!J57+'2'!J57+'3'!J57+'4'!J57+'5'!J57+'6'!J57+'7'!J57+'8'!J57+'9'!J57+'10'!J57+'11'!J57+'12'!J57+'13'!J57+'14'!J57+'15'!J57+'16'!J57+'17'!J57+'18'!J57+'19'!J57+'20'!J57+'21'!J57+'22'!J57+'23'!J57+'24'!J57+'25'!J57+'26'!J57+'27'!J57</f>
        <v>0</v>
      </c>
      <c r="H55" s="165">
        <f ca="1">+'1'!K57+'2'!K57+'3'!K57+'4'!K57+'5'!K57+'6'!K57+'7'!K57+'8'!K57+'9'!K57+'10'!K57+'11'!K57+'12'!K57+'13'!K57+'14'!K57+'15'!K57+'16'!K57+'17'!K57+'18'!K57+'19'!K57+'20'!K57+'21'!K57+'22'!K57+'23'!K57+'24'!K57+'25'!K57+'26'!K57+'27'!K57</f>
        <v>0</v>
      </c>
      <c r="I55" s="165">
        <f ca="1">+'1'!M57+'2'!M57+'3'!M57+'4'!M57+'5'!M57+'6'!M57+'7'!M57+'8'!M57+'9'!M57+'10'!M57+'11'!M57+'12'!M57+'13'!M57+'14'!M57+'15'!M57+'16'!M57+'17'!M57+'18'!M57+'19'!M57+'20'!M57+'21'!M57+'22'!M57+'23'!M57+'24'!M57+'25'!M57+'26'!M57+'27'!M57</f>
        <v>0</v>
      </c>
    </row>
    <row r="56" spans="1:9">
      <c r="A56" s="53">
        <f>+'Taxes RCA 2022'!A51</f>
        <v>40</v>
      </c>
      <c r="B56" s="18" t="str">
        <f>+'Taxes RCA 2022'!B51</f>
        <v>Transfert infranational au titre de la taxe reboisement (+)</v>
      </c>
      <c r="C56" s="114">
        <f>+'1'!E58+'2'!E58+'3'!E58+'4'!E58+'5'!E58+'6'!E58+'7'!E58+'8'!E58+'9'!E58+'10'!E58+'11'!E58+'12'!E58+'13'!E58+'14'!E58+'15'!E58+'16'!E58+'17'!E58+'18'!E58+'19'!E58+'20'!E58+'21'!E58+'22'!E58+'23'!E58+'24'!E58+'25'!E58+'26'!E58+'27'!E58</f>
        <v>0</v>
      </c>
      <c r="D56" s="114">
        <f>+'1'!F58+'2'!F58+'3'!F58+'4'!F58+'5'!F58+'6'!F58+'7'!F58+'8'!F58+'9'!F58+'10'!F58+'11'!F58+'12'!F58+'13'!F58+'14'!F58+'15'!F58+'16'!F58+'17'!F58+'18'!F58+'19'!F58+'20'!F58+'21'!F58+'22'!F58+'23'!F58+'24'!F58+'25'!F58+'26'!F58+'27'!F58</f>
        <v>0</v>
      </c>
      <c r="E56" s="114">
        <f>+'1'!G58+'2'!G58+'3'!G58+'4'!G58+'5'!G58+'6'!G58+'7'!G58+'8'!G58+'9'!G58+'10'!G58+'11'!G58+'12'!G58+'13'!G58+'14'!G58+'15'!G58+'16'!G58+'17'!G58+'18'!G58+'19'!G58+'20'!G58+'21'!G58+'22'!G58+'23'!G58+'24'!G58+'25'!G58+'26'!G58+'27'!G58</f>
        <v>0</v>
      </c>
      <c r="F56" s="114">
        <f>+'1'!I58+'2'!I58+'3'!I58+'4'!I58+'5'!I58+'6'!I58+'7'!I58+'8'!I58+'9'!I58+'10'!I58+'11'!I58+'12'!I58+'13'!I58+'14'!I58+'15'!I58+'16'!I58+'17'!I58+'18'!I58+'19'!I58+'20'!I58+'21'!I58+'22'!I58+'23'!I58+'24'!I58+'25'!I58+'26'!I58+'27'!I58</f>
        <v>0</v>
      </c>
      <c r="G56" s="114">
        <f ca="1">+'1'!J58+'2'!J58+'3'!J58+'4'!J58+'5'!J58+'6'!J58+'7'!J58+'8'!J58+'9'!J58+'10'!J58+'11'!J58+'12'!J58+'13'!J58+'14'!J58+'15'!J58+'16'!J58+'17'!J58+'18'!J58+'19'!J58+'20'!J58+'21'!J58+'22'!J58+'23'!J58+'24'!J58+'25'!J58+'26'!J58+'27'!J58</f>
        <v>0</v>
      </c>
      <c r="H56" s="114">
        <f ca="1">+'1'!K58+'2'!K58+'3'!K58+'4'!K58+'5'!K58+'6'!K58+'7'!K58+'8'!K58+'9'!K58+'10'!K58+'11'!K58+'12'!K58+'13'!K58+'14'!K58+'15'!K58+'16'!K58+'17'!K58+'18'!K58+'19'!K58+'20'!K58+'21'!K58+'22'!K58+'23'!K58+'24'!K58+'25'!K58+'26'!K58+'27'!K58</f>
        <v>0</v>
      </c>
      <c r="I56" s="114">
        <f ca="1">+'1'!M58+'2'!M58+'3'!M58+'4'!M58+'5'!M58+'6'!M58+'7'!M58+'8'!M58+'9'!M58+'10'!M58+'11'!M58+'12'!M58+'13'!M58+'14'!M58+'15'!M58+'16'!M58+'17'!M58+'18'!M58+'19'!M58+'20'!M58+'21'!M58+'22'!M58+'23'!M58+'24'!M58+'25'!M58+'26'!M58+'27'!M58</f>
        <v>0</v>
      </c>
    </row>
    <row r="57" spans="1:9">
      <c r="A57" s="64">
        <f>+'Taxes RCA 2022'!A52</f>
        <v>41</v>
      </c>
      <c r="B57" s="68" t="str">
        <f>+'Taxes RCA 2022'!B52</f>
        <v>Transfert infranational au titre de la taxe environnementale (+)</v>
      </c>
      <c r="C57" s="165">
        <f>+'1'!E59+'2'!E59+'3'!E59+'4'!E59+'5'!E59+'6'!E59+'7'!E59+'8'!E59+'9'!E59+'10'!E59+'11'!E59+'12'!E59+'13'!E59+'14'!E59+'15'!E59+'16'!E59+'17'!E59+'18'!E59+'19'!E59+'20'!E59+'21'!E59+'22'!E59+'23'!E59+'24'!E59+'25'!E59+'26'!E59+'27'!E59</f>
        <v>0</v>
      </c>
      <c r="D57" s="165">
        <f>+'1'!F59+'2'!F59+'3'!F59+'4'!F59+'5'!F59+'6'!F59+'7'!F59+'8'!F59+'9'!F59+'10'!F59+'11'!F59+'12'!F59+'13'!F59+'14'!F59+'15'!F59+'16'!F59+'17'!F59+'18'!F59+'19'!F59+'20'!F59+'21'!F59+'22'!F59+'23'!F59+'24'!F59+'25'!F59+'26'!F59+'27'!F59</f>
        <v>0</v>
      </c>
      <c r="E57" s="165">
        <f>+'1'!G59+'2'!G59+'3'!G59+'4'!G59+'5'!G59+'6'!G59+'7'!G59+'8'!G59+'9'!G59+'10'!G59+'11'!G59+'12'!G59+'13'!G59+'14'!G59+'15'!G59+'16'!G59+'17'!G59+'18'!G59+'19'!G59+'20'!G59+'21'!G59+'22'!G59+'23'!G59+'24'!G59+'25'!G59+'26'!G59+'27'!G59</f>
        <v>0</v>
      </c>
      <c r="F57" s="165">
        <f>+'1'!I59+'2'!I59+'3'!I59+'4'!I59+'5'!I59+'6'!I59+'7'!I59+'8'!I59+'9'!I59+'10'!I59+'11'!I59+'12'!I59+'13'!I59+'14'!I59+'15'!I59+'16'!I59+'17'!I59+'18'!I59+'19'!I59+'20'!I59+'21'!I59+'22'!I59+'23'!I59+'24'!I59+'25'!I59+'26'!I59+'27'!I59</f>
        <v>0</v>
      </c>
      <c r="G57" s="165">
        <f ca="1">+'1'!J59+'2'!J59+'3'!J59+'4'!J59+'5'!J59+'6'!J59+'7'!J59+'8'!J59+'9'!J59+'10'!J59+'11'!J59+'12'!J59+'13'!J59+'14'!J59+'15'!J59+'16'!J59+'17'!J59+'18'!J59+'19'!J59+'20'!J59+'21'!J59+'22'!J59+'23'!J59+'24'!J59+'25'!J59+'26'!J59+'27'!J59</f>
        <v>0</v>
      </c>
      <c r="H57" s="165">
        <f ca="1">+'1'!K59+'2'!K59+'3'!K59+'4'!K59+'5'!K59+'6'!K59+'7'!K59+'8'!K59+'9'!K59+'10'!K59+'11'!K59+'12'!K59+'13'!K59+'14'!K59+'15'!K59+'16'!K59+'17'!K59+'18'!K59+'19'!K59+'20'!K59+'21'!K59+'22'!K59+'23'!K59+'24'!K59+'25'!K59+'26'!K59+'27'!K59</f>
        <v>0</v>
      </c>
      <c r="I57" s="165">
        <f ca="1">+'1'!M59+'2'!M59+'3'!M59+'4'!M59+'5'!M59+'6'!M59+'7'!M59+'8'!M59+'9'!M59+'10'!M59+'11'!M59+'12'!M59+'13'!M59+'14'!M59+'15'!M59+'16'!M59+'17'!M59+'18'!M59+'19'!M59+'20'!M59+'21'!M59+'22'!M59+'23'!M59+'24'!M59+'25'!M59+'26'!M59+'27'!M59</f>
        <v>0</v>
      </c>
    </row>
    <row r="58" spans="1:9">
      <c r="A58" s="53">
        <f>+'Taxes RCA 2022'!A53</f>
        <v>42</v>
      </c>
      <c r="B58" s="18" t="str">
        <f>+'Taxes RCA 2022'!B53</f>
        <v>Droit de sortie (DS)/Taxe Export (+)</v>
      </c>
      <c r="C58" s="114">
        <f>+'1'!E60+'2'!E60+'3'!E60+'4'!E60+'5'!E60+'6'!E60+'7'!E60+'8'!E60+'9'!E60+'10'!E60+'11'!E60+'12'!E60+'13'!E60+'14'!E60+'15'!E60+'16'!E60+'17'!E60+'18'!E60+'19'!E60+'20'!E60+'21'!E60+'22'!E60+'23'!E60+'24'!E60+'25'!E60+'26'!E60+'27'!E60</f>
        <v>0</v>
      </c>
      <c r="D58" s="114">
        <f>+'1'!F60+'2'!F60+'3'!F60+'4'!F60+'5'!F60+'6'!F60+'7'!F60+'8'!F60+'9'!F60+'10'!F60+'11'!F60+'12'!F60+'13'!F60+'14'!F60+'15'!F60+'16'!F60+'17'!F60+'18'!F60+'19'!F60+'20'!F60+'21'!F60+'22'!F60+'23'!F60+'24'!F60+'25'!F60+'26'!F60+'27'!F60</f>
        <v>0</v>
      </c>
      <c r="E58" s="114">
        <f>+'1'!G60+'2'!G60+'3'!G60+'4'!G60+'5'!G60+'6'!G60+'7'!G60+'8'!G60+'9'!G60+'10'!G60+'11'!G60+'12'!G60+'13'!G60+'14'!G60+'15'!G60+'16'!G60+'17'!G60+'18'!G60+'19'!G60+'20'!G60+'21'!G60+'22'!G60+'23'!G60+'24'!G60+'25'!G60+'26'!G60+'27'!G60</f>
        <v>0</v>
      </c>
      <c r="F58" s="114">
        <f>+'1'!I60+'2'!I60+'3'!I60+'4'!I60+'5'!I60+'6'!I60+'7'!I60+'8'!I60+'9'!I60+'10'!I60+'11'!I60+'12'!I60+'13'!I60+'14'!I60+'15'!I60+'16'!I60+'17'!I60+'18'!I60+'19'!I60+'20'!I60+'21'!I60+'22'!I60+'23'!I60+'24'!I60+'25'!I60+'26'!I60+'27'!I60</f>
        <v>0</v>
      </c>
      <c r="G58" s="114">
        <f ca="1">+'1'!J60+'2'!J60+'3'!J60+'4'!J60+'5'!J60+'6'!J60+'7'!J60+'8'!J60+'9'!J60+'10'!J60+'11'!J60+'12'!J60+'13'!J60+'14'!J60+'15'!J60+'16'!J60+'17'!J60+'18'!J60+'19'!J60+'20'!J60+'21'!J60+'22'!J60+'23'!J60+'24'!J60+'25'!J60+'26'!J60+'27'!J60</f>
        <v>0</v>
      </c>
      <c r="H58" s="114">
        <f ca="1">+'1'!K60+'2'!K60+'3'!K60+'4'!K60+'5'!K60+'6'!K60+'7'!K60+'8'!K60+'9'!K60+'10'!K60+'11'!K60+'12'!K60+'13'!K60+'14'!K60+'15'!K60+'16'!K60+'17'!K60+'18'!K60+'19'!K60+'20'!K60+'21'!K60+'22'!K60+'23'!K60+'24'!K60+'25'!K60+'26'!K60+'27'!K60</f>
        <v>0</v>
      </c>
      <c r="I58" s="114">
        <f ca="1">+'1'!M60+'2'!M60+'3'!M60+'4'!M60+'5'!M60+'6'!M60+'7'!M60+'8'!M60+'9'!M60+'10'!M60+'11'!M60+'12'!M60+'13'!M60+'14'!M60+'15'!M60+'16'!M60+'17'!M60+'18'!M60+'19'!M60+'20'!M60+'21'!M60+'22'!M60+'23'!M60+'24'!M60+'25'!M60+'26'!M60+'27'!M60</f>
        <v>0</v>
      </c>
    </row>
    <row r="59" spans="1:9">
      <c r="A59" s="64">
        <f>+'Taxes RCA 2022'!A54</f>
        <v>43</v>
      </c>
      <c r="B59" s="68" t="str">
        <f>+'Taxes RCA 2022'!B54</f>
        <v xml:space="preserve">Autres transferts au profit des communes </v>
      </c>
      <c r="C59" s="165">
        <f>+'1'!E61+'2'!E61+'3'!E61+'4'!E61+'5'!E61+'6'!E61+'7'!E61+'8'!E61+'9'!E61+'10'!E61+'11'!E61+'12'!E61+'13'!E61+'14'!E61+'15'!E61+'16'!E61+'17'!E61+'18'!E61+'19'!E61+'20'!E61+'21'!E61+'22'!E61+'23'!E61+'24'!E61+'25'!E61+'26'!E61+'27'!E61</f>
        <v>0</v>
      </c>
      <c r="D59" s="165">
        <f>+'1'!F61+'2'!F61+'3'!F61+'4'!F61+'5'!F61+'6'!F61+'7'!F61+'8'!F61+'9'!F61+'10'!F61+'11'!F61+'12'!F61+'13'!F61+'14'!F61+'15'!F61+'16'!F61+'17'!F61+'18'!F61+'19'!F61+'20'!F61+'21'!F61+'22'!F61+'23'!F61+'24'!F61+'25'!F61+'26'!F61+'27'!F61</f>
        <v>0</v>
      </c>
      <c r="E59" s="165">
        <f>+'1'!G61+'2'!G61+'3'!G61+'4'!G61+'5'!G61+'6'!G61+'7'!G61+'8'!G61+'9'!G61+'10'!G61+'11'!G61+'12'!G61+'13'!G61+'14'!G61+'15'!G61+'16'!G61+'17'!G61+'18'!G61+'19'!G61+'20'!G61+'21'!G61+'22'!G61+'23'!G61+'24'!G61+'25'!G61+'26'!G61+'27'!G61</f>
        <v>0</v>
      </c>
      <c r="F59" s="165">
        <f>+'1'!I61+'2'!I61+'3'!I61+'4'!I61+'5'!I61+'6'!I61+'7'!I61+'8'!I61+'9'!I61+'10'!I61+'11'!I61+'12'!I61+'13'!I61+'14'!I61+'15'!I61+'16'!I61+'17'!I61+'18'!I61+'19'!I61+'20'!I61+'21'!I61+'22'!I61+'23'!I61+'24'!I61+'25'!I61+'26'!I61+'27'!I61</f>
        <v>0</v>
      </c>
      <c r="G59" s="165">
        <f ca="1">+'1'!J61+'2'!J61+'3'!J61+'4'!J61+'5'!J61+'6'!J61+'7'!J61+'8'!J61+'9'!J61+'10'!J61+'11'!J61+'12'!J61+'13'!J61+'14'!J61+'15'!J61+'16'!J61+'17'!J61+'18'!J61+'19'!J61+'20'!J61+'21'!J61+'22'!J61+'23'!J61+'24'!J61+'25'!J61+'26'!J61+'27'!J61</f>
        <v>0</v>
      </c>
      <c r="H59" s="165">
        <f ca="1">+'1'!K61+'2'!K61+'3'!K61+'4'!K61+'5'!K61+'6'!K61+'7'!K61+'8'!K61+'9'!K61+'10'!K61+'11'!K61+'12'!K61+'13'!K61+'14'!K61+'15'!K61+'16'!K61+'17'!K61+'18'!K61+'19'!K61+'20'!K61+'21'!K61+'22'!K61+'23'!K61+'24'!K61+'25'!K61+'26'!K61+'27'!K61</f>
        <v>0</v>
      </c>
      <c r="I59" s="165">
        <f ca="1">+'1'!M61+'2'!M61+'3'!M61+'4'!M61+'5'!M61+'6'!M61+'7'!M61+'8'!M61+'9'!M61+'10'!M61+'11'!M61+'12'!M61+'13'!M61+'14'!M61+'15'!M61+'16'!M61+'17'!M61+'18'!M61+'19'!M61+'20'!M61+'21'!M61+'22'!M61+'23'!M61+'24'!M61+'25'!M61+'26'!M61+'27'!M61</f>
        <v>0</v>
      </c>
    </row>
    <row r="60" spans="1:9">
      <c r="A60" s="163"/>
      <c r="B60" s="58" t="str">
        <f>+'Taxes RCA 2022'!B55</f>
        <v>DGTCP (DGP)</v>
      </c>
      <c r="C60" s="166">
        <f>+'1'!E62+'2'!E62+'3'!E62+'4'!E62+'5'!E62+'6'!E62+'7'!E62+'8'!E62+'9'!E62+'10'!E62+'11'!E62+'12'!E62+'13'!E62+'14'!E62+'15'!E62+'16'!E62+'17'!E62+'18'!E62+'19'!E62+'20'!E62+'21'!E62+'22'!E62+'23'!E62+'24'!E62+'25'!E62+'26'!E62+'27'!E62</f>
        <v>0</v>
      </c>
      <c r="D60" s="166">
        <f>+'1'!F62+'2'!F62+'3'!F62+'4'!F62+'5'!F62+'6'!F62+'7'!F62+'8'!F62+'9'!F62+'10'!F62+'11'!F62+'12'!F62+'13'!F62+'14'!F62+'15'!F62+'16'!F62+'17'!F62+'18'!F62+'19'!F62+'20'!F62+'21'!F62+'22'!F62+'23'!F62+'24'!F62+'25'!F62+'26'!F62+'27'!F62</f>
        <v>0</v>
      </c>
      <c r="E60" s="166">
        <f>+'1'!G62+'2'!G62+'3'!G62+'4'!G62+'5'!G62+'6'!G62+'7'!G62+'8'!G62+'9'!G62+'10'!G62+'11'!G62+'12'!G62+'13'!G62+'14'!G62+'15'!G62+'16'!G62+'17'!G62+'18'!G62+'19'!G62+'20'!G62+'21'!G62+'22'!G62+'23'!G62+'24'!G62+'25'!G62+'26'!G62+'27'!G62</f>
        <v>0</v>
      </c>
      <c r="F60" s="166">
        <f>+'1'!I62+'2'!I62+'3'!I62+'4'!I62+'5'!I62+'6'!I62+'7'!I62+'8'!I62+'9'!I62+'10'!I62+'11'!I62+'12'!I62+'13'!I62+'14'!I62+'15'!I62+'16'!I62+'17'!I62+'18'!I62+'19'!I62+'20'!I62+'21'!I62+'22'!I62+'23'!I62+'24'!I62+'25'!I62+'26'!I62+'27'!I62</f>
        <v>0</v>
      </c>
      <c r="G60" s="166">
        <f ca="1">+'1'!J62+'2'!J62+'3'!J62+'4'!J62+'5'!J62+'6'!J62+'7'!J62+'8'!J62+'9'!J62+'10'!J62+'11'!J62+'12'!J62+'13'!J62+'14'!J62+'15'!J62+'16'!J62+'17'!J62+'18'!J62+'19'!J62+'20'!J62+'21'!J62+'22'!J62+'23'!J62+'24'!J62+'25'!J62+'26'!J62+'27'!J62</f>
        <v>0</v>
      </c>
      <c r="H60" s="166">
        <f ca="1">+'1'!K62+'2'!K62+'3'!K62+'4'!K62+'5'!K62+'6'!K62+'7'!K62+'8'!K62+'9'!K62+'10'!K62+'11'!K62+'12'!K62+'13'!K62+'14'!K62+'15'!K62+'16'!K62+'17'!K62+'18'!K62+'19'!K62+'20'!K62+'21'!K62+'22'!K62+'23'!K62+'24'!K62+'25'!K62+'26'!K62+'27'!K62</f>
        <v>0</v>
      </c>
      <c r="I60" s="166">
        <f ca="1">+'1'!M62+'2'!M62+'3'!M62+'4'!M62+'5'!M62+'6'!M62+'7'!M62+'8'!M62+'9'!M62+'10'!M62+'11'!M62+'12'!M62+'13'!M62+'14'!M62+'15'!M62+'16'!M62+'17'!M62+'18'!M62+'19'!M62+'20'!M62+'21'!M62+'22'!M62+'23'!M62+'24'!M62+'25'!M62+'26'!M62+'27'!M62</f>
        <v>0</v>
      </c>
    </row>
    <row r="61" spans="1:9">
      <c r="A61" s="53">
        <f>+'Taxes RCA 2022'!A56</f>
        <v>44</v>
      </c>
      <c r="B61" s="18" t="str">
        <f>+'Taxes RCA 2022'!B56</f>
        <v xml:space="preserve">Fonds du soutien à la Promotion Pétrolière </v>
      </c>
      <c r="C61" s="114">
        <f>+'1'!E63+'2'!E63+'3'!E63+'4'!E63+'5'!E63+'6'!E63+'7'!E63+'8'!E63+'9'!E63+'10'!E63+'11'!E63+'12'!E63+'13'!E63+'14'!E63+'15'!E63+'16'!E63+'17'!E63+'18'!E63+'19'!E63+'20'!E63+'21'!E63+'22'!E63+'23'!E63+'24'!E63+'25'!E63+'26'!E63+'27'!E63</f>
        <v>0</v>
      </c>
      <c r="D61" s="114">
        <f>+'1'!F63+'2'!F63+'3'!F63+'4'!F63+'5'!F63+'6'!F63+'7'!F63+'8'!F63+'9'!F63+'10'!F63+'11'!F63+'12'!F63+'13'!F63+'14'!F63+'15'!F63+'16'!F63+'17'!F63+'18'!F63+'19'!F63+'20'!F63+'21'!F63+'22'!F63+'23'!F63+'24'!F63+'25'!F63+'26'!F63+'27'!F63</f>
        <v>0</v>
      </c>
      <c r="E61" s="114">
        <f>+'1'!G63+'2'!G63+'3'!G63+'4'!G63+'5'!G63+'6'!G63+'7'!G63+'8'!G63+'9'!G63+'10'!G63+'11'!G63+'12'!G63+'13'!G63+'14'!G63+'15'!G63+'16'!G63+'17'!G63+'18'!G63+'19'!G63+'20'!G63+'21'!G63+'22'!G63+'23'!G63+'24'!G63+'25'!G63+'26'!G63+'27'!G63</f>
        <v>0</v>
      </c>
      <c r="F61" s="114">
        <f>+'1'!I63+'2'!I63+'3'!I63+'4'!I63+'5'!I63+'6'!I63+'7'!I63+'8'!I63+'9'!I63+'10'!I63+'11'!I63+'12'!I63+'13'!I63+'14'!I63+'15'!I63+'16'!I63+'17'!I63+'18'!I63+'19'!I63+'20'!I63+'21'!I63+'22'!I63+'23'!I63+'24'!I63+'25'!I63+'26'!I63+'27'!I63</f>
        <v>0</v>
      </c>
      <c r="G61" s="114">
        <f ca="1">+'1'!J63+'2'!J63+'3'!J63+'4'!J63+'5'!J63+'6'!J63+'7'!J63+'8'!J63+'9'!J63+'10'!J63+'11'!J63+'12'!J63+'13'!J63+'14'!J63+'15'!J63+'16'!J63+'17'!J63+'18'!J63+'19'!J63+'20'!J63+'21'!J63+'22'!J63+'23'!J63+'24'!J63+'25'!J63+'26'!J63+'27'!J63</f>
        <v>0</v>
      </c>
      <c r="H61" s="114">
        <f ca="1">+'1'!K63+'2'!K63+'3'!K63+'4'!K63+'5'!K63+'6'!K63+'7'!K63+'8'!K63+'9'!K63+'10'!K63+'11'!K63+'12'!K63+'13'!K63+'14'!K63+'15'!K63+'16'!K63+'17'!K63+'18'!K63+'19'!K63+'20'!K63+'21'!K63+'22'!K63+'23'!K63+'24'!K63+'25'!K63+'26'!K63+'27'!K63</f>
        <v>0</v>
      </c>
      <c r="I61" s="114">
        <f ca="1">+'1'!M63+'2'!M63+'3'!M63+'4'!M63+'5'!M63+'6'!M63+'7'!M63+'8'!M63+'9'!M63+'10'!M63+'11'!M63+'12'!M63+'13'!M63+'14'!M63+'15'!M63+'16'!M63+'17'!M63+'18'!M63+'19'!M63+'20'!M63+'21'!M63+'22'!M63+'23'!M63+'24'!M63+'25'!M63+'26'!M63+'27'!M63</f>
        <v>0</v>
      </c>
    </row>
    <row r="62" spans="1:9">
      <c r="A62" s="64">
        <f>+'Taxes RCA 2022'!A57</f>
        <v>45</v>
      </c>
      <c r="B62" s="68" t="str">
        <f>+'Taxes RCA 2022'!B57</f>
        <v>Fonds de Soutien aux projets de Développement Communautaire</v>
      </c>
      <c r="C62" s="165">
        <f>+'1'!E64+'2'!E64+'3'!E64+'4'!E64+'5'!E64+'6'!E64+'7'!E64+'8'!E64+'9'!E64+'10'!E64+'11'!E64+'12'!E64+'13'!E64+'14'!E64+'15'!E64+'16'!E64+'17'!E64+'18'!E64+'19'!E64+'20'!E64+'21'!E64+'22'!E64+'23'!E64+'24'!E64+'25'!E64+'26'!E64+'27'!E64</f>
        <v>0</v>
      </c>
      <c r="D62" s="165">
        <f>+'1'!F64+'2'!F64+'3'!F64+'4'!F64+'5'!F64+'6'!F64+'7'!F64+'8'!F64+'9'!F64+'10'!F64+'11'!F64+'12'!F64+'13'!F64+'14'!F64+'15'!F64+'16'!F64+'17'!F64+'18'!F64+'19'!F64+'20'!F64+'21'!F64+'22'!F64+'23'!F64+'24'!F64+'25'!F64+'26'!F64+'27'!F64</f>
        <v>0</v>
      </c>
      <c r="E62" s="165">
        <f>+'1'!G64+'2'!G64+'3'!G64+'4'!G64+'5'!G64+'6'!G64+'7'!G64+'8'!G64+'9'!G64+'10'!G64+'11'!G64+'12'!G64+'13'!G64+'14'!G64+'15'!G64+'16'!G64+'17'!G64+'18'!G64+'19'!G64+'20'!G64+'21'!G64+'22'!G64+'23'!G64+'24'!G64+'25'!G64+'26'!G64+'27'!G64</f>
        <v>0</v>
      </c>
      <c r="F62" s="165">
        <f>+'1'!I64+'2'!I64+'3'!I64+'4'!I64+'5'!I64+'6'!I64+'7'!I64+'8'!I64+'9'!I64+'10'!I64+'11'!I64+'12'!I64+'13'!I64+'14'!I64+'15'!I64+'16'!I64+'17'!I64+'18'!I64+'19'!I64+'20'!I64+'21'!I64+'22'!I64+'23'!I64+'24'!I64+'25'!I64+'26'!I64+'27'!I64</f>
        <v>0</v>
      </c>
      <c r="G62" s="165">
        <f ca="1">+'1'!J64+'2'!J64+'3'!J64+'4'!J64+'5'!J64+'6'!J64+'7'!J64+'8'!J64+'9'!J64+'10'!J64+'11'!J64+'12'!J64+'13'!J64+'14'!J64+'15'!J64+'16'!J64+'17'!J64+'18'!J64+'19'!J64+'20'!J64+'21'!J64+'22'!J64+'23'!J64+'24'!J64+'25'!J64+'26'!J64+'27'!J64</f>
        <v>0</v>
      </c>
      <c r="H62" s="165">
        <f ca="1">+'1'!K64+'2'!K64+'3'!K64+'4'!K64+'5'!K64+'6'!K64+'7'!K64+'8'!K64+'9'!K64+'10'!K64+'11'!K64+'12'!K64+'13'!K64+'14'!K64+'15'!K64+'16'!K64+'17'!K64+'18'!K64+'19'!K64+'20'!K64+'21'!K64+'22'!K64+'23'!K64+'24'!K64+'25'!K64+'26'!K64+'27'!K64</f>
        <v>0</v>
      </c>
      <c r="I62" s="165">
        <f ca="1">+'1'!M64+'2'!M64+'3'!M64+'4'!M64+'5'!M64+'6'!M64+'7'!M64+'8'!M64+'9'!M64+'10'!M64+'11'!M64+'12'!M64+'13'!M64+'14'!M64+'15'!M64+'16'!M64+'17'!M64+'18'!M64+'19'!M64+'20'!M64+'21'!M64+'22'!M64+'23'!M64+'24'!M64+'25'!M64+'26'!M64+'27'!M64</f>
        <v>0</v>
      </c>
    </row>
    <row r="63" spans="1:9">
      <c r="A63" s="163"/>
      <c r="B63" s="58" t="str">
        <f>+'Taxes RCA 2022'!B58</f>
        <v xml:space="preserve">Paiements Sociaux </v>
      </c>
      <c r="C63" s="166">
        <f>+'1'!E65+'2'!E65+'3'!E65+'4'!E65+'5'!E65+'6'!E65+'7'!E65+'8'!E65+'9'!E65+'10'!E65+'11'!E65+'12'!E65+'13'!E65+'14'!E65+'15'!E65+'16'!E65+'17'!E65+'18'!E65+'19'!E65+'20'!E65+'21'!E65+'22'!E65+'23'!E65+'24'!E65+'25'!E65+'26'!E65+'27'!E65</f>
        <v>9489800</v>
      </c>
      <c r="D63" s="166">
        <f>+'1'!F65+'2'!F65+'3'!F65+'4'!F65+'5'!F65+'6'!F65+'7'!F65+'8'!F65+'9'!F65+'10'!F65+'11'!F65+'12'!F65+'13'!F65+'14'!F65+'15'!F65+'16'!F65+'17'!F65+'18'!F65+'19'!F65+'20'!F65+'21'!F65+'22'!F65+'23'!F65+'24'!F65+'25'!F65+'26'!F65+'27'!F65</f>
        <v>-9489800</v>
      </c>
      <c r="E63" s="166">
        <f>+'1'!G65+'2'!G65+'3'!G65+'4'!G65+'5'!G65+'6'!G65+'7'!G65+'8'!G65+'9'!G65+'10'!G65+'11'!G65+'12'!G65+'13'!G65+'14'!G65+'15'!G65+'16'!G65+'17'!G65+'18'!G65+'19'!G65+'20'!G65+'21'!G65+'22'!G65+'23'!G65+'24'!G65+'25'!G65+'26'!G65+'27'!G65</f>
        <v>0</v>
      </c>
      <c r="F63" s="166">
        <f>+'1'!I65+'2'!I65+'3'!I65+'4'!I65+'5'!I65+'6'!I65+'7'!I65+'8'!I65+'9'!I65+'10'!I65+'11'!I65+'12'!I65+'13'!I65+'14'!I65+'15'!I65+'16'!I65+'17'!I65+'18'!I65+'19'!I65+'20'!I65+'21'!I65+'22'!I65+'23'!I65+'24'!I65+'25'!I65+'26'!I65+'27'!I65</f>
        <v>0</v>
      </c>
      <c r="G63" s="166">
        <f ca="1">+'1'!J65+'2'!J65+'3'!J65+'4'!J65+'5'!J65+'6'!J65+'7'!J65+'8'!J65+'9'!J65+'10'!J65+'11'!J65+'12'!J65+'13'!J65+'14'!J65+'15'!J65+'16'!J65+'17'!J65+'18'!J65+'19'!J65+'20'!J65+'21'!J65+'22'!J65+'23'!J65+'24'!J65+'25'!J65+'26'!J65+'27'!J65</f>
        <v>0</v>
      </c>
      <c r="H63" s="166">
        <f ca="1">+'1'!K65+'2'!K65+'3'!K65+'4'!K65+'5'!K65+'6'!K65+'7'!K65+'8'!K65+'9'!K65+'10'!K65+'11'!K65+'12'!K65+'13'!K65+'14'!K65+'15'!K65+'16'!K65+'17'!K65+'18'!K65+'19'!K65+'20'!K65+'21'!K65+'22'!K65+'23'!K65+'24'!K65+'25'!K65+'26'!K65+'27'!K65</f>
        <v>0</v>
      </c>
      <c r="I63" s="166">
        <f ca="1">+'1'!M65+'2'!M65+'3'!M65+'4'!M65+'5'!M65+'6'!M65+'7'!M65+'8'!M65+'9'!M65+'10'!M65+'11'!M65+'12'!M65+'13'!M65+'14'!M65+'15'!M65+'16'!M65+'17'!M65+'18'!M65+'19'!M65+'20'!M65+'21'!M65+'22'!M65+'23'!M65+'24'!M65+'25'!M65+'26'!M65+'27'!M65</f>
        <v>0</v>
      </c>
    </row>
    <row r="64" spans="1:9">
      <c r="A64" s="53">
        <f>+'Taxes RCA 2022'!A59</f>
        <v>46</v>
      </c>
      <c r="B64" s="18" t="str">
        <f>+'Taxes RCA 2022'!B59</f>
        <v>Paiements sociaux obligatoires</v>
      </c>
      <c r="C64" s="114">
        <f>+'1'!E66+'2'!E66+'3'!E66+'4'!E66+'5'!E66+'6'!E66+'7'!E66+'8'!E66+'9'!E66+'10'!E66+'11'!E66+'12'!E66+'13'!E66+'14'!E66+'15'!E66+'16'!E66+'17'!E66+'18'!E66+'19'!E66+'20'!E66+'21'!E66+'22'!E66+'23'!E66+'24'!E66+'25'!E66+'26'!E66+'27'!E66</f>
        <v>9489800</v>
      </c>
      <c r="D64" s="114">
        <f>+'1'!F66+'2'!F66+'3'!F66+'4'!F66+'5'!F66+'6'!F66+'7'!F66+'8'!F66+'9'!F66+'10'!F66+'11'!F66+'12'!F66+'13'!F66+'14'!F66+'15'!F66+'16'!F66+'17'!F66+'18'!F66+'19'!F66+'20'!F66+'21'!F66+'22'!F66+'23'!F66+'24'!F66+'25'!F66+'26'!F66+'27'!F66</f>
        <v>-9489800</v>
      </c>
      <c r="E64" s="114">
        <f>+'1'!G66+'2'!G66+'3'!G66+'4'!G66+'5'!G66+'6'!G66+'7'!G66+'8'!G66+'9'!G66+'10'!G66+'11'!G66+'12'!G66+'13'!G66+'14'!G66+'15'!G66+'16'!G66+'17'!G66+'18'!G66+'19'!G66+'20'!G66+'21'!G66+'22'!G66+'23'!G66+'24'!G66+'25'!G66+'26'!G66+'27'!G66</f>
        <v>0</v>
      </c>
      <c r="F64" s="114">
        <f>+'1'!I66+'2'!I66+'3'!I66+'4'!I66+'5'!I66+'6'!I66+'7'!I66+'8'!I66+'9'!I66+'10'!I66+'11'!I66+'12'!I66+'13'!I66+'14'!I66+'15'!I66+'16'!I66+'17'!I66+'18'!I66+'19'!I66+'20'!I66+'21'!I66+'22'!I66+'23'!I66+'24'!I66+'25'!I66+'26'!I66+'27'!I66</f>
        <v>0</v>
      </c>
      <c r="G64" s="114">
        <f ca="1">+'1'!J66+'2'!J66+'3'!J66+'4'!J66+'5'!J66+'6'!J66+'7'!J66+'8'!J66+'9'!J66+'10'!J66+'11'!J66+'12'!J66+'13'!J66+'14'!J66+'15'!J66+'16'!J66+'17'!J66+'18'!J66+'19'!J66+'20'!J66+'21'!J66+'22'!J66+'23'!J66+'24'!J66+'25'!J66+'26'!J66+'27'!J66</f>
        <v>0</v>
      </c>
      <c r="H64" s="114">
        <f ca="1">+'1'!K66+'2'!K66+'3'!K66+'4'!K66+'5'!K66+'6'!K66+'7'!K66+'8'!K66+'9'!K66+'10'!K66+'11'!K66+'12'!K66+'13'!K66+'14'!K66+'15'!K66+'16'!K66+'17'!K66+'18'!K66+'19'!K66+'20'!K66+'21'!K66+'22'!K66+'23'!K66+'24'!K66+'25'!K66+'26'!K66+'27'!K66</f>
        <v>0</v>
      </c>
      <c r="I64" s="114">
        <f ca="1">+'1'!M66+'2'!M66+'3'!M66+'4'!M66+'5'!M66+'6'!M66+'7'!M66+'8'!M66+'9'!M66+'10'!M66+'11'!M66+'12'!M66+'13'!M66+'14'!M66+'15'!M66+'16'!M66+'17'!M66+'18'!M66+'19'!M66+'20'!M66+'21'!M66+'22'!M66+'23'!M66+'24'!M66+'25'!M66+'26'!M66+'27'!M66</f>
        <v>0</v>
      </c>
    </row>
    <row r="65" spans="1:9">
      <c r="A65" s="64">
        <f>+'Taxes RCA 2022'!A60</f>
        <v>47</v>
      </c>
      <c r="B65" s="68" t="str">
        <f>+'Taxes RCA 2022'!B60</f>
        <v>Paiements sociaux volontaires</v>
      </c>
      <c r="C65" s="165">
        <f>+'1'!E67+'2'!E67+'3'!E67+'4'!E67+'5'!E67+'6'!E67+'7'!E67+'8'!E67+'9'!E67+'10'!E67+'11'!E67+'12'!E67+'13'!E67+'14'!E67+'15'!E67+'16'!E67+'17'!E67+'18'!E67+'19'!E67+'20'!E67+'21'!E67+'22'!E67+'23'!E67+'24'!E67+'25'!E67+'26'!E67+'27'!E67</f>
        <v>0</v>
      </c>
      <c r="D65" s="165">
        <f>+'1'!F67+'2'!F67+'3'!F67+'4'!F67+'5'!F67+'6'!F67+'7'!F67+'8'!F67+'9'!F67+'10'!F67+'11'!F67+'12'!F67+'13'!F67+'14'!F67+'15'!F67+'16'!F67+'17'!F67+'18'!F67+'19'!F67+'20'!F67+'21'!F67+'22'!F67+'23'!F67+'24'!F67+'25'!F67+'26'!F67+'27'!F67</f>
        <v>0</v>
      </c>
      <c r="E65" s="165">
        <f>+'1'!G67+'2'!G67+'3'!G67+'4'!G67+'5'!G67+'6'!G67+'7'!G67+'8'!G67+'9'!G67+'10'!G67+'11'!G67+'12'!G67+'13'!G67+'14'!G67+'15'!G67+'16'!G67+'17'!G67+'18'!G67+'19'!G67+'20'!G67+'21'!G67+'22'!G67+'23'!G67+'24'!G67+'25'!G67+'26'!G67+'27'!G67</f>
        <v>0</v>
      </c>
      <c r="F65" s="165">
        <f>+'1'!I67+'2'!I67+'3'!I67+'4'!I67+'5'!I67+'6'!I67+'7'!I67+'8'!I67+'9'!I67+'10'!I67+'11'!I67+'12'!I67+'13'!I67+'14'!I67+'15'!I67+'16'!I67+'17'!I67+'18'!I67+'19'!I67+'20'!I67+'21'!I67+'22'!I67+'23'!I67+'24'!I67+'25'!I67+'26'!I67+'27'!I67</f>
        <v>0</v>
      </c>
      <c r="G65" s="165">
        <f ca="1">+'1'!J67+'2'!J67+'3'!J67+'4'!J67+'5'!J67+'6'!J67+'7'!J67+'8'!J67+'9'!J67+'10'!J67+'11'!J67+'12'!J67+'13'!J67+'14'!J67+'15'!J67+'16'!J67+'17'!J67+'18'!J67+'19'!J67+'20'!J67+'21'!J67+'22'!J67+'23'!J67+'24'!J67+'25'!J67+'26'!J67+'27'!J67</f>
        <v>0</v>
      </c>
      <c r="H65" s="165">
        <f ca="1">+'1'!K67+'2'!K67+'3'!K67+'4'!K67+'5'!K67+'6'!K67+'7'!K67+'8'!K67+'9'!K67+'10'!K67+'11'!K67+'12'!K67+'13'!K67+'14'!K67+'15'!K67+'16'!K67+'17'!K67+'18'!K67+'19'!K67+'20'!K67+'21'!K67+'22'!K67+'23'!K67+'24'!K67+'25'!K67+'26'!K67+'27'!K67</f>
        <v>0</v>
      </c>
      <c r="I65" s="165">
        <f ca="1">+'1'!M67+'2'!M67+'3'!M67+'4'!M67+'5'!M67+'6'!M67+'7'!M67+'8'!M67+'9'!M67+'10'!M67+'11'!M67+'12'!M67+'13'!M67+'14'!M67+'15'!M67+'16'!M67+'17'!M67+'18'!M67+'19'!M67+'20'!M67+'21'!M67+'22'!M67+'23'!M67+'24'!M67+'25'!M67+'26'!M67+'27'!M67</f>
        <v>0</v>
      </c>
    </row>
    <row r="66" spans="1:9">
      <c r="A66" s="163"/>
      <c r="B66" s="58" t="str">
        <f>+'Taxes RCA 2022'!B61</f>
        <v>Paiements environnementaux - DGTCP (FNE)</v>
      </c>
      <c r="C66" s="166">
        <f>+'1'!E68+'2'!E68+'3'!E68+'4'!E68+'5'!E68+'6'!E68+'7'!E68+'8'!E68+'9'!E68+'10'!E68+'11'!E68+'12'!E68+'13'!E68+'14'!E68+'15'!E68+'16'!E68+'17'!E68+'18'!E68+'19'!E68+'20'!E68+'21'!E68+'22'!E68+'23'!E68+'24'!E68+'25'!E68+'26'!E68+'27'!E68</f>
        <v>0</v>
      </c>
      <c r="D66" s="166">
        <f>+'1'!F68+'2'!F68+'3'!F68+'4'!F68+'5'!F68+'6'!F68+'7'!F68+'8'!F68+'9'!F68+'10'!F68+'11'!F68+'12'!F68+'13'!F68+'14'!F68+'15'!F68+'16'!F68+'17'!F68+'18'!F68+'19'!F68+'20'!F68+'21'!F68+'22'!F68+'23'!F68+'24'!F68+'25'!F68+'26'!F68+'27'!F68</f>
        <v>12300000</v>
      </c>
      <c r="E66" s="166">
        <f>+'1'!G68+'2'!G68+'3'!G68+'4'!G68+'5'!G68+'6'!G68+'7'!G68+'8'!G68+'9'!G68+'10'!G68+'11'!G68+'12'!G68+'13'!G68+'14'!G68+'15'!G68+'16'!G68+'17'!G68+'18'!G68+'19'!G68+'20'!G68+'21'!G68+'22'!G68+'23'!G68+'24'!G68+'25'!G68+'26'!G68+'27'!G68</f>
        <v>12300000</v>
      </c>
      <c r="F66" s="166">
        <f>+'1'!I68+'2'!I68+'3'!I68+'4'!I68+'5'!I68+'6'!I68+'7'!I68+'8'!I68+'9'!I68+'10'!I68+'11'!I68+'12'!I68+'13'!I68+'14'!I68+'15'!I68+'16'!I68+'17'!I68+'18'!I68+'19'!I68+'20'!I68+'21'!I68+'22'!I68+'23'!I68+'24'!I68+'25'!I68+'26'!I68+'27'!I68</f>
        <v>24000000</v>
      </c>
      <c r="G66" s="166">
        <f ca="1">+'1'!J68+'2'!J68+'3'!J68+'4'!J68+'5'!J68+'6'!J68+'7'!J68+'8'!J68+'9'!J68+'10'!J68+'11'!J68+'12'!J68+'13'!J68+'14'!J68+'15'!J68+'16'!J68+'17'!J68+'18'!J68+'19'!J68+'20'!J68+'21'!J68+'22'!J68+'23'!J68+'24'!J68+'25'!J68+'26'!J68+'27'!J68</f>
        <v>0</v>
      </c>
      <c r="H66" s="166">
        <f ca="1">+'1'!K68+'2'!K68+'3'!K68+'4'!K68+'5'!K68+'6'!K68+'7'!K68+'8'!K68+'9'!K68+'10'!K68+'11'!K68+'12'!K68+'13'!K68+'14'!K68+'15'!K68+'16'!K68+'17'!K68+'18'!K68+'19'!K68+'20'!K68+'21'!K68+'22'!K68+'23'!K68+'24'!K68+'25'!K68+'26'!K68+'27'!K68</f>
        <v>24000000</v>
      </c>
      <c r="I66" s="166">
        <f ca="1">+'1'!M68+'2'!M68+'3'!M68+'4'!M68+'5'!M68+'6'!M68+'7'!M68+'8'!M68+'9'!M68+'10'!M68+'11'!M68+'12'!M68+'13'!M68+'14'!M68+'15'!M68+'16'!M68+'17'!M68+'18'!M68+'19'!M68+'20'!M68+'21'!M68+'22'!M68+'23'!M68+'24'!M68+'25'!M68+'26'!M68+'27'!M68</f>
        <v>-11700000</v>
      </c>
    </row>
    <row r="67" spans="1:9">
      <c r="A67" s="53">
        <f>+'Taxes RCA 2022'!A62</f>
        <v>48</v>
      </c>
      <c r="B67" s="18" t="str">
        <f>+'Taxes RCA 2022'!B62</f>
        <v>Taxes sur les appareils à pression de vapeur et de gaz (+)</v>
      </c>
      <c r="C67" s="114">
        <f>+'1'!E69+'2'!E69+'3'!E69+'4'!E69+'5'!E69+'6'!E69+'7'!E69+'8'!E69+'9'!E69+'10'!E69+'11'!E69+'12'!E69+'13'!E69+'14'!E69+'15'!E69+'16'!E69+'17'!E69+'18'!E69+'19'!E69+'20'!E69+'21'!E69+'22'!E69+'23'!E69+'24'!E69+'25'!E69+'26'!E69+'27'!E69</f>
        <v>0</v>
      </c>
      <c r="D67" s="114">
        <f>+'1'!F69+'2'!F69+'3'!F69+'4'!F69+'5'!F69+'6'!F69+'7'!F69+'8'!F69+'9'!F69+'10'!F69+'11'!F69+'12'!F69+'13'!F69+'14'!F69+'15'!F69+'16'!F69+'17'!F69+'18'!F69+'19'!F69+'20'!F69+'21'!F69+'22'!F69+'23'!F69+'24'!F69+'25'!F69+'26'!F69+'27'!F69</f>
        <v>0</v>
      </c>
      <c r="E67" s="114">
        <f>+'1'!G69+'2'!G69+'3'!G69+'4'!G69+'5'!G69+'6'!G69+'7'!G69+'8'!G69+'9'!G69+'10'!G69+'11'!G69+'12'!G69+'13'!G69+'14'!G69+'15'!G69+'16'!G69+'17'!G69+'18'!G69+'19'!G69+'20'!G69+'21'!G69+'22'!G69+'23'!G69+'24'!G69+'25'!G69+'26'!G69+'27'!G69</f>
        <v>0</v>
      </c>
      <c r="F67" s="114">
        <f>+'1'!I69+'2'!I69+'3'!I69+'4'!I69+'5'!I69+'6'!I69+'7'!I69+'8'!I69+'9'!I69+'10'!I69+'11'!I69+'12'!I69+'13'!I69+'14'!I69+'15'!I69+'16'!I69+'17'!I69+'18'!I69+'19'!I69+'20'!I69+'21'!I69+'22'!I69+'23'!I69+'24'!I69+'25'!I69+'26'!I69+'27'!I69</f>
        <v>0</v>
      </c>
      <c r="G67" s="114">
        <f ca="1">+'1'!J69+'2'!J69+'3'!J69+'4'!J69+'5'!J69+'6'!J69+'7'!J69+'8'!J69+'9'!J69+'10'!J69+'11'!J69+'12'!J69+'13'!J69+'14'!J69+'15'!J69+'16'!J69+'17'!J69+'18'!J69+'19'!J69+'20'!J69+'21'!J69+'22'!J69+'23'!J69+'24'!J69+'25'!J69+'26'!J69+'27'!J69</f>
        <v>0</v>
      </c>
      <c r="H67" s="114">
        <f ca="1">+'1'!K69+'2'!K69+'3'!K69+'4'!K69+'5'!K69+'6'!K69+'7'!K69+'8'!K69+'9'!K69+'10'!K69+'11'!K69+'12'!K69+'13'!K69+'14'!K69+'15'!K69+'16'!K69+'17'!K69+'18'!K69+'19'!K69+'20'!K69+'21'!K69+'22'!K69+'23'!K69+'24'!K69+'25'!K69+'26'!K69+'27'!K69</f>
        <v>0</v>
      </c>
      <c r="I67" s="114">
        <f ca="1">+'1'!M69+'2'!M69+'3'!M69+'4'!M69+'5'!M69+'6'!M69+'7'!M69+'8'!M69+'9'!M69+'10'!M69+'11'!M69+'12'!M69+'13'!M69+'14'!M69+'15'!M69+'16'!M69+'17'!M69+'18'!M69+'19'!M69+'20'!M69+'21'!M69+'22'!M69+'23'!M69+'24'!M69+'25'!M69+'26'!M69+'27'!M69</f>
        <v>0</v>
      </c>
    </row>
    <row r="68" spans="1:9">
      <c r="A68" s="64">
        <f>+'Taxes RCA 2022'!A63</f>
        <v>49</v>
      </c>
      <c r="B68" s="68" t="str">
        <f>+'Taxes RCA 2022'!B63</f>
        <v>Taxes à la pollution (+)</v>
      </c>
      <c r="C68" s="165">
        <f>+'1'!E70+'2'!E70+'3'!E70+'4'!E70+'5'!E70+'6'!E70+'7'!E70+'8'!E70+'9'!E70+'10'!E70+'11'!E70+'12'!E70+'13'!E70+'14'!E70+'15'!E70+'16'!E70+'17'!E70+'18'!E70+'19'!E70+'20'!E70+'21'!E70+'22'!E70+'23'!E70+'24'!E70+'25'!E70+'26'!E70+'27'!E70</f>
        <v>0</v>
      </c>
      <c r="D68" s="165">
        <f>+'1'!F70+'2'!F70+'3'!F70+'4'!F70+'5'!F70+'6'!F70+'7'!F70+'8'!F70+'9'!F70+'10'!F70+'11'!F70+'12'!F70+'13'!F70+'14'!F70+'15'!F70+'16'!F70+'17'!F70+'18'!F70+'19'!F70+'20'!F70+'21'!F70+'22'!F70+'23'!F70+'24'!F70+'25'!F70+'26'!F70+'27'!F70</f>
        <v>0</v>
      </c>
      <c r="E68" s="165">
        <f>+'1'!G70+'2'!G70+'3'!G70+'4'!G70+'5'!G70+'6'!G70+'7'!G70+'8'!G70+'9'!G70+'10'!G70+'11'!G70+'12'!G70+'13'!G70+'14'!G70+'15'!G70+'16'!G70+'17'!G70+'18'!G70+'19'!G70+'20'!G70+'21'!G70+'22'!G70+'23'!G70+'24'!G70+'25'!G70+'26'!G70+'27'!G70</f>
        <v>0</v>
      </c>
      <c r="F68" s="165">
        <f>+'1'!I70+'2'!I70+'3'!I70+'4'!I70+'5'!I70+'6'!I70+'7'!I70+'8'!I70+'9'!I70+'10'!I70+'11'!I70+'12'!I70+'13'!I70+'14'!I70+'15'!I70+'16'!I70+'17'!I70+'18'!I70+'19'!I70+'20'!I70+'21'!I70+'22'!I70+'23'!I70+'24'!I70+'25'!I70+'26'!I70+'27'!I70</f>
        <v>0</v>
      </c>
      <c r="G68" s="165">
        <f ca="1">+'1'!J70+'2'!J70+'3'!J70+'4'!J70+'5'!J70+'6'!J70+'7'!J70+'8'!J70+'9'!J70+'10'!J70+'11'!J70+'12'!J70+'13'!J70+'14'!J70+'15'!J70+'16'!J70+'17'!J70+'18'!J70+'19'!J70+'20'!J70+'21'!J70+'22'!J70+'23'!J70+'24'!J70+'25'!J70+'26'!J70+'27'!J70</f>
        <v>0</v>
      </c>
      <c r="H68" s="165">
        <f ca="1">+'1'!K70+'2'!K70+'3'!K70+'4'!K70+'5'!K70+'6'!K70+'7'!K70+'8'!K70+'9'!K70+'10'!K70+'11'!K70+'12'!K70+'13'!K70+'14'!K70+'15'!K70+'16'!K70+'17'!K70+'18'!K70+'19'!K70+'20'!K70+'21'!K70+'22'!K70+'23'!K70+'24'!K70+'25'!K70+'26'!K70+'27'!K70</f>
        <v>0</v>
      </c>
      <c r="I68" s="165">
        <f ca="1">+'1'!M70+'2'!M70+'3'!M70+'4'!M70+'5'!M70+'6'!M70+'7'!M70+'8'!M70+'9'!M70+'10'!M70+'11'!M70+'12'!M70+'13'!M70+'14'!M70+'15'!M70+'16'!M70+'17'!M70+'18'!M70+'19'!M70+'20'!M70+'21'!M70+'22'!M70+'23'!M70+'24'!M70+'25'!M70+'26'!M70+'27'!M70</f>
        <v>0</v>
      </c>
    </row>
    <row r="69" spans="1:9" ht="24">
      <c r="A69" s="53">
        <f>+'Taxes RCA 2022'!A64</f>
        <v>50</v>
      </c>
      <c r="B69" s="171" t="str">
        <f>+'Taxes RCA 2022'!B64</f>
        <v>Redevances annuelles résultant des inspections et contrôle des installations classées (+)</v>
      </c>
      <c r="C69" s="114">
        <f>+'1'!E71+'2'!E71+'3'!E71+'4'!E71+'5'!E71+'6'!E71+'7'!E71+'8'!E71+'9'!E71+'10'!E71+'11'!E71+'12'!E71+'13'!E71+'14'!E71+'15'!E71+'16'!E71+'17'!E71+'18'!E71+'19'!E71+'20'!E71+'21'!E71+'22'!E71+'23'!E71+'24'!E71+'25'!E71+'26'!E71+'27'!E71</f>
        <v>0</v>
      </c>
      <c r="D69" s="114">
        <f>+'1'!F71+'2'!F71+'3'!F71+'4'!F71+'5'!F71+'6'!F71+'7'!F71+'8'!F71+'9'!F71+'10'!F71+'11'!F71+'12'!F71+'13'!F71+'14'!F71+'15'!F71+'16'!F71+'17'!F71+'18'!F71+'19'!F71+'20'!F71+'21'!F71+'22'!F71+'23'!F71+'24'!F71+'25'!F71+'26'!F71+'27'!F71</f>
        <v>0</v>
      </c>
      <c r="E69" s="114">
        <f>+'1'!G71+'2'!G71+'3'!G71+'4'!G71+'5'!G71+'6'!G71+'7'!G71+'8'!G71+'9'!G71+'10'!G71+'11'!G71+'12'!G71+'13'!G71+'14'!G71+'15'!G71+'16'!G71+'17'!G71+'18'!G71+'19'!G71+'20'!G71+'21'!G71+'22'!G71+'23'!G71+'24'!G71+'25'!G71+'26'!G71+'27'!G71</f>
        <v>0</v>
      </c>
      <c r="F69" s="114">
        <f>+'1'!I71+'2'!I71+'3'!I71+'4'!I71+'5'!I71+'6'!I71+'7'!I71+'8'!I71+'9'!I71+'10'!I71+'11'!I71+'12'!I71+'13'!I71+'14'!I71+'15'!I71+'16'!I71+'17'!I71+'18'!I71+'19'!I71+'20'!I71+'21'!I71+'22'!I71+'23'!I71+'24'!I71+'25'!I71+'26'!I71+'27'!I71</f>
        <v>0</v>
      </c>
      <c r="G69" s="114">
        <f ca="1">+'1'!J71+'2'!J71+'3'!J71+'4'!J71+'5'!J71+'6'!J71+'7'!J71+'8'!J71+'9'!J71+'10'!J71+'11'!J71+'12'!J71+'13'!J71+'14'!J71+'15'!J71+'16'!J71+'17'!J71+'18'!J71+'19'!J71+'20'!J71+'21'!J71+'22'!J71+'23'!J71+'24'!J71+'25'!J71+'26'!J71+'27'!J71</f>
        <v>0</v>
      </c>
      <c r="H69" s="114">
        <f ca="1">+'1'!K71+'2'!K71+'3'!K71+'4'!K71+'5'!K71+'6'!K71+'7'!K71+'8'!K71+'9'!K71+'10'!K71+'11'!K71+'12'!K71+'13'!K71+'14'!K71+'15'!K71+'16'!K71+'17'!K71+'18'!K71+'19'!K71+'20'!K71+'21'!K71+'22'!K71+'23'!K71+'24'!K71+'25'!K71+'26'!K71+'27'!K71</f>
        <v>0</v>
      </c>
      <c r="I69" s="114">
        <f ca="1">+'1'!M71+'2'!M71+'3'!M71+'4'!M71+'5'!M71+'6'!M71+'7'!M71+'8'!M71+'9'!M71+'10'!M71+'11'!M71+'12'!M71+'13'!M71+'14'!M71+'15'!M71+'16'!M71+'17'!M71+'18'!M71+'19'!M71+'20'!M71+'21'!M71+'22'!M71+'23'!M71+'24'!M71+'25'!M71+'26'!M71+'27'!M71</f>
        <v>0</v>
      </c>
    </row>
    <row r="70" spans="1:9">
      <c r="A70" s="64">
        <f>+'Taxes RCA 2022'!A65</f>
        <v>51</v>
      </c>
      <c r="B70" s="68" t="str">
        <f>+'Taxes RCA 2022'!B65</f>
        <v>Taxes superficiaires encaissées par le FNE (+)</v>
      </c>
      <c r="C70" s="165">
        <f>+'1'!E72+'2'!E72+'3'!E72+'4'!E72+'5'!E72+'6'!E72+'7'!E72+'8'!E72+'9'!E72+'10'!E72+'11'!E72+'12'!E72+'13'!E72+'14'!E72+'15'!E72+'16'!E72+'17'!E72+'18'!E72+'19'!E72+'20'!E72+'21'!E72+'22'!E72+'23'!E72+'24'!E72+'25'!E72+'26'!E72+'27'!E72</f>
        <v>0</v>
      </c>
      <c r="D70" s="165">
        <f>+'1'!F72+'2'!F72+'3'!F72+'4'!F72+'5'!F72+'6'!F72+'7'!F72+'8'!F72+'9'!F72+'10'!F72+'11'!F72+'12'!F72+'13'!F72+'14'!F72+'15'!F72+'16'!F72+'17'!F72+'18'!F72+'19'!F72+'20'!F72+'21'!F72+'22'!F72+'23'!F72+'24'!F72+'25'!F72+'26'!F72+'27'!F72</f>
        <v>0</v>
      </c>
      <c r="E70" s="165">
        <f>+'1'!G72+'2'!G72+'3'!G72+'4'!G72+'5'!G72+'6'!G72+'7'!G72+'8'!G72+'9'!G72+'10'!G72+'11'!G72+'12'!G72+'13'!G72+'14'!G72+'15'!G72+'16'!G72+'17'!G72+'18'!G72+'19'!G72+'20'!G72+'21'!G72+'22'!G72+'23'!G72+'24'!G72+'25'!G72+'26'!G72+'27'!G72</f>
        <v>0</v>
      </c>
      <c r="F70" s="165">
        <f>+'1'!I72+'2'!I72+'3'!I72+'4'!I72+'5'!I72+'6'!I72+'7'!I72+'8'!I72+'9'!I72+'10'!I72+'11'!I72+'12'!I72+'13'!I72+'14'!I72+'15'!I72+'16'!I72+'17'!I72+'18'!I72+'19'!I72+'20'!I72+'21'!I72+'22'!I72+'23'!I72+'24'!I72+'25'!I72+'26'!I72+'27'!I72</f>
        <v>0</v>
      </c>
      <c r="G70" s="165">
        <f ca="1">+'1'!J72+'2'!J72+'3'!J72+'4'!J72+'5'!J72+'6'!J72+'7'!J72+'8'!J72+'9'!J72+'10'!J72+'11'!J72+'12'!J72+'13'!J72+'14'!J72+'15'!J72+'16'!J72+'17'!J72+'18'!J72+'19'!J72+'20'!J72+'21'!J72+'22'!J72+'23'!J72+'24'!J72+'25'!J72+'26'!J72+'27'!J72</f>
        <v>0</v>
      </c>
      <c r="H70" s="165">
        <f ca="1">+'1'!K72+'2'!K72+'3'!K72+'4'!K72+'5'!K72+'6'!K72+'7'!K72+'8'!K72+'9'!K72+'10'!K72+'11'!K72+'12'!K72+'13'!K72+'14'!K72+'15'!K72+'16'!K72+'17'!K72+'18'!K72+'19'!K72+'20'!K72+'21'!K72+'22'!K72+'23'!K72+'24'!K72+'25'!K72+'26'!K72+'27'!K72</f>
        <v>0</v>
      </c>
      <c r="I70" s="165">
        <f ca="1">+'1'!M72+'2'!M72+'3'!M72+'4'!M72+'5'!M72+'6'!M72+'7'!M72+'8'!M72+'9'!M72+'10'!M72+'11'!M72+'12'!M72+'13'!M72+'14'!M72+'15'!M72+'16'!M72+'17'!M72+'18'!M72+'19'!M72+'20'!M72+'21'!M72+'22'!M72+'23'!M72+'24'!M72+'25'!M72+'26'!M72+'27'!M72</f>
        <v>0</v>
      </c>
    </row>
    <row r="71" spans="1:9">
      <c r="A71" s="53">
        <f>+'Taxes RCA 2022'!A66</f>
        <v>52</v>
      </c>
      <c r="B71" s="18" t="str">
        <f>+'Taxes RCA 2022'!B66</f>
        <v>Taxes de remise en état (+)</v>
      </c>
      <c r="C71" s="114">
        <f>+'1'!E73+'2'!E73+'3'!E73+'4'!E73+'5'!E73+'6'!E73+'7'!E73+'8'!E73+'9'!E73+'10'!E73+'11'!E73+'12'!E73+'13'!E73+'14'!E73+'15'!E73+'16'!E73+'17'!E73+'18'!E73+'19'!E73+'20'!E73+'21'!E73+'22'!E73+'23'!E73+'24'!E73+'25'!E73+'26'!E73+'27'!E73</f>
        <v>0</v>
      </c>
      <c r="D71" s="114">
        <f>+'1'!F73+'2'!F73+'3'!F73+'4'!F73+'5'!F73+'6'!F73+'7'!F73+'8'!F73+'9'!F73+'10'!F73+'11'!F73+'12'!F73+'13'!F73+'14'!F73+'15'!F73+'16'!F73+'17'!F73+'18'!F73+'19'!F73+'20'!F73+'21'!F73+'22'!F73+'23'!F73+'24'!F73+'25'!F73+'26'!F73+'27'!F73</f>
        <v>0</v>
      </c>
      <c r="E71" s="114">
        <f>+'1'!G73+'2'!G73+'3'!G73+'4'!G73+'5'!G73+'6'!G73+'7'!G73+'8'!G73+'9'!G73+'10'!G73+'11'!G73+'12'!G73+'13'!G73+'14'!G73+'15'!G73+'16'!G73+'17'!G73+'18'!G73+'19'!G73+'20'!G73+'21'!G73+'22'!G73+'23'!G73+'24'!G73+'25'!G73+'26'!G73+'27'!G73</f>
        <v>0</v>
      </c>
      <c r="F71" s="114">
        <f>+'1'!I73+'2'!I73+'3'!I73+'4'!I73+'5'!I73+'6'!I73+'7'!I73+'8'!I73+'9'!I73+'10'!I73+'11'!I73+'12'!I73+'13'!I73+'14'!I73+'15'!I73+'16'!I73+'17'!I73+'18'!I73+'19'!I73+'20'!I73+'21'!I73+'22'!I73+'23'!I73+'24'!I73+'25'!I73+'26'!I73+'27'!I73</f>
        <v>0</v>
      </c>
      <c r="G71" s="114">
        <f ca="1">+'1'!J73+'2'!J73+'3'!J73+'4'!J73+'5'!J73+'6'!J73+'7'!J73+'8'!J73+'9'!J73+'10'!J73+'11'!J73+'12'!J73+'13'!J73+'14'!J73+'15'!J73+'16'!J73+'17'!J73+'18'!J73+'19'!J73+'20'!J73+'21'!J73+'22'!J73+'23'!J73+'24'!J73+'25'!J73+'26'!J73+'27'!J73</f>
        <v>0</v>
      </c>
      <c r="H71" s="114">
        <f ca="1">+'1'!K73+'2'!K73+'3'!K73+'4'!K73+'5'!K73+'6'!K73+'7'!K73+'8'!K73+'9'!K73+'10'!K73+'11'!K73+'12'!K73+'13'!K73+'14'!K73+'15'!K73+'16'!K73+'17'!K73+'18'!K73+'19'!K73+'20'!K73+'21'!K73+'22'!K73+'23'!K73+'24'!K73+'25'!K73+'26'!K73+'27'!K73</f>
        <v>0</v>
      </c>
      <c r="I71" s="114">
        <f ca="1">+'1'!M73+'2'!M73+'3'!M73+'4'!M73+'5'!M73+'6'!M73+'7'!M73+'8'!M73+'9'!M73+'10'!M73+'11'!M73+'12'!M73+'13'!M73+'14'!M73+'15'!M73+'16'!M73+'17'!M73+'18'!M73+'19'!M73+'20'!M73+'21'!M73+'22'!M73+'23'!M73+'24'!M73+'25'!M73+'26'!M73+'27'!M73</f>
        <v>0</v>
      </c>
    </row>
    <row r="72" spans="1:9">
      <c r="A72" s="64">
        <f>+'Taxes RCA 2022'!A67</f>
        <v>53</v>
      </c>
      <c r="B72" s="68" t="str">
        <f>+'Taxes RCA 2022'!B67</f>
        <v>Taxes environnementales sur les Stes forestières et Minières (+)</v>
      </c>
      <c r="C72" s="165">
        <f>+'1'!E74+'2'!E74+'3'!E74+'4'!E74+'5'!E74+'6'!E74+'7'!E74+'8'!E74+'9'!E74+'10'!E74+'11'!E74+'12'!E74+'13'!E74+'14'!E74+'15'!E74+'16'!E74+'17'!E74+'18'!E74+'19'!E74+'20'!E74+'21'!E74+'22'!E74+'23'!E74+'24'!E74+'25'!E74+'26'!E74+'27'!E74</f>
        <v>0</v>
      </c>
      <c r="D72" s="165">
        <f>+'1'!F74+'2'!F74+'3'!F74+'4'!F74+'5'!F74+'6'!F74+'7'!F74+'8'!F74+'9'!F74+'10'!F74+'11'!F74+'12'!F74+'13'!F74+'14'!F74+'15'!F74+'16'!F74+'17'!F74+'18'!F74+'19'!F74+'20'!F74+'21'!F74+'22'!F74+'23'!F74+'24'!F74+'25'!F74+'26'!F74+'27'!F74</f>
        <v>12300000</v>
      </c>
      <c r="E72" s="165">
        <f>+'1'!G74+'2'!G74+'3'!G74+'4'!G74+'5'!G74+'6'!G74+'7'!G74+'8'!G74+'9'!G74+'10'!G74+'11'!G74+'12'!G74+'13'!G74+'14'!G74+'15'!G74+'16'!G74+'17'!G74+'18'!G74+'19'!G74+'20'!G74+'21'!G74+'22'!G74+'23'!G74+'24'!G74+'25'!G74+'26'!G74+'27'!G74</f>
        <v>12300000</v>
      </c>
      <c r="F72" s="165">
        <f>+'1'!I74+'2'!I74+'3'!I74+'4'!I74+'5'!I74+'6'!I74+'7'!I74+'8'!I74+'9'!I74+'10'!I74+'11'!I74+'12'!I74+'13'!I74+'14'!I74+'15'!I74+'16'!I74+'17'!I74+'18'!I74+'19'!I74+'20'!I74+'21'!I74+'22'!I74+'23'!I74+'24'!I74+'25'!I74+'26'!I74+'27'!I74</f>
        <v>24000000</v>
      </c>
      <c r="G72" s="165">
        <f ca="1">+'1'!J74+'2'!J74+'3'!J74+'4'!J74+'5'!J74+'6'!J74+'7'!J74+'8'!J74+'9'!J74+'10'!J74+'11'!J74+'12'!J74+'13'!J74+'14'!J74+'15'!J74+'16'!J74+'17'!J74+'18'!J74+'19'!J74+'20'!J74+'21'!J74+'22'!J74+'23'!J74+'24'!J74+'25'!J74+'26'!J74+'27'!J74</f>
        <v>0</v>
      </c>
      <c r="H72" s="165">
        <f ca="1">+'1'!K74+'2'!K74+'3'!K74+'4'!K74+'5'!K74+'6'!K74+'7'!K74+'8'!K74+'9'!K74+'10'!K74+'11'!K74+'12'!K74+'13'!K74+'14'!K74+'15'!K74+'16'!K74+'17'!K74+'18'!K74+'19'!K74+'20'!K74+'21'!K74+'22'!K74+'23'!K74+'24'!K74+'25'!K74+'26'!K74+'27'!K74</f>
        <v>24000000</v>
      </c>
      <c r="I72" s="165">
        <f ca="1">+'1'!M74+'2'!M74+'3'!M74+'4'!M74+'5'!M74+'6'!M74+'7'!M74+'8'!M74+'9'!M74+'10'!M74+'11'!M74+'12'!M74+'13'!M74+'14'!M74+'15'!M74+'16'!M74+'17'!M74+'18'!M74+'19'!M74+'20'!M74+'21'!M74+'22'!M74+'23'!M74+'24'!M74+'25'!M74+'26'!M74+'27'!M74</f>
        <v>-11700000</v>
      </c>
    </row>
    <row r="73" spans="1:9">
      <c r="A73" s="53">
        <f>+'Taxes RCA 2022'!A68</f>
        <v>54</v>
      </c>
      <c r="B73" s="18" t="str">
        <f>+'Taxes RCA 2022'!B68</f>
        <v xml:space="preserve">Amendes environnementales </v>
      </c>
      <c r="C73" s="114">
        <f>+'1'!E75+'2'!E75+'3'!E75+'4'!E75+'5'!E75+'6'!E75+'7'!E75+'8'!E75+'9'!E75+'10'!E75+'11'!E75+'12'!E75+'13'!E75+'14'!E75+'15'!E75+'16'!E75+'17'!E75+'18'!E75+'19'!E75+'20'!E75+'21'!E75+'22'!E75+'23'!E75+'24'!E75+'25'!E75+'26'!E75+'27'!E75</f>
        <v>0</v>
      </c>
      <c r="D73" s="114">
        <f>+'1'!F75+'2'!F75+'3'!F75+'4'!F75+'5'!F75+'6'!F75+'7'!F75+'8'!F75+'9'!F75+'10'!F75+'11'!F75+'12'!F75+'13'!F75+'14'!F75+'15'!F75+'16'!F75+'17'!F75+'18'!F75+'19'!F75+'20'!F75+'21'!F75+'22'!F75+'23'!F75+'24'!F75+'25'!F75+'26'!F75+'27'!F75</f>
        <v>0</v>
      </c>
      <c r="E73" s="114">
        <f>+'1'!G75+'2'!G75+'3'!G75+'4'!G75+'5'!G75+'6'!G75+'7'!G75+'8'!G75+'9'!G75+'10'!G75+'11'!G75+'12'!G75+'13'!G75+'14'!G75+'15'!G75+'16'!G75+'17'!G75+'18'!G75+'19'!G75+'20'!G75+'21'!G75+'22'!G75+'23'!G75+'24'!G75+'25'!G75+'26'!G75+'27'!G75</f>
        <v>0</v>
      </c>
      <c r="F73" s="114">
        <f>+'1'!I75+'2'!I75+'3'!I75+'4'!I75+'5'!I75+'6'!I75+'7'!I75+'8'!I75+'9'!I75+'10'!I75+'11'!I75+'12'!I75+'13'!I75+'14'!I75+'15'!I75+'16'!I75+'17'!I75+'18'!I75+'19'!I75+'20'!I75+'21'!I75+'22'!I75+'23'!I75+'24'!I75+'25'!I75+'26'!I75+'27'!I75</f>
        <v>0</v>
      </c>
      <c r="G73" s="114">
        <f ca="1">+'1'!J75+'2'!J75+'3'!J75+'4'!J75+'5'!J75+'6'!J75+'7'!J75+'8'!J75+'9'!J75+'10'!J75+'11'!J75+'12'!J75+'13'!J75+'14'!J75+'15'!J75+'16'!J75+'17'!J75+'18'!J75+'19'!J75+'20'!J75+'21'!J75+'22'!J75+'23'!J75+'24'!J75+'25'!J75+'26'!J75+'27'!J75</f>
        <v>0</v>
      </c>
      <c r="H73" s="114">
        <f ca="1">+'1'!K75+'2'!K75+'3'!K75+'4'!K75+'5'!K75+'6'!K75+'7'!K75+'8'!K75+'9'!K75+'10'!K75+'11'!K75+'12'!K75+'13'!K75+'14'!K75+'15'!K75+'16'!K75+'17'!K75+'18'!K75+'19'!K75+'20'!K75+'21'!K75+'22'!K75+'23'!K75+'24'!K75+'25'!K75+'26'!K75+'27'!K75</f>
        <v>0</v>
      </c>
      <c r="I73" s="114">
        <f ca="1">+'1'!M75+'2'!M75+'3'!M75+'4'!M75+'5'!M75+'6'!M75+'7'!M75+'8'!M75+'9'!M75+'10'!M75+'11'!M75+'12'!M75+'13'!M75+'14'!M75+'15'!M75+'16'!M75+'17'!M75+'18'!M75+'19'!M75+'20'!M75+'21'!M75+'22'!M75+'23'!M75+'24'!M75+'25'!M75+'26'!M75+'27'!M75</f>
        <v>0</v>
      </c>
    </row>
    <row r="74" spans="1:9">
      <c r="A74" s="64">
        <f>+'Taxes RCA 2022'!A69</f>
        <v>55</v>
      </c>
      <c r="B74" s="68" t="str">
        <f>+'Taxes RCA 2022'!B69</f>
        <v>Dépenses environnementales volontaires (+)</v>
      </c>
      <c r="C74" s="165">
        <f>+'1'!E76+'2'!E76+'3'!E76+'4'!E76+'5'!E76+'6'!E76+'7'!E76+'8'!E76+'9'!E76+'10'!E76+'11'!E76+'12'!E76+'13'!E76+'14'!E76+'15'!E76+'16'!E76+'17'!E76+'18'!E76+'19'!E76+'20'!E76+'21'!E76+'22'!E76+'23'!E76+'24'!E76+'25'!E76+'26'!E76+'27'!E76</f>
        <v>0</v>
      </c>
      <c r="D74" s="165">
        <f>+'1'!F76+'2'!F76+'3'!F76+'4'!F76+'5'!F76+'6'!F76+'7'!F76+'8'!F76+'9'!F76+'10'!F76+'11'!F76+'12'!F76+'13'!F76+'14'!F76+'15'!F76+'16'!F76+'17'!F76+'18'!F76+'19'!F76+'20'!F76+'21'!F76+'22'!F76+'23'!F76+'24'!F76+'25'!F76+'26'!F76+'27'!F76</f>
        <v>0</v>
      </c>
      <c r="E74" s="165">
        <f>+'1'!G76+'2'!G76+'3'!G76+'4'!G76+'5'!G76+'6'!G76+'7'!G76+'8'!G76+'9'!G76+'10'!G76+'11'!G76+'12'!G76+'13'!G76+'14'!G76+'15'!G76+'16'!G76+'17'!G76+'18'!G76+'19'!G76+'20'!G76+'21'!G76+'22'!G76+'23'!G76+'24'!G76+'25'!G76+'26'!G76+'27'!G76</f>
        <v>0</v>
      </c>
      <c r="F74" s="165">
        <f>+'1'!I76+'2'!I76+'3'!I76+'4'!I76+'5'!I76+'6'!I76+'7'!I76+'8'!I76+'9'!I76+'10'!I76+'11'!I76+'12'!I76+'13'!I76+'14'!I76+'15'!I76+'16'!I76+'17'!I76+'18'!I76+'19'!I76+'20'!I76+'21'!I76+'22'!I76+'23'!I76+'24'!I76+'25'!I76+'26'!I76+'27'!I76</f>
        <v>0</v>
      </c>
      <c r="G74" s="165">
        <f ca="1">+'1'!J76+'2'!J76+'3'!J76+'4'!J76+'5'!J76+'6'!J76+'7'!J76+'8'!J76+'9'!J76+'10'!J76+'11'!J76+'12'!J76+'13'!J76+'14'!J76+'15'!J76+'16'!J76+'17'!J76+'18'!J76+'19'!J76+'20'!J76+'21'!J76+'22'!J76+'23'!J76+'24'!J76+'25'!J76+'26'!J76+'27'!J76</f>
        <v>0</v>
      </c>
      <c r="H74" s="165">
        <f ca="1">+'1'!K76+'2'!K76+'3'!K76+'4'!K76+'5'!K76+'6'!K76+'7'!K76+'8'!K76+'9'!K76+'10'!K76+'11'!K76+'12'!K76+'13'!K76+'14'!K76+'15'!K76+'16'!K76+'17'!K76+'18'!K76+'19'!K76+'20'!K76+'21'!K76+'22'!K76+'23'!K76+'24'!K76+'25'!K76+'26'!K76+'27'!K76</f>
        <v>0</v>
      </c>
      <c r="I74" s="165">
        <f ca="1">+'1'!M76+'2'!M76+'3'!M76+'4'!M76+'5'!M76+'6'!M76+'7'!M76+'8'!M76+'9'!M76+'10'!M76+'11'!M76+'12'!M76+'13'!M76+'14'!M76+'15'!M76+'16'!M76+'17'!M76+'18'!M76+'19'!M76+'20'!M76+'21'!M76+'22'!M76+'23'!M76+'24'!M76+'25'!M76+'26'!M76+'27'!M76</f>
        <v>0</v>
      </c>
    </row>
    <row r="75" spans="1:9">
      <c r="A75" s="163"/>
      <c r="B75" s="58" t="str">
        <f>+'Taxes RCA 2022'!B70</f>
        <v>Tous</v>
      </c>
      <c r="C75" s="166">
        <f>+'1'!E77+'2'!E77+'3'!E77+'4'!E77+'5'!E77+'6'!E77+'7'!E77+'8'!E77+'9'!E77+'10'!E77+'11'!E77+'12'!E77+'13'!E77+'14'!E77+'15'!E77+'16'!E77+'17'!E77+'18'!E77+'19'!E77+'20'!E77+'21'!E77+'22'!E77+'23'!E77+'24'!E77+'25'!E77+'26'!E77+'27'!E77</f>
        <v>146394336</v>
      </c>
      <c r="D75" s="166">
        <f>+'1'!F77+'2'!F77+'3'!F77+'4'!F77+'5'!F77+'6'!F77+'7'!F77+'8'!F77+'9'!F77+'10'!F77+'11'!F77+'12'!F77+'13'!F77+'14'!F77+'15'!F77+'16'!F77+'17'!F77+'18'!F77+'19'!F77+'20'!F77+'21'!F77+'22'!F77+'23'!F77+'24'!F77+'25'!F77+'26'!F77+'27'!F77</f>
        <v>-109384343</v>
      </c>
      <c r="E75" s="166">
        <f>+'1'!G77+'2'!G77+'3'!G77+'4'!G77+'5'!G77+'6'!G77+'7'!G77+'8'!G77+'9'!G77+'10'!G77+'11'!G77+'12'!G77+'13'!G77+'14'!G77+'15'!G77+'16'!G77+'17'!G77+'18'!G77+'19'!G77+'20'!G77+'21'!G77+'22'!G77+'23'!G77+'24'!G77+'25'!G77+'26'!G77+'27'!G77</f>
        <v>37009993</v>
      </c>
      <c r="F75" s="166">
        <f>+'1'!I77+'2'!I77+'3'!I77+'4'!I77+'5'!I77+'6'!I77+'7'!I77+'8'!I77+'9'!I77+'10'!I77+'11'!I77+'12'!I77+'13'!I77+'14'!I77+'15'!I77+'16'!I77+'17'!I77+'18'!I77+'19'!I77+'20'!I77+'21'!I77+'22'!I77+'23'!I77+'24'!I77+'25'!I77+'26'!I77+'27'!I77</f>
        <v>39224744.905000001</v>
      </c>
      <c r="G75" s="166">
        <f ca="1">+'1'!J77+'2'!J77+'3'!J77+'4'!J77+'5'!J77+'6'!J77+'7'!J77+'8'!J77+'9'!J77+'10'!J77+'11'!J77+'12'!J77+'13'!J77+'14'!J77+'15'!J77+'16'!J77+'17'!J77+'18'!J77+'19'!J77+'20'!J77+'21'!J77+'22'!J77+'23'!J77+'24'!J77+'25'!J77+'26'!J77+'27'!J77</f>
        <v>0</v>
      </c>
      <c r="H75" s="166">
        <f ca="1">+'1'!K77+'2'!K77+'3'!K77+'4'!K77+'5'!K77+'6'!K77+'7'!K77+'8'!K77+'9'!K77+'10'!K77+'11'!K77+'12'!K77+'13'!K77+'14'!K77+'15'!K77+'16'!K77+'17'!K77+'18'!K77+'19'!K77+'20'!K77+'21'!K77+'22'!K77+'23'!K77+'24'!K77+'25'!K77+'26'!K77+'27'!K77</f>
        <v>39224744.905000001</v>
      </c>
      <c r="I75" s="166">
        <f ca="1">+'1'!M77+'2'!M77+'3'!M77+'4'!M77+'5'!M77+'6'!M77+'7'!M77+'8'!M77+'9'!M77+'10'!M77+'11'!M77+'12'!M77+'13'!M77+'14'!M77+'15'!M77+'16'!M77+'17'!M77+'18'!M77+'19'!M77+'20'!M77+'21'!M77+'22'!M77+'23'!M77+'24'!M77+'25'!M77+'26'!M77+'27'!M77</f>
        <v>-2214751.9049999984</v>
      </c>
    </row>
    <row r="76" spans="1:9">
      <c r="A76" s="53">
        <f>+'Taxes RCA 2022'!A72</f>
        <v>57</v>
      </c>
      <c r="B76" s="18" t="str">
        <f>+'Taxes RCA 2022'!B72</f>
        <v>Autres paiements significatifs versés aux entités gouvernementales (&gt;10 millions FCFA)</v>
      </c>
      <c r="C76" s="114">
        <f>+'1'!E79+'2'!E79+'3'!E79+'4'!E79+'5'!E79+'6'!E79+'7'!E79+'8'!E79+'9'!E79+'10'!E79+'11'!E79+'12'!E79+'13'!E79+'14'!E79+'15'!E79+'16'!E79+'17'!E79+'18'!E79+'19'!E79+'20'!E79+'21'!E79+'22'!E79+'23'!E79+'24'!E79+'25'!E79+'26'!E79+'27'!E79</f>
        <v>109384343</v>
      </c>
      <c r="D76" s="114">
        <f>+'1'!F79+'2'!F79+'3'!F79+'4'!F79+'5'!F79+'6'!F79+'7'!F79+'8'!F79+'9'!F79+'10'!F79+'11'!F79+'12'!F79+'13'!F79+'14'!F79+'15'!F79+'16'!F79+'17'!F79+'18'!F79+'19'!F79+'20'!F79+'21'!F79+'22'!F79+'23'!F79+'24'!F79+'25'!F79+'26'!F79+'27'!F79</f>
        <v>-109384343</v>
      </c>
      <c r="E76" s="114">
        <f>+'1'!G79+'2'!G79+'3'!G79+'4'!G79+'5'!G79+'6'!G79+'7'!G79+'8'!G79+'9'!G79+'10'!G79+'11'!G79+'12'!G79+'13'!G79+'14'!G79+'15'!G79+'16'!G79+'17'!G79+'18'!G79+'19'!G79+'20'!G79+'21'!G79+'22'!G79+'23'!G79+'24'!G79+'25'!G79+'26'!G79+'27'!G79</f>
        <v>0</v>
      </c>
      <c r="F76" s="114">
        <f>+'1'!I79+'2'!I79+'3'!I79+'4'!I79+'5'!I79+'6'!I79+'7'!I79+'8'!I79+'9'!I79+'10'!I79+'11'!I79+'12'!I79+'13'!I79+'14'!I79+'15'!I79+'16'!I79+'17'!I79+'18'!I79+'19'!I79+'20'!I79+'21'!I79+'22'!I79+'23'!I79+'24'!I79+'25'!I79+'26'!I79+'27'!I79</f>
        <v>0</v>
      </c>
      <c r="G76" s="114">
        <f ca="1">+'1'!J79+'2'!J79+'3'!J79+'4'!J79+'5'!J79+'6'!J79+'7'!J79+'8'!J79+'9'!J79+'10'!J79+'11'!J79+'12'!J79+'13'!J79+'14'!J79+'15'!J79+'16'!J79+'17'!J79+'18'!J79+'19'!J79+'20'!J79+'21'!J79+'22'!J79+'23'!J79+'24'!J79+'25'!J79+'26'!J79+'27'!J79</f>
        <v>0</v>
      </c>
      <c r="H76" s="114">
        <f ca="1">+'1'!K79+'2'!K79+'3'!K79+'4'!K79+'5'!K79+'6'!K79+'7'!K79+'8'!K79+'9'!K79+'10'!K79+'11'!K79+'12'!K79+'13'!K79+'14'!K79+'15'!K79+'16'!K79+'17'!K79+'18'!K79+'19'!K79+'20'!K79+'21'!K79+'22'!K79+'23'!K79+'24'!K79+'25'!K79+'26'!K79+'27'!K79</f>
        <v>0</v>
      </c>
      <c r="I76" s="114">
        <f ca="1">+'1'!M79+'2'!M79+'3'!M79+'4'!M79+'5'!M79+'6'!M79+'7'!M79+'8'!M79+'9'!M79+'10'!M79+'11'!M79+'12'!M79+'13'!M79+'14'!M79+'15'!M79+'16'!M79+'17'!M79+'18'!M79+'19'!M79+'20'!M79+'21'!M79+'22'!M79+'23'!M79+'24'!M79+'25'!M79+'26'!M79+'27'!M79</f>
        <v>0</v>
      </c>
    </row>
    <row r="77" spans="1:9">
      <c r="D77" s="41"/>
      <c r="G77" s="41"/>
    </row>
  </sheetData>
  <mergeCells count="5">
    <mergeCell ref="A1:A2"/>
    <mergeCell ref="B1:B2"/>
    <mergeCell ref="C1:E1"/>
    <mergeCell ref="F1:H1"/>
    <mergeCell ref="I1:I2"/>
  </mergeCells>
  <conditionalFormatting sqref="D77">
    <cfRule type="containsText" dxfId="110" priority="2" operator="containsText" text="ERROR">
      <formula>NOT(ISERROR(SEARCH("ERROR",D77)))</formula>
    </cfRule>
  </conditionalFormatting>
  <conditionalFormatting sqref="G77">
    <cfRule type="containsText" dxfId="109" priority="1" operator="containsText" text="ERROR">
      <formula>NOT(ISERROR(SEARCH("ERROR",G77)))</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DF554-53E4-4E0D-A4BE-045511A6FA56}">
  <sheetPr codeName="Feuil57"/>
  <dimension ref="A2:C12"/>
  <sheetViews>
    <sheetView zoomScaleNormal="100" workbookViewId="0">
      <selection activeCell="B7" sqref="B7"/>
    </sheetView>
  </sheetViews>
  <sheetFormatPr baseColWidth="10" defaultColWidth="11.54296875" defaultRowHeight="14.5"/>
  <cols>
    <col min="1" max="1" width="47.7265625" style="302" customWidth="1"/>
    <col min="2" max="2" width="17.54296875" style="291" customWidth="1"/>
    <col min="3" max="16384" width="11.54296875" style="291"/>
  </cols>
  <sheetData>
    <row r="2" spans="1:3">
      <c r="A2" s="833" t="s">
        <v>776</v>
      </c>
      <c r="B2" s="833"/>
      <c r="C2" s="833"/>
    </row>
    <row r="4" spans="1:3" ht="23.25" customHeight="1" thickBot="1">
      <c r="A4" s="709" t="s">
        <v>326</v>
      </c>
      <c r="B4" s="709" t="s">
        <v>327</v>
      </c>
      <c r="C4" s="709" t="s">
        <v>328</v>
      </c>
    </row>
    <row r="5" spans="1:3" ht="15" thickTop="1">
      <c r="A5" s="710" t="s">
        <v>329</v>
      </c>
      <c r="B5" s="710">
        <v>33</v>
      </c>
      <c r="C5" s="710">
        <v>28</v>
      </c>
    </row>
    <row r="6" spans="1:3">
      <c r="A6" s="711" t="s">
        <v>330</v>
      </c>
      <c r="B6" s="711">
        <v>162</v>
      </c>
      <c r="C6" s="711">
        <v>136</v>
      </c>
    </row>
    <row r="7" spans="1:3">
      <c r="A7" s="712" t="s">
        <v>331</v>
      </c>
      <c r="B7" s="712">
        <v>8</v>
      </c>
      <c r="C7" s="712">
        <v>2</v>
      </c>
    </row>
    <row r="8" spans="1:3">
      <c r="A8" s="711" t="s">
        <v>332</v>
      </c>
      <c r="B8" s="711">
        <v>1</v>
      </c>
      <c r="C8" s="711">
        <v>1</v>
      </c>
    </row>
    <row r="9" spans="1:3">
      <c r="A9" s="712" t="s">
        <v>333</v>
      </c>
      <c r="B9" s="712">
        <v>18</v>
      </c>
      <c r="C9" s="712">
        <v>13</v>
      </c>
    </row>
    <row r="10" spans="1:3">
      <c r="A10" s="711" t="s">
        <v>334</v>
      </c>
      <c r="B10" s="711">
        <v>8</v>
      </c>
      <c r="C10" s="711">
        <v>0</v>
      </c>
    </row>
    <row r="11" spans="1:3">
      <c r="A11" s="712" t="s">
        <v>335</v>
      </c>
      <c r="B11" s="712">
        <f>5+6</f>
        <v>11</v>
      </c>
      <c r="C11" s="712">
        <v>4</v>
      </c>
    </row>
    <row r="12" spans="1:3">
      <c r="A12" s="713" t="s">
        <v>1</v>
      </c>
      <c r="B12" s="713">
        <f>SUM(B5:B11)</f>
        <v>241</v>
      </c>
      <c r="C12" s="713">
        <f>SUM(C5:C11)</f>
        <v>184</v>
      </c>
    </row>
  </sheetData>
  <mergeCells count="1">
    <mergeCell ref="A2:C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C074-8BC7-429D-BE56-EEA51838A13F}">
  <sheetPr codeName="Feuil58"/>
  <dimension ref="B4:D11"/>
  <sheetViews>
    <sheetView workbookViewId="0">
      <selection activeCell="I12" sqref="I12"/>
    </sheetView>
  </sheetViews>
  <sheetFormatPr baseColWidth="10" defaultColWidth="11.54296875" defaultRowHeight="14.5"/>
  <cols>
    <col min="1" max="2" width="11.54296875" style="291"/>
    <col min="3" max="3" width="15.54296875" style="291" customWidth="1"/>
    <col min="4" max="4" width="44.54296875" style="291" customWidth="1"/>
    <col min="5" max="16384" width="11.54296875" style="291"/>
  </cols>
  <sheetData>
    <row r="4" spans="2:4">
      <c r="B4" s="833" t="s">
        <v>777</v>
      </c>
      <c r="C4" s="833"/>
      <c r="D4" s="833"/>
    </row>
    <row r="6" spans="2:4" ht="15" thickBot="1">
      <c r="B6" s="714" t="s">
        <v>336</v>
      </c>
      <c r="C6" s="714">
        <v>2021</v>
      </c>
      <c r="D6" s="714">
        <v>2022</v>
      </c>
    </row>
    <row r="7" spans="2:4" ht="15" thickTop="1">
      <c r="B7" s="715" t="s">
        <v>337</v>
      </c>
      <c r="C7" s="715">
        <v>161</v>
      </c>
      <c r="D7" s="715">
        <v>206</v>
      </c>
    </row>
    <row r="8" spans="2:4">
      <c r="B8" s="716" t="s">
        <v>338</v>
      </c>
      <c r="C8" s="716">
        <v>23</v>
      </c>
      <c r="D8" s="716">
        <v>24</v>
      </c>
    </row>
    <row r="9" spans="2:4">
      <c r="B9" s="715" t="s">
        <v>339</v>
      </c>
      <c r="C9" s="715">
        <v>13</v>
      </c>
      <c r="D9" s="715">
        <v>12</v>
      </c>
    </row>
    <row r="10" spans="2:4">
      <c r="B10" s="716" t="s">
        <v>247</v>
      </c>
      <c r="C10" s="716">
        <v>7</v>
      </c>
      <c r="D10" s="716">
        <v>10</v>
      </c>
    </row>
    <row r="11" spans="2:4">
      <c r="B11" s="717" t="s">
        <v>1</v>
      </c>
      <c r="C11" s="717">
        <v>204</v>
      </c>
      <c r="D11" s="717">
        <v>252</v>
      </c>
    </row>
  </sheetData>
  <mergeCells count="1">
    <mergeCell ref="B4:D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6B613-3D41-4381-A067-34988D99E9D7}">
  <sheetPr codeName="Feuil65"/>
  <dimension ref="B3:F6"/>
  <sheetViews>
    <sheetView workbookViewId="0">
      <selection activeCell="B4" sqref="B4:D4"/>
    </sheetView>
  </sheetViews>
  <sheetFormatPr baseColWidth="10" defaultColWidth="11.54296875" defaultRowHeight="14.5"/>
  <cols>
    <col min="1" max="16384" width="11.54296875" style="291"/>
  </cols>
  <sheetData>
    <row r="3" spans="2:6">
      <c r="B3" s="833" t="s">
        <v>342</v>
      </c>
      <c r="C3" s="833"/>
      <c r="D3" s="833"/>
      <c r="E3" s="833"/>
      <c r="F3" s="833"/>
    </row>
    <row r="5" spans="2:6" ht="24.5" thickBot="1">
      <c r="B5" s="304" t="s">
        <v>343</v>
      </c>
      <c r="C5" s="305" t="s">
        <v>344</v>
      </c>
      <c r="D5" s="305" t="s">
        <v>345</v>
      </c>
      <c r="E5" s="305" t="s">
        <v>346</v>
      </c>
      <c r="F5" s="305" t="s">
        <v>347</v>
      </c>
    </row>
    <row r="6" spans="2:6" ht="15" thickTop="1">
      <c r="B6" s="306" t="s">
        <v>348</v>
      </c>
      <c r="C6" s="307">
        <v>8</v>
      </c>
      <c r="D6" s="307">
        <v>10</v>
      </c>
      <c r="E6" s="307">
        <v>5</v>
      </c>
      <c r="F6" s="307">
        <v>23</v>
      </c>
    </row>
  </sheetData>
  <mergeCells count="1">
    <mergeCell ref="B3:F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09B3-A173-4944-9BD9-157D2F9EF7EF}">
  <sheetPr codeName="Feuil66"/>
  <dimension ref="A2:D5"/>
  <sheetViews>
    <sheetView workbookViewId="0">
      <selection activeCell="D21" sqref="D21"/>
    </sheetView>
  </sheetViews>
  <sheetFormatPr baseColWidth="10" defaultColWidth="11.54296875" defaultRowHeight="14.5"/>
  <cols>
    <col min="1" max="2" width="11.54296875" style="291"/>
    <col min="3" max="3" width="31.81640625" style="291" customWidth="1"/>
    <col min="4" max="4" width="68" style="291" customWidth="1"/>
    <col min="5" max="16384" width="11.54296875" style="291"/>
  </cols>
  <sheetData>
    <row r="2" spans="1:4">
      <c r="B2" s="833" t="s">
        <v>779</v>
      </c>
      <c r="C2" s="833"/>
      <c r="D2" s="833"/>
    </row>
    <row r="4" spans="1:4" ht="15" thickBot="1">
      <c r="A4" s="342"/>
      <c r="B4" s="292" t="s">
        <v>349</v>
      </c>
      <c r="C4" s="292" t="s">
        <v>350</v>
      </c>
      <c r="D4" s="292" t="s">
        <v>351</v>
      </c>
    </row>
    <row r="5" spans="1:4" ht="24.5" thickTop="1">
      <c r="A5" s="391" t="s">
        <v>778</v>
      </c>
      <c r="B5" s="308" t="s">
        <v>352</v>
      </c>
      <c r="C5" s="718">
        <v>15174070.619999999</v>
      </c>
      <c r="D5" s="308" t="s">
        <v>353</v>
      </c>
    </row>
  </sheetData>
  <mergeCells count="1">
    <mergeCell ref="B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O77"/>
  <sheetViews>
    <sheetView showGridLines="0" zoomScaleNormal="100" workbookViewId="0">
      <selection activeCell="F1" sqref="F1:H1"/>
    </sheetView>
  </sheetViews>
  <sheetFormatPr baseColWidth="10" defaultColWidth="11.54296875" defaultRowHeight="12"/>
  <cols>
    <col min="1" max="1" width="3.7265625" style="17" customWidth="1"/>
    <col min="2" max="2" width="56" style="30" customWidth="1"/>
    <col min="3" max="3" width="15.54296875" style="21" customWidth="1"/>
    <col min="4" max="4" width="14.26953125" style="17" bestFit="1" customWidth="1"/>
    <col min="5" max="5" width="15.26953125" style="21" customWidth="1"/>
    <col min="6" max="6" width="15.7265625" style="21" bestFit="1" customWidth="1"/>
    <col min="7" max="7" width="15.54296875" style="21" bestFit="1" customWidth="1"/>
    <col min="8" max="8" width="15.7265625" style="21" bestFit="1" customWidth="1"/>
    <col min="9" max="9" width="15.54296875" style="21" bestFit="1" customWidth="1"/>
    <col min="10" max="10" width="13.453125" style="21" bestFit="1" customWidth="1"/>
    <col min="11" max="16384" width="11.54296875" style="21"/>
  </cols>
  <sheetData>
    <row r="1" spans="1:15">
      <c r="A1" s="787" t="s">
        <v>6</v>
      </c>
      <c r="B1" s="792" t="s">
        <v>27</v>
      </c>
      <c r="C1" s="793" t="s">
        <v>71</v>
      </c>
      <c r="D1" s="793"/>
      <c r="E1" s="793"/>
      <c r="F1" s="793" t="s">
        <v>30</v>
      </c>
      <c r="G1" s="793"/>
      <c r="H1" s="793"/>
      <c r="I1" s="794" t="s">
        <v>31</v>
      </c>
      <c r="O1" s="21" t="s">
        <v>27</v>
      </c>
    </row>
    <row r="2" spans="1:15">
      <c r="A2" s="787"/>
      <c r="B2" s="792"/>
      <c r="C2" s="70" t="s">
        <v>28</v>
      </c>
      <c r="D2" s="70" t="s">
        <v>29</v>
      </c>
      <c r="E2" s="70" t="s">
        <v>3</v>
      </c>
      <c r="F2" s="70" t="s">
        <v>28</v>
      </c>
      <c r="G2" s="70" t="s">
        <v>29</v>
      </c>
      <c r="H2" s="70" t="s">
        <v>3</v>
      </c>
      <c r="I2" s="794"/>
    </row>
    <row r="3" spans="1:15">
      <c r="A3" s="78" t="s">
        <v>94</v>
      </c>
      <c r="B3" s="77"/>
      <c r="C3" s="164">
        <f>+'1'!E5+'2'!E5+'3'!E5+'4'!E5+'5'!E5+'6'!E5+'7'!E5+'8'!E5+'9'!E5+'10'!E5+'11'!E5+'12'!E5+'13'!E5+'14'!E5+'15'!E5+'16'!E5+'17'!E5+'18'!E5+'19'!E5+'20'!E5+'21'!E5+'22'!E5+'23'!E5+'24'!E5+'25'!E5+'26'!E5+'27'!E5</f>
        <v>0</v>
      </c>
      <c r="D3" s="164">
        <f>+'1'!F5+'2'!F5+'3'!F5+'4'!F5+'5'!F5+'6'!F5+'7'!F5+'8'!F5+'9'!F5+'10'!F5+'11'!F5+'12'!F5+'13'!F5+'14'!F5+'15'!F5+'16'!F5+'17'!F5+'18'!F5+'19'!F5+'20'!F5+'21'!F5+'22'!F5+'23'!F5+'24'!F5+'25'!F5+'26'!F5+'27'!F5</f>
        <v>0</v>
      </c>
      <c r="E3" s="164">
        <f>+'1'!G5+'2'!G5+'3'!G5+'4'!G5+'5'!G5+'6'!G5+'7'!G5+'8'!G5+'9'!G5+'10'!G5+'11'!G5+'12'!G5+'13'!G5+'14'!G5+'15'!G5+'16'!G5+'17'!G5+'18'!G5+'19'!G5+'20'!G5+'21'!G5+'22'!G5+'23'!G5+'24'!G5+'25'!G5+'26'!G5+'27'!G5</f>
        <v>0</v>
      </c>
      <c r="F3" s="164">
        <f>+'1'!I5+'2'!I5+'3'!I5+'4'!I5+'5'!I5+'6'!I5+'7'!I5+'8'!I5+'9'!I5+'10'!I5+'11'!I5+'12'!I5+'13'!I5+'14'!I5+'15'!I5+'16'!I5+'17'!I5+'18'!I5+'19'!I5+'20'!I5+'21'!I5+'22'!I5+'23'!I5+'24'!I5+'25'!I5+'26'!I5+'27'!I5</f>
        <v>0</v>
      </c>
      <c r="G3" s="164">
        <f ca="1">+'1'!J5+'2'!J5+'3'!J5+'4'!J5+'5'!J5+'6'!J5+'7'!J5+'8'!J5+'9'!J5+'10'!J5+'11'!J5+'12'!J5+'13'!J5+'14'!J5+'15'!J5+'16'!J5+'17'!J5+'18'!J5+'19'!J5+'20'!J5+'21'!J5+'22'!J5+'23'!J5+'24'!J5+'25'!J5+'26'!J5+'27'!J5</f>
        <v>0</v>
      </c>
      <c r="H3" s="164">
        <f ca="1">+'1'!K5+'2'!K5+'3'!K5+'4'!K5+'5'!K5+'6'!K5+'7'!K5+'8'!K5+'9'!K5+'10'!K5+'11'!K5+'12'!K5+'13'!K5+'14'!K5+'15'!K5+'16'!K5+'17'!K5+'18'!K5+'19'!K5+'20'!K5+'21'!K5+'22'!K5+'23'!K5+'24'!K5+'25'!K5+'26'!K5+'27'!K5</f>
        <v>0</v>
      </c>
      <c r="I3" s="164">
        <f ca="1">+'1'!M5+'2'!M5+'3'!M5+'4'!M5+'5'!M5+'6'!M5+'7'!M5+'8'!M5+'9'!M5+'10'!M5+'11'!M5+'12'!M5+'13'!M5+'14'!M5+'15'!M5+'16'!M5+'17'!M5+'18'!M5+'19'!M5+'20'!M5+'21'!M5+'22'!M5+'23'!M5+'24'!M5+'25'!M5+'26'!M5+'27'!M5</f>
        <v>0</v>
      </c>
    </row>
    <row r="4" spans="1:15">
      <c r="A4" s="67"/>
      <c r="B4" s="69"/>
      <c r="C4" s="165">
        <f>+'1'!E6+'2'!E6+'3'!E6+'4'!E6+'5'!E6+'6'!E6+'7'!E6+'8'!E6+'9'!E6+'10'!E6+'11'!E6+'12'!E6+'13'!E6+'14'!E6+'15'!E6+'16'!E6+'17'!E6+'18'!E6+'19'!E6+'20'!E6+'21'!E6+'22'!E6+'23'!E6+'24'!E6+'25'!E6+'26'!E6+'27'!E6</f>
        <v>0</v>
      </c>
      <c r="D4" s="165">
        <f>+'1'!F6+'2'!F6+'3'!F6+'4'!F6+'5'!F6+'6'!F6+'7'!F6+'8'!F6+'9'!F6+'10'!F6+'11'!F6+'12'!F6+'13'!F6+'14'!F6+'15'!F6+'16'!F6+'17'!F6+'18'!F6+'19'!F6+'20'!F6+'21'!F6+'22'!F6+'23'!F6+'24'!F6+'25'!F6+'26'!F6+'27'!F6</f>
        <v>0</v>
      </c>
      <c r="E4" s="165">
        <f>+'1'!G6+'2'!G6+'3'!G6+'4'!G6+'5'!G6+'6'!G6+'7'!G6+'8'!G6+'9'!G6+'10'!G6+'11'!G6+'12'!G6+'13'!G6+'14'!G6+'15'!G6+'16'!G6+'17'!G6+'18'!G6+'19'!G6+'20'!G6+'21'!G6+'22'!G6+'23'!G6+'24'!G6+'25'!G6+'26'!G6+'27'!G6</f>
        <v>0</v>
      </c>
      <c r="F4" s="165">
        <f>+'1'!I6+'2'!I6+'3'!I6+'4'!I6+'5'!I6+'6'!I6+'7'!I6+'8'!I6+'9'!I6+'10'!I6+'11'!I6+'12'!I6+'13'!I6+'14'!I6+'15'!I6+'16'!I6+'17'!I6+'18'!I6+'19'!I6+'20'!I6+'21'!I6+'22'!I6+'23'!I6+'24'!I6+'25'!I6+'26'!I6+'27'!I6</f>
        <v>0</v>
      </c>
      <c r="G4" s="165">
        <f ca="1">+'1'!J6+'2'!J6+'3'!J6+'4'!J6+'5'!J6+'6'!J6+'7'!J6+'8'!J6+'9'!J6+'10'!J6+'11'!J6+'12'!J6+'13'!J6+'14'!J6+'15'!J6+'16'!J6+'17'!J6+'18'!J6+'19'!J6+'20'!J6+'21'!J6+'22'!J6+'23'!J6+'24'!J6+'25'!J6+'26'!J6+'27'!J6</f>
        <v>0</v>
      </c>
      <c r="H4" s="165">
        <f ca="1">+'1'!K6+'2'!K6+'3'!K6+'4'!K6+'5'!K6+'6'!K6+'7'!K6+'8'!K6+'9'!K6+'10'!K6+'11'!K6+'12'!K6+'13'!K6+'14'!K6+'15'!K6+'16'!K6+'17'!K6+'18'!K6+'19'!K6+'20'!K6+'21'!K6+'22'!K6+'23'!K6+'24'!K6+'25'!K6+'26'!K6+'27'!K6</f>
        <v>0</v>
      </c>
      <c r="I4" s="165">
        <f ca="1">+'1'!M6+'2'!M6+'3'!M6+'4'!M6+'5'!M6+'6'!M6+'7'!M6+'8'!M6+'9'!M6+'10'!M6+'11'!M6+'12'!M6+'13'!M6+'14'!M6+'15'!M6+'16'!M6+'17'!M6+'18'!M6+'19'!M6+'20'!M6+'21'!M6+'22'!M6+'23'!M6+'24'!M6+'25'!M6+'26'!M6+'27'!M6</f>
        <v>0</v>
      </c>
    </row>
    <row r="5" spans="1:15">
      <c r="B5" s="24"/>
      <c r="C5" s="114">
        <f>+'1'!E7+'2'!E7+'3'!E7+'4'!E7+'5'!E7+'6'!E7+'7'!E7+'8'!E7+'9'!E7+'10'!E7+'11'!E7+'12'!E7+'13'!E7+'14'!E7+'15'!E7+'16'!E7+'17'!E7+'18'!E7+'19'!E7+'20'!E7+'21'!E7+'22'!E7+'23'!E7+'24'!E7+'25'!E7+'26'!E7+'27'!E7</f>
        <v>0</v>
      </c>
      <c r="D5" s="114">
        <f>+'1'!F7+'2'!F7+'3'!F7+'4'!F7+'5'!F7+'6'!F7+'7'!F7+'8'!F7+'9'!F7+'10'!F7+'11'!F7+'12'!F7+'13'!F7+'14'!F7+'15'!F7+'16'!F7+'17'!F7+'18'!F7+'19'!F7+'20'!F7+'21'!F7+'22'!F7+'23'!F7+'24'!F7+'25'!F7+'26'!F7+'27'!F7</f>
        <v>0</v>
      </c>
      <c r="E5" s="114">
        <f>+'1'!G7+'2'!G7+'3'!G7+'4'!G7+'5'!G7+'6'!G7+'7'!G7+'8'!G7+'9'!G7+'10'!G7+'11'!G7+'12'!G7+'13'!G7+'14'!G7+'15'!G7+'16'!G7+'17'!G7+'18'!G7+'19'!G7+'20'!G7+'21'!G7+'22'!G7+'23'!G7+'24'!G7+'25'!G7+'26'!G7+'27'!G7</f>
        <v>0</v>
      </c>
      <c r="F5" s="114">
        <f>+'1'!I7+'2'!I7+'3'!I7+'4'!I7+'5'!I7+'6'!I7+'7'!I7+'8'!I7+'9'!I7+'10'!I7+'11'!I7+'12'!I7+'13'!I7+'14'!I7+'15'!I7+'16'!I7+'17'!I7+'18'!I7+'19'!I7+'20'!I7+'21'!I7+'22'!I7+'23'!I7+'24'!I7+'25'!I7+'26'!I7+'27'!I7</f>
        <v>0</v>
      </c>
      <c r="G5" s="114">
        <f ca="1">+'1'!J7+'2'!J7+'3'!J7+'4'!J7+'5'!J7+'6'!J7+'7'!J7+'8'!J7+'9'!J7+'10'!J7+'11'!J7+'12'!J7+'13'!J7+'14'!J7+'15'!J7+'16'!J7+'17'!J7+'18'!J7+'19'!J7+'20'!J7+'21'!J7+'22'!J7+'23'!J7+'24'!J7+'25'!J7+'26'!J7+'27'!J7</f>
        <v>0</v>
      </c>
      <c r="H5" s="114">
        <f ca="1">+'1'!K7+'2'!K7+'3'!K7+'4'!K7+'5'!K7+'6'!K7+'7'!K7+'8'!K7+'9'!K7+'10'!K7+'11'!K7+'12'!K7+'13'!K7+'14'!K7+'15'!K7+'16'!K7+'17'!K7+'18'!K7+'19'!K7+'20'!K7+'21'!K7+'22'!K7+'23'!K7+'24'!K7+'25'!K7+'26'!K7+'27'!K7</f>
        <v>0</v>
      </c>
      <c r="I5" s="114">
        <f ca="1">+'1'!M7+'2'!M7+'3'!M7+'4'!M7+'5'!M7+'6'!M7+'7'!M7+'8'!M7+'9'!M7+'10'!M7+'11'!M7+'12'!M7+'13'!M7+'14'!M7+'15'!M7+'16'!M7+'17'!M7+'18'!M7+'19'!M7+'20'!M7+'21'!M7+'22'!M7+'23'!M7+'24'!M7+'25'!M7+'26'!M7+'27'!M7</f>
        <v>0</v>
      </c>
      <c r="J5" s="197"/>
    </row>
    <row r="6" spans="1:15">
      <c r="A6" s="78" t="s">
        <v>93</v>
      </c>
      <c r="B6" s="77"/>
      <c r="C6" s="164">
        <f>+'1'!E8+'2'!E8+'3'!E8+'4'!E8+'5'!E8+'6'!E8+'7'!E8+'8'!E8+'9'!E8+'10'!E8+'11'!E8+'12'!E8+'13'!E8+'14'!E8+'15'!E8+'16'!E8+'17'!E8+'18'!E8+'19'!E8+'20'!E8+'21'!E8+'22'!E8+'23'!E8+'24'!E8+'25'!E8+'26'!E8+'27'!E8</f>
        <v>1264452414</v>
      </c>
      <c r="D6" s="164">
        <f>+'1'!F8+'2'!F8+'3'!F8+'4'!F8+'5'!F8+'6'!F8+'7'!F8+'8'!F8+'9'!F8+'10'!F8+'11'!F8+'12'!F8+'13'!F8+'14'!F8+'15'!F8+'16'!F8+'17'!F8+'18'!F8+'19'!F8+'20'!F8+'21'!F8+'22'!F8+'23'!F8+'24'!F8+'25'!F8+'26'!F8+'27'!F8</f>
        <v>4017021.2250000015</v>
      </c>
      <c r="E6" s="164">
        <f>+'1'!G8+'2'!G8+'3'!G8+'4'!G8+'5'!G8+'6'!G8+'7'!G8+'8'!G8+'9'!G8+'10'!G8+'11'!G8+'12'!G8+'13'!G8+'14'!G8+'15'!G8+'16'!G8+'17'!G8+'18'!G8+'19'!G8+'20'!G8+'21'!G8+'22'!G8+'23'!G8+'24'!G8+'25'!G8+'26'!G8+'27'!G8</f>
        <v>1268469435.2249999</v>
      </c>
      <c r="F6" s="164">
        <f>+'1'!I8+'2'!I8+'3'!I8+'4'!I8+'5'!I8+'6'!I8+'7'!I8+'8'!I8+'9'!I8+'10'!I8+'11'!I8+'12'!I8+'13'!I8+'14'!I8+'15'!I8+'16'!I8+'17'!I8+'18'!I8+'19'!I8+'20'!I8+'21'!I8+'22'!I8+'23'!I8+'24'!I8+'25'!I8+'26'!I8+'27'!I8</f>
        <v>5746098274.899353</v>
      </c>
      <c r="G6" s="164">
        <f ca="1">+'1'!J8+'2'!J8+'3'!J8+'4'!J8+'5'!J8+'6'!J8+'7'!J8+'8'!J8+'9'!J8+'10'!J8+'11'!J8+'12'!J8+'13'!J8+'14'!J8+'15'!J8+'16'!J8+'17'!J8+'18'!J8+'19'!J8+'20'!J8+'21'!J8+'22'!J8+'23'!J8+'24'!J8+'25'!J8+'26'!J8+'27'!J8</f>
        <v>893187668.42857158</v>
      </c>
      <c r="H6" s="164">
        <f ca="1">+'1'!K8+'2'!K8+'3'!K8+'4'!K8+'5'!K8+'6'!K8+'7'!K8+'8'!K8+'9'!K8+'10'!K8+'11'!K8+'12'!K8+'13'!K8+'14'!K8+'15'!K8+'16'!K8+'17'!K8+'18'!K8+'19'!K8+'20'!K8+'21'!K8+'22'!K8+'23'!K8+'24'!K8+'25'!K8+'26'!K8+'27'!K8</f>
        <v>6639285943.3279247</v>
      </c>
      <c r="I6" s="164">
        <f ca="1">+'1'!M8+'2'!M8+'3'!M8+'4'!M8+'5'!M8+'6'!M8+'7'!M8+'8'!M8+'9'!M8+'10'!M8+'11'!M8+'12'!M8+'13'!M8+'14'!M8+'15'!M8+'16'!M8+'17'!M8+'18'!M8+'19'!M8+'20'!M8+'21'!M8+'22'!M8+'23'!M8+'24'!M8+'25'!M8+'26'!M8+'27'!M8</f>
        <v>-5370816508.1029243</v>
      </c>
      <c r="J6" s="195">
        <f ca="1">+E6/H6</f>
        <v>0.19105509930623396</v>
      </c>
    </row>
    <row r="7" spans="1:15">
      <c r="A7" s="58"/>
      <c r="B7" s="58" t="str">
        <f>+'Taxes RCA 2022'!B2</f>
        <v>DGDDI</v>
      </c>
      <c r="C7" s="166">
        <f>+'1'!E9+'2'!E9+'3'!E9+'4'!E9+'5'!E9+'6'!E9+'7'!E9+'8'!E9+'9'!E9+'10'!E9+'11'!E9+'12'!E9+'13'!E9+'14'!E9+'15'!E9+'16'!E9+'17'!E9+'18'!E9+'19'!E9+'20'!E9+'21'!E9+'22'!E9+'23'!E9+'24'!E9+'25'!E9+'26'!E9+'27'!E9</f>
        <v>166875588</v>
      </c>
      <c r="D7" s="166">
        <f>+'1'!F9+'2'!F9+'3'!F9+'4'!F9+'5'!F9+'6'!F9+'7'!F9+'8'!F9+'9'!F9+'10'!F9+'11'!F9+'12'!F9+'13'!F9+'14'!F9+'15'!F9+'16'!F9+'17'!F9+'18'!F9+'19'!F9+'20'!F9+'21'!F9+'22'!F9+'23'!F9+'24'!F9+'25'!F9+'26'!F9+'27'!F9</f>
        <v>25205240.175000001</v>
      </c>
      <c r="E7" s="166">
        <f>+'1'!G9+'2'!G9+'3'!G9+'4'!G9+'5'!G9+'6'!G9+'7'!G9+'8'!G9+'9'!G9+'10'!G9+'11'!G9+'12'!G9+'13'!G9+'14'!G9+'15'!G9+'16'!G9+'17'!G9+'18'!G9+'19'!G9+'20'!G9+'21'!G9+'22'!G9+'23'!G9+'24'!G9+'25'!G9+'26'!G9+'27'!G9</f>
        <v>192080828.17500001</v>
      </c>
      <c r="F7" s="166">
        <f>+'1'!I9+'2'!I9+'3'!I9+'4'!I9+'5'!I9+'6'!I9+'7'!I9+'8'!I9+'9'!I9+'10'!I9+'11'!I9+'12'!I9+'13'!I9+'14'!I9+'15'!I9+'16'!I9+'17'!I9+'18'!I9+'19'!I9+'20'!I9+'21'!I9+'22'!I9+'23'!I9+'24'!I9+'25'!I9+'26'!I9+'27'!I9</f>
        <v>619390919.5625</v>
      </c>
      <c r="G7" s="166">
        <f ca="1">+'1'!J9+'2'!J9+'3'!J9+'4'!J9+'5'!J9+'6'!J9+'7'!J9+'8'!J9+'9'!J9+'10'!J9+'11'!J9+'12'!J9+'13'!J9+'14'!J9+'15'!J9+'16'!J9+'17'!J9+'18'!J9+'19'!J9+'20'!J9+'21'!J9+'22'!J9+'23'!J9+'24'!J9+'25'!J9+'26'!J9+'27'!J9</f>
        <v>437146090</v>
      </c>
      <c r="H7" s="166">
        <f ca="1">+'1'!K9+'2'!K9+'3'!K9+'4'!K9+'5'!K9+'6'!K9+'7'!K9+'8'!K9+'9'!K9+'10'!K9+'11'!K9+'12'!K9+'13'!K9+'14'!K9+'15'!K9+'16'!K9+'17'!K9+'18'!K9+'19'!K9+'20'!K9+'21'!K9+'22'!K9+'23'!K9+'24'!K9+'25'!K9+'26'!K9+'27'!K9</f>
        <v>1056537009.5625</v>
      </c>
      <c r="I7" s="166">
        <f ca="1">+'1'!M9+'2'!M9+'3'!M9+'4'!M9+'5'!M9+'6'!M9+'7'!M9+'8'!M9+'9'!M9+'10'!M9+'11'!M9+'12'!M9+'13'!M9+'14'!M9+'15'!M9+'16'!M9+'17'!M9+'18'!M9+'19'!M9+'20'!M9+'21'!M9+'22'!M9+'23'!M9+'24'!M9+'25'!M9+'26'!M9+'27'!M9</f>
        <v>-864456181.38750005</v>
      </c>
      <c r="J7" s="226">
        <f ca="1">100%-J6</f>
        <v>0.80894490069376601</v>
      </c>
      <c r="O7" s="21" t="s">
        <v>166</v>
      </c>
    </row>
    <row r="8" spans="1:15">
      <c r="A8" s="64">
        <f>+'Taxes RCA 2022'!A3</f>
        <v>1</v>
      </c>
      <c r="B8" s="68" t="str">
        <f>+'Taxes RCA 2022'!B3</f>
        <v>Redevance équipement, informatique et finances (REIF)</v>
      </c>
      <c r="C8" s="165">
        <f>+'1'!E10+'2'!E10+'3'!E10+'4'!E10+'5'!E10+'6'!E10+'7'!E10+'8'!E10+'9'!E10+'10'!E10+'11'!E10+'12'!E10+'13'!E10+'14'!E10+'15'!E10+'16'!E10+'17'!E10+'18'!E10+'19'!E10+'20'!E10+'21'!E10+'22'!E10+'23'!E10+'24'!E10+'25'!E10+'26'!E10+'27'!E10</f>
        <v>20045555</v>
      </c>
      <c r="D8" s="165">
        <f>+'1'!F10+'2'!F10+'3'!F10+'4'!F10+'5'!F10+'6'!F10+'7'!F10+'8'!F10+'9'!F10+'10'!F10+'11'!F10+'12'!F10+'13'!F10+'14'!F10+'15'!F10+'16'!F10+'17'!F10+'18'!F10+'19'!F10+'20'!F10+'21'!F10+'22'!F10+'23'!F10+'24'!F10+'25'!F10+'26'!F10+'27'!F10</f>
        <v>1307838.05</v>
      </c>
      <c r="E8" s="165">
        <f>+'1'!G10+'2'!G10+'3'!G10+'4'!G10+'5'!G10+'6'!G10+'7'!G10+'8'!G10+'9'!G10+'10'!G10+'11'!G10+'12'!G10+'13'!G10+'14'!G10+'15'!G10+'16'!G10+'17'!G10+'18'!G10+'19'!G10+'20'!G10+'21'!G10+'22'!G10+'23'!G10+'24'!G10+'25'!G10+'26'!G10+'27'!G10</f>
        <v>21353393.050000001</v>
      </c>
      <c r="F8" s="165">
        <f>+'1'!I10+'2'!I10+'3'!I10+'4'!I10+'5'!I10+'6'!I10+'7'!I10+'8'!I10+'9'!I10+'10'!I10+'11'!I10+'12'!I10+'13'!I10+'14'!I10+'15'!I10+'16'!I10+'17'!I10+'18'!I10+'19'!I10+'20'!I10+'21'!I10+'22'!I10+'23'!I10+'24'!I10+'25'!I10+'26'!I10+'27'!I10</f>
        <v>157356461.42250001</v>
      </c>
      <c r="G8" s="165">
        <f>+'1'!J10+'2'!J10+'3'!J10+'4'!J10+'5'!J10+'6'!J10+'7'!J10+'8'!J10+'9'!J10+'10'!J10+'11'!J10+'12'!J10+'13'!J10+'14'!J10+'15'!J10+'16'!J10+'17'!J10+'18'!J10+'19'!J10+'20'!J10+'21'!J10+'22'!J10+'23'!J10+'24'!J10+'25'!J10+'26'!J10+'27'!J10</f>
        <v>23598149</v>
      </c>
      <c r="H8" s="165">
        <f>+'1'!K10+'2'!K10+'3'!K10+'4'!K10+'5'!K10+'6'!K10+'7'!K10+'8'!K10+'9'!K10+'10'!K10+'11'!K10+'12'!K10+'13'!K10+'14'!K10+'15'!K10+'16'!K10+'17'!K10+'18'!K10+'19'!K10+'20'!K10+'21'!K10+'22'!K10+'23'!K10+'24'!K10+'25'!K10+'26'!K10+'27'!K10</f>
        <v>180954610.42250001</v>
      </c>
      <c r="I8" s="165">
        <f>+'1'!M10+'2'!M10+'3'!M10+'4'!M10+'5'!M10+'6'!M10+'7'!M10+'8'!M10+'9'!M10+'10'!M10+'11'!M10+'12'!M10+'13'!M10+'14'!M10+'15'!M10+'16'!M10+'17'!M10+'18'!M10+'19'!M10+'20'!M10+'21'!M10+'22'!M10+'23'!M10+'24'!M10+'25'!M10+'26'!M10+'27'!M10</f>
        <v>-159601217.3725</v>
      </c>
      <c r="O8" s="21" t="s">
        <v>165</v>
      </c>
    </row>
    <row r="9" spans="1:15">
      <c r="A9" s="53">
        <f>+'Taxes RCA 2022'!A4</f>
        <v>2</v>
      </c>
      <c r="B9" s="18" t="str">
        <f>+'Taxes RCA 2022'!B4</f>
        <v>Droit de sortie (DS)</v>
      </c>
      <c r="C9" s="114">
        <f>+'1'!E11+'2'!E11+'3'!E11+'4'!E11+'5'!E11+'6'!E11+'7'!E11+'8'!E11+'9'!E11+'10'!E11+'11'!E11+'12'!E11+'13'!E11+'14'!E11+'15'!E11+'16'!E11+'17'!E11+'18'!E11+'19'!E11+'20'!E11+'21'!E11+'22'!E11+'23'!E11+'24'!E11+'25'!E11+'26'!E11+'27'!E11</f>
        <v>146830033</v>
      </c>
      <c r="D9" s="114">
        <f>+'1'!F11+'2'!F11+'3'!F11+'4'!F11+'5'!F11+'6'!F11+'7'!F11+'8'!F11+'9'!F11+'10'!F11+'11'!F11+'12'!F11+'13'!F11+'14'!F11+'15'!F11+'16'!F11+'17'!F11+'18'!F11+'19'!F11+'20'!F11+'21'!F11+'22'!F11+'23'!F11+'24'!F11+'25'!F11+'26'!F11+'27'!F11</f>
        <v>23897402.125</v>
      </c>
      <c r="E9" s="114">
        <f>+'1'!G11+'2'!G11+'3'!G11+'4'!G11+'5'!G11+'6'!G11+'7'!G11+'8'!G11+'9'!G11+'10'!G11+'11'!G11+'12'!G11+'13'!G11+'14'!G11+'15'!G11+'16'!G11+'17'!G11+'18'!G11+'19'!G11+'20'!G11+'21'!G11+'22'!G11+'23'!G11+'24'!G11+'25'!G11+'26'!G11+'27'!G11</f>
        <v>170727435.125</v>
      </c>
      <c r="F9" s="114">
        <f>+'1'!I11+'2'!I11+'3'!I11+'4'!I11+'5'!I11+'6'!I11+'7'!I11+'8'!I11+'9'!I11+'10'!I11+'11'!I11+'12'!I11+'13'!I11+'14'!I11+'15'!I11+'16'!I11+'17'!I11+'18'!I11+'19'!I11+'20'!I11+'21'!I11+'22'!I11+'23'!I11+'24'!I11+'25'!I11+'26'!I11+'27'!I11</f>
        <v>462034458.13999999</v>
      </c>
      <c r="G9" s="114">
        <f>+'1'!J11+'2'!J11+'3'!J11+'4'!J11+'5'!J11+'6'!J11+'7'!J11+'8'!J11+'9'!J11+'10'!J11+'11'!J11+'12'!J11+'13'!J11+'14'!J11+'15'!J11+'16'!J11+'17'!J11+'18'!J11+'19'!J11+'20'!J11+'21'!J11+'22'!J11+'23'!J11+'24'!J11+'25'!J11+'26'!J11+'27'!J11</f>
        <v>413547941</v>
      </c>
      <c r="H9" s="114">
        <f>+'1'!K11+'2'!K11+'3'!K11+'4'!K11+'5'!K11+'6'!K11+'7'!K11+'8'!K11+'9'!K11+'10'!K11+'11'!K11+'12'!K11+'13'!K11+'14'!K11+'15'!K11+'16'!K11+'17'!K11+'18'!K11+'19'!K11+'20'!K11+'21'!K11+'22'!K11+'23'!K11+'24'!K11+'25'!K11+'26'!K11+'27'!K11</f>
        <v>875582399.13999999</v>
      </c>
      <c r="I9" s="114">
        <f>+'1'!M11+'2'!M11+'3'!M11+'4'!M11+'5'!M11+'6'!M11+'7'!M11+'8'!M11+'9'!M11+'10'!M11+'11'!M11+'12'!M11+'13'!M11+'14'!M11+'15'!M11+'16'!M11+'17'!M11+'18'!M11+'19'!M11+'20'!M11+'21'!M11+'22'!M11+'23'!M11+'24'!M11+'25'!M11+'26'!M11+'27'!M11</f>
        <v>-704854964.01499987</v>
      </c>
      <c r="O9" s="21" t="s">
        <v>167</v>
      </c>
    </row>
    <row r="10" spans="1:15">
      <c r="A10" s="64">
        <f>+'Taxes RCA 2022'!A5</f>
        <v>3</v>
      </c>
      <c r="B10" s="68" t="str">
        <f>+'Taxes RCA 2022'!B5</f>
        <v>Amendes et pénalités payées à la DGDDI (+)</v>
      </c>
      <c r="C10" s="165">
        <f>+'1'!E12+'2'!E12+'3'!E12+'4'!E12+'5'!E12+'6'!E12+'7'!E12+'8'!E12+'9'!E12+'10'!E12+'11'!E12+'12'!E12+'13'!E12+'14'!E12+'15'!E12+'16'!E12+'17'!E12+'18'!E12+'19'!E12+'20'!E12+'21'!E12+'22'!E12+'23'!E12+'24'!E12+'25'!E12+'26'!E12+'27'!E12</f>
        <v>0</v>
      </c>
      <c r="D10" s="165">
        <f>+'1'!F12+'2'!F12+'3'!F12+'4'!F12+'5'!F12+'6'!F12+'7'!F12+'8'!F12+'9'!F12+'10'!F12+'11'!F12+'12'!F12+'13'!F12+'14'!F12+'15'!F12+'16'!F12+'17'!F12+'18'!F12+'19'!F12+'20'!F12+'21'!F12+'22'!F12+'23'!F12+'24'!F12+'25'!F12+'26'!F12+'27'!F12</f>
        <v>0</v>
      </c>
      <c r="E10" s="165">
        <f>+'1'!G12+'2'!G12+'3'!G12+'4'!G12+'5'!G12+'6'!G12+'7'!G12+'8'!G12+'9'!G12+'10'!G12+'11'!G12+'12'!G12+'13'!G12+'14'!G12+'15'!G12+'16'!G12+'17'!G12+'18'!G12+'19'!G12+'20'!G12+'21'!G12+'22'!G12+'23'!G12+'24'!G12+'25'!G12+'26'!G12+'27'!G12</f>
        <v>0</v>
      </c>
      <c r="F10" s="165">
        <f>+'1'!I12+'2'!I12+'3'!I12+'4'!I12+'5'!I12+'6'!I12+'7'!I12+'8'!I12+'9'!I12+'10'!I12+'11'!I12+'12'!I12+'13'!I12+'14'!I12+'15'!I12+'16'!I12+'17'!I12+'18'!I12+'19'!I12+'20'!I12+'21'!I12+'22'!I12+'23'!I12+'24'!I12+'25'!I12+'26'!I12+'27'!I12</f>
        <v>0</v>
      </c>
      <c r="G10" s="165">
        <f ca="1">+'1'!J12+'2'!J12+'3'!J12+'4'!J12+'5'!J12+'6'!J12+'7'!J12+'8'!J12+'9'!J12+'10'!J12+'11'!J12+'12'!J12+'13'!J12+'14'!J12+'15'!J12+'16'!J12+'17'!J12+'18'!J12+'19'!J12+'20'!J12+'21'!J12+'22'!J12+'23'!J12+'24'!J12+'25'!J12+'26'!J12+'27'!J12</f>
        <v>0</v>
      </c>
      <c r="H10" s="165">
        <f ca="1">+'1'!K12+'2'!K12+'3'!K12+'4'!K12+'5'!K12+'6'!K12+'7'!K12+'8'!K12+'9'!K12+'10'!K12+'11'!K12+'12'!K12+'13'!K12+'14'!K12+'15'!K12+'16'!K12+'17'!K12+'18'!K12+'19'!K12+'20'!K12+'21'!K12+'22'!K12+'23'!K12+'24'!K12+'25'!K12+'26'!K12+'27'!K12</f>
        <v>0</v>
      </c>
      <c r="I10" s="165">
        <f ca="1">+'1'!M12+'2'!M12+'3'!M12+'4'!M12+'5'!M12+'6'!M12+'7'!M12+'8'!M12+'9'!M12+'10'!M12+'11'!M12+'12'!M12+'13'!M12+'14'!M12+'15'!M12+'16'!M12+'17'!M12+'18'!M12+'19'!M12+'20'!M12+'21'!M12+'22'!M12+'23'!M12+'24'!M12+'25'!M12+'26'!M12+'27'!M12</f>
        <v>0</v>
      </c>
      <c r="O10" s="21" t="s">
        <v>168</v>
      </c>
    </row>
    <row r="11" spans="1:15">
      <c r="A11" s="163"/>
      <c r="B11" s="58" t="str">
        <f>+'Taxes RCA 2022'!B6</f>
        <v>DGTCP</v>
      </c>
      <c r="C11" s="166">
        <f>+'1'!E13+'2'!E13+'3'!E13+'4'!E13+'5'!E13+'6'!E13+'7'!E13+'8'!E13+'9'!E13+'10'!E13+'11'!E13+'12'!E13+'13'!E13+'14'!E13+'15'!E13+'16'!E13+'17'!E13+'18'!E13+'19'!E13+'20'!E13+'21'!E13+'22'!E13+'23'!E13+'24'!E13+'25'!E13+'26'!E13+'27'!E13</f>
        <v>0</v>
      </c>
      <c r="D11" s="166">
        <f>+'1'!F13+'2'!F13+'3'!F13+'4'!F13+'5'!F13+'6'!F13+'7'!F13+'8'!F13+'9'!F13+'10'!F13+'11'!F13+'12'!F13+'13'!F13+'14'!F13+'15'!F13+'16'!F13+'17'!F13+'18'!F13+'19'!F13+'20'!F13+'21'!F13+'22'!F13+'23'!F13+'24'!F13+'25'!F13+'26'!F13+'27'!F13</f>
        <v>0</v>
      </c>
      <c r="E11" s="166">
        <f>+'1'!G13+'2'!G13+'3'!G13+'4'!G13+'5'!G13+'6'!G13+'7'!G13+'8'!G13+'9'!G13+'10'!G13+'11'!G13+'12'!G13+'13'!G13+'14'!G13+'15'!G13+'16'!G13+'17'!G13+'18'!G13+'19'!G13+'20'!G13+'21'!G13+'22'!G13+'23'!G13+'24'!G13+'25'!G13+'26'!G13+'27'!G13</f>
        <v>0</v>
      </c>
      <c r="F11" s="166">
        <f>+'1'!I13+'2'!I13+'3'!I13+'4'!I13+'5'!I13+'6'!I13+'7'!I13+'8'!I13+'9'!I13+'10'!I13+'11'!I13+'12'!I13+'13'!I13+'14'!I13+'15'!I13+'16'!I13+'17'!I13+'18'!I13+'19'!I13+'20'!I13+'21'!I13+'22'!I13+'23'!I13+'24'!I13+'25'!I13+'26'!I13+'27'!I13</f>
        <v>0</v>
      </c>
      <c r="G11" s="166">
        <f ca="1">+'1'!J13+'2'!J13+'3'!J13+'4'!J13+'5'!J13+'6'!J13+'7'!J13+'8'!J13+'9'!J13+'10'!J13+'11'!J13+'12'!J13+'13'!J13+'14'!J13+'15'!J13+'16'!J13+'17'!J13+'18'!J13+'19'!J13+'20'!J13+'21'!J13+'22'!J13+'23'!J13+'24'!J13+'25'!J13+'26'!J13+'27'!J13</f>
        <v>0</v>
      </c>
      <c r="H11" s="166">
        <f ca="1">+'1'!K13+'2'!K13+'3'!K13+'4'!K13+'5'!K13+'6'!K13+'7'!K13+'8'!K13+'9'!K13+'10'!K13+'11'!K13+'12'!K13+'13'!K13+'14'!K13+'15'!K13+'16'!K13+'17'!K13+'18'!K13+'19'!K13+'20'!K13+'21'!K13+'22'!K13+'23'!K13+'24'!K13+'25'!K13+'26'!K13+'27'!K13</f>
        <v>0</v>
      </c>
      <c r="I11" s="166">
        <f ca="1">+'1'!M13+'2'!M13+'3'!M13+'4'!M13+'5'!M13+'6'!M13+'7'!M13+'8'!M13+'9'!M13+'10'!M13+'11'!M13+'12'!M13+'13'!M13+'14'!M13+'15'!M13+'16'!M13+'17'!M13+'18'!M13+'19'!M13+'20'!M13+'21'!M13+'22'!M13+'23'!M13+'24'!M13+'25'!M13+'26'!M13+'27'!M13</f>
        <v>0</v>
      </c>
      <c r="O11" s="21" t="s">
        <v>170</v>
      </c>
    </row>
    <row r="12" spans="1:15">
      <c r="A12" s="53">
        <f>+'Taxes RCA 2022'!A7</f>
        <v>4</v>
      </c>
      <c r="B12" s="18" t="str">
        <f>+'Taxes RCA 2022'!B7</f>
        <v>Dividendes sur participation de l'Etat (+)</v>
      </c>
      <c r="C12" s="114">
        <f>+'1'!E14+'2'!E14+'3'!E14+'4'!E14+'5'!E14+'6'!E14+'7'!E14+'8'!E14+'9'!E14+'10'!E14+'11'!E14+'12'!E14+'13'!E14+'14'!E14+'15'!E14+'16'!E14+'17'!E14+'18'!E14+'19'!E14+'20'!E14+'21'!E14+'22'!E14+'23'!E14+'24'!E14+'25'!E14+'26'!E14+'27'!E14</f>
        <v>0</v>
      </c>
      <c r="D12" s="114">
        <f>+'1'!F14+'2'!F14+'3'!F14+'4'!F14+'5'!F14+'6'!F14+'7'!F14+'8'!F14+'9'!F14+'10'!F14+'11'!F14+'12'!F14+'13'!F14+'14'!F14+'15'!F14+'16'!F14+'17'!F14+'18'!F14+'19'!F14+'20'!F14+'21'!F14+'22'!F14+'23'!F14+'24'!F14+'25'!F14+'26'!F14+'27'!F14</f>
        <v>0</v>
      </c>
      <c r="E12" s="114">
        <f>+'1'!G14+'2'!G14+'3'!G14+'4'!G14+'5'!G14+'6'!G14+'7'!G14+'8'!G14+'9'!G14+'10'!G14+'11'!G14+'12'!G14+'13'!G14+'14'!G14+'15'!G14+'16'!G14+'17'!G14+'18'!G14+'19'!G14+'20'!G14+'21'!G14+'22'!G14+'23'!G14+'24'!G14+'25'!G14+'26'!G14+'27'!G14</f>
        <v>0</v>
      </c>
      <c r="F12" s="114">
        <f>+'1'!I14+'2'!I14+'3'!I14+'4'!I14+'5'!I14+'6'!I14+'7'!I14+'8'!I14+'9'!I14+'10'!I14+'11'!I14+'12'!I14+'13'!I14+'14'!I14+'15'!I14+'16'!I14+'17'!I14+'18'!I14+'19'!I14+'20'!I14+'21'!I14+'22'!I14+'23'!I14+'24'!I14+'25'!I14+'26'!I14+'27'!I14</f>
        <v>0</v>
      </c>
      <c r="G12" s="114">
        <f ca="1">+'1'!J14+'2'!J14+'3'!J14+'4'!J14+'5'!J14+'6'!J14+'7'!J14+'8'!J14+'9'!J14+'10'!J14+'11'!J14+'12'!J14+'13'!J14+'14'!J14+'15'!J14+'16'!J14+'17'!J14+'18'!J14+'19'!J14+'20'!J14+'21'!J14+'22'!J14+'23'!J14+'24'!J14+'25'!J14+'26'!J14+'27'!J14</f>
        <v>0</v>
      </c>
      <c r="H12" s="114">
        <f ca="1">+'1'!K14+'2'!K14+'3'!K14+'4'!K14+'5'!K14+'6'!K14+'7'!K14+'8'!K14+'9'!K14+'10'!K14+'11'!K14+'12'!K14+'13'!K14+'14'!K14+'15'!K14+'16'!K14+'17'!K14+'18'!K14+'19'!K14+'20'!K14+'21'!K14+'22'!K14+'23'!K14+'24'!K14+'25'!K14+'26'!K14+'27'!K14</f>
        <v>0</v>
      </c>
      <c r="I12" s="114">
        <f ca="1">+'1'!M14+'2'!M14+'3'!M14+'4'!M14+'5'!M14+'6'!M14+'7'!M14+'8'!M14+'9'!M14+'10'!M14+'11'!M14+'12'!M14+'13'!M14+'14'!M14+'15'!M14+'16'!M14+'17'!M14+'18'!M14+'19'!M14+'20'!M14+'21'!M14+'22'!M14+'23'!M14+'24'!M14+'25'!M14+'26'!M14+'27'!M14</f>
        <v>0</v>
      </c>
      <c r="O12" s="21" t="s">
        <v>169</v>
      </c>
    </row>
    <row r="13" spans="1:15">
      <c r="A13" s="163"/>
      <c r="B13" s="58" t="str">
        <f>+'Taxes RCA 2022'!B8</f>
        <v>DGTCP (FDM)</v>
      </c>
      <c r="C13" s="166">
        <f>+'1'!E15+'2'!E15+'3'!E15+'4'!E15+'5'!E15+'6'!E15+'7'!E15+'8'!E15+'9'!E15+'10'!E15+'11'!E15+'12'!E15+'13'!E15+'14'!E15+'15'!E15+'16'!E15+'17'!E15+'18'!E15+'19'!E15+'20'!E15+'21'!E15+'22'!E15+'23'!E15+'24'!E15+'25'!E15+'26'!E15+'27'!E15</f>
        <v>0</v>
      </c>
      <c r="D13" s="166">
        <f>+'1'!F15+'2'!F15+'3'!F15+'4'!F15+'5'!F15+'6'!F15+'7'!F15+'8'!F15+'9'!F15+'10'!F15+'11'!F15+'12'!F15+'13'!F15+'14'!F15+'15'!F15+'16'!F15+'17'!F15+'18'!F15+'19'!F15+'20'!F15+'21'!F15+'22'!F15+'23'!F15+'24'!F15+'25'!F15+'26'!F15+'27'!F15</f>
        <v>0</v>
      </c>
      <c r="E13" s="166">
        <f>+'1'!G15+'2'!G15+'3'!G15+'4'!G15+'5'!G15+'6'!G15+'7'!G15+'8'!G15+'9'!G15+'10'!G15+'11'!G15+'12'!G15+'13'!G15+'14'!G15+'15'!G15+'16'!G15+'17'!G15+'18'!G15+'19'!G15+'20'!G15+'21'!G15+'22'!G15+'23'!G15+'24'!G15+'25'!G15+'26'!G15+'27'!G15</f>
        <v>0</v>
      </c>
      <c r="F13" s="166">
        <f>+'1'!I15+'2'!I15+'3'!I15+'4'!I15+'5'!I15+'6'!I15+'7'!I15+'8'!I15+'9'!I15+'10'!I15+'11'!I15+'12'!I15+'13'!I15+'14'!I15+'15'!I15+'16'!I15+'17'!I15+'18'!I15+'19'!I15+'20'!I15+'21'!I15+'22'!I15+'23'!I15+'24'!I15+'25'!I15+'26'!I15+'27'!I15</f>
        <v>0</v>
      </c>
      <c r="G13" s="166">
        <f ca="1">+'1'!J15+'2'!J15+'3'!J15+'4'!J15+'5'!J15+'6'!J15+'7'!J15+'8'!J15+'9'!J15+'10'!J15+'11'!J15+'12'!J15+'13'!J15+'14'!J15+'15'!J15+'16'!J15+'17'!J15+'18'!J15+'19'!J15+'20'!J15+'21'!J15+'22'!J15+'23'!J15+'24'!J15+'25'!J15+'26'!J15+'27'!J15</f>
        <v>0</v>
      </c>
      <c r="H13" s="166">
        <f ca="1">+'1'!K15+'2'!K15+'3'!K15+'4'!K15+'5'!K15+'6'!K15+'7'!K15+'8'!K15+'9'!K15+'10'!K15+'11'!K15+'12'!K15+'13'!K15+'14'!K15+'15'!K15+'16'!K15+'17'!K15+'18'!K15+'19'!K15+'20'!K15+'21'!K15+'22'!K15+'23'!K15+'24'!K15+'25'!K15+'26'!K15+'27'!K15</f>
        <v>0</v>
      </c>
      <c r="I13" s="166">
        <f ca="1">+'1'!M15+'2'!M15+'3'!M15+'4'!M15+'5'!M15+'6'!M15+'7'!M15+'8'!M15+'9'!M15+'10'!M15+'11'!M15+'12'!M15+'13'!M15+'14'!M15+'15'!M15+'16'!M15+'17'!M15+'18'!M15+'19'!M15+'20'!M15+'21'!M15+'22'!M15+'23'!M15+'24'!M15+'25'!M15+'26'!M15+'27'!M15</f>
        <v>0</v>
      </c>
      <c r="O13" s="21" t="s">
        <v>198</v>
      </c>
    </row>
    <row r="14" spans="1:15">
      <c r="A14" s="64">
        <f>+'Taxes RCA 2022'!A9</f>
        <v>5</v>
      </c>
      <c r="B14" s="68" t="str">
        <f>+'Taxes RCA 2022'!B9</f>
        <v>Bonus de signature versés par les investisseurs miniers (+) (DGTCP (FDM))</v>
      </c>
      <c r="C14" s="165">
        <f>+'1'!E16+'2'!E16+'3'!E16+'4'!E16+'5'!E16+'6'!E16+'7'!E16+'8'!E16+'9'!E16+'10'!E16+'11'!E16+'12'!E16+'13'!E16+'14'!E16+'15'!E16+'16'!E16+'17'!E16+'18'!E16+'19'!E16+'20'!E16+'21'!E16+'22'!E16+'23'!E16+'24'!E16+'25'!E16+'26'!E16+'27'!E16</f>
        <v>0</v>
      </c>
      <c r="D14" s="165">
        <f>+'1'!F16+'2'!F16+'3'!F16+'4'!F16+'5'!F16+'6'!F16+'7'!F16+'8'!F16+'9'!F16+'10'!F16+'11'!F16+'12'!F16+'13'!F16+'14'!F16+'15'!F16+'16'!F16+'17'!F16+'18'!F16+'19'!F16+'20'!F16+'21'!F16+'22'!F16+'23'!F16+'24'!F16+'25'!F16+'26'!F16+'27'!F16</f>
        <v>0</v>
      </c>
      <c r="E14" s="165">
        <f>+'1'!G16+'2'!G16+'3'!G16+'4'!G16+'5'!G16+'6'!G16+'7'!G16+'8'!G16+'9'!G16+'10'!G16+'11'!G16+'12'!G16+'13'!G16+'14'!G16+'15'!G16+'16'!G16+'17'!G16+'18'!G16+'19'!G16+'20'!G16+'21'!G16+'22'!G16+'23'!G16+'24'!G16+'25'!G16+'26'!G16+'27'!G16</f>
        <v>0</v>
      </c>
      <c r="F14" s="165">
        <f>+'1'!I16+'2'!I16+'3'!I16+'4'!I16+'5'!I16+'6'!I16+'7'!I16+'8'!I16+'9'!I16+'10'!I16+'11'!I16+'12'!I16+'13'!I16+'14'!I16+'15'!I16+'16'!I16+'17'!I16+'18'!I16+'19'!I16+'20'!I16+'21'!I16+'22'!I16+'23'!I16+'24'!I16+'25'!I16+'26'!I16+'27'!I16</f>
        <v>0</v>
      </c>
      <c r="G14" s="165">
        <f ca="1">+'1'!J16+'2'!J16+'3'!J16+'4'!J16+'5'!J16+'6'!J16+'7'!J16+'8'!J16+'9'!J16+'10'!J16+'11'!J16+'12'!J16+'13'!J16+'14'!J16+'15'!J16+'16'!J16+'17'!J16+'18'!J16+'19'!J16+'20'!J16+'21'!J16+'22'!J16+'23'!J16+'24'!J16+'25'!J16+'26'!J16+'27'!J16</f>
        <v>0</v>
      </c>
      <c r="H14" s="165">
        <f ca="1">+'1'!K16+'2'!K16+'3'!K16+'4'!K16+'5'!K16+'6'!K16+'7'!K16+'8'!K16+'9'!K16+'10'!K16+'11'!K16+'12'!K16+'13'!K16+'14'!K16+'15'!K16+'16'!K16+'17'!K16+'18'!K16+'19'!K16+'20'!K16+'21'!K16+'22'!K16+'23'!K16+'24'!K16+'25'!K16+'26'!K16+'27'!K16</f>
        <v>0</v>
      </c>
      <c r="I14" s="165">
        <f ca="1">+'1'!M16+'2'!M16+'3'!M16+'4'!M16+'5'!M16+'6'!M16+'7'!M16+'8'!M16+'9'!M16+'10'!M16+'11'!M16+'12'!M16+'13'!M16+'14'!M16+'15'!M16+'16'!M16+'17'!M16+'18'!M16+'19'!M16+'20'!M16+'21'!M16+'22'!M16+'23'!M16+'24'!M16+'25'!M16+'26'!M16+'27'!M16</f>
        <v>0</v>
      </c>
      <c r="O14" s="21" t="s">
        <v>223</v>
      </c>
    </row>
    <row r="15" spans="1:15">
      <c r="A15" s="163"/>
      <c r="B15" s="58" t="str">
        <f>+'Taxes RCA 2022'!B10</f>
        <v>DGID</v>
      </c>
      <c r="C15" s="166">
        <f>+'1'!E17+'2'!E17+'3'!E17+'4'!E17+'5'!E17+'6'!E17+'7'!E17+'8'!E17+'9'!E17+'10'!E17+'11'!E17+'12'!E17+'13'!E17+'14'!E17+'15'!E17+'16'!E17+'17'!E17+'18'!E17+'19'!E17+'20'!E17+'21'!E17+'22'!E17+'23'!E17+'24'!E17+'25'!E17+'26'!E17+'27'!E17</f>
        <v>660451928</v>
      </c>
      <c r="D15" s="166">
        <f>+'1'!F17+'2'!F17+'3'!F17+'4'!F17+'5'!F17+'6'!F17+'7'!F17+'8'!F17+'9'!F17+'10'!F17+'11'!F17+'12'!F17+'13'!F17+'14'!F17+'15'!F17+'16'!F17+'17'!F17+'18'!F17+'19'!F17+'20'!F17+'21'!F17+'22'!F17+'23'!F17+'24'!F17+'25'!F17+'26'!F17+'27'!F17</f>
        <v>-34501101</v>
      </c>
      <c r="E15" s="166">
        <f>+'1'!G17+'2'!G17+'3'!G17+'4'!G17+'5'!G17+'6'!G17+'7'!G17+'8'!G17+'9'!G17+'10'!G17+'11'!G17+'12'!G17+'13'!G17+'14'!G17+'15'!G17+'16'!G17+'17'!G17+'18'!G17+'19'!G17+'20'!G17+'21'!G17+'22'!G17+'23'!G17+'24'!G17+'25'!G17+'26'!G17+'27'!G17</f>
        <v>625950827</v>
      </c>
      <c r="F15" s="166">
        <f>+'1'!I17+'2'!I17+'3'!I17+'4'!I17+'5'!I17+'6'!I17+'7'!I17+'8'!I17+'9'!I17+'10'!I17+'11'!I17+'12'!I17+'13'!I17+'14'!I17+'15'!I17+'16'!I17+'17'!I17+'18'!I17+'19'!I17+'20'!I17+'21'!I17+'22'!I17+'23'!I17+'24'!I17+'25'!I17+'26'!I17+'27'!I17</f>
        <v>2393975946</v>
      </c>
      <c r="G15" s="166">
        <f ca="1">+'1'!J17+'2'!J17+'3'!J17+'4'!J17+'5'!J17+'6'!J17+'7'!J17+'8'!J17+'9'!J17+'10'!J17+'11'!J17+'12'!J17+'13'!J17+'14'!J17+'15'!J17+'16'!J17+'17'!J17+'18'!J17+'19'!J17+'20'!J17+'21'!J17+'22'!J17+'23'!J17+'24'!J17+'25'!J17+'26'!J17+'27'!J17</f>
        <v>352128578.4285714</v>
      </c>
      <c r="H15" s="166">
        <f ca="1">+'1'!K17+'2'!K17+'3'!K17+'4'!K17+'5'!K17+'6'!K17+'7'!K17+'8'!K17+'9'!K17+'10'!K17+'11'!K17+'12'!K17+'13'!K17+'14'!K17+'15'!K17+'16'!K17+'17'!K17+'18'!K17+'19'!K17+'20'!K17+'21'!K17+'22'!K17+'23'!K17+'24'!K17+'25'!K17+'26'!K17+'27'!K17</f>
        <v>2746104524.4285712</v>
      </c>
      <c r="I15" s="166">
        <f ca="1">+'1'!M17+'2'!M17+'3'!M17+'4'!M17+'5'!M17+'6'!M17+'7'!M17+'8'!M17+'9'!M17+'10'!M17+'11'!M17+'12'!M17+'13'!M17+'14'!M17+'15'!M17+'16'!M17+'17'!M17+'18'!M17+'19'!M17+'20'!M17+'21'!M17+'22'!M17+'23'!M17+'24'!M17+'25'!M17+'26'!M17+'27'!M17</f>
        <v>-2120153697.4285712</v>
      </c>
      <c r="O15" s="21" t="s">
        <v>81</v>
      </c>
    </row>
    <row r="16" spans="1:15">
      <c r="A16" s="53">
        <f>+'Taxes RCA 2022'!A11</f>
        <v>6</v>
      </c>
      <c r="B16" s="18" t="str">
        <f>+'Taxes RCA 2022'!B11</f>
        <v>Redevance à la production (+)</v>
      </c>
      <c r="C16" s="114">
        <f>+'1'!E18+'2'!E18+'3'!E18+'4'!E18+'5'!E18+'6'!E18+'7'!E18+'8'!E18+'9'!E18+'10'!E18+'11'!E18+'12'!E18+'13'!E18+'14'!E18+'15'!E18+'16'!E18+'17'!E18+'18'!E18+'19'!E18+'20'!E18+'21'!E18+'22'!E18+'23'!E18+'24'!E18+'25'!E18+'26'!E18+'27'!E18</f>
        <v>0</v>
      </c>
      <c r="D16" s="114">
        <f>+'1'!F18+'2'!F18+'3'!F18+'4'!F18+'5'!F18+'6'!F18+'7'!F18+'8'!F18+'9'!F18+'10'!F18+'11'!F18+'12'!F18+'13'!F18+'14'!F18+'15'!F18+'16'!F18+'17'!F18+'18'!F18+'19'!F18+'20'!F18+'21'!F18+'22'!F18+'23'!F18+'24'!F18+'25'!F18+'26'!F18+'27'!F18</f>
        <v>0</v>
      </c>
      <c r="E16" s="114">
        <f>+'1'!G18+'2'!G18+'3'!G18+'4'!G18+'5'!G18+'6'!G18+'7'!G18+'8'!G18+'9'!G18+'10'!G18+'11'!G18+'12'!G18+'13'!G18+'14'!G18+'15'!G18+'16'!G18+'17'!G18+'18'!G18+'19'!G18+'20'!G18+'21'!G18+'22'!G18+'23'!G18+'24'!G18+'25'!G18+'26'!G18+'27'!G18</f>
        <v>0</v>
      </c>
      <c r="F16" s="114">
        <f>+'1'!I18+'2'!I18+'3'!I18+'4'!I18+'5'!I18+'6'!I18+'7'!I18+'8'!I18+'9'!I18+'10'!I18+'11'!I18+'12'!I18+'13'!I18+'14'!I18+'15'!I18+'16'!I18+'17'!I18+'18'!I18+'19'!I18+'20'!I18+'21'!I18+'22'!I18+'23'!I18+'24'!I18+'25'!I18+'26'!I18+'27'!I18</f>
        <v>0</v>
      </c>
      <c r="G16" s="114">
        <f ca="1">+'1'!J18+'2'!J18+'3'!J18+'4'!J18+'5'!J18+'6'!J18+'7'!J18+'8'!J18+'9'!J18+'10'!J18+'11'!J18+'12'!J18+'13'!J18+'14'!J18+'15'!J18+'16'!J18+'17'!J18+'18'!J18+'19'!J18+'20'!J18+'21'!J18+'22'!J18+'23'!J18+'24'!J18+'25'!J18+'26'!J18+'27'!J18</f>
        <v>0</v>
      </c>
      <c r="H16" s="114">
        <f ca="1">+'1'!K18+'2'!K18+'3'!K18+'4'!K18+'5'!K18+'6'!K18+'7'!K18+'8'!K18+'9'!K18+'10'!K18+'11'!K18+'12'!K18+'13'!K18+'14'!K18+'15'!K18+'16'!K18+'17'!K18+'18'!K18+'19'!K18+'20'!K18+'21'!K18+'22'!K18+'23'!K18+'24'!K18+'25'!K18+'26'!K18+'27'!K18</f>
        <v>0</v>
      </c>
      <c r="I16" s="114">
        <f ca="1">+'1'!M18+'2'!M18+'3'!M18+'4'!M18+'5'!M18+'6'!M18+'7'!M18+'8'!M18+'9'!M18+'10'!M18+'11'!M18+'12'!M18+'13'!M18+'14'!M18+'15'!M18+'16'!M18+'17'!M18+'18'!M18+'19'!M18+'20'!M18+'21'!M18+'22'!M18+'23'!M18+'24'!M18+'25'!M18+'26'!M18+'27'!M18</f>
        <v>0</v>
      </c>
      <c r="O16" s="21" t="s">
        <v>171</v>
      </c>
    </row>
    <row r="17" spans="1:15">
      <c r="A17" s="64">
        <f>+'Taxes RCA 2022'!A12</f>
        <v>7</v>
      </c>
      <c r="B17" s="68" t="str">
        <f>+'Taxes RCA 2022'!B12</f>
        <v>Contribution au développement social (CDS)</v>
      </c>
      <c r="C17" s="165">
        <f>+'1'!E19+'2'!E19+'3'!E19+'4'!E19+'5'!E19+'6'!E19+'7'!E19+'8'!E19+'9'!E19+'10'!E19+'11'!E19+'12'!E19+'13'!E19+'14'!E19+'15'!E19+'16'!E19+'17'!E19+'18'!E19+'19'!E19+'20'!E19+'21'!E19+'22'!E19+'23'!E19+'24'!E19+'25'!E19+'26'!E19+'27'!E19</f>
        <v>61623768</v>
      </c>
      <c r="D17" s="165">
        <f>+'1'!F19+'2'!F19+'3'!F19+'4'!F19+'5'!F19+'6'!F19+'7'!F19+'8'!F19+'9'!F19+'10'!F19+'11'!F19+'12'!F19+'13'!F19+'14'!F19+'15'!F19+'16'!F19+'17'!F19+'18'!F19+'19'!F19+'20'!F19+'21'!F19+'22'!F19+'23'!F19+'24'!F19+'25'!F19+'26'!F19+'27'!F19</f>
        <v>0</v>
      </c>
      <c r="E17" s="165">
        <f>+'1'!G19+'2'!G19+'3'!G19+'4'!G19+'5'!G19+'6'!G19+'7'!G19+'8'!G19+'9'!G19+'10'!G19+'11'!G19+'12'!G19+'13'!G19+'14'!G19+'15'!G19+'16'!G19+'17'!G19+'18'!G19+'19'!G19+'20'!G19+'21'!G19+'22'!G19+'23'!G19+'24'!G19+'25'!G19+'26'!G19+'27'!G19</f>
        <v>61623768</v>
      </c>
      <c r="F17" s="165">
        <f>+'1'!I19+'2'!I19+'3'!I19+'4'!I19+'5'!I19+'6'!I19+'7'!I19+'8'!I19+'9'!I19+'10'!I19+'11'!I19+'12'!I19+'13'!I19+'14'!I19+'15'!I19+'16'!I19+'17'!I19+'18'!I19+'19'!I19+'20'!I19+'21'!I19+'22'!I19+'23'!I19+'24'!I19+'25'!I19+'26'!I19+'27'!I19</f>
        <v>47617339</v>
      </c>
      <c r="G17" s="165">
        <f ca="1">+'1'!J19+'2'!J19+'3'!J19+'4'!J19+'5'!J19+'6'!J19+'7'!J19+'8'!J19+'9'!J19+'10'!J19+'11'!J19+'12'!J19+'13'!J19+'14'!J19+'15'!J19+'16'!J19+'17'!J19+'18'!J19+'19'!J19+'20'!J19+'21'!J19+'22'!J19+'23'!J19+'24'!J19+'25'!J19+'26'!J19+'27'!J19</f>
        <v>0</v>
      </c>
      <c r="H17" s="165">
        <f ca="1">+'1'!K19+'2'!K19+'3'!K19+'4'!K19+'5'!K19+'6'!K19+'7'!K19+'8'!K19+'9'!K19+'10'!K19+'11'!K19+'12'!K19+'13'!K19+'14'!K19+'15'!K19+'16'!K19+'17'!K19+'18'!K19+'19'!K19+'20'!K19+'21'!K19+'22'!K19+'23'!K19+'24'!K19+'25'!K19+'26'!K19+'27'!K19</f>
        <v>47617339</v>
      </c>
      <c r="I17" s="165">
        <f ca="1">+'1'!M19+'2'!M19+'3'!M19+'4'!M19+'5'!M19+'6'!M19+'7'!M19+'8'!M19+'9'!M19+'10'!M19+'11'!M19+'12'!M19+'13'!M19+'14'!M19+'15'!M19+'16'!M19+'17'!M19+'18'!M19+'19'!M19+'20'!M19+'21'!M19+'22'!M19+'23'!M19+'24'!M19+'25'!M19+'26'!M19+'27'!M19</f>
        <v>14006429</v>
      </c>
      <c r="O17" s="21" t="s">
        <v>172</v>
      </c>
    </row>
    <row r="18" spans="1:15">
      <c r="A18" s="53">
        <f>+'Taxes RCA 2022'!A13</f>
        <v>8</v>
      </c>
      <c r="B18" s="18" t="str">
        <f>+'Taxes RCA 2022'!B13</f>
        <v>Droit d'enregistrement (DE)</v>
      </c>
      <c r="C18" s="114">
        <f>+'1'!E20+'2'!E20+'3'!E20+'4'!E20+'5'!E20+'6'!E20+'7'!E20+'8'!E20+'9'!E20+'10'!E20+'11'!E20+'12'!E20+'13'!E20+'14'!E20+'15'!E20+'16'!E20+'17'!E20+'18'!E20+'19'!E20+'20'!E20+'21'!E20+'22'!E20+'23'!E20+'24'!E20+'25'!E20+'26'!E20+'27'!E20</f>
        <v>11944400</v>
      </c>
      <c r="D18" s="114">
        <f>+'1'!F20+'2'!F20+'3'!F20+'4'!F20+'5'!F20+'6'!F20+'7'!F20+'8'!F20+'9'!F20+'10'!F20+'11'!F20+'12'!F20+'13'!F20+'14'!F20+'15'!F20+'16'!F20+'17'!F20+'18'!F20+'19'!F20+'20'!F20+'21'!F20+'22'!F20+'23'!F20+'24'!F20+'25'!F20+'26'!F20+'27'!F20</f>
        <v>0</v>
      </c>
      <c r="E18" s="114">
        <f>+'1'!G20+'2'!G20+'3'!G20+'4'!G20+'5'!G20+'6'!G20+'7'!G20+'8'!G20+'9'!G20+'10'!G20+'11'!G20+'12'!G20+'13'!G20+'14'!G20+'15'!G20+'16'!G20+'17'!G20+'18'!G20+'19'!G20+'20'!G20+'21'!G20+'22'!G20+'23'!G20+'24'!G20+'25'!G20+'26'!G20+'27'!G20</f>
        <v>11944400</v>
      </c>
      <c r="F18" s="114">
        <f>+'1'!I20+'2'!I20+'3'!I20+'4'!I20+'5'!I20+'6'!I20+'7'!I20+'8'!I20+'9'!I20+'10'!I20+'11'!I20+'12'!I20+'13'!I20+'14'!I20+'15'!I20+'16'!I20+'17'!I20+'18'!I20+'19'!I20+'20'!I20+'21'!I20+'22'!I20+'23'!I20+'24'!I20+'25'!I20+'26'!I20+'27'!I20</f>
        <v>12700800</v>
      </c>
      <c r="G18" s="114">
        <f ca="1">+'1'!J20+'2'!J20+'3'!J20+'4'!J20+'5'!J20+'6'!J20+'7'!J20+'8'!J20+'9'!J20+'10'!J20+'11'!J20+'12'!J20+'13'!J20+'14'!J20+'15'!J20+'16'!J20+'17'!J20+'18'!J20+'19'!J20+'20'!J20+'21'!J20+'22'!J20+'23'!J20+'24'!J20+'25'!J20+'26'!J20+'27'!J20</f>
        <v>0</v>
      </c>
      <c r="H18" s="114">
        <f ca="1">+'1'!K20+'2'!K20+'3'!K20+'4'!K20+'5'!K20+'6'!K20+'7'!K20+'8'!K20+'9'!K20+'10'!K20+'11'!K20+'12'!K20+'13'!K20+'14'!K20+'15'!K20+'16'!K20+'17'!K20+'18'!K20+'19'!K20+'20'!K20+'21'!K20+'22'!K20+'23'!K20+'24'!K20+'25'!K20+'26'!K20+'27'!K20</f>
        <v>12700800</v>
      </c>
      <c r="I18" s="114">
        <f ca="1">+'1'!M20+'2'!M20+'3'!M20+'4'!M20+'5'!M20+'6'!M20+'7'!M20+'8'!M20+'9'!M20+'10'!M20+'11'!M20+'12'!M20+'13'!M20+'14'!M20+'15'!M20+'16'!M20+'17'!M20+'18'!M20+'19'!M20+'20'!M20+'21'!M20+'22'!M20+'23'!M20+'24'!M20+'25'!M20+'26'!M20+'27'!M20</f>
        <v>-756400</v>
      </c>
      <c r="O18" s="21" t="s">
        <v>173</v>
      </c>
    </row>
    <row r="19" spans="1:15">
      <c r="A19" s="64">
        <f>+'Taxes RCA 2022'!A14</f>
        <v>9</v>
      </c>
      <c r="B19" s="68" t="str">
        <f>+'Taxes RCA 2022'!B14</f>
        <v>Impôt sur les revenus des personnes physiques (IRPP)</v>
      </c>
      <c r="C19" s="165">
        <f>+'1'!E21+'2'!E21+'3'!E21+'4'!E21+'5'!E21+'6'!E21+'7'!E21+'8'!E21+'9'!E21+'10'!E21+'11'!E21+'12'!E21+'13'!E21+'14'!E21+'15'!E21+'16'!E21+'17'!E21+'18'!E21+'19'!E21+'20'!E21+'21'!E21+'22'!E21+'23'!E21+'24'!E21+'25'!E21+'26'!E21+'27'!E21</f>
        <v>21942844</v>
      </c>
      <c r="D19" s="165">
        <f>+'1'!F21+'2'!F21+'3'!F21+'4'!F21+'5'!F21+'6'!F21+'7'!F21+'8'!F21+'9'!F21+'10'!F21+'11'!F21+'12'!F21+'13'!F21+'14'!F21+'15'!F21+'16'!F21+'17'!F21+'18'!F21+'19'!F21+'20'!F21+'21'!F21+'22'!F21+'23'!F21+'24'!F21+'25'!F21+'26'!F21+'27'!F21</f>
        <v>22765838</v>
      </c>
      <c r="E19" s="165">
        <f>+'1'!G21+'2'!G21+'3'!G21+'4'!G21+'5'!G21+'6'!G21+'7'!G21+'8'!G21+'9'!G21+'10'!G21+'11'!G21+'12'!G21+'13'!G21+'14'!G21+'15'!G21+'16'!G21+'17'!G21+'18'!G21+'19'!G21+'20'!G21+'21'!G21+'22'!G21+'23'!G21+'24'!G21+'25'!G21+'26'!G21+'27'!G21</f>
        <v>44708682</v>
      </c>
      <c r="F19" s="165">
        <f>+'1'!I21+'2'!I21+'3'!I21+'4'!I21+'5'!I21+'6'!I21+'7'!I21+'8'!I21+'9'!I21+'10'!I21+'11'!I21+'12'!I21+'13'!I21+'14'!I21+'15'!I21+'16'!I21+'17'!I21+'18'!I21+'19'!I21+'20'!I21+'21'!I21+'22'!I21+'23'!I21+'24'!I21+'25'!I21+'26'!I21+'27'!I21</f>
        <v>67906877</v>
      </c>
      <c r="G19" s="165">
        <f ca="1">+'1'!J21+'2'!J21+'3'!J21+'4'!J21+'5'!J21+'6'!J21+'7'!J21+'8'!J21+'9'!J21+'10'!J21+'11'!J21+'12'!J21+'13'!J21+'14'!J21+'15'!J21+'16'!J21+'17'!J21+'18'!J21+'19'!J21+'20'!J21+'21'!J21+'22'!J21+'23'!J21+'24'!J21+'25'!J21+'26'!J21+'27'!J21</f>
        <v>3749760</v>
      </c>
      <c r="H19" s="165">
        <f ca="1">+'1'!K21+'2'!K21+'3'!K21+'4'!K21+'5'!K21+'6'!K21+'7'!K21+'8'!K21+'9'!K21+'10'!K21+'11'!K21+'12'!K21+'13'!K21+'14'!K21+'15'!K21+'16'!K21+'17'!K21+'18'!K21+'19'!K21+'20'!K21+'21'!K21+'22'!K21+'23'!K21+'24'!K21+'25'!K21+'26'!K21+'27'!K21</f>
        <v>71656637</v>
      </c>
      <c r="I19" s="165">
        <f ca="1">+'1'!M21+'2'!M21+'3'!M21+'4'!M21+'5'!M21+'6'!M21+'7'!M21+'8'!M21+'9'!M21+'10'!M21+'11'!M21+'12'!M21+'13'!M21+'14'!M21+'15'!M21+'16'!M21+'17'!M21+'18'!M21+'19'!M21+'20'!M21+'21'!M21+'22'!M21+'23'!M21+'24'!M21+'25'!M21+'26'!M21+'27'!M21</f>
        <v>-26947955</v>
      </c>
      <c r="O19" s="21" t="s">
        <v>174</v>
      </c>
    </row>
    <row r="20" spans="1:15">
      <c r="A20" s="53">
        <f>+'Taxes RCA 2022'!A15</f>
        <v>10</v>
      </c>
      <c r="B20" s="18" t="str">
        <f>+'Taxes RCA 2022'!B15</f>
        <v>Impôt sur les sociétés (IS)</v>
      </c>
      <c r="C20" s="114">
        <f>+'1'!E22+'2'!E22+'3'!E22+'4'!E22+'5'!E22+'6'!E22+'7'!E22+'8'!E22+'9'!E22+'10'!E22+'11'!E22+'12'!E22+'13'!E22+'14'!E22+'15'!E22+'16'!E22+'17'!E22+'18'!E22+'19'!E22+'20'!E22+'21'!E22+'22'!E22+'23'!E22+'24'!E22+'25'!E22+'26'!E22+'27'!E22</f>
        <v>0</v>
      </c>
      <c r="D20" s="114">
        <f>+'1'!F22+'2'!F22+'3'!F22+'4'!F22+'5'!F22+'6'!F22+'7'!F22+'8'!F22+'9'!F22+'10'!F22+'11'!F22+'12'!F22+'13'!F22+'14'!F22+'15'!F22+'16'!F22+'17'!F22+'18'!F22+'19'!F22+'20'!F22+'21'!F22+'22'!F22+'23'!F22+'24'!F22+'25'!F22+'26'!F22+'27'!F22</f>
        <v>0</v>
      </c>
      <c r="E20" s="114">
        <f>+'1'!G22+'2'!G22+'3'!G22+'4'!G22+'5'!G22+'6'!G22+'7'!G22+'8'!G22+'9'!G22+'10'!G22+'11'!G22+'12'!G22+'13'!G22+'14'!G22+'15'!G22+'16'!G22+'17'!G22+'18'!G22+'19'!G22+'20'!G22+'21'!G22+'22'!G22+'23'!G22+'24'!G22+'25'!G22+'26'!G22+'27'!G22</f>
        <v>0</v>
      </c>
      <c r="F20" s="114">
        <f>+'1'!I22+'2'!I22+'3'!I22+'4'!I22+'5'!I22+'6'!I22+'7'!I22+'8'!I22+'9'!I22+'10'!I22+'11'!I22+'12'!I22+'13'!I22+'14'!I22+'15'!I22+'16'!I22+'17'!I22+'18'!I22+'19'!I22+'20'!I22+'21'!I22+'22'!I22+'23'!I22+'24'!I22+'25'!I22+'26'!I22+'27'!I22</f>
        <v>23903895</v>
      </c>
      <c r="G20" s="114">
        <f ca="1">+'1'!J22+'2'!J22+'3'!J22+'4'!J22+'5'!J22+'6'!J22+'7'!J22+'8'!J22+'9'!J22+'10'!J22+'11'!J22+'12'!J22+'13'!J22+'14'!J22+'15'!J22+'16'!J22+'17'!J22+'18'!J22+'19'!J22+'20'!J22+'21'!J22+'22'!J22+'23'!J22+'24'!J22+'25'!J22+'26'!J22+'27'!J22</f>
        <v>0</v>
      </c>
      <c r="H20" s="114">
        <f ca="1">+'1'!K22+'2'!K22+'3'!K22+'4'!K22+'5'!K22+'6'!K22+'7'!K22+'8'!K22+'9'!K22+'10'!K22+'11'!K22+'12'!K22+'13'!K22+'14'!K22+'15'!K22+'16'!K22+'17'!K22+'18'!K22+'19'!K22+'20'!K22+'21'!K22+'22'!K22+'23'!K22+'24'!K22+'25'!K22+'26'!K22+'27'!K22</f>
        <v>23903895</v>
      </c>
      <c r="I20" s="114">
        <f ca="1">+'1'!M22+'2'!M22+'3'!M22+'4'!M22+'5'!M22+'6'!M22+'7'!M22+'8'!M22+'9'!M22+'10'!M22+'11'!M22+'12'!M22+'13'!M22+'14'!M22+'15'!M22+'16'!M22+'17'!M22+'18'!M22+'19'!M22+'20'!M22+'21'!M22+'22'!M22+'23'!M22+'24'!M22+'25'!M22+'26'!M22+'27'!M22</f>
        <v>-23903895</v>
      </c>
      <c r="O20" s="21" t="s">
        <v>175</v>
      </c>
    </row>
    <row r="21" spans="1:15">
      <c r="A21" s="64">
        <f>+'Taxes RCA 2022'!A16</f>
        <v>11</v>
      </c>
      <c r="B21" s="68" t="str">
        <f>+'Taxes RCA 2022'!B16</f>
        <v>Loyer annuel</v>
      </c>
      <c r="C21" s="165">
        <f>+'1'!E23+'2'!E23+'3'!E23+'4'!E23+'5'!E23+'6'!E23+'7'!E23+'8'!E23+'9'!E23+'10'!E23+'11'!E23+'12'!E23+'13'!E23+'14'!E23+'15'!E23+'16'!E23+'17'!E23+'18'!E23+'19'!E23+'20'!E23+'21'!E23+'22'!E23+'23'!E23+'24'!E23+'25'!E23+'26'!E23+'27'!E23</f>
        <v>153926400</v>
      </c>
      <c r="D21" s="165">
        <f>+'1'!F23+'2'!F23+'3'!F23+'4'!F23+'5'!F23+'6'!F23+'7'!F23+'8'!F23+'9'!F23+'10'!F23+'11'!F23+'12'!F23+'13'!F23+'14'!F23+'15'!F23+'16'!F23+'17'!F23+'18'!F23+'19'!F23+'20'!F23+'21'!F23+'22'!F23+'23'!F23+'24'!F23+'25'!F23+'26'!F23+'27'!F23</f>
        <v>-1200000</v>
      </c>
      <c r="E21" s="165">
        <f>+'1'!G23+'2'!G23+'3'!G23+'4'!G23+'5'!G23+'6'!G23+'7'!G23+'8'!G23+'9'!G23+'10'!G23+'11'!G23+'12'!G23+'13'!G23+'14'!G23+'15'!G23+'16'!G23+'17'!G23+'18'!G23+'19'!G23+'20'!G23+'21'!G23+'22'!G23+'23'!G23+'24'!G23+'25'!G23+'26'!G23+'27'!G23</f>
        <v>152726400</v>
      </c>
      <c r="F21" s="165">
        <f>+'1'!I23+'2'!I23+'3'!I23+'4'!I23+'5'!I23+'6'!I23+'7'!I23+'8'!I23+'9'!I23+'10'!I23+'11'!I23+'12'!I23+'13'!I23+'14'!I23+'15'!I23+'16'!I23+'17'!I23+'18'!I23+'19'!I23+'20'!I23+'21'!I23+'22'!I23+'23'!I23+'24'!I23+'25'!I23+'26'!I23+'27'!I23</f>
        <v>849586752</v>
      </c>
      <c r="G21" s="165">
        <f ca="1">+'1'!J23+'2'!J23+'3'!J23+'4'!J23+'5'!J23+'6'!J23+'7'!J23+'8'!J23+'9'!J23+'10'!J23+'11'!J23+'12'!J23+'13'!J23+'14'!J23+'15'!J23+'16'!J23+'17'!J23+'18'!J23+'19'!J23+'20'!J23+'21'!J23+'22'!J23+'23'!J23+'24'!J23+'25'!J23+'26'!J23+'27'!J23</f>
        <v>345791979.4285714</v>
      </c>
      <c r="H21" s="165">
        <f ca="1">+'1'!K23+'2'!K23+'3'!K23+'4'!K23+'5'!K23+'6'!K23+'7'!K23+'8'!K23+'9'!K23+'10'!K23+'11'!K23+'12'!K23+'13'!K23+'14'!K23+'15'!K23+'16'!K23+'17'!K23+'18'!K23+'19'!K23+'20'!K23+'21'!K23+'22'!K23+'23'!K23+'24'!K23+'25'!K23+'26'!K23+'27'!K23</f>
        <v>1195378731.4285715</v>
      </c>
      <c r="I21" s="165">
        <f ca="1">+'1'!M23+'2'!M23+'3'!M23+'4'!M23+'5'!M23+'6'!M23+'7'!M23+'8'!M23+'9'!M23+'10'!M23+'11'!M23+'12'!M23+'13'!M23+'14'!M23+'15'!M23+'16'!M23+'17'!M23+'18'!M23+'19'!M23+'20'!M23+'21'!M23+'22'!M23+'23'!M23+'24'!M23+'25'!M23+'26'!M23+'27'!M23</f>
        <v>-1042652331.4285715</v>
      </c>
      <c r="O21" s="21" t="s">
        <v>176</v>
      </c>
    </row>
    <row r="22" spans="1:15">
      <c r="A22" s="53">
        <f>+'Taxes RCA 2022'!A17</f>
        <v>12</v>
      </c>
      <c r="B22" s="18" t="str">
        <f>+'Taxes RCA 2022'!B17</f>
        <v>Patente</v>
      </c>
      <c r="C22" s="114">
        <f>+'1'!E24+'2'!E24+'3'!E24+'4'!E24+'5'!E24+'6'!E24+'7'!E24+'8'!E24+'9'!E24+'10'!E24+'11'!E24+'12'!E24+'13'!E24+'14'!E24+'15'!E24+'16'!E24+'17'!E24+'18'!E24+'19'!E24+'20'!E24+'21'!E24+'22'!E24+'23'!E24+'24'!E24+'25'!E24+'26'!E24+'27'!E24</f>
        <v>35068469</v>
      </c>
      <c r="D22" s="114">
        <f>+'1'!F24+'2'!F24+'3'!F24+'4'!F24+'5'!F24+'6'!F24+'7'!F24+'8'!F24+'9'!F24+'10'!F24+'11'!F24+'12'!F24+'13'!F24+'14'!F24+'15'!F24+'16'!F24+'17'!F24+'18'!F24+'19'!F24+'20'!F24+'21'!F24+'22'!F24+'23'!F24+'24'!F24+'25'!F24+'26'!F24+'27'!F24</f>
        <v>0</v>
      </c>
      <c r="E22" s="114">
        <f>+'1'!G24+'2'!G24+'3'!G24+'4'!G24+'5'!G24+'6'!G24+'7'!G24+'8'!G24+'9'!G24+'10'!G24+'11'!G24+'12'!G24+'13'!G24+'14'!G24+'15'!G24+'16'!G24+'17'!G24+'18'!G24+'19'!G24+'20'!G24+'21'!G24+'22'!G24+'23'!G24+'24'!G24+'25'!G24+'26'!G24+'27'!G24</f>
        <v>35068469</v>
      </c>
      <c r="F22" s="114">
        <f>+'1'!I24+'2'!I24+'3'!I24+'4'!I24+'5'!I24+'6'!I24+'7'!I24+'8'!I24+'9'!I24+'10'!I24+'11'!I24+'12'!I24+'13'!I24+'14'!I24+'15'!I24+'16'!I24+'17'!I24+'18'!I24+'19'!I24+'20'!I24+'21'!I24+'22'!I24+'23'!I24+'24'!I24+'25'!I24+'26'!I24+'27'!I24</f>
        <v>71166128</v>
      </c>
      <c r="G22" s="114">
        <f ca="1">+'1'!J24+'2'!J24+'3'!J24+'4'!J24+'5'!J24+'6'!J24+'7'!J24+'8'!J24+'9'!J24+'10'!J24+'11'!J24+'12'!J24+'13'!J24+'14'!J24+'15'!J24+'16'!J24+'17'!J24+'18'!J24+'19'!J24+'20'!J24+'21'!J24+'22'!J24+'23'!J24+'24'!J24+'25'!J24+'26'!J24+'27'!J24</f>
        <v>0</v>
      </c>
      <c r="H22" s="114">
        <f ca="1">+'1'!K24+'2'!K24+'3'!K24+'4'!K24+'5'!K24+'6'!K24+'7'!K24+'8'!K24+'9'!K24+'10'!K24+'11'!K24+'12'!K24+'13'!K24+'14'!K24+'15'!K24+'16'!K24+'17'!K24+'18'!K24+'19'!K24+'20'!K24+'21'!K24+'22'!K24+'23'!K24+'24'!K24+'25'!K24+'26'!K24+'27'!K24</f>
        <v>71166128</v>
      </c>
      <c r="I22" s="114">
        <f ca="1">+'1'!M24+'2'!M24+'3'!M24+'4'!M24+'5'!M24+'6'!M24+'7'!M24+'8'!M24+'9'!M24+'10'!M24+'11'!M24+'12'!M24+'13'!M24+'14'!M24+'15'!M24+'16'!M24+'17'!M24+'18'!M24+'19'!M24+'20'!M24+'21'!M24+'22'!M24+'23'!M24+'24'!M24+'25'!M24+'26'!M24+'27'!M24</f>
        <v>-36097659</v>
      </c>
      <c r="O22" s="21" t="s">
        <v>80</v>
      </c>
    </row>
    <row r="23" spans="1:15">
      <c r="A23" s="64">
        <f>+'Taxes RCA 2022'!A18</f>
        <v>13</v>
      </c>
      <c r="B23" s="68" t="str">
        <f>+'Taxes RCA 2022'!B18</f>
        <v xml:space="preserve">Taxe d'abattage  </v>
      </c>
      <c r="C23" s="165">
        <f>+'1'!E25+'2'!E25+'3'!E25+'4'!E25+'5'!E25+'6'!E25+'7'!E25+'8'!E25+'9'!E25+'10'!E25+'11'!E25+'12'!E25+'13'!E25+'14'!E25+'15'!E25+'16'!E25+'17'!E25+'18'!E25+'19'!E25+'20'!E25+'21'!E25+'22'!E25+'23'!E25+'24'!E25+'25'!E25+'26'!E25+'27'!E25</f>
        <v>137167326</v>
      </c>
      <c r="D23" s="165">
        <f>+'1'!F25+'2'!F25+'3'!F25+'4'!F25+'5'!F25+'6'!F25+'7'!F25+'8'!F25+'9'!F25+'10'!F25+'11'!F25+'12'!F25+'13'!F25+'14'!F25+'15'!F25+'16'!F25+'17'!F25+'18'!F25+'19'!F25+'20'!F25+'21'!F25+'22'!F25+'23'!F25+'24'!F25+'25'!F25+'26'!F25+'27'!F25</f>
        <v>-36400617</v>
      </c>
      <c r="E23" s="165">
        <f>+'1'!G25+'2'!G25+'3'!G25+'4'!G25+'5'!G25+'6'!G25+'7'!G25+'8'!G25+'9'!G25+'10'!G25+'11'!G25+'12'!G25+'13'!G25+'14'!G25+'15'!G25+'16'!G25+'17'!G25+'18'!G25+'19'!G25+'20'!G25+'21'!G25+'22'!G25+'23'!G25+'24'!G25+'25'!G25+'26'!G25+'27'!G25</f>
        <v>100766709</v>
      </c>
      <c r="F23" s="165">
        <f>+'1'!I25+'2'!I25+'3'!I25+'4'!I25+'5'!I25+'6'!I25+'7'!I25+'8'!I25+'9'!I25+'10'!I25+'11'!I25+'12'!I25+'13'!I25+'14'!I25+'15'!I25+'16'!I25+'17'!I25+'18'!I25+'19'!I25+'20'!I25+'21'!I25+'22'!I25+'23'!I25+'24'!I25+'25'!I25+'26'!I25+'27'!I25</f>
        <v>749797157</v>
      </c>
      <c r="G23" s="165">
        <f ca="1">+'1'!J25+'2'!J25+'3'!J25+'4'!J25+'5'!J25+'6'!J25+'7'!J25+'8'!J25+'9'!J25+'10'!J25+'11'!J25+'12'!J25+'13'!J25+'14'!J25+'15'!J25+'16'!J25+'17'!J25+'18'!J25+'19'!J25+'20'!J25+'21'!J25+'22'!J25+'23'!J25+'24'!J25+'25'!J25+'26'!J25+'27'!J25</f>
        <v>-11766691</v>
      </c>
      <c r="H23" s="165">
        <f ca="1">+'1'!K25+'2'!K25+'3'!K25+'4'!K25+'5'!K25+'6'!K25+'7'!K25+'8'!K25+'9'!K25+'10'!K25+'11'!K25+'12'!K25+'13'!K25+'14'!K25+'15'!K25+'16'!K25+'17'!K25+'18'!K25+'19'!K25+'20'!K25+'21'!K25+'22'!K25+'23'!K25+'24'!K25+'25'!K25+'26'!K25+'27'!K25</f>
        <v>738030466</v>
      </c>
      <c r="I23" s="165">
        <f ca="1">+'1'!M25+'2'!M25+'3'!M25+'4'!M25+'5'!M25+'6'!M25+'7'!M25+'8'!M25+'9'!M25+'10'!M25+'11'!M25+'12'!M25+'13'!M25+'14'!M25+'15'!M25+'16'!M25+'17'!M25+'18'!M25+'19'!M25+'20'!M25+'21'!M25+'22'!M25+'23'!M25+'24'!M25+'25'!M25+'26'!M25+'27'!M25</f>
        <v>-637263757</v>
      </c>
      <c r="O23" s="21" t="s">
        <v>177</v>
      </c>
    </row>
    <row r="24" spans="1:15">
      <c r="A24" s="53">
        <f>+'Taxes RCA 2022'!A19</f>
        <v>14</v>
      </c>
      <c r="B24" s="18" t="str">
        <f>+'Taxes RCA 2022'!B19</f>
        <v xml:space="preserve">Taxe de reboisement  </v>
      </c>
      <c r="C24" s="114">
        <f>+'1'!E26+'2'!E26+'3'!E26+'4'!E26+'5'!E26+'6'!E26+'7'!E26+'8'!E26+'9'!E26+'10'!E26+'11'!E26+'12'!E26+'13'!E26+'14'!E26+'15'!E26+'16'!E26+'17'!E26+'18'!E26+'19'!E26+'20'!E26+'21'!E26+'22'!E26+'23'!E26+'24'!E26+'25'!E26+'26'!E26+'27'!E26</f>
        <v>100784487</v>
      </c>
      <c r="D24" s="114">
        <f>+'1'!F26+'2'!F26+'3'!F26+'4'!F26+'5'!F26+'6'!F26+'7'!F26+'8'!F26+'9'!F26+'10'!F26+'11'!F26+'12'!F26+'13'!F26+'14'!F26+'15'!F26+'16'!F26+'17'!F26+'18'!F26+'19'!F26+'20'!F26+'21'!F26+'22'!F26+'23'!F26+'24'!F26+'25'!F26+'26'!F26+'27'!F26</f>
        <v>-35469282</v>
      </c>
      <c r="E24" s="114">
        <f>+'1'!G26+'2'!G26+'3'!G26+'4'!G26+'5'!G26+'6'!G26+'7'!G26+'8'!G26+'9'!G26+'10'!G26+'11'!G26+'12'!G26+'13'!G26+'14'!G26+'15'!G26+'16'!G26+'17'!G26+'18'!G26+'19'!G26+'20'!G26+'21'!G26+'22'!G26+'23'!G26+'24'!G26+'25'!G26+'26'!G26+'27'!G26</f>
        <v>65315205</v>
      </c>
      <c r="F24" s="114">
        <f>+'1'!I26+'2'!I26+'3'!I26+'4'!I26+'5'!I26+'6'!I26+'7'!I26+'8'!I26+'9'!I26+'10'!I26+'11'!I26+'12'!I26+'13'!I26+'14'!I26+'15'!I26+'16'!I26+'17'!I26+'18'!I26+'19'!I26+'20'!I26+'21'!I26+'22'!I26+'23'!I26+'24'!I26+'25'!I26+'26'!I26+'27'!I26</f>
        <v>25466715</v>
      </c>
      <c r="G24" s="114">
        <f ca="1">+'1'!J26+'2'!J26+'3'!J26+'4'!J26+'5'!J26+'6'!J26+'7'!J26+'8'!J26+'9'!J26+'10'!J26+'11'!J26+'12'!J26+'13'!J26+'14'!J26+'15'!J26+'16'!J26+'17'!J26+'18'!J26+'19'!J26+'20'!J26+'21'!J26+'22'!J26+'23'!J26+'24'!J26+'25'!J26+'26'!J26+'27'!J26</f>
        <v>350109825</v>
      </c>
      <c r="H24" s="114">
        <f ca="1">+'1'!K26+'2'!K26+'3'!K26+'4'!K26+'5'!K26+'6'!K26+'7'!K26+'8'!K26+'9'!K26+'10'!K26+'11'!K26+'12'!K26+'13'!K26+'14'!K26+'15'!K26+'16'!K26+'17'!K26+'18'!K26+'19'!K26+'20'!K26+'21'!K26+'22'!K26+'23'!K26+'24'!K26+'25'!K26+'26'!K26+'27'!K26</f>
        <v>375576540</v>
      </c>
      <c r="I24" s="114">
        <f ca="1">+'1'!M26+'2'!M26+'3'!M26+'4'!M26+'5'!M26+'6'!M26+'7'!M26+'8'!M26+'9'!M26+'10'!M26+'11'!M26+'12'!M26+'13'!M26+'14'!M26+'15'!M26+'16'!M26+'17'!M26+'18'!M26+'19'!M26+'20'!M26+'21'!M26+'22'!M26+'23'!M26+'24'!M26+'25'!M26+'26'!M26+'27'!M26</f>
        <v>-310261335</v>
      </c>
      <c r="O24" s="21" t="s">
        <v>178</v>
      </c>
    </row>
    <row r="25" spans="1:15">
      <c r="A25" s="64">
        <f>+'Taxes RCA 2022'!A20</f>
        <v>15</v>
      </c>
      <c r="B25" s="68" t="str">
        <f>+'Taxes RCA 2022'!B20</f>
        <v>Impôt sur les fonciers bâtis (IFB)</v>
      </c>
      <c r="C25" s="165">
        <f>+'1'!E27+'2'!E27+'3'!E27+'4'!E27+'5'!E27+'6'!E27+'7'!E27+'8'!E27+'9'!E27+'10'!E27+'11'!E27+'12'!E27+'13'!E27+'14'!E27+'15'!E27+'16'!E27+'17'!E27+'18'!E27+'19'!E27+'20'!E27+'21'!E27+'22'!E27+'23'!E27+'24'!E27+'25'!E27+'26'!E27+'27'!E27</f>
        <v>15427409</v>
      </c>
      <c r="D25" s="165">
        <f>+'1'!F27+'2'!F27+'3'!F27+'4'!F27+'5'!F27+'6'!F27+'7'!F27+'8'!F27+'9'!F27+'10'!F27+'11'!F27+'12'!F27+'13'!F27+'14'!F27+'15'!F27+'16'!F27+'17'!F27+'18'!F27+'19'!F27+'20'!F27+'21'!F27+'22'!F27+'23'!F27+'24'!F27+'25'!F27+'26'!F27+'27'!F27</f>
        <v>0</v>
      </c>
      <c r="E25" s="165">
        <f>+'1'!G27+'2'!G27+'3'!G27+'4'!G27+'5'!G27+'6'!G27+'7'!G27+'8'!G27+'9'!G27+'10'!G27+'11'!G27+'12'!G27+'13'!G27+'14'!G27+'15'!G27+'16'!G27+'17'!G27+'18'!G27+'19'!G27+'20'!G27+'21'!G27+'22'!G27+'23'!G27+'24'!G27+'25'!G27+'26'!G27+'27'!G27</f>
        <v>15427409</v>
      </c>
      <c r="F25" s="165">
        <f>+'1'!I27+'2'!I27+'3'!I27+'4'!I27+'5'!I27+'6'!I27+'7'!I27+'8'!I27+'9'!I27+'10'!I27+'11'!I27+'12'!I27+'13'!I27+'14'!I27+'15'!I27+'16'!I27+'17'!I27+'18'!I27+'19'!I27+'20'!I27+'21'!I27+'22'!I27+'23'!I27+'24'!I27+'25'!I27+'26'!I27+'27'!I27</f>
        <v>4290500</v>
      </c>
      <c r="G25" s="165">
        <f ca="1">+'1'!J27+'2'!J27+'3'!J27+'4'!J27+'5'!J27+'6'!J27+'7'!J27+'8'!J27+'9'!J27+'10'!J27+'11'!J27+'12'!J27+'13'!J27+'14'!J27+'15'!J27+'16'!J27+'17'!J27+'18'!J27+'19'!J27+'20'!J27+'21'!J27+'22'!J27+'23'!J27+'24'!J27+'25'!J27+'26'!J27+'27'!J27</f>
        <v>0</v>
      </c>
      <c r="H25" s="165">
        <f ca="1">+'1'!K27+'2'!K27+'3'!K27+'4'!K27+'5'!K27+'6'!K27+'7'!K27+'8'!K27+'9'!K27+'10'!K27+'11'!K27+'12'!K27+'13'!K27+'14'!K27+'15'!K27+'16'!K27+'17'!K27+'18'!K27+'19'!K27+'20'!K27+'21'!K27+'22'!K27+'23'!K27+'24'!K27+'25'!K27+'26'!K27+'27'!K27</f>
        <v>4290500</v>
      </c>
      <c r="I25" s="165">
        <f ca="1">+'1'!M27+'2'!M27+'3'!M27+'4'!M27+'5'!M27+'6'!M27+'7'!M27+'8'!M27+'9'!M27+'10'!M27+'11'!M27+'12'!M27+'13'!M27+'14'!M27+'15'!M27+'16'!M27+'17'!M27+'18'!M27+'19'!M27+'20'!M27+'21'!M27+'22'!M27+'23'!M27+'24'!M27+'25'!M27+'26'!M27+'27'!M27</f>
        <v>11136909</v>
      </c>
      <c r="L25" s="227">
        <v>235252670</v>
      </c>
      <c r="O25" s="21" t="s">
        <v>179</v>
      </c>
    </row>
    <row r="26" spans="1:15">
      <c r="A26" s="53">
        <f>+'Taxes RCA 2022'!A21</f>
        <v>16</v>
      </c>
      <c r="B26" s="18" t="str">
        <f>+'Taxes RCA 2022'!B21</f>
        <v>Minimum impôt sur les sociétés (MIS)</v>
      </c>
      <c r="C26" s="114">
        <f>+'1'!E28+'2'!E28+'3'!E28+'4'!E28+'5'!E28+'6'!E28+'7'!E28+'8'!E28+'9'!E28+'10'!E28+'11'!E28+'12'!E28+'13'!E28+'14'!E28+'15'!E28+'16'!E28+'17'!E28+'18'!E28+'19'!E28+'20'!E28+'21'!E28+'22'!E28+'23'!E28+'24'!E28+'25'!E28+'26'!E28+'27'!E28</f>
        <v>4070000</v>
      </c>
      <c r="D26" s="114">
        <f>+'1'!F28+'2'!F28+'3'!F28+'4'!F28+'5'!F28+'6'!F28+'7'!F28+'8'!F28+'9'!F28+'10'!F28+'11'!F28+'12'!F28+'13'!F28+'14'!F28+'15'!F28+'16'!F28+'17'!F28+'18'!F28+'19'!F28+'20'!F28+'21'!F28+'22'!F28+'23'!F28+'24'!F28+'25'!F28+'26'!F28+'27'!F28</f>
        <v>9120578</v>
      </c>
      <c r="E26" s="114">
        <f>+'1'!G28+'2'!G28+'3'!G28+'4'!G28+'5'!G28+'6'!G28+'7'!G28+'8'!G28+'9'!G28+'10'!G28+'11'!G28+'12'!G28+'13'!G28+'14'!G28+'15'!G28+'16'!G28+'17'!G28+'18'!G28+'19'!G28+'20'!G28+'21'!G28+'22'!G28+'23'!G28+'24'!G28+'25'!G28+'26'!G28+'27'!G28</f>
        <v>13190578</v>
      </c>
      <c r="F26" s="114">
        <f>+'1'!I28+'2'!I28+'3'!I28+'4'!I28+'5'!I28+'6'!I28+'7'!I28+'8'!I28+'9'!I28+'10'!I28+'11'!I28+'12'!I28+'13'!I28+'14'!I28+'15'!I28+'16'!I28+'17'!I28+'18'!I28+'19'!I28+'20'!I28+'21'!I28+'22'!I28+'23'!I28+'24'!I28+'25'!I28+'26'!I28+'27'!I28</f>
        <v>56715150</v>
      </c>
      <c r="G26" s="114">
        <f ca="1">+'1'!J28+'2'!J28+'3'!J28+'4'!J28+'5'!J28+'6'!J28+'7'!J28+'8'!J28+'9'!J28+'10'!J28+'11'!J28+'12'!J28+'13'!J28+'14'!J28+'15'!J28+'16'!J28+'17'!J28+'18'!J28+'19'!J28+'20'!J28+'21'!J28+'22'!J28+'23'!J28+'24'!J28+'25'!J28+'26'!J28+'27'!J28</f>
        <v>-9094605</v>
      </c>
      <c r="H26" s="114">
        <f ca="1">+'1'!K28+'2'!K28+'3'!K28+'4'!K28+'5'!K28+'6'!K28+'7'!K28+'8'!K28+'9'!K28+'10'!K28+'11'!K28+'12'!K28+'13'!K28+'14'!K28+'15'!K28+'16'!K28+'17'!K28+'18'!K28+'19'!K28+'20'!K28+'21'!K28+'22'!K28+'23'!K28+'24'!K28+'25'!K28+'26'!K28+'27'!K28</f>
        <v>47620545</v>
      </c>
      <c r="I26" s="114">
        <f ca="1">+'1'!M28+'2'!M28+'3'!M28+'4'!M28+'5'!M28+'6'!M28+'7'!M28+'8'!M28+'9'!M28+'10'!M28+'11'!M28+'12'!M28+'13'!M28+'14'!M28+'15'!M28+'16'!M28+'17'!M28+'18'!M28+'19'!M28+'20'!M28+'21'!M28+'22'!M28+'23'!M28+'24'!M28+'25'!M28+'26'!M28+'27'!M28</f>
        <v>-34429967</v>
      </c>
      <c r="L26" s="227"/>
      <c r="O26" s="21" t="s">
        <v>180</v>
      </c>
    </row>
    <row r="27" spans="1:15">
      <c r="A27" s="64">
        <f>+'Taxes RCA 2022'!A22</f>
        <v>17</v>
      </c>
      <c r="B27" s="68" t="str">
        <f>+'Taxes RCA 2022'!B22</f>
        <v xml:space="preserve">Impôt minimum forfaitaire (IMF) </v>
      </c>
      <c r="C27" s="165">
        <f>+'1'!E29+'2'!E29+'3'!E29+'4'!E29+'5'!E29+'6'!E29+'7'!E29+'8'!E29+'9'!E29+'10'!E29+'11'!E29+'12'!E29+'13'!E29+'14'!E29+'15'!E29+'16'!E29+'17'!E29+'18'!E29+'19'!E29+'20'!E29+'21'!E29+'22'!E29+'23'!E29+'24'!E29+'25'!E29+'26'!E29+'27'!E29</f>
        <v>115386245</v>
      </c>
      <c r="D27" s="165">
        <f>+'1'!F29+'2'!F29+'3'!F29+'4'!F29+'5'!F29+'6'!F29+'7'!F29+'8'!F29+'9'!F29+'10'!F29+'11'!F29+'12'!F29+'13'!F29+'14'!F29+'15'!F29+'16'!F29+'17'!F29+'18'!F29+'19'!F29+'20'!F29+'21'!F29+'22'!F29+'23'!F29+'24'!F29+'25'!F29+'26'!F29+'27'!F29</f>
        <v>-12700786.609999999</v>
      </c>
      <c r="E27" s="165">
        <f>+'1'!G29+'2'!G29+'3'!G29+'4'!G29+'5'!G29+'6'!G29+'7'!G29+'8'!G29+'9'!G29+'10'!G29+'11'!G29+'12'!G29+'13'!G29+'14'!G29+'15'!G29+'16'!G29+'17'!G29+'18'!G29+'19'!G29+'20'!G29+'21'!G29+'22'!G29+'23'!G29+'24'!G29+'25'!G29+'26'!G29+'27'!G29</f>
        <v>102685458.39</v>
      </c>
      <c r="F27" s="165">
        <f>+'1'!I29+'2'!I29+'3'!I29+'4'!I29+'5'!I29+'6'!I29+'7'!I29+'8'!I29+'9'!I29+'10'!I29+'11'!I29+'12'!I29+'13'!I29+'14'!I29+'15'!I29+'16'!I29+'17'!I29+'18'!I29+'19'!I29+'20'!I29+'21'!I29+'22'!I29+'23'!I29+'24'!I29+'25'!I29+'26'!I29+'27'!I29</f>
        <v>113427777</v>
      </c>
      <c r="G27" s="165">
        <f ca="1">+'1'!J29+'2'!J29+'3'!J29+'4'!J29+'5'!J29+'6'!J29+'7'!J29+'8'!J29+'9'!J29+'10'!J29+'11'!J29+'12'!J29+'13'!J29+'14'!J29+'15'!J29+'16'!J29+'17'!J29+'18'!J29+'19'!J29+'20'!J29+'21'!J29+'22'!J29+'23'!J29+'24'!J29+'25'!J29+'26'!J29+'27'!J29</f>
        <v>11681444</v>
      </c>
      <c r="H27" s="165">
        <f ca="1">+'1'!K29+'2'!K29+'3'!K29+'4'!K29+'5'!K29+'6'!K29+'7'!K29+'8'!K29+'9'!K29+'10'!K29+'11'!K29+'12'!K29+'13'!K29+'14'!K29+'15'!K29+'16'!K29+'17'!K29+'18'!K29+'19'!K29+'20'!K29+'21'!K29+'22'!K29+'23'!K29+'24'!K29+'25'!K29+'26'!K29+'27'!K29</f>
        <v>125109221</v>
      </c>
      <c r="I27" s="165">
        <f ca="1">+'1'!M29+'2'!M29+'3'!M29+'4'!M29+'5'!M29+'6'!M29+'7'!M29+'8'!M29+'9'!M29+'10'!M29+'11'!M29+'12'!M29+'13'!M29+'14'!M29+'15'!M29+'16'!M29+'17'!M29+'18'!M29+'19'!M29+'20'!M29+'21'!M29+'22'!M29+'23'!M29+'24'!M29+'25'!M29+'26'!M29+'27'!M29</f>
        <v>-22423762.609999999</v>
      </c>
      <c r="L27" s="227">
        <v>220500000</v>
      </c>
      <c r="O27" s="21" t="s">
        <v>181</v>
      </c>
    </row>
    <row r="28" spans="1:15">
      <c r="A28" s="53">
        <f>+'Taxes RCA 2022'!A23</f>
        <v>18</v>
      </c>
      <c r="B28" s="18" t="str">
        <f>+'Taxes RCA 2022'!B23</f>
        <v>Précompte</v>
      </c>
      <c r="C28" s="114">
        <f>+'1'!E30+'2'!E30+'3'!E30+'4'!E30+'5'!E30+'6'!E30+'7'!E30+'8'!E30+'9'!E30+'10'!E30+'11'!E30+'12'!E30+'13'!E30+'14'!E30+'15'!E30+'16'!E30+'17'!E30+'18'!E30+'19'!E30+'20'!E30+'21'!E30+'22'!E30+'23'!E30+'24'!E30+'25'!E30+'26'!E30+'27'!E30</f>
        <v>15189540</v>
      </c>
      <c r="D28" s="114">
        <f>+'1'!F30+'2'!F30+'3'!F30+'4'!F30+'5'!F30+'6'!F30+'7'!F30+'8'!F30+'9'!F30+'10'!F30+'11'!F30+'12'!F30+'13'!F30+'14'!F30+'15'!F30+'16'!F30+'17'!F30+'18'!F30+'19'!F30+'20'!F30+'21'!F30+'22'!F30+'23'!F30+'24'!F30+'25'!F30+'26'!F30+'27'!F30</f>
        <v>3580208.6100000003</v>
      </c>
      <c r="E28" s="114">
        <f>+'1'!G30+'2'!G30+'3'!G30+'4'!G30+'5'!G30+'6'!G30+'7'!G30+'8'!G30+'9'!G30+'10'!G30+'11'!G30+'12'!G30+'13'!G30+'14'!G30+'15'!G30+'16'!G30+'17'!G30+'18'!G30+'19'!G30+'20'!G30+'21'!G30+'22'!G30+'23'!G30+'24'!G30+'25'!G30+'26'!G30+'27'!G30</f>
        <v>18769748.609999999</v>
      </c>
      <c r="F28" s="114">
        <f>+'1'!I30+'2'!I30+'3'!I30+'4'!I30+'5'!I30+'6'!I30+'7'!I30+'8'!I30+'9'!I30+'10'!I30+'11'!I30+'12'!I30+'13'!I30+'14'!I30+'15'!I30+'16'!I30+'17'!I30+'18'!I30+'19'!I30+'20'!I30+'21'!I30+'22'!I30+'23'!I30+'24'!I30+'25'!I30+'26'!I30+'27'!I30</f>
        <v>26730126</v>
      </c>
      <c r="G28" s="114">
        <f ca="1">+'1'!J30+'2'!J30+'3'!J30+'4'!J30+'5'!J30+'6'!J30+'7'!J30+'8'!J30+'9'!J30+'10'!J30+'11'!J30+'12'!J30+'13'!J30+'14'!J30+'15'!J30+'16'!J30+'17'!J30+'18'!J30+'19'!J30+'20'!J30+'21'!J30+'22'!J30+'23'!J30+'24'!J30+'25'!J30+'26'!J30+'27'!J30</f>
        <v>0</v>
      </c>
      <c r="H28" s="114">
        <f ca="1">+'1'!K30+'2'!K30+'3'!K30+'4'!K30+'5'!K30+'6'!K30+'7'!K30+'8'!K30+'9'!K30+'10'!K30+'11'!K30+'12'!K30+'13'!K30+'14'!K30+'15'!K30+'16'!K30+'17'!K30+'18'!K30+'19'!K30+'20'!K30+'21'!K30+'22'!K30+'23'!K30+'24'!K30+'25'!K30+'26'!K30+'27'!K30</f>
        <v>26730126</v>
      </c>
      <c r="I28" s="114">
        <f ca="1">+'1'!M30+'2'!M30+'3'!M30+'4'!M30+'5'!M30+'6'!M30+'7'!M30+'8'!M30+'9'!M30+'10'!M30+'11'!M30+'12'!M30+'13'!M30+'14'!M30+'15'!M30+'16'!M30+'17'!M30+'18'!M30+'19'!M30+'20'!M30+'21'!M30+'22'!M30+'23'!M30+'24'!M30+'25'!M30+'26'!M30+'27'!M30</f>
        <v>-7960377.3900000006</v>
      </c>
      <c r="O28" s="21" t="s">
        <v>182</v>
      </c>
    </row>
    <row r="29" spans="1:15">
      <c r="A29" s="64">
        <f>+'Taxes RCA 2022'!A24</f>
        <v>19</v>
      </c>
      <c r="B29" s="68" t="str">
        <f>+'Taxes RCA 2022'!B24</f>
        <v>Taxe sur la valeur ajoutée (TVA)</v>
      </c>
      <c r="C29" s="165">
        <f>+'1'!E31+'2'!E31+'3'!E31+'4'!E31+'5'!E31+'6'!E31+'7'!E31+'8'!E31+'9'!E31+'10'!E31+'11'!E31+'12'!E31+'13'!E31+'14'!E31+'15'!E31+'16'!E31+'17'!E31+'18'!E31+'19'!E31+'20'!E31+'21'!E31+'22'!E31+'23'!E31+'24'!E31+'25'!E31+'26'!E31+'27'!E31</f>
        <v>-14940960</v>
      </c>
      <c r="D29" s="165">
        <f>+'1'!F31+'2'!F31+'3'!F31+'4'!F31+'5'!F31+'6'!F31+'7'!F31+'8'!F31+'9'!F31+'10'!F31+'11'!F31+'12'!F31+'13'!F31+'14'!F31+'15'!F31+'16'!F31+'17'!F31+'18'!F31+'19'!F31+'20'!F31+'21'!F31+'22'!F31+'23'!F31+'24'!F31+'25'!F31+'26'!F31+'27'!F31</f>
        <v>14940960</v>
      </c>
      <c r="E29" s="165">
        <f>+'1'!G31+'2'!G31+'3'!G31+'4'!G31+'5'!G31+'6'!G31+'7'!G31+'8'!G31+'9'!G31+'10'!G31+'11'!G31+'12'!G31+'13'!G31+'14'!G31+'15'!G31+'16'!G31+'17'!G31+'18'!G31+'19'!G31+'20'!G31+'21'!G31+'22'!G31+'23'!G31+'24'!G31+'25'!G31+'26'!G31+'27'!G31</f>
        <v>0</v>
      </c>
      <c r="F29" s="165">
        <f>+'1'!I31+'2'!I31+'3'!I31+'4'!I31+'5'!I31+'6'!I31+'7'!I31+'8'!I31+'9'!I31+'10'!I31+'11'!I31+'12'!I31+'13'!I31+'14'!I31+'15'!I31+'16'!I31+'17'!I31+'18'!I31+'19'!I31+'20'!I31+'21'!I31+'22'!I31+'23'!I31+'24'!I31+'25'!I31+'26'!I31+'27'!I31</f>
        <v>4210396</v>
      </c>
      <c r="G29" s="165">
        <f ca="1">+'1'!J31+'2'!J31+'3'!J31+'4'!J31+'5'!J31+'6'!J31+'7'!J31+'8'!J31+'9'!J31+'10'!J31+'11'!J31+'12'!J31+'13'!J31+'14'!J31+'15'!J31+'16'!J31+'17'!J31+'18'!J31+'19'!J31+'20'!J31+'21'!J31+'22'!J31+'23'!J31+'24'!J31+'25'!J31+'26'!J31+'27'!J31</f>
        <v>0</v>
      </c>
      <c r="H29" s="165">
        <f ca="1">+'1'!K31+'2'!K31+'3'!K31+'4'!K31+'5'!K31+'6'!K31+'7'!K31+'8'!K31+'9'!K31+'10'!K31+'11'!K31+'12'!K31+'13'!K31+'14'!K31+'15'!K31+'16'!K31+'17'!K31+'18'!K31+'19'!K31+'20'!K31+'21'!K31+'22'!K31+'23'!K31+'24'!K31+'25'!K31+'26'!K31+'27'!K31</f>
        <v>4210396</v>
      </c>
      <c r="I29" s="165">
        <f ca="1">+'1'!M31+'2'!M31+'3'!M31+'4'!M31+'5'!M31+'6'!M31+'7'!M31+'8'!M31+'9'!M31+'10'!M31+'11'!M31+'12'!M31+'13'!M31+'14'!M31+'15'!M31+'16'!M31+'17'!M31+'18'!M31+'19'!M31+'20'!M31+'21'!M31+'22'!M31+'23'!M31+'24'!M31+'25'!M31+'26'!M31+'27'!M31</f>
        <v>-4210396</v>
      </c>
      <c r="O29" s="21" t="s">
        <v>183</v>
      </c>
    </row>
    <row r="30" spans="1:15">
      <c r="A30" s="53">
        <f>+'Taxes RCA 2022'!A25</f>
        <v>20</v>
      </c>
      <c r="B30" s="18" t="str">
        <f>+'Taxes RCA 2022'!B25</f>
        <v>Impôt sur les revenus des loyers (IRL)</v>
      </c>
      <c r="C30" s="114">
        <f>+'1'!E32+'2'!E32+'3'!E32+'4'!E32+'5'!E32+'6'!E32+'7'!E32+'8'!E32+'9'!E32+'10'!E32+'11'!E32+'12'!E32+'13'!E32+'14'!E32+'15'!E32+'16'!E32+'17'!E32+'18'!E32+'19'!E32+'20'!E32+'21'!E32+'22'!E32+'23'!E32+'24'!E32+'25'!E32+'26'!E32+'27'!E32</f>
        <v>2862000</v>
      </c>
      <c r="D30" s="114">
        <f>+'1'!F32+'2'!F32+'3'!F32+'4'!F32+'5'!F32+'6'!F32+'7'!F32+'8'!F32+'9'!F32+'10'!F32+'11'!F32+'12'!F32+'13'!F32+'14'!F32+'15'!F32+'16'!F32+'17'!F32+'18'!F32+'19'!F32+'20'!F32+'21'!F32+'22'!F32+'23'!F32+'24'!F32+'25'!F32+'26'!F32+'27'!F32</f>
        <v>-1638000</v>
      </c>
      <c r="E30" s="114">
        <f>+'1'!G32+'2'!G32+'3'!G32+'4'!G32+'5'!G32+'6'!G32+'7'!G32+'8'!G32+'9'!G32+'10'!G32+'11'!G32+'12'!G32+'13'!G32+'14'!G32+'15'!G32+'16'!G32+'17'!G32+'18'!G32+'19'!G32+'20'!G32+'21'!G32+'22'!G32+'23'!G32+'24'!G32+'25'!G32+'26'!G32+'27'!G32</f>
        <v>1224000</v>
      </c>
      <c r="F30" s="114">
        <f>+'1'!I32+'2'!I32+'3'!I32+'4'!I32+'5'!I32+'6'!I32+'7'!I32+'8'!I32+'9'!I32+'10'!I32+'11'!I32+'12'!I32+'13'!I32+'14'!I32+'15'!I32+'16'!I32+'17'!I32+'18'!I32+'19'!I32+'20'!I32+'21'!I32+'22'!I32+'23'!I32+'24'!I32+'25'!I32+'26'!I32+'27'!I32</f>
        <v>2113200</v>
      </c>
      <c r="G30" s="114">
        <f ca="1">+'1'!J32+'2'!J32+'3'!J32+'4'!J32+'5'!J32+'6'!J32+'7'!J32+'8'!J32+'9'!J32+'10'!J32+'11'!J32+'12'!J32+'13'!J32+'14'!J32+'15'!J32+'16'!J32+'17'!J32+'18'!J32+'19'!J32+'20'!J32+'21'!J32+'22'!J32+'23'!J32+'24'!J32+'25'!J32+'26'!J32+'27'!J32</f>
        <v>0</v>
      </c>
      <c r="H30" s="114">
        <f ca="1">+'1'!K32+'2'!K32+'3'!K32+'4'!K32+'5'!K32+'6'!K32+'7'!K32+'8'!K32+'9'!K32+'10'!K32+'11'!K32+'12'!K32+'13'!K32+'14'!K32+'15'!K32+'16'!K32+'17'!K32+'18'!K32+'19'!K32+'20'!K32+'21'!K32+'22'!K32+'23'!K32+'24'!K32+'25'!K32+'26'!K32+'27'!K32</f>
        <v>2113200</v>
      </c>
      <c r="I30" s="114">
        <f ca="1">+'1'!M32+'2'!M32+'3'!M32+'4'!M32+'5'!M32+'6'!M32+'7'!M32+'8'!M32+'9'!M32+'10'!M32+'11'!M32+'12'!M32+'13'!M32+'14'!M32+'15'!M32+'16'!M32+'17'!M32+'18'!M32+'19'!M32+'20'!M32+'21'!M32+'22'!M32+'23'!M32+'24'!M32+'25'!M32+'26'!M32+'27'!M32</f>
        <v>-889200</v>
      </c>
      <c r="O30" s="21" t="s">
        <v>184</v>
      </c>
    </row>
    <row r="31" spans="1:15">
      <c r="A31" s="64">
        <f>+'Taxes RCA 2022'!A26</f>
        <v>21</v>
      </c>
      <c r="B31" s="68" t="str">
        <f>+'Taxes RCA 2022'!B26</f>
        <v>Droits fixes (sur l'octroi, renouvellement, transfert) (+)</v>
      </c>
      <c r="C31" s="165">
        <f>+'1'!E33+'2'!E33+'3'!E33+'4'!E33+'5'!E33+'6'!E33+'7'!E33+'8'!E33+'9'!E33+'10'!E33+'11'!E33+'12'!E33+'13'!E33+'14'!E33+'15'!E33+'16'!E33+'17'!E33+'18'!E33+'19'!E33+'20'!E33+'21'!E33+'22'!E33+'23'!E33+'24'!E33+'25'!E33+'26'!E33+'27'!E33</f>
        <v>0</v>
      </c>
      <c r="D31" s="165">
        <f>+'1'!F33+'2'!F33+'3'!F33+'4'!F33+'5'!F33+'6'!F33+'7'!F33+'8'!F33+'9'!F33+'10'!F33+'11'!F33+'12'!F33+'13'!F33+'14'!F33+'15'!F33+'16'!F33+'17'!F33+'18'!F33+'19'!F33+'20'!F33+'21'!F33+'22'!F33+'23'!F33+'24'!F33+'25'!F33+'26'!F33+'27'!F33</f>
        <v>0</v>
      </c>
      <c r="E31" s="165">
        <f>+'1'!G33+'2'!G33+'3'!G33+'4'!G33+'5'!G33+'6'!G33+'7'!G33+'8'!G33+'9'!G33+'10'!G33+'11'!G33+'12'!G33+'13'!G33+'14'!G33+'15'!G33+'16'!G33+'17'!G33+'18'!G33+'19'!G33+'20'!G33+'21'!G33+'22'!G33+'23'!G33+'24'!G33+'25'!G33+'26'!G33+'27'!G33</f>
        <v>0</v>
      </c>
      <c r="F31" s="165">
        <f>+'1'!I33+'2'!I33+'3'!I33+'4'!I33+'5'!I33+'6'!I33+'7'!I33+'8'!I33+'9'!I33+'10'!I33+'11'!I33+'12'!I33+'13'!I33+'14'!I33+'15'!I33+'16'!I33+'17'!I33+'18'!I33+'19'!I33+'20'!I33+'21'!I33+'22'!I33+'23'!I33+'24'!I33+'25'!I33+'26'!I33+'27'!I33</f>
        <v>0</v>
      </c>
      <c r="G31" s="165">
        <f ca="1">+'1'!J33+'2'!J33+'3'!J33+'4'!J33+'5'!J33+'6'!J33+'7'!J33+'8'!J33+'9'!J33+'10'!J33+'11'!J33+'12'!J33+'13'!J33+'14'!J33+'15'!J33+'16'!J33+'17'!J33+'18'!J33+'19'!J33+'20'!J33+'21'!J33+'22'!J33+'23'!J33+'24'!J33+'25'!J33+'26'!J33+'27'!J33</f>
        <v>0</v>
      </c>
      <c r="H31" s="165">
        <f ca="1">+'1'!K33+'2'!K33+'3'!K33+'4'!K33+'5'!K33+'6'!K33+'7'!K33+'8'!K33+'9'!K33+'10'!K33+'11'!K33+'12'!K33+'13'!K33+'14'!K33+'15'!K33+'16'!K33+'17'!K33+'18'!K33+'19'!K33+'20'!K33+'21'!K33+'22'!K33+'23'!K33+'24'!K33+'25'!K33+'26'!K33+'27'!K33</f>
        <v>0</v>
      </c>
      <c r="I31" s="165">
        <f ca="1">+'1'!M33+'2'!M33+'3'!M33+'4'!M33+'5'!M33+'6'!M33+'7'!M33+'8'!M33+'9'!M33+'10'!M33+'11'!M33+'12'!M33+'13'!M33+'14'!M33+'15'!M33+'16'!M33+'17'!M33+'18'!M33+'19'!M33+'20'!M33+'21'!M33+'22'!M33+'23'!M33+'24'!M33+'25'!M33+'26'!M33+'27'!M33</f>
        <v>0</v>
      </c>
      <c r="O31" s="21" t="s">
        <v>185</v>
      </c>
    </row>
    <row r="32" spans="1:15" s="20" customFormat="1" ht="24">
      <c r="A32" s="53">
        <f>+'Taxes RCA 2022'!A27</f>
        <v>22</v>
      </c>
      <c r="B32" s="171" t="str">
        <f>+'Taxes RCA 2022'!B27</f>
        <v>Les redevances proportionnelles ou royalties sur les autorisations d'exploitation de carrière et les exploitations des mines (+)</v>
      </c>
      <c r="C32" s="114">
        <f>+'1'!E34+'2'!E34+'3'!E34+'4'!E34+'5'!E34+'6'!E34+'7'!E34+'8'!E34+'9'!E34+'10'!E34+'11'!E34+'12'!E34+'13'!E34+'14'!E34+'15'!E34+'16'!E34+'17'!E34+'18'!E34+'19'!E34+'20'!E34+'21'!E34+'22'!E34+'23'!E34+'24'!E34+'25'!E34+'26'!E34+'27'!E34</f>
        <v>0</v>
      </c>
      <c r="D32" s="114">
        <f>+'1'!F34+'2'!F34+'3'!F34+'4'!F34+'5'!F34+'6'!F34+'7'!F34+'8'!F34+'9'!F34+'10'!F34+'11'!F34+'12'!F34+'13'!F34+'14'!F34+'15'!F34+'16'!F34+'17'!F34+'18'!F34+'19'!F34+'20'!F34+'21'!F34+'22'!F34+'23'!F34+'24'!F34+'25'!F34+'26'!F34+'27'!F34</f>
        <v>0</v>
      </c>
      <c r="E32" s="114">
        <f>+'1'!G34+'2'!G34+'3'!G34+'4'!G34+'5'!G34+'6'!G34+'7'!G34+'8'!G34+'9'!G34+'10'!G34+'11'!G34+'12'!G34+'13'!G34+'14'!G34+'15'!G34+'16'!G34+'17'!G34+'18'!G34+'19'!G34+'20'!G34+'21'!G34+'22'!G34+'23'!G34+'24'!G34+'25'!G34+'26'!G34+'27'!G34</f>
        <v>0</v>
      </c>
      <c r="F32" s="114">
        <f>+'1'!I34+'2'!I34+'3'!I34+'4'!I34+'5'!I34+'6'!I34+'7'!I34+'8'!I34+'9'!I34+'10'!I34+'11'!I34+'12'!I34+'13'!I34+'14'!I34+'15'!I34+'16'!I34+'17'!I34+'18'!I34+'19'!I34+'20'!I34+'21'!I34+'22'!I34+'23'!I34+'24'!I34+'25'!I34+'26'!I34+'27'!I34</f>
        <v>0</v>
      </c>
      <c r="G32" s="114">
        <f ca="1">+'1'!J34+'2'!J34+'3'!J34+'4'!J34+'5'!J34+'6'!J34+'7'!J34+'8'!J34+'9'!J34+'10'!J34+'11'!J34+'12'!J34+'13'!J34+'14'!J34+'15'!J34+'16'!J34+'17'!J34+'18'!J34+'19'!J34+'20'!J34+'21'!J34+'22'!J34+'23'!J34+'24'!J34+'25'!J34+'26'!J34+'27'!J34</f>
        <v>0</v>
      </c>
      <c r="H32" s="114">
        <f ca="1">+'1'!K34+'2'!K34+'3'!K34+'4'!K34+'5'!K34+'6'!K34+'7'!K34+'8'!K34+'9'!K34+'10'!K34+'11'!K34+'12'!K34+'13'!K34+'14'!K34+'15'!K34+'16'!K34+'17'!K34+'18'!K34+'19'!K34+'20'!K34+'21'!K34+'22'!K34+'23'!K34+'24'!K34+'25'!K34+'26'!K34+'27'!K34</f>
        <v>0</v>
      </c>
      <c r="I32" s="114">
        <f ca="1">+'1'!M34+'2'!M34+'3'!M34+'4'!M34+'5'!M34+'6'!M34+'7'!M34+'8'!M34+'9'!M34+'10'!M34+'11'!M34+'12'!M34+'13'!M34+'14'!M34+'15'!M34+'16'!M34+'17'!M34+'18'!M34+'19'!M34+'20'!M34+'21'!M34+'22'!M34+'23'!M34+'24'!M34+'25'!M34+'26'!M34+'27'!M34</f>
        <v>0</v>
      </c>
      <c r="O32" s="20" t="s">
        <v>186</v>
      </c>
    </row>
    <row r="33" spans="1:15">
      <c r="A33" s="64">
        <f>+'Taxes RCA 2022'!A28</f>
        <v>23</v>
      </c>
      <c r="B33" s="68" t="str">
        <f>+'Taxes RCA 2022'!B28</f>
        <v>Impôt sur les revenus des capitaux mobiliers (RCM) (+)</v>
      </c>
      <c r="C33" s="165">
        <f>+'1'!E35+'2'!E35+'3'!E35+'4'!E35+'5'!E35+'6'!E35+'7'!E35+'8'!E35+'9'!E35+'10'!E35+'11'!E35+'12'!E35+'13'!E35+'14'!E35+'15'!E35+'16'!E35+'17'!E35+'18'!E35+'19'!E35+'20'!E35+'21'!E35+'22'!E35+'23'!E35+'24'!E35+'25'!E35+'26'!E35+'27'!E35</f>
        <v>0</v>
      </c>
      <c r="D33" s="165">
        <f>+'1'!F35+'2'!F35+'3'!F35+'4'!F35+'5'!F35+'6'!F35+'7'!F35+'8'!F35+'9'!F35+'10'!F35+'11'!F35+'12'!F35+'13'!F35+'14'!F35+'15'!F35+'16'!F35+'17'!F35+'18'!F35+'19'!F35+'20'!F35+'21'!F35+'22'!F35+'23'!F35+'24'!F35+'25'!F35+'26'!F35+'27'!F35</f>
        <v>0</v>
      </c>
      <c r="E33" s="165">
        <f>+'1'!G35+'2'!G35+'3'!G35+'4'!G35+'5'!G35+'6'!G35+'7'!G35+'8'!G35+'9'!G35+'10'!G35+'11'!G35+'12'!G35+'13'!G35+'14'!G35+'15'!G35+'16'!G35+'17'!G35+'18'!G35+'19'!G35+'20'!G35+'21'!G35+'22'!G35+'23'!G35+'24'!G35+'25'!G35+'26'!G35+'27'!G35</f>
        <v>0</v>
      </c>
      <c r="F33" s="165">
        <f>+'1'!I35+'2'!I35+'3'!I35+'4'!I35+'5'!I35+'6'!I35+'7'!I35+'8'!I35+'9'!I35+'10'!I35+'11'!I35+'12'!I35+'13'!I35+'14'!I35+'15'!I35+'16'!I35+'17'!I35+'18'!I35+'19'!I35+'20'!I35+'21'!I35+'22'!I35+'23'!I35+'24'!I35+'25'!I35+'26'!I35+'27'!I35</f>
        <v>0</v>
      </c>
      <c r="G33" s="165">
        <f ca="1">+'1'!J35+'2'!J35+'3'!J35+'4'!J35+'5'!J35+'6'!J35+'7'!J35+'8'!J35+'9'!J35+'10'!J35+'11'!J35+'12'!J35+'13'!J35+'14'!J35+'15'!J35+'16'!J35+'17'!J35+'18'!J35+'19'!J35+'20'!J35+'21'!J35+'22'!J35+'23'!J35+'24'!J35+'25'!J35+'26'!J35+'27'!J35</f>
        <v>0</v>
      </c>
      <c r="H33" s="165">
        <f ca="1">+'1'!K35+'2'!K35+'3'!K35+'4'!K35+'5'!K35+'6'!K35+'7'!K35+'8'!K35+'9'!K35+'10'!K35+'11'!K35+'12'!K35+'13'!K35+'14'!K35+'15'!K35+'16'!K35+'17'!K35+'18'!K35+'19'!K35+'20'!K35+'21'!K35+'22'!K35+'23'!K35+'24'!K35+'25'!K35+'26'!K35+'27'!K35</f>
        <v>0</v>
      </c>
      <c r="I33" s="165">
        <f ca="1">+'1'!M35+'2'!M35+'3'!M35+'4'!M35+'5'!M35+'6'!M35+'7'!M35+'8'!M35+'9'!M35+'10'!M35+'11'!M35+'12'!M35+'13'!M35+'14'!M35+'15'!M35+'16'!M35+'17'!M35+'18'!M35+'19'!M35+'20'!M35+'21'!M35+'22'!M35+'23'!M35+'24'!M35+'25'!M35+'26'!M35+'27'!M35</f>
        <v>0</v>
      </c>
      <c r="O33" s="21" t="s">
        <v>187</v>
      </c>
    </row>
    <row r="34" spans="1:15">
      <c r="A34" s="53">
        <f>+'Taxes RCA 2022'!A29</f>
        <v>24</v>
      </c>
      <c r="B34" s="18" t="str">
        <f>+'Taxes RCA 2022'!B29</f>
        <v>Taxe de Développement Artisanal (TDA) (+)</v>
      </c>
      <c r="C34" s="114">
        <f>+'1'!E36+'2'!E36+'3'!E36+'4'!E36+'5'!E36+'6'!E36+'7'!E36+'8'!E36+'9'!E36+'10'!E36+'11'!E36+'12'!E36+'13'!E36+'14'!E36+'15'!E36+'16'!E36+'17'!E36+'18'!E36+'19'!E36+'20'!E36+'21'!E36+'22'!E36+'23'!E36+'24'!E36+'25'!E36+'26'!E36+'27'!E36</f>
        <v>0</v>
      </c>
      <c r="D34" s="114">
        <f>+'1'!F36+'2'!F36+'3'!F36+'4'!F36+'5'!F36+'6'!F36+'7'!F36+'8'!F36+'9'!F36+'10'!F36+'11'!F36+'12'!F36+'13'!F36+'14'!F36+'15'!F36+'16'!F36+'17'!F36+'18'!F36+'19'!F36+'20'!F36+'21'!F36+'22'!F36+'23'!F36+'24'!F36+'25'!F36+'26'!F36+'27'!F36</f>
        <v>0</v>
      </c>
      <c r="E34" s="114">
        <f>+'1'!G36+'2'!G36+'3'!G36+'4'!G36+'5'!G36+'6'!G36+'7'!G36+'8'!G36+'9'!G36+'10'!G36+'11'!G36+'12'!G36+'13'!G36+'14'!G36+'15'!G36+'16'!G36+'17'!G36+'18'!G36+'19'!G36+'20'!G36+'21'!G36+'22'!G36+'23'!G36+'24'!G36+'25'!G36+'26'!G36+'27'!G36</f>
        <v>0</v>
      </c>
      <c r="F34" s="114">
        <f>+'1'!I36+'2'!I36+'3'!I36+'4'!I36+'5'!I36+'6'!I36+'7'!I36+'8'!I36+'9'!I36+'10'!I36+'11'!I36+'12'!I36+'13'!I36+'14'!I36+'15'!I36+'16'!I36+'17'!I36+'18'!I36+'19'!I36+'20'!I36+'21'!I36+'22'!I36+'23'!I36+'24'!I36+'25'!I36+'26'!I36+'27'!I36</f>
        <v>0</v>
      </c>
      <c r="G34" s="114">
        <f ca="1">+'1'!J36+'2'!J36+'3'!J36+'4'!J36+'5'!J36+'6'!J36+'7'!J36+'8'!J36+'9'!J36+'10'!J36+'11'!J36+'12'!J36+'13'!J36+'14'!J36+'15'!J36+'16'!J36+'17'!J36+'18'!J36+'19'!J36+'20'!J36+'21'!J36+'22'!J36+'23'!J36+'24'!J36+'25'!J36+'26'!J36+'27'!J36</f>
        <v>0</v>
      </c>
      <c r="H34" s="114">
        <f ca="1">+'1'!K36+'2'!K36+'3'!K36+'4'!K36+'5'!K36+'6'!K36+'7'!K36+'8'!K36+'9'!K36+'10'!K36+'11'!K36+'12'!K36+'13'!K36+'14'!K36+'15'!K36+'16'!K36+'17'!K36+'18'!K36+'19'!K36+'20'!K36+'21'!K36+'22'!K36+'23'!K36+'24'!K36+'25'!K36+'26'!K36+'27'!K36</f>
        <v>0</v>
      </c>
      <c r="I34" s="114">
        <f ca="1">+'1'!M36+'2'!M36+'3'!M36+'4'!M36+'5'!M36+'6'!M36+'7'!M36+'8'!M36+'9'!M36+'10'!M36+'11'!M36+'12'!M36+'13'!M36+'14'!M36+'15'!M36+'16'!M36+'17'!M36+'18'!M36+'19'!M36+'20'!M36+'21'!M36+'22'!M36+'23'!M36+'24'!M36+'25'!M36+'26'!M36+'27'!M36</f>
        <v>0</v>
      </c>
      <c r="O34" s="21" t="s">
        <v>188</v>
      </c>
    </row>
    <row r="35" spans="1:15">
      <c r="A35" s="64">
        <f>+'Taxes RCA 2022'!A30</f>
        <v>25</v>
      </c>
      <c r="B35" s="68" t="str">
        <f>+'Taxes RCA 2022'!B30</f>
        <v>Amendes et pénalités payées à la DGID (+)</v>
      </c>
      <c r="C35" s="165">
        <f>+'1'!E37+'2'!E37+'3'!E37+'4'!E37+'5'!E37+'6'!E37+'7'!E37+'8'!E37+'9'!E37+'10'!E37+'11'!E37+'12'!E37+'13'!E37+'14'!E37+'15'!E37+'16'!E37+'17'!E37+'18'!E37+'19'!E37+'20'!E37+'21'!E37+'22'!E37+'23'!E37+'24'!E37+'25'!E37+'26'!E37+'27'!E37</f>
        <v>0</v>
      </c>
      <c r="D35" s="165">
        <f>+'1'!F37+'2'!F37+'3'!F37+'4'!F37+'5'!F37+'6'!F37+'7'!F37+'8'!F37+'9'!F37+'10'!F37+'11'!F37+'12'!F37+'13'!F37+'14'!F37+'15'!F37+'16'!F37+'17'!F37+'18'!F37+'19'!F37+'20'!F37+'21'!F37+'22'!F37+'23'!F37+'24'!F37+'25'!F37+'26'!F37+'27'!F37</f>
        <v>2500000</v>
      </c>
      <c r="E35" s="165">
        <f>+'1'!G37+'2'!G37+'3'!G37+'4'!G37+'5'!G37+'6'!G37+'7'!G37+'8'!G37+'9'!G37+'10'!G37+'11'!G37+'12'!G37+'13'!G37+'14'!G37+'15'!G37+'16'!G37+'17'!G37+'18'!G37+'19'!G37+'20'!G37+'21'!G37+'22'!G37+'23'!G37+'24'!G37+'25'!G37+'26'!G37+'27'!G37</f>
        <v>2500000</v>
      </c>
      <c r="F35" s="165">
        <f>+'1'!I37+'2'!I37+'3'!I37+'4'!I37+'5'!I37+'6'!I37+'7'!I37+'8'!I37+'9'!I37+'10'!I37+'11'!I37+'12'!I37+'13'!I37+'14'!I37+'15'!I37+'16'!I37+'17'!I37+'18'!I37+'19'!I37+'20'!I37+'21'!I37+'22'!I37+'23'!I37+'24'!I37+'25'!I37+'26'!I37+'27'!I37</f>
        <v>0</v>
      </c>
      <c r="G35" s="165">
        <f ca="1">+'1'!J37+'2'!J37+'3'!J37+'4'!J37+'5'!J37+'6'!J37+'7'!J37+'8'!J37+'9'!J37+'10'!J37+'11'!J37+'12'!J37+'13'!J37+'14'!J37+'15'!J37+'16'!J37+'17'!J37+'18'!J37+'19'!J37+'20'!J37+'21'!J37+'22'!J37+'23'!J37+'24'!J37+'25'!J37+'26'!J37+'27'!J37</f>
        <v>0</v>
      </c>
      <c r="H35" s="165">
        <f ca="1">+'1'!K37+'2'!K37+'3'!K37+'4'!K37+'5'!K37+'6'!K37+'7'!K37+'8'!K37+'9'!K37+'10'!K37+'11'!K37+'12'!K37+'13'!K37+'14'!K37+'15'!K37+'16'!K37+'17'!K37+'18'!K37+'19'!K37+'20'!K37+'21'!K37+'22'!K37+'23'!K37+'24'!K37+'25'!K37+'26'!K37+'27'!K37</f>
        <v>0</v>
      </c>
      <c r="I35" s="165">
        <f ca="1">+'1'!M37+'2'!M37+'3'!M37+'4'!M37+'5'!M37+'6'!M37+'7'!M37+'8'!M37+'9'!M37+'10'!M37+'11'!M37+'12'!M37+'13'!M37+'14'!M37+'15'!M37+'16'!M37+'17'!M37+'18'!M37+'19'!M37+'20'!M37+'21'!M37+'22'!M37+'23'!M37+'24'!M37+'25'!M37+'26'!M37+'27'!M37</f>
        <v>2500000</v>
      </c>
      <c r="O35" s="21" t="s">
        <v>189</v>
      </c>
    </row>
    <row r="36" spans="1:15">
      <c r="A36" s="53">
        <f>+'Taxes RCA 2022'!A31</f>
        <v>26</v>
      </c>
      <c r="B36" s="18" t="str">
        <f>+'Taxes RCA 2022'!B31</f>
        <v>Redevance de déboisement (+)</v>
      </c>
      <c r="C36" s="114">
        <f>+'1'!E38+'2'!E38+'3'!E38+'4'!E38+'5'!E38+'6'!E38+'7'!E38+'8'!E38+'9'!E38+'10'!E38+'11'!E38+'12'!E38+'13'!E38+'14'!E38+'15'!E38+'16'!E38+'17'!E38+'18'!E38+'19'!E38+'20'!E38+'21'!E38+'22'!E38+'23'!E38+'24'!E38+'25'!E38+'26'!E38+'27'!E38</f>
        <v>0</v>
      </c>
      <c r="D36" s="114">
        <f>+'1'!F38+'2'!F38+'3'!F38+'4'!F38+'5'!F38+'6'!F38+'7'!F38+'8'!F38+'9'!F38+'10'!F38+'11'!F38+'12'!F38+'13'!F38+'14'!F38+'15'!F38+'16'!F38+'17'!F38+'18'!F38+'19'!F38+'20'!F38+'21'!F38+'22'!F38+'23'!F38+'24'!F38+'25'!F38+'26'!F38+'27'!F38</f>
        <v>0</v>
      </c>
      <c r="E36" s="114">
        <f>+'1'!G38+'2'!G38+'3'!G38+'4'!G38+'5'!G38+'6'!G38+'7'!G38+'8'!G38+'9'!G38+'10'!G38+'11'!G38+'12'!G38+'13'!G38+'14'!G38+'15'!G38+'16'!G38+'17'!G38+'18'!G38+'19'!G38+'20'!G38+'21'!G38+'22'!G38+'23'!G38+'24'!G38+'25'!G38+'26'!G38+'27'!G38</f>
        <v>0</v>
      </c>
      <c r="F36" s="114">
        <f>+'1'!I38+'2'!I38+'3'!I38+'4'!I38+'5'!I38+'6'!I38+'7'!I38+'8'!I38+'9'!I38+'10'!I38+'11'!I38+'12'!I38+'13'!I38+'14'!I38+'15'!I38+'16'!I38+'17'!I38+'18'!I38+'19'!I38+'20'!I38+'21'!I38+'22'!I38+'23'!I38+'24'!I38+'25'!I38+'26'!I38+'27'!I38</f>
        <v>338343134</v>
      </c>
      <c r="G36" s="114">
        <f ca="1">+'1'!J38+'2'!J38+'3'!J38+'4'!J38+'5'!J38+'6'!J38+'7'!J38+'8'!J38+'9'!J38+'10'!J38+'11'!J38+'12'!J38+'13'!J38+'14'!J38+'15'!J38+'16'!J38+'17'!J38+'18'!J38+'19'!J38+'20'!J38+'21'!J38+'22'!J38+'23'!J38+'24'!J38+'25'!J38+'26'!J38+'27'!J38</f>
        <v>-338343134</v>
      </c>
      <c r="H36" s="114">
        <f ca="1">+'1'!K38+'2'!K38+'3'!K38+'4'!K38+'5'!K38+'6'!K38+'7'!K38+'8'!K38+'9'!K38+'10'!K38+'11'!K38+'12'!K38+'13'!K38+'14'!K38+'15'!K38+'16'!K38+'17'!K38+'18'!K38+'19'!K38+'20'!K38+'21'!K38+'22'!K38+'23'!K38+'24'!K38+'25'!K38+'26'!K38+'27'!K38</f>
        <v>0</v>
      </c>
      <c r="I36" s="114">
        <f ca="1">+'1'!M38+'2'!M38+'3'!M38+'4'!M38+'5'!M38+'6'!M38+'7'!M38+'8'!M38+'9'!M38+'10'!M38+'11'!M38+'12'!M38+'13'!M38+'14'!M38+'15'!M38+'16'!M38+'17'!M38+'18'!M38+'19'!M38+'20'!M38+'21'!M38+'22'!M38+'23'!M38+'24'!M38+'25'!M38+'26'!M38+'27'!M38</f>
        <v>0</v>
      </c>
      <c r="O36" s="21" t="s">
        <v>190</v>
      </c>
    </row>
    <row r="37" spans="1:15">
      <c r="A37" s="64">
        <f>+'Taxes RCA 2022'!A32</f>
        <v>27</v>
      </c>
      <c r="B37" s="68" t="str">
        <f>+'Taxes RCA 2022'!B32</f>
        <v>Redevance de pré reconnaissance (+)</v>
      </c>
      <c r="C37" s="165">
        <f>+'1'!E39+'2'!E39+'3'!E39+'4'!E39+'5'!E39+'6'!E39+'7'!E39+'8'!E39+'9'!E39+'10'!E39+'11'!E39+'12'!E39+'13'!E39+'14'!E39+'15'!E39+'16'!E39+'17'!E39+'18'!E39+'19'!E39+'20'!E39+'21'!E39+'22'!E39+'23'!E39+'24'!E39+'25'!E39+'26'!E39+'27'!E39</f>
        <v>0</v>
      </c>
      <c r="D37" s="165">
        <f>+'1'!F39+'2'!F39+'3'!F39+'4'!F39+'5'!F39+'6'!F39+'7'!F39+'8'!F39+'9'!F39+'10'!F39+'11'!F39+'12'!F39+'13'!F39+'14'!F39+'15'!F39+'16'!F39+'17'!F39+'18'!F39+'19'!F39+'20'!F39+'21'!F39+'22'!F39+'23'!F39+'24'!F39+'25'!F39+'26'!F39+'27'!F39</f>
        <v>0</v>
      </c>
      <c r="E37" s="165">
        <f>+'1'!G39+'2'!G39+'3'!G39+'4'!G39+'5'!G39+'6'!G39+'7'!G39+'8'!G39+'9'!G39+'10'!G39+'11'!G39+'12'!G39+'13'!G39+'14'!G39+'15'!G39+'16'!G39+'17'!G39+'18'!G39+'19'!G39+'20'!G39+'21'!G39+'22'!G39+'23'!G39+'24'!G39+'25'!G39+'26'!G39+'27'!G39</f>
        <v>0</v>
      </c>
      <c r="F37" s="165">
        <f>+'1'!I39+'2'!I39+'3'!I39+'4'!I39+'5'!I39+'6'!I39+'7'!I39+'8'!I39+'9'!I39+'10'!I39+'11'!I39+'12'!I39+'13'!I39+'14'!I39+'15'!I39+'16'!I39+'17'!I39+'18'!I39+'19'!I39+'20'!I39+'21'!I39+'22'!I39+'23'!I39+'24'!I39+'25'!I39+'26'!I39+'27'!I39</f>
        <v>0</v>
      </c>
      <c r="G37" s="165">
        <f ca="1">+'1'!J39+'2'!J39+'3'!J39+'4'!J39+'5'!J39+'6'!J39+'7'!J39+'8'!J39+'9'!J39+'10'!J39+'11'!J39+'12'!J39+'13'!J39+'14'!J39+'15'!J39+'16'!J39+'17'!J39+'18'!J39+'19'!J39+'20'!J39+'21'!J39+'22'!J39+'23'!J39+'24'!J39+'25'!J39+'26'!J39+'27'!J39</f>
        <v>0</v>
      </c>
      <c r="H37" s="165">
        <f ca="1">+'1'!K39+'2'!K39+'3'!K39+'4'!K39+'5'!K39+'6'!K39+'7'!K39+'8'!K39+'9'!K39+'10'!K39+'11'!K39+'12'!K39+'13'!K39+'14'!K39+'15'!K39+'16'!K39+'17'!K39+'18'!K39+'19'!K39+'20'!K39+'21'!K39+'22'!K39+'23'!K39+'24'!K39+'25'!K39+'26'!K39+'27'!K39</f>
        <v>0</v>
      </c>
      <c r="I37" s="165">
        <f ca="1">+'1'!M39+'2'!M39+'3'!M39+'4'!M39+'5'!M39+'6'!M39+'7'!M39+'8'!M39+'9'!M39+'10'!M39+'11'!M39+'12'!M39+'13'!M39+'14'!M39+'15'!M39+'16'!M39+'17'!M39+'18'!M39+'19'!M39+'20'!M39+'21'!M39+'22'!M39+'23'!M39+'24'!M39+'25'!M39+'26'!M39+'27'!M39</f>
        <v>0</v>
      </c>
      <c r="O37" s="21" t="s">
        <v>191</v>
      </c>
    </row>
    <row r="38" spans="1:15">
      <c r="A38" s="163"/>
      <c r="B38" s="58" t="str">
        <f>+'Taxes RCA 2022'!B33</f>
        <v>DGTCP (MMG)</v>
      </c>
      <c r="C38" s="166">
        <f>+'1'!E40+'2'!E40+'3'!E40+'4'!E40+'5'!E40+'6'!E40+'7'!E40+'8'!E40+'9'!E40+'10'!E40+'11'!E40+'12'!E40+'13'!E40+'14'!E40+'15'!E40+'16'!E40+'17'!E40+'18'!E40+'19'!E40+'20'!E40+'21'!E40+'22'!E40+'23'!E40+'24'!E40+'25'!E40+'26'!E40+'27'!E40</f>
        <v>58809993</v>
      </c>
      <c r="D38" s="166">
        <f>+'1'!F40+'2'!F40+'3'!F40+'4'!F40+'5'!F40+'6'!F40+'7'!F40+'8'!F40+'9'!F40+'10'!F40+'11'!F40+'12'!F40+'13'!F40+'14'!F40+'15'!F40+'16'!F40+'17'!F40+'18'!F40+'19'!F40+'20'!F40+'21'!F40+'22'!F40+'23'!F40+'24'!F40+'25'!F40+'26'!F40+'27'!F40</f>
        <v>1307838.05</v>
      </c>
      <c r="E38" s="166">
        <f>+'1'!G40+'2'!G40+'3'!G40+'4'!G40+'5'!G40+'6'!G40+'7'!G40+'8'!G40+'9'!G40+'10'!G40+'11'!G40+'12'!G40+'13'!G40+'14'!G40+'15'!G40+'16'!G40+'17'!G40+'18'!G40+'19'!G40+'20'!G40+'21'!G40+'22'!G40+'23'!G40+'24'!G40+'25'!G40+'26'!G40+'27'!G40</f>
        <v>60117831.049999997</v>
      </c>
      <c r="F38" s="166">
        <f>+'1'!I40+'2'!I40+'3'!I40+'4'!I40+'5'!I40+'6'!I40+'7'!I40+'8'!I40+'9'!I40+'10'!I40+'11'!I40+'12'!I40+'13'!I40+'14'!I40+'15'!I40+'16'!I40+'17'!I40+'18'!I40+'19'!I40+'20'!I40+'21'!I40+'22'!I40+'23'!I40+'24'!I40+'25'!I40+'26'!I40+'27'!I40</f>
        <v>338543352.875</v>
      </c>
      <c r="G38" s="166">
        <f ca="1">+'1'!J40+'2'!J40+'3'!J40+'4'!J40+'5'!J40+'6'!J40+'7'!J40+'8'!J40+'9'!J40+'10'!J40+'11'!J40+'12'!J40+'13'!J40+'14'!J40+'15'!J40+'16'!J40+'17'!J40+'18'!J40+'19'!J40+'20'!J40+'21'!J40+'22'!J40+'23'!J40+'24'!J40+'25'!J40+'26'!J40+'27'!J40</f>
        <v>103113000</v>
      </c>
      <c r="H38" s="166">
        <f ca="1">+'1'!K40+'2'!K40+'3'!K40+'4'!K40+'5'!K40+'6'!K40+'7'!K40+'8'!K40+'9'!K40+'10'!K40+'11'!K40+'12'!K40+'13'!K40+'14'!K40+'15'!K40+'16'!K40+'17'!K40+'18'!K40+'19'!K40+'20'!K40+'21'!K40+'22'!K40+'23'!K40+'24'!K40+'25'!K40+'26'!K40+'27'!K40</f>
        <v>441656352.875</v>
      </c>
      <c r="I38" s="166">
        <f ca="1">+'1'!M40+'2'!M40+'3'!M40+'4'!M40+'5'!M40+'6'!M40+'7'!M40+'8'!M40+'9'!M40+'10'!M40+'11'!M40+'12'!M40+'13'!M40+'14'!M40+'15'!M40+'16'!M40+'17'!M40+'18'!M40+'19'!M40+'20'!M40+'21'!M40+'22'!M40+'23'!M40+'24'!M40+'25'!M40+'26'!M40+'27'!M40</f>
        <v>-381538521.82500005</v>
      </c>
      <c r="O38" s="21" t="s">
        <v>193</v>
      </c>
    </row>
    <row r="39" spans="1:15" ht="24">
      <c r="A39" s="53">
        <f>+'Taxes RCA 2022'!A34</f>
        <v>28</v>
      </c>
      <c r="B39" s="171" t="str">
        <f>+'Taxes RCA 2022'!B34</f>
        <v>Contribution à la formation professionnelle et à la formation des cadres de l'Administration des Mines (+)</v>
      </c>
      <c r="C39" s="114">
        <f>+'1'!E41+'2'!E41+'3'!E41+'4'!E41+'5'!E41+'6'!E41+'7'!E41+'8'!E41+'9'!E41+'10'!E41+'11'!E41+'12'!E41+'13'!E41+'14'!E41+'15'!E41+'16'!E41+'17'!E41+'18'!E41+'19'!E41+'20'!E41+'21'!E41+'22'!E41+'23'!E41+'24'!E41+'25'!E41+'26'!E41+'27'!E41</f>
        <v>0</v>
      </c>
      <c r="D39" s="114">
        <f>+'1'!F41+'2'!F41+'3'!F41+'4'!F41+'5'!F41+'6'!F41+'7'!F41+'8'!F41+'9'!F41+'10'!F41+'11'!F41+'12'!F41+'13'!F41+'14'!F41+'15'!F41+'16'!F41+'17'!F41+'18'!F41+'19'!F41+'20'!F41+'21'!F41+'22'!F41+'23'!F41+'24'!F41+'25'!F41+'26'!F41+'27'!F41</f>
        <v>0</v>
      </c>
      <c r="E39" s="114">
        <f>+'1'!G41+'2'!G41+'3'!G41+'4'!G41+'5'!G41+'6'!G41+'7'!G41+'8'!G41+'9'!G41+'10'!G41+'11'!G41+'12'!G41+'13'!G41+'14'!G41+'15'!G41+'16'!G41+'17'!G41+'18'!G41+'19'!G41+'20'!G41+'21'!G41+'22'!G41+'23'!G41+'24'!G41+'25'!G41+'26'!G41+'27'!G41</f>
        <v>0</v>
      </c>
      <c r="F39" s="114">
        <f>+'1'!I41+'2'!I41+'3'!I41+'4'!I41+'5'!I41+'6'!I41+'7'!I41+'8'!I41+'9'!I41+'10'!I41+'11'!I41+'12'!I41+'13'!I41+'14'!I41+'15'!I41+'16'!I41+'17'!I41+'18'!I41+'19'!I41+'20'!I41+'21'!I41+'22'!I41+'23'!I41+'24'!I41+'25'!I41+'26'!I41+'27'!I41</f>
        <v>0</v>
      </c>
      <c r="G39" s="114">
        <f ca="1">+'1'!J41+'2'!J41+'3'!J41+'4'!J41+'5'!J41+'6'!J41+'7'!J41+'8'!J41+'9'!J41+'10'!J41+'11'!J41+'12'!J41+'13'!J41+'14'!J41+'15'!J41+'16'!J41+'17'!J41+'18'!J41+'19'!J41+'20'!J41+'21'!J41+'22'!J41+'23'!J41+'24'!J41+'25'!J41+'26'!J41+'27'!J41</f>
        <v>0</v>
      </c>
      <c r="H39" s="114">
        <f ca="1">+'1'!K41+'2'!K41+'3'!K41+'4'!K41+'5'!K41+'6'!K41+'7'!K41+'8'!K41+'9'!K41+'10'!K41+'11'!K41+'12'!K41+'13'!K41+'14'!K41+'15'!K41+'16'!K41+'17'!K41+'18'!K41+'19'!K41+'20'!K41+'21'!K41+'22'!K41+'23'!K41+'24'!K41+'25'!K41+'26'!K41+'27'!K41</f>
        <v>0</v>
      </c>
      <c r="I39" s="114">
        <f ca="1">+'1'!M41+'2'!M41+'3'!M41+'4'!M41+'5'!M41+'6'!M41+'7'!M41+'8'!M41+'9'!M41+'10'!M41+'11'!M41+'12'!M41+'13'!M41+'14'!M41+'15'!M41+'16'!M41+'17'!M41+'18'!M41+'19'!M41+'20'!M41+'21'!M41+'22'!M41+'23'!M41+'24'!M41+'25'!M41+'26'!M41+'27'!M41</f>
        <v>0</v>
      </c>
      <c r="O39" s="21" t="s">
        <v>192</v>
      </c>
    </row>
    <row r="40" spans="1:15">
      <c r="A40" s="64">
        <f>+'Taxes RCA 2022'!A35</f>
        <v>29</v>
      </c>
      <c r="B40" s="68" t="str">
        <f>+'Taxes RCA 2022'!B35</f>
        <v>Droits d'attributions</v>
      </c>
      <c r="C40" s="165">
        <f>+'1'!E42+'2'!E42+'3'!E42+'4'!E42+'5'!E42+'6'!E42+'7'!E42+'8'!E42+'9'!E42+'10'!E42+'11'!E42+'12'!E42+'13'!E42+'14'!E42+'15'!E42+'16'!E42+'17'!E42+'18'!E42+'19'!E42+'20'!E42+'21'!E42+'22'!E42+'23'!E42+'24'!E42+'25'!E42+'26'!E42+'27'!E42</f>
        <v>5600000</v>
      </c>
      <c r="D40" s="165">
        <f>+'1'!F42+'2'!F42+'3'!F42+'4'!F42+'5'!F42+'6'!F42+'7'!F42+'8'!F42+'9'!F42+'10'!F42+'11'!F42+'12'!F42+'13'!F42+'14'!F42+'15'!F42+'16'!F42+'17'!F42+'18'!F42+'19'!F42+'20'!F42+'21'!F42+'22'!F42+'23'!F42+'24'!F42+'25'!F42+'26'!F42+'27'!F42</f>
        <v>0</v>
      </c>
      <c r="E40" s="165">
        <f>+'1'!G42+'2'!G42+'3'!G42+'4'!G42+'5'!G42+'6'!G42+'7'!G42+'8'!G42+'9'!G42+'10'!G42+'11'!G42+'12'!G42+'13'!G42+'14'!G42+'15'!G42+'16'!G42+'17'!G42+'18'!G42+'19'!G42+'20'!G42+'21'!G42+'22'!G42+'23'!G42+'24'!G42+'25'!G42+'26'!G42+'27'!G42</f>
        <v>5600000</v>
      </c>
      <c r="F40" s="165">
        <f>+'1'!I42+'2'!I42+'3'!I42+'4'!I42+'5'!I42+'6'!I42+'7'!I42+'8'!I42+'9'!I42+'10'!I42+'11'!I42+'12'!I42+'13'!I42+'14'!I42+'15'!I42+'16'!I42+'17'!I42+'18'!I42+'19'!I42+'20'!I42+'21'!I42+'22'!I42+'23'!I42+'24'!I42+'25'!I42+'26'!I42+'27'!I42</f>
        <v>0</v>
      </c>
      <c r="G40" s="165">
        <f ca="1">+'1'!J42+'2'!J42+'3'!J42+'4'!J42+'5'!J42+'6'!J42+'7'!J42+'8'!J42+'9'!J42+'10'!J42+'11'!J42+'12'!J42+'13'!J42+'14'!J42+'15'!J42+'16'!J42+'17'!J42+'18'!J42+'19'!J42+'20'!J42+'21'!J42+'22'!J42+'23'!J42+'24'!J42+'25'!J42+'26'!J42+'27'!J42</f>
        <v>51000000</v>
      </c>
      <c r="H40" s="165">
        <f ca="1">+'1'!K42+'2'!K42+'3'!K42+'4'!K42+'5'!K42+'6'!K42+'7'!K42+'8'!K42+'9'!K42+'10'!K42+'11'!K42+'12'!K42+'13'!K42+'14'!K42+'15'!K42+'16'!K42+'17'!K42+'18'!K42+'19'!K42+'20'!K42+'21'!K42+'22'!K42+'23'!K42+'24'!K42+'25'!K42+'26'!K42+'27'!K42</f>
        <v>51000000</v>
      </c>
      <c r="I40" s="165">
        <f ca="1">+'1'!M42+'2'!M42+'3'!M42+'4'!M42+'5'!M42+'6'!M42+'7'!M42+'8'!M42+'9'!M42+'10'!M42+'11'!M42+'12'!M42+'13'!M42+'14'!M42+'15'!M42+'16'!M42+'17'!M42+'18'!M42+'19'!M42+'20'!M42+'21'!M42+'22'!M42+'23'!M42+'24'!M42+'25'!M42+'26'!M42+'27'!M42</f>
        <v>-45400000</v>
      </c>
      <c r="O40" s="21" t="s">
        <v>194</v>
      </c>
    </row>
    <row r="41" spans="1:15">
      <c r="A41" s="64">
        <f>+'Taxes RCA 2022'!A36</f>
        <v>30</v>
      </c>
      <c r="B41" s="68" t="str">
        <f>+'Taxes RCA 2022'!B36</f>
        <v xml:space="preserve">Redevance superficiaire   </v>
      </c>
      <c r="C41" s="165">
        <f>+'1'!E43+'2'!E43+'3'!E43+'4'!E43+'5'!E43+'6'!E43+'7'!E43+'8'!E43+'9'!E43+'10'!E43+'11'!E43+'12'!E43+'13'!E43+'14'!E43+'15'!E43+'16'!E43+'17'!E43+'18'!E43+'19'!E43+'20'!E43+'21'!E43+'22'!E43+'23'!E43+'24'!E43+'25'!E43+'26'!E43+'27'!E43</f>
        <v>16200000</v>
      </c>
      <c r="D41" s="165">
        <f>+'1'!F43+'2'!F43+'3'!F43+'4'!F43+'5'!F43+'6'!F43+'7'!F43+'8'!F43+'9'!F43+'10'!F43+'11'!F43+'12'!F43+'13'!F43+'14'!F43+'15'!F43+'16'!F43+'17'!F43+'18'!F43+'19'!F43+'20'!F43+'21'!F43+'22'!F43+'23'!F43+'24'!F43+'25'!F43+'26'!F43+'27'!F43</f>
        <v>0</v>
      </c>
      <c r="E41" s="165">
        <f>+'1'!G43+'2'!G43+'3'!G43+'4'!G43+'5'!G43+'6'!G43+'7'!G43+'8'!G43+'9'!G43+'10'!G43+'11'!G43+'12'!G43+'13'!G43+'14'!G43+'15'!G43+'16'!G43+'17'!G43+'18'!G43+'19'!G43+'20'!G43+'21'!G43+'22'!G43+'23'!G43+'24'!G43+'25'!G43+'26'!G43+'27'!G43</f>
        <v>16200000</v>
      </c>
      <c r="F41" s="165">
        <f>+'1'!I43+'2'!I43+'3'!I43+'4'!I43+'5'!I43+'6'!I43+'7'!I43+'8'!I43+'9'!I43+'10'!I43+'11'!I43+'12'!I43+'13'!I43+'14'!I43+'15'!I43+'16'!I43+'17'!I43+'18'!I43+'19'!I43+'20'!I43+'21'!I43+'22'!I43+'23'!I43+'24'!I43+'25'!I43+'26'!I43+'27'!I43</f>
        <v>161574519</v>
      </c>
      <c r="G41" s="165">
        <f ca="1">+'1'!J43+'2'!J43+'3'!J43+'4'!J43+'5'!J43+'6'!J43+'7'!J43+'8'!J43+'9'!J43+'10'!J43+'11'!J43+'12'!J43+'13'!J43+'14'!J43+'15'!J43+'16'!J43+'17'!J43+'18'!J43+'19'!J43+'20'!J43+'21'!J43+'22'!J43+'23'!J43+'24'!J43+'25'!J43+'26'!J43+'27'!J43</f>
        <v>52113000</v>
      </c>
      <c r="H41" s="165">
        <f ca="1">+'1'!K43+'2'!K43+'3'!K43+'4'!K43+'5'!K43+'6'!K43+'7'!K43+'8'!K43+'9'!K43+'10'!K43+'11'!K43+'12'!K43+'13'!K43+'14'!K43+'15'!K43+'16'!K43+'17'!K43+'18'!K43+'19'!K43+'20'!K43+'21'!K43+'22'!K43+'23'!K43+'24'!K43+'25'!K43+'26'!K43+'27'!K43</f>
        <v>213687519</v>
      </c>
      <c r="I41" s="165">
        <f ca="1">+'1'!M43+'2'!M43+'3'!M43+'4'!M43+'5'!M43+'6'!M43+'7'!M43+'8'!M43+'9'!M43+'10'!M43+'11'!M43+'12'!M43+'13'!M43+'14'!M43+'15'!M43+'16'!M43+'17'!M43+'18'!M43+'19'!M43+'20'!M43+'21'!M43+'22'!M43+'23'!M43+'24'!M43+'25'!M43+'26'!M43+'27'!M43</f>
        <v>-197487519</v>
      </c>
      <c r="O41" s="21" t="s">
        <v>196</v>
      </c>
    </row>
    <row r="42" spans="1:15">
      <c r="A42" s="53">
        <f>+'Taxes RCA 2022'!A37</f>
        <v>31</v>
      </c>
      <c r="B42" s="18" t="str">
        <f>+'Taxes RCA 2022'!B37</f>
        <v>Projet de développement du secteur minier (PDSM)</v>
      </c>
      <c r="C42" s="114">
        <f>+'1'!E44+'2'!E44+'3'!E44+'4'!E44+'5'!E44+'6'!E44+'7'!E44+'8'!E44+'9'!E44+'10'!E44+'11'!E44+'12'!E44+'13'!E44+'14'!E44+'15'!E44+'16'!E44+'17'!E44+'18'!E44+'19'!E44+'20'!E44+'21'!E44+'22'!E44+'23'!E44+'24'!E44+'25'!E44+'26'!E44+'27'!E44</f>
        <v>37009993</v>
      </c>
      <c r="D42" s="114">
        <f>+'1'!F44+'2'!F44+'3'!F44+'4'!F44+'5'!F44+'6'!F44+'7'!F44+'8'!F44+'9'!F44+'10'!F44+'11'!F44+'12'!F44+'13'!F44+'14'!F44+'15'!F44+'16'!F44+'17'!F44+'18'!F44+'19'!F44+'20'!F44+'21'!F44+'22'!F44+'23'!F44+'24'!F44+'25'!F44+'26'!F44+'27'!F44</f>
        <v>1307838.05</v>
      </c>
      <c r="E42" s="114">
        <f>+'1'!G44+'2'!G44+'3'!G44+'4'!G44+'5'!G44+'6'!G44+'7'!G44+'8'!G44+'9'!G44+'10'!G44+'11'!G44+'12'!G44+'13'!G44+'14'!G44+'15'!G44+'16'!G44+'17'!G44+'18'!G44+'19'!G44+'20'!G44+'21'!G44+'22'!G44+'23'!G44+'24'!G44+'25'!G44+'26'!G44+'27'!G44</f>
        <v>38317831.049999997</v>
      </c>
      <c r="F42" s="114">
        <f>+'1'!I44+'2'!I44+'3'!I44+'4'!I44+'5'!I44+'6'!I44+'7'!I44+'8'!I44+'9'!I44+'10'!I44+'11'!I44+'12'!I44+'13'!I44+'14'!I44+'15'!I44+'16'!I44+'17'!I44+'18'!I44+'19'!I44+'20'!I44+'21'!I44+'22'!I44+'23'!I44+'24'!I44+'25'!I44+'26'!I44+'27'!I44</f>
        <v>176968833.87500003</v>
      </c>
      <c r="G42" s="114">
        <f ca="1">+'1'!J44+'2'!J44+'3'!J44+'4'!J44+'5'!J44+'6'!J44+'7'!J44+'8'!J44+'9'!J44+'10'!J44+'11'!J44+'12'!J44+'13'!J44+'14'!J44+'15'!J44+'16'!J44+'17'!J44+'18'!J44+'19'!J44+'20'!J44+'21'!J44+'22'!J44+'23'!J44+'24'!J44+'25'!J44+'26'!J44+'27'!J44</f>
        <v>0</v>
      </c>
      <c r="H42" s="114">
        <f ca="1">+'1'!K44+'2'!K44+'3'!K44+'4'!K44+'5'!K44+'6'!K44+'7'!K44+'8'!K44+'9'!K44+'10'!K44+'11'!K44+'12'!K44+'13'!K44+'14'!K44+'15'!K44+'16'!K44+'17'!K44+'18'!K44+'19'!K44+'20'!K44+'21'!K44+'22'!K44+'23'!K44+'24'!K44+'25'!K44+'26'!K44+'27'!K44</f>
        <v>176968833.87500003</v>
      </c>
      <c r="I42" s="114">
        <f ca="1">+'1'!M44+'2'!M44+'3'!M44+'4'!M44+'5'!M44+'6'!M44+'7'!M44+'8'!M44+'9'!M44+'10'!M44+'11'!M44+'12'!M44+'13'!M44+'14'!M44+'15'!M44+'16'!M44+'17'!M44+'18'!M44+'19'!M44+'20'!M44+'21'!M44+'22'!M44+'23'!M44+'24'!M44+'25'!M44+'26'!M44+'27'!M44</f>
        <v>-138651002.82500002</v>
      </c>
      <c r="O42" s="21" t="s">
        <v>197</v>
      </c>
    </row>
    <row r="43" spans="1:15">
      <c r="A43" s="163"/>
      <c r="B43" s="58" t="str">
        <f>+'Taxes RCA 2022'!B38</f>
        <v xml:space="preserve">Paiements infranationaux au profit des communes </v>
      </c>
      <c r="C43" s="166">
        <f>+'1'!E45+'2'!E45+'3'!E45+'4'!E45+'5'!E45+'6'!E45+'7'!E45+'8'!E45+'9'!E45+'10'!E45+'11'!E45+'12'!E45+'13'!E45+'14'!E45+'15'!E45+'16'!E45+'17'!E45+'18'!E45+'19'!E45+'20'!E45+'21'!E45+'22'!E45+'23'!E45+'24'!E45+'25'!E45+'26'!E45+'27'!E45</f>
        <v>800000</v>
      </c>
      <c r="D43" s="166">
        <f>+'1'!F45+'2'!F45+'3'!F45+'4'!F45+'5'!F45+'6'!F45+'7'!F45+'8'!F45+'9'!F45+'10'!F45+'11'!F45+'12'!F45+'13'!F45+'14'!F45+'15'!F45+'16'!F45+'17'!F45+'18'!F45+'19'!F45+'20'!F45+'21'!F45+'22'!F45+'23'!F45+'24'!F45+'25'!F45+'26'!F45+'27'!F45</f>
        <v>0</v>
      </c>
      <c r="E43" s="166">
        <f>+'1'!G45+'2'!G45+'3'!G45+'4'!G45+'5'!G45+'6'!G45+'7'!G45+'8'!G45+'9'!G45+'10'!G45+'11'!G45+'12'!G45+'13'!G45+'14'!G45+'15'!G45+'16'!G45+'17'!G45+'18'!G45+'19'!G45+'20'!G45+'21'!G45+'22'!G45+'23'!G45+'24'!G45+'25'!G45+'26'!G45+'27'!G45</f>
        <v>800000</v>
      </c>
      <c r="F43" s="166">
        <f>+'1'!I45+'2'!I45+'3'!I45+'4'!I45+'5'!I45+'6'!I45+'7'!I45+'8'!I45+'9'!I45+'10'!I45+'11'!I45+'12'!I45+'13'!I45+'14'!I45+'15'!I45+'16'!I45+'17'!I45+'18'!I45+'19'!I45+'20'!I45+'21'!I45+'22'!I45+'23'!I45+'24'!I45+'25'!I45+'26'!I45+'27'!I45</f>
        <v>0</v>
      </c>
      <c r="G43" s="166">
        <f ca="1">+'1'!J45+'2'!J45+'3'!J45+'4'!J45+'5'!J45+'6'!J45+'7'!J45+'8'!J45+'9'!J45+'10'!J45+'11'!J45+'12'!J45+'13'!J45+'14'!J45+'15'!J45+'16'!J45+'17'!J45+'18'!J45+'19'!J45+'20'!J45+'21'!J45+'22'!J45+'23'!J45+'24'!J45+'25'!J45+'26'!J45+'27'!J45</f>
        <v>800000</v>
      </c>
      <c r="H43" s="166">
        <f ca="1">+'1'!K45+'2'!K45+'3'!K45+'4'!K45+'5'!K45+'6'!K45+'7'!K45+'8'!K45+'9'!K45+'10'!K45+'11'!K45+'12'!K45+'13'!K45+'14'!K45+'15'!K45+'16'!K45+'17'!K45+'18'!K45+'19'!K45+'20'!K45+'21'!K45+'22'!K45+'23'!K45+'24'!K45+'25'!K45+'26'!K45+'27'!K45</f>
        <v>800000</v>
      </c>
      <c r="I43" s="166">
        <f ca="1">+'1'!M45+'2'!M45+'3'!M45+'4'!M45+'5'!M45+'6'!M45+'7'!M45+'8'!M45+'9'!M45+'10'!M45+'11'!M45+'12'!M45+'13'!M45+'14'!M45+'15'!M45+'16'!M45+'17'!M45+'18'!M45+'19'!M45+'20'!M45+'21'!M45+'22'!M45+'23'!M45+'24'!M45+'25'!M45+'26'!M45+'27'!M45</f>
        <v>0</v>
      </c>
      <c r="O43" s="21" t="s">
        <v>199</v>
      </c>
    </row>
    <row r="44" spans="1:15">
      <c r="A44" s="64">
        <f>+'Taxes RCA 2022'!A39</f>
        <v>32</v>
      </c>
      <c r="B44" s="68" t="str">
        <f>+'Taxes RCA 2022'!B39</f>
        <v>Taxes superficiaires (+)</v>
      </c>
      <c r="C44" s="165">
        <f>+'1'!E46+'2'!E46+'3'!E46+'4'!E46+'5'!E46+'6'!E46+'7'!E46+'8'!E46+'9'!E46+'10'!E46+'11'!E46+'12'!E46+'13'!E46+'14'!E46+'15'!E46+'16'!E46+'17'!E46+'18'!E46+'19'!E46+'20'!E46+'21'!E46+'22'!E46+'23'!E46+'24'!E46+'25'!E46+'26'!E46+'27'!E46</f>
        <v>800000</v>
      </c>
      <c r="D44" s="165">
        <f>+'1'!F46+'2'!F46+'3'!F46+'4'!F46+'5'!F46+'6'!F46+'7'!F46+'8'!F46+'9'!F46+'10'!F46+'11'!F46+'12'!F46+'13'!F46+'14'!F46+'15'!F46+'16'!F46+'17'!F46+'18'!F46+'19'!F46+'20'!F46+'21'!F46+'22'!F46+'23'!F46+'24'!F46+'25'!F46+'26'!F46+'27'!F46</f>
        <v>0</v>
      </c>
      <c r="E44" s="165">
        <f>+'1'!G46+'2'!G46+'3'!G46+'4'!G46+'5'!G46+'6'!G46+'7'!G46+'8'!G46+'9'!G46+'10'!G46+'11'!G46+'12'!G46+'13'!G46+'14'!G46+'15'!G46+'16'!G46+'17'!G46+'18'!G46+'19'!G46+'20'!G46+'21'!G46+'22'!G46+'23'!G46+'24'!G46+'25'!G46+'26'!G46+'27'!G46</f>
        <v>800000</v>
      </c>
      <c r="F44" s="165">
        <f>+'1'!I46+'2'!I46+'3'!I46+'4'!I46+'5'!I46+'6'!I46+'7'!I46+'8'!I46+'9'!I46+'10'!I46+'11'!I46+'12'!I46+'13'!I46+'14'!I46+'15'!I46+'16'!I46+'17'!I46+'18'!I46+'19'!I46+'20'!I46+'21'!I46+'22'!I46+'23'!I46+'24'!I46+'25'!I46+'26'!I46+'27'!I46</f>
        <v>0</v>
      </c>
      <c r="G44" s="165">
        <f ca="1">+'1'!J46+'2'!J46+'3'!J46+'4'!J46+'5'!J46+'6'!J46+'7'!J46+'8'!J46+'9'!J46+'10'!J46+'11'!J46+'12'!J46+'13'!J46+'14'!J46+'15'!J46+'16'!J46+'17'!J46+'18'!J46+'19'!J46+'20'!J46+'21'!J46+'22'!J46+'23'!J46+'24'!J46+'25'!J46+'26'!J46+'27'!J46</f>
        <v>800000</v>
      </c>
      <c r="H44" s="165">
        <f ca="1">+'1'!K46+'2'!K46+'3'!K46+'4'!K46+'5'!K46+'6'!K46+'7'!K46+'8'!K46+'9'!K46+'10'!K46+'11'!K46+'12'!K46+'13'!K46+'14'!K46+'15'!K46+'16'!K46+'17'!K46+'18'!K46+'19'!K46+'20'!K46+'21'!K46+'22'!K46+'23'!K46+'24'!K46+'25'!K46+'26'!K46+'27'!K46</f>
        <v>800000</v>
      </c>
      <c r="I44" s="165">
        <f ca="1">+'1'!M46+'2'!M46+'3'!M46+'4'!M46+'5'!M46+'6'!M46+'7'!M46+'8'!M46+'9'!M46+'10'!M46+'11'!M46+'12'!M46+'13'!M46+'14'!M46+'15'!M46+'16'!M46+'17'!M46+'18'!M46+'19'!M46+'20'!M46+'21'!M46+'22'!M46+'23'!M46+'24'!M46+'25'!M46+'26'!M46+'27'!M46</f>
        <v>0</v>
      </c>
      <c r="O44" s="21" t="s">
        <v>200</v>
      </c>
    </row>
    <row r="45" spans="1:15">
      <c r="A45" s="163"/>
      <c r="B45" s="58" t="s">
        <v>518</v>
      </c>
      <c r="C45" s="166">
        <f>+'1'!E47+'2'!E47+'3'!E47+'4'!E47+'5'!E47+'6'!E47+'7'!E47+'8'!E47+'9'!E47+'10'!E47+'11'!E47+'12'!E47+'13'!E47+'14'!E47+'15'!E47+'16'!E47+'17'!E47+'18'!E47+'19'!E47+'20'!E47+'21'!E47+'22'!E47+'23'!E47+'24'!E47+'25'!E47+'26'!E47+'27'!E47</f>
        <v>86485700</v>
      </c>
      <c r="D45" s="166">
        <f>+'1'!F47+'2'!F47+'3'!F47+'4'!F47+'5'!F47+'6'!F47+'7'!F47+'8'!F47+'9'!F47+'10'!F47+'11'!F47+'12'!F47+'13'!F47+'14'!F47+'15'!F47+'16'!F47+'17'!F47+'18'!F47+'19'!F47+'20'!F47+'21'!F47+'22'!F47+'23'!F47+'24'!F47+'25'!F47+'26'!F47+'27'!F47</f>
        <v>49746319</v>
      </c>
      <c r="E45" s="166">
        <f>+'1'!G47+'2'!G47+'3'!G47+'4'!G47+'5'!G47+'6'!G47+'7'!G47+'8'!G47+'9'!G47+'10'!G47+'11'!G47+'12'!G47+'13'!G47+'14'!G47+'15'!G47+'16'!G47+'17'!G47+'18'!G47+'19'!G47+'20'!G47+'21'!G47+'22'!G47+'23'!G47+'24'!G47+'25'!G47+'26'!G47+'27'!G47</f>
        <v>136232019</v>
      </c>
      <c r="F45" s="166">
        <f>+'1'!I47+'2'!I47+'3'!I47+'4'!I47+'5'!I47+'6'!I47+'7'!I47+'8'!I47+'9'!I47+'10'!I47+'11'!I47+'12'!I47+'13'!I47+'14'!I47+'15'!I47+'16'!I47+'17'!I47+'18'!I47+'19'!I47+'20'!I47+'21'!I47+'22'!I47+'23'!I47+'24'!I47+'25'!I47+'26'!I47+'27'!I47</f>
        <v>961099892.84535706</v>
      </c>
      <c r="G45" s="166">
        <f ca="1">+'1'!J47+'2'!J47+'3'!J47+'4'!J47+'5'!J47+'6'!J47+'7'!J47+'8'!J47+'9'!J47+'10'!J47+'11'!J47+'12'!J47+'13'!J47+'14'!J47+'15'!J47+'16'!J47+'17'!J47+'18'!J47+'19'!J47+'20'!J47+'21'!J47+'22'!J47+'23'!J47+'24'!J47+'25'!J47+'26'!J47+'27'!J47</f>
        <v>0</v>
      </c>
      <c r="H45" s="166">
        <f ca="1">+'1'!K47+'2'!K47+'3'!K47+'4'!K47+'5'!K47+'6'!K47+'7'!K47+'8'!K47+'9'!K47+'10'!K47+'11'!K47+'12'!K47+'13'!K47+'14'!K47+'15'!K47+'16'!K47+'17'!K47+'18'!K47+'19'!K47+'20'!K47+'21'!K47+'22'!K47+'23'!K47+'24'!K47+'25'!K47+'26'!K47+'27'!K47</f>
        <v>961099892.84535706</v>
      </c>
      <c r="I45" s="166">
        <f ca="1">+'1'!M47+'2'!M47+'3'!M47+'4'!M47+'5'!M47+'6'!M47+'7'!M47+'8'!M47+'9'!M47+'10'!M47+'11'!M47+'12'!M47+'13'!M47+'14'!M47+'15'!M47+'16'!M47+'17'!M47+'18'!M47+'19'!M47+'20'!M47+'21'!M47+'22'!M47+'23'!M47+'24'!M47+'25'!M47+'26'!M47+'27'!M47</f>
        <v>-824867873.84535706</v>
      </c>
      <c r="O45" s="21" t="s">
        <v>199</v>
      </c>
    </row>
    <row r="46" spans="1:15">
      <c r="A46" s="53">
        <f>+'Taxes RCA 2022'!A41</f>
        <v>33</v>
      </c>
      <c r="B46" s="18" t="str">
        <f>+'Taxes RCA 2022'!B41</f>
        <v>Taxe d’abattage  (+)</v>
      </c>
      <c r="C46" s="114">
        <f>+'1'!E48+'2'!E48+'3'!E48+'4'!E48+'5'!E48+'6'!E48+'7'!E48+'8'!E48+'9'!E48+'10'!E48+'11'!E48+'12'!E48+'13'!E48+'14'!E48+'15'!E48+'16'!E48+'17'!E48+'18'!E48+'19'!E48+'20'!E48+'21'!E48+'22'!E48+'23'!E48+'24'!E48+'25'!E48+'26'!E48+'27'!E48</f>
        <v>42311295</v>
      </c>
      <c r="D46" s="114">
        <f>+'1'!F48+'2'!F48+'3'!F48+'4'!F48+'5'!F48+'6'!F48+'7'!F48+'8'!F48+'9'!F48+'10'!F48+'11'!F48+'12'!F48+'13'!F48+'14'!F48+'15'!F48+'16'!F48+'17'!F48+'18'!F48+'19'!F48+'20'!F48+'21'!F48+'22'!F48+'23'!F48+'24'!F48+'25'!F48+'26'!F48+'27'!F48</f>
        <v>32011675</v>
      </c>
      <c r="E46" s="114">
        <f>+'1'!G48+'2'!G48+'3'!G48+'4'!G48+'5'!G48+'6'!G48+'7'!G48+'8'!G48+'9'!G48+'10'!G48+'11'!G48+'12'!G48+'13'!G48+'14'!G48+'15'!G48+'16'!G48+'17'!G48+'18'!G48+'19'!G48+'20'!G48+'21'!G48+'22'!G48+'23'!G48+'24'!G48+'25'!G48+'26'!G48+'27'!G48</f>
        <v>74322970</v>
      </c>
      <c r="F46" s="114">
        <f>+'1'!I48+'2'!I48+'3'!I48+'4'!I48+'5'!I48+'6'!I48+'7'!I48+'8'!I48+'9'!I48+'10'!I48+'11'!I48+'12'!I48+'13'!I48+'14'!I48+'15'!I48+'16'!I48+'17'!I48+'18'!I48+'19'!I48+'20'!I48+'21'!I48+'22'!I48+'23'!I48+'24'!I48+'25'!I48+'26'!I48+'27'!I48</f>
        <v>562133798.57764697</v>
      </c>
      <c r="G46" s="114">
        <f ca="1">+'1'!J48+'2'!J48+'3'!J48+'4'!J48+'5'!J48+'6'!J48+'7'!J48+'8'!J48+'9'!J48+'10'!J48+'11'!J48+'12'!J48+'13'!J48+'14'!J48+'15'!J48+'16'!J48+'17'!J48+'18'!J48+'19'!J48+'20'!J48+'21'!J48+'22'!J48+'23'!J48+'24'!J48+'25'!J48+'26'!J48+'27'!J48</f>
        <v>0</v>
      </c>
      <c r="H46" s="114">
        <f ca="1">+'1'!K48+'2'!K48+'3'!K48+'4'!K48+'5'!K48+'6'!K48+'7'!K48+'8'!K48+'9'!K48+'10'!K48+'11'!K48+'12'!K48+'13'!K48+'14'!K48+'15'!K48+'16'!K48+'17'!K48+'18'!K48+'19'!K48+'20'!K48+'21'!K48+'22'!K48+'23'!K48+'24'!K48+'25'!K48+'26'!K48+'27'!K48</f>
        <v>562133798.57764697</v>
      </c>
      <c r="I46" s="114">
        <f ca="1">+'1'!M48+'2'!M48+'3'!M48+'4'!M48+'5'!M48+'6'!M48+'7'!M48+'8'!M48+'9'!M48+'10'!M48+'11'!M48+'12'!M48+'13'!M48+'14'!M48+'15'!M48+'16'!M48+'17'!M48+'18'!M48+'19'!M48+'20'!M48+'21'!M48+'22'!M48+'23'!M48+'24'!M48+'25'!M48+'26'!M48+'27'!M48</f>
        <v>-487810828.57764703</v>
      </c>
      <c r="J46" s="114"/>
      <c r="K46" s="114"/>
      <c r="M46" s="114"/>
      <c r="O46" s="21" t="s">
        <v>201</v>
      </c>
    </row>
    <row r="47" spans="1:15">
      <c r="A47" s="64">
        <f>+'Taxes RCA 2022'!A42</f>
        <v>34</v>
      </c>
      <c r="B47" s="68" t="str">
        <f>+'Taxes RCA 2022'!B42</f>
        <v>Taxe de reboisement (+)</v>
      </c>
      <c r="C47" s="165">
        <f>+'1'!E49+'2'!E49+'3'!E49+'4'!E49+'5'!E49+'6'!E49+'7'!E49+'8'!E49+'9'!E49+'10'!E49+'11'!E49+'12'!E49+'13'!E49+'14'!E49+'15'!E49+'16'!E49+'17'!E49+'18'!E49+'19'!E49+'20'!E49+'21'!E49+'22'!E49+'23'!E49+'24'!E49+'25'!E49+'26'!E49+'27'!E49</f>
        <v>44174405</v>
      </c>
      <c r="D47" s="165">
        <f>+'1'!F49+'2'!F49+'3'!F49+'4'!F49+'5'!F49+'6'!F49+'7'!F49+'8'!F49+'9'!F49+'10'!F49+'11'!F49+'12'!F49+'13'!F49+'14'!F49+'15'!F49+'16'!F49+'17'!F49+'18'!F49+'19'!F49+'20'!F49+'21'!F49+'22'!F49+'23'!F49+'24'!F49+'25'!F49+'26'!F49+'27'!F49</f>
        <v>17734644</v>
      </c>
      <c r="E47" s="165">
        <f>+'1'!G49+'2'!G49+'3'!G49+'4'!G49+'5'!G49+'6'!G49+'7'!G49+'8'!G49+'9'!G49+'10'!G49+'11'!G49+'12'!G49+'13'!G49+'14'!G49+'15'!G49+'16'!G49+'17'!G49+'18'!G49+'19'!G49+'20'!G49+'21'!G49+'22'!G49+'23'!G49+'24'!G49+'25'!G49+'26'!G49+'27'!G49</f>
        <v>61909049</v>
      </c>
      <c r="F47" s="165">
        <f>+'1'!I49+'2'!I49+'3'!I49+'4'!I49+'5'!I49+'6'!I49+'7'!I49+'8'!I49+'9'!I49+'10'!I49+'11'!I49+'12'!I49+'13'!I49+'14'!I49+'15'!I49+'16'!I49+'17'!I49+'18'!I49+'19'!I49+'20'!I49+'21'!I49+'22'!I49+'23'!I49+'24'!I49+'25'!I49+'26'!I49+'27'!I49</f>
        <v>398966094.26770997</v>
      </c>
      <c r="G47" s="165">
        <f ca="1">+'1'!J49+'2'!J49+'3'!J49+'4'!J49+'5'!J49+'6'!J49+'7'!J49+'8'!J49+'9'!J49+'10'!J49+'11'!J49+'12'!J49+'13'!J49+'14'!J49+'15'!J49+'16'!J49+'17'!J49+'18'!J49+'19'!J49+'20'!J49+'21'!J49+'22'!J49+'23'!J49+'24'!J49+'25'!J49+'26'!J49+'27'!J49</f>
        <v>0</v>
      </c>
      <c r="H47" s="165">
        <f ca="1">+'1'!K49+'2'!K49+'3'!K49+'4'!K49+'5'!K49+'6'!K49+'7'!K49+'8'!K49+'9'!K49+'10'!K49+'11'!K49+'12'!K49+'13'!K49+'14'!K49+'15'!K49+'16'!K49+'17'!K49+'18'!K49+'19'!K49+'20'!K49+'21'!K49+'22'!K49+'23'!K49+'24'!K49+'25'!K49+'26'!K49+'27'!K49</f>
        <v>398966094.26770997</v>
      </c>
      <c r="I47" s="165">
        <f ca="1">+'1'!M49+'2'!M49+'3'!M49+'4'!M49+'5'!M49+'6'!M49+'7'!M49+'8'!M49+'9'!M49+'10'!M49+'11'!M49+'12'!M49+'13'!M49+'14'!M49+'15'!M49+'16'!M49+'17'!M49+'18'!M49+'19'!M49+'20'!M49+'21'!M49+'22'!M49+'23'!M49+'24'!M49+'25'!M49+'26'!M49+'27'!M49</f>
        <v>-337057045.26770997</v>
      </c>
      <c r="O47" s="21" t="s">
        <v>202</v>
      </c>
    </row>
    <row r="48" spans="1:15">
      <c r="A48" s="53">
        <f>+'Taxes RCA 2022'!A43</f>
        <v>35</v>
      </c>
      <c r="B48" s="18" t="str">
        <f>+'Taxes RCA 2022'!B43</f>
        <v>Droit de sortie (DS)/Taxe Export (+)</v>
      </c>
      <c r="C48" s="114">
        <f>+'1'!E50+'2'!E50+'3'!E50+'4'!E50+'5'!E50+'6'!E50+'7'!E50+'8'!E50+'9'!E50+'10'!E50+'11'!E50+'12'!E50+'13'!E50+'14'!E50+'15'!E50+'16'!E50+'17'!E50+'18'!E50+'19'!E50+'20'!E50+'21'!E50+'22'!E50+'23'!E50+'24'!E50+'25'!E50+'26'!E50+'27'!E50</f>
        <v>0</v>
      </c>
      <c r="D48" s="114">
        <f>+'1'!F50+'2'!F50+'3'!F50+'4'!F50+'5'!F50+'6'!F50+'7'!F50+'8'!F50+'9'!F50+'10'!F50+'11'!F50+'12'!F50+'13'!F50+'14'!F50+'15'!F50+'16'!F50+'17'!F50+'18'!F50+'19'!F50+'20'!F50+'21'!F50+'22'!F50+'23'!F50+'24'!F50+'25'!F50+'26'!F50+'27'!F50</f>
        <v>0</v>
      </c>
      <c r="E48" s="114">
        <f>+'1'!G50+'2'!G50+'3'!G50+'4'!G50+'5'!G50+'6'!G50+'7'!G50+'8'!G50+'9'!G50+'10'!G50+'11'!G50+'12'!G50+'13'!G50+'14'!G50+'15'!G50+'16'!G50+'17'!G50+'18'!G50+'19'!G50+'20'!G50+'21'!G50+'22'!G50+'23'!G50+'24'!G50+'25'!G50+'26'!G50+'27'!G50</f>
        <v>0</v>
      </c>
      <c r="F48" s="114">
        <f>+'1'!I50+'2'!I50+'3'!I50+'4'!I50+'5'!I50+'6'!I50+'7'!I50+'8'!I50+'9'!I50+'10'!I50+'11'!I50+'12'!I50+'13'!I50+'14'!I50+'15'!I50+'16'!I50+'17'!I50+'18'!I50+'19'!I50+'20'!I50+'21'!I50+'22'!I50+'23'!I50+'24'!I50+'25'!I50+'26'!I50+'27'!I50</f>
        <v>0</v>
      </c>
      <c r="G48" s="114">
        <f ca="1">+'1'!J50+'2'!J50+'3'!J50+'4'!J50+'5'!J50+'6'!J50+'7'!J50+'8'!J50+'9'!J50+'10'!J50+'11'!J50+'12'!J50+'13'!J50+'14'!J50+'15'!J50+'16'!J50+'17'!J50+'18'!J50+'19'!J50+'20'!J50+'21'!J50+'22'!J50+'23'!J50+'24'!J50+'25'!J50+'26'!J50+'27'!J50</f>
        <v>0</v>
      </c>
      <c r="H48" s="114">
        <f ca="1">+'1'!K50+'2'!K50+'3'!K50+'4'!K50+'5'!K50+'6'!K50+'7'!K50+'8'!K50+'9'!K50+'10'!K50+'11'!K50+'12'!K50+'13'!K50+'14'!K50+'15'!K50+'16'!K50+'17'!K50+'18'!K50+'19'!K50+'20'!K50+'21'!K50+'22'!K50+'23'!K50+'24'!K50+'25'!K50+'26'!K50+'27'!K50</f>
        <v>0</v>
      </c>
      <c r="I48" s="114">
        <f ca="1">+'1'!M50+'2'!M50+'3'!M50+'4'!M50+'5'!M50+'6'!M50+'7'!M50+'8'!M50+'9'!M50+'10'!M50+'11'!M50+'12'!M50+'13'!M50+'14'!M50+'15'!M50+'16'!M50+'17'!M50+'18'!M50+'19'!M50+'20'!M50+'21'!M50+'22'!M50+'23'!M50+'24'!M50+'25'!M50+'26'!M50+'27'!M50</f>
        <v>0</v>
      </c>
      <c r="O48" s="21" t="s">
        <v>203</v>
      </c>
    </row>
    <row r="49" spans="1:15">
      <c r="A49" s="64">
        <f>+'Taxes RCA 2022'!A44</f>
        <v>36</v>
      </c>
      <c r="B49" s="68" t="str">
        <f>+'Taxes RCA 2022'!B44</f>
        <v>Taxes environnementales sur les Stes forestières et Minières (+)</v>
      </c>
      <c r="C49" s="165">
        <f>+'1'!E51+'2'!E51+'3'!E51+'4'!E51+'5'!E51+'6'!E51+'7'!E51+'8'!E51+'9'!E51+'10'!E51+'11'!E51+'12'!E51+'13'!E51+'14'!E51+'15'!E51+'16'!E51+'17'!E51+'18'!E51+'19'!E51+'20'!E51+'21'!E51+'22'!E51+'23'!E51+'24'!E51+'25'!E51+'26'!E51+'27'!E51</f>
        <v>0</v>
      </c>
      <c r="D49" s="165">
        <f>+'1'!F51+'2'!F51+'3'!F51+'4'!F51+'5'!F51+'6'!F51+'7'!F51+'8'!F51+'9'!F51+'10'!F51+'11'!F51+'12'!F51+'13'!F51+'14'!F51+'15'!F51+'16'!F51+'17'!F51+'18'!F51+'19'!F51+'20'!F51+'21'!F51+'22'!F51+'23'!F51+'24'!F51+'25'!F51+'26'!F51+'27'!F51</f>
        <v>0</v>
      </c>
      <c r="E49" s="165">
        <f>+'1'!G51+'2'!G51+'3'!G51+'4'!G51+'5'!G51+'6'!G51+'7'!G51+'8'!G51+'9'!G51+'10'!G51+'11'!G51+'12'!G51+'13'!G51+'14'!G51+'15'!G51+'16'!G51+'17'!G51+'18'!G51+'19'!G51+'20'!G51+'21'!G51+'22'!G51+'23'!G51+'24'!G51+'25'!G51+'26'!G51+'27'!G51</f>
        <v>0</v>
      </c>
      <c r="F49" s="165">
        <f>+'1'!I51+'2'!I51+'3'!I51+'4'!I51+'5'!I51+'6'!I51+'7'!I51+'8'!I51+'9'!I51+'10'!I51+'11'!I51+'12'!I51+'13'!I51+'14'!I51+'15'!I51+'16'!I51+'17'!I51+'18'!I51+'19'!I51+'20'!I51+'21'!I51+'22'!I51+'23'!I51+'24'!I51+'25'!I51+'26'!I51+'27'!I51</f>
        <v>0</v>
      </c>
      <c r="G49" s="165">
        <f ca="1">+'1'!J51+'2'!J51+'3'!J51+'4'!J51+'5'!J51+'6'!J51+'7'!J51+'8'!J51+'9'!J51+'10'!J51+'11'!J51+'12'!J51+'13'!J51+'14'!J51+'15'!J51+'16'!J51+'17'!J51+'18'!J51+'19'!J51+'20'!J51+'21'!J51+'22'!J51+'23'!J51+'24'!J51+'25'!J51+'26'!J51+'27'!J51</f>
        <v>0</v>
      </c>
      <c r="H49" s="165">
        <f ca="1">+'1'!K51+'2'!K51+'3'!K51+'4'!K51+'5'!K51+'6'!K51+'7'!K51+'8'!K51+'9'!K51+'10'!K51+'11'!K51+'12'!K51+'13'!K51+'14'!K51+'15'!K51+'16'!K51+'17'!K51+'18'!K51+'19'!K51+'20'!K51+'21'!K51+'22'!K51+'23'!K51+'24'!K51+'25'!K51+'26'!K51+'27'!K51</f>
        <v>0</v>
      </c>
      <c r="I49" s="165">
        <f ca="1">+'1'!M51+'2'!M51+'3'!M51+'4'!M51+'5'!M51+'6'!M51+'7'!M51+'8'!M51+'9'!M51+'10'!M51+'11'!M51+'12'!M51+'13'!M51+'14'!M51+'15'!M51+'16'!M51+'17'!M51+'18'!M51+'19'!M51+'20'!M51+'21'!M51+'22'!M51+'23'!M51+'24'!M51+'25'!M51+'26'!M51+'27'!M51</f>
        <v>0</v>
      </c>
      <c r="O49" s="21" t="s">
        <v>204</v>
      </c>
    </row>
    <row r="50" spans="1:15">
      <c r="A50" s="163"/>
      <c r="B50" s="58" t="str">
        <f>+'Taxes RCA 2022'!B45</f>
        <v>Affectations spéciales</v>
      </c>
      <c r="C50" s="166">
        <f>+'1'!E52+'2'!E52+'3'!E52+'4'!E52+'5'!E52+'6'!E52+'7'!E52+'8'!E52+'9'!E52+'10'!E52+'11'!E52+'12'!E52+'13'!E52+'14'!E52+'15'!E52+'16'!E52+'17'!E52+'18'!E52+'19'!E52+'20'!E52+'21'!E52+'22'!E52+'23'!E52+'24'!E52+'25'!E52+'26'!E52+'27'!E52</f>
        <v>135145069</v>
      </c>
      <c r="D50" s="166">
        <f>+'1'!F52+'2'!F52+'3'!F52+'4'!F52+'5'!F52+'6'!F52+'7'!F52+'8'!F52+'9'!F52+'10'!F52+'11'!F52+'12'!F52+'13'!F52+'14'!F52+'15'!F52+'16'!F52+'17'!F52+'18'!F52+'19'!F52+'20'!F52+'21'!F52+'22'!F52+'23'!F52+'24'!F52+'25'!F52+'26'!F52+'27'!F52</f>
        <v>68832868</v>
      </c>
      <c r="E50" s="166">
        <f>+'1'!G52+'2'!G52+'3'!G52+'4'!G52+'5'!G52+'6'!G52+'7'!G52+'8'!G52+'9'!G52+'10'!G52+'11'!G52+'12'!G52+'13'!G52+'14'!G52+'15'!G52+'16'!G52+'17'!G52+'18'!G52+'19'!G52+'20'!G52+'21'!G52+'22'!G52+'23'!G52+'24'!G52+'25'!G52+'26'!G52+'27'!G52</f>
        <v>203977937</v>
      </c>
      <c r="F50" s="166">
        <f>+'1'!I52+'2'!I52+'3'!I52+'4'!I52+'5'!I52+'6'!I52+'7'!I52+'8'!I52+'9'!I52+'10'!I52+'11'!I52+'12'!I52+'13'!I52+'14'!I52+'15'!I52+'16'!I52+'17'!I52+'18'!I52+'19'!I52+'20'!I52+'21'!I52+'22'!I52+'23'!I52+'24'!I52+'25'!I52+'26'!I52+'27'!I52</f>
        <v>1369863418.7114968</v>
      </c>
      <c r="G50" s="166">
        <f ca="1">+'1'!J52+'2'!J52+'3'!J52+'4'!J52+'5'!J52+'6'!J52+'7'!J52+'8'!J52+'9'!J52+'10'!J52+'11'!J52+'12'!J52+'13'!J52+'14'!J52+'15'!J52+'16'!J52+'17'!J52+'18'!J52+'19'!J52+'20'!J52+'21'!J52+'22'!J52+'23'!J52+'24'!J52+'25'!J52+'26'!J52+'27'!J52</f>
        <v>0</v>
      </c>
      <c r="H50" s="166">
        <f ca="1">+'1'!K52+'2'!K52+'3'!K52+'4'!K52+'5'!K52+'6'!K52+'7'!K52+'8'!K52+'9'!K52+'10'!K52+'11'!K52+'12'!K52+'13'!K52+'14'!K52+'15'!K52+'16'!K52+'17'!K52+'18'!K52+'19'!K52+'20'!K52+'21'!K52+'22'!K52+'23'!K52+'24'!K52+'25'!K52+'26'!K52+'27'!K52</f>
        <v>1369863418.7114968</v>
      </c>
      <c r="I50" s="166">
        <f ca="1">+'1'!M52+'2'!M52+'3'!M52+'4'!M52+'5'!M52+'6'!M52+'7'!M52+'8'!M52+'9'!M52+'10'!M52+'11'!M52+'12'!M52+'13'!M52+'14'!M52+'15'!M52+'16'!M52+'17'!M52+'18'!M52+'19'!M52+'20'!M52+'21'!M52+'22'!M52+'23'!M52+'24'!M52+'25'!M52+'26'!M52+'27'!M52</f>
        <v>-1165885481.7114968</v>
      </c>
      <c r="O50" s="21" t="s">
        <v>215</v>
      </c>
    </row>
    <row r="51" spans="1:15">
      <c r="A51" s="53">
        <f>+'Taxes RCA 2022'!A46</f>
        <v>37</v>
      </c>
      <c r="B51" s="18" t="str">
        <f>+'Taxes RCA 2022'!B46</f>
        <v>Affectation au titre la taxe de reboisement (+)</v>
      </c>
      <c r="C51" s="114">
        <f>+'1'!E53+'2'!E53+'3'!E53+'4'!E53+'5'!E53+'6'!E53+'7'!E53+'8'!E53+'9'!E53+'10'!E53+'11'!E53+'12'!E53+'13'!E53+'14'!E53+'15'!E53+'16'!E53+'17'!E53+'18'!E53+'19'!E53+'20'!E53+'21'!E53+'22'!E53+'23'!E53+'24'!E53+'25'!E53+'26'!E53+'27'!E53</f>
        <v>43298449</v>
      </c>
      <c r="D51" s="114">
        <f>+'1'!F53+'2'!F53+'3'!F53+'4'!F53+'5'!F53+'6'!F53+'7'!F53+'8'!F53+'9'!F53+'10'!F53+'11'!F53+'12'!F53+'13'!F53+'14'!F53+'15'!F53+'16'!F53+'17'!F53+'18'!F53+'19'!F53+'20'!F53+'21'!F53+'22'!F53+'23'!F53+'24'!F53+'25'!F53+'26'!F53+'27'!F53</f>
        <v>35469279</v>
      </c>
      <c r="E51" s="114">
        <f>+'1'!G53+'2'!G53+'3'!G53+'4'!G53+'5'!G53+'6'!G53+'7'!G53+'8'!G53+'9'!G53+'10'!G53+'11'!G53+'12'!G53+'13'!G53+'14'!G53+'15'!G53+'16'!G53+'17'!G53+'18'!G53+'19'!G53+'20'!G53+'21'!G53+'22'!G53+'23'!G53+'24'!G53+'25'!G53+'26'!G53+'27'!G53</f>
        <v>78767728</v>
      </c>
      <c r="F51" s="114">
        <f>+'1'!I53+'2'!I53+'3'!I53+'4'!I53+'5'!I53+'6'!I53+'7'!I53+'8'!I53+'9'!I53+'10'!I53+'11'!I53+'12'!I53+'13'!I53+'14'!I53+'15'!I53+'16'!I53+'17'!I53+'18'!I53+'19'!I53+'20'!I53+'21'!I53+'22'!I53+'23'!I53+'24'!I53+'25'!I53+'26'!I53+'27'!I53</f>
        <v>797932188.01384962</v>
      </c>
      <c r="G51" s="114">
        <f ca="1">+'1'!J53+'2'!J53+'3'!J53+'4'!J53+'5'!J53+'6'!J53+'7'!J53+'8'!J53+'9'!J53+'10'!J53+'11'!J53+'12'!J53+'13'!J53+'14'!J53+'15'!J53+'16'!J53+'17'!J53+'18'!J53+'19'!J53+'20'!J53+'21'!J53+'22'!J53+'23'!J53+'24'!J53+'25'!J53+'26'!J53+'27'!J53</f>
        <v>0</v>
      </c>
      <c r="H51" s="114">
        <f ca="1">+'1'!K53+'2'!K53+'3'!K53+'4'!K53+'5'!K53+'6'!K53+'7'!K53+'8'!K53+'9'!K53+'10'!K53+'11'!K53+'12'!K53+'13'!K53+'14'!K53+'15'!K53+'16'!K53+'17'!K53+'18'!K53+'19'!K53+'20'!K53+'21'!K53+'22'!K53+'23'!K53+'24'!K53+'25'!K53+'26'!K53+'27'!K53</f>
        <v>797932188.01384962</v>
      </c>
      <c r="I51" s="114">
        <f ca="1">+'1'!M53+'2'!M53+'3'!M53+'4'!M53+'5'!M53+'6'!M53+'7'!M53+'8'!M53+'9'!M53+'10'!M53+'11'!M53+'12'!M53+'13'!M53+'14'!M53+'15'!M53+'16'!M53+'17'!M53+'18'!M53+'19'!M53+'20'!M53+'21'!M53+'22'!M53+'23'!M53+'24'!M53+'25'!M53+'26'!M53+'27'!M53</f>
        <v>-719164460.01384962</v>
      </c>
      <c r="O51" s="21" t="s">
        <v>217</v>
      </c>
    </row>
    <row r="52" spans="1:15">
      <c r="A52" s="64">
        <f>+'Taxes RCA 2022'!A47</f>
        <v>38</v>
      </c>
      <c r="B52" s="68" t="str">
        <f>+'Taxes RCA 2022'!B47</f>
        <v>Affectation au titre de taxe d’abattage (+)</v>
      </c>
      <c r="C52" s="165">
        <f>+'1'!E54+'2'!E54+'3'!E54+'4'!E54+'5'!E54+'6'!E54+'7'!E54+'8'!E54+'9'!E54+'10'!E54+'11'!E54+'12'!E54+'13'!E54+'14'!E54+'15'!E54+'16'!E54+'17'!E54+'18'!E54+'19'!E54+'20'!E54+'21'!E54+'22'!E54+'23'!E54+'24'!E54+'25'!E54+'26'!E54+'27'!E54</f>
        <v>91846620</v>
      </c>
      <c r="D52" s="165">
        <f>+'1'!F54+'2'!F54+'3'!F54+'4'!F54+'5'!F54+'6'!F54+'7'!F54+'8'!F54+'9'!F54+'10'!F54+'11'!F54+'12'!F54+'13'!F54+'14'!F54+'15'!F54+'16'!F54+'17'!F54+'18'!F54+'19'!F54+'20'!F54+'21'!F54+'22'!F54+'23'!F54+'24'!F54+'25'!F54+'26'!F54+'27'!F54</f>
        <v>33363589</v>
      </c>
      <c r="E52" s="165">
        <f>+'1'!G54+'2'!G54+'3'!G54+'4'!G54+'5'!G54+'6'!G54+'7'!G54+'8'!G54+'9'!G54+'10'!G54+'11'!G54+'12'!G54+'13'!G54+'14'!G54+'15'!G54+'16'!G54+'17'!G54+'18'!G54+'19'!G54+'20'!G54+'21'!G54+'22'!G54+'23'!G54+'24'!G54+'25'!G54+'26'!G54+'27'!G54</f>
        <v>125210209</v>
      </c>
      <c r="F52" s="165">
        <f>+'1'!I54+'2'!I54+'3'!I54+'4'!I54+'5'!I54+'6'!I54+'7'!I54+'8'!I54+'9'!I54+'10'!I54+'11'!I54+'12'!I54+'13'!I54+'14'!I54+'15'!I54+'16'!I54+'17'!I54+'18'!I54+'19'!I54+'20'!I54+'21'!I54+'22'!I54+'23'!I54+'24'!I54+'25'!I54+'26'!I54+'27'!I54</f>
        <v>571931230.69764698</v>
      </c>
      <c r="G52" s="165">
        <f ca="1">+'1'!J54+'2'!J54+'3'!J54+'4'!J54+'5'!J54+'6'!J54+'7'!J54+'8'!J54+'9'!J54+'10'!J54+'11'!J54+'12'!J54+'13'!J54+'14'!J54+'15'!J54+'16'!J54+'17'!J54+'18'!J54+'19'!J54+'20'!J54+'21'!J54+'22'!J54+'23'!J54+'24'!J54+'25'!J54+'26'!J54+'27'!J54</f>
        <v>0</v>
      </c>
      <c r="H52" s="165">
        <f ca="1">+'1'!K54+'2'!K54+'3'!K54+'4'!K54+'5'!K54+'6'!K54+'7'!K54+'8'!K54+'9'!K54+'10'!K54+'11'!K54+'12'!K54+'13'!K54+'14'!K54+'15'!K54+'16'!K54+'17'!K54+'18'!K54+'19'!K54+'20'!K54+'21'!K54+'22'!K54+'23'!K54+'24'!K54+'25'!K54+'26'!K54+'27'!K54</f>
        <v>571931230.69764698</v>
      </c>
      <c r="I52" s="165">
        <f ca="1">+'1'!M54+'2'!M54+'3'!M54+'4'!M54+'5'!M54+'6'!M54+'7'!M54+'8'!M54+'9'!M54+'10'!M54+'11'!M54+'12'!M54+'13'!M54+'14'!M54+'15'!M54+'16'!M54+'17'!M54+'18'!M54+'19'!M54+'20'!M54+'21'!M54+'22'!M54+'23'!M54+'24'!M54+'25'!M54+'26'!M54+'27'!M54</f>
        <v>-446721021.69764704</v>
      </c>
      <c r="O52" s="21" t="s">
        <v>216</v>
      </c>
    </row>
    <row r="53" spans="1:15">
      <c r="A53" s="163"/>
      <c r="B53" s="58" t="str">
        <f>+'Taxes RCA 2022'!B48</f>
        <v xml:space="preserve">Transferts du Trésor aux communes </v>
      </c>
      <c r="C53" s="166">
        <f>+'1'!E55+'2'!E55+'3'!E55+'4'!E55+'5'!E55+'6'!E55+'7'!E55+'8'!E55+'9'!E55+'10'!E55+'11'!E55+'12'!E55+'13'!E55+'14'!E55+'15'!E55+'16'!E55+'17'!E55+'18'!E55+'19'!E55+'20'!E55+'21'!E55+'22'!E55+'23'!E55+'24'!E55+'25'!E55+'26'!E55+'27'!E55</f>
        <v>0</v>
      </c>
      <c r="D53" s="166">
        <f>+'1'!F55+'2'!F55+'3'!F55+'4'!F55+'5'!F55+'6'!F55+'7'!F55+'8'!F55+'9'!F55+'10'!F55+'11'!F55+'12'!F55+'13'!F55+'14'!F55+'15'!F55+'16'!F55+'17'!F55+'18'!F55+'19'!F55+'20'!F55+'21'!F55+'22'!F55+'23'!F55+'24'!F55+'25'!F55+'26'!F55+'27'!F55</f>
        <v>0</v>
      </c>
      <c r="E53" s="166">
        <f>+'1'!G55+'2'!G55+'3'!G55+'4'!G55+'5'!G55+'6'!G55+'7'!G55+'8'!G55+'9'!G55+'10'!G55+'11'!G55+'12'!G55+'13'!G55+'14'!G55+'15'!G55+'16'!G55+'17'!G55+'18'!G55+'19'!G55+'20'!G55+'21'!G55+'22'!G55+'23'!G55+'24'!G55+'25'!G55+'26'!G55+'27'!G55</f>
        <v>0</v>
      </c>
      <c r="F53" s="166">
        <f>+'1'!I55+'2'!I55+'3'!I55+'4'!I55+'5'!I55+'6'!I55+'7'!I55+'8'!I55+'9'!I55+'10'!I55+'11'!I55+'12'!I55+'13'!I55+'14'!I55+'15'!I55+'16'!I55+'17'!I55+'18'!I55+'19'!I55+'20'!I55+'21'!I55+'22'!I55+'23'!I55+'24'!I55+'25'!I55+'26'!I55+'27'!I55</f>
        <v>0</v>
      </c>
      <c r="G53" s="166">
        <f ca="1">+'1'!J55+'2'!J55+'3'!J55+'4'!J55+'5'!J55+'6'!J55+'7'!J55+'8'!J55+'9'!J55+'10'!J55+'11'!J55+'12'!J55+'13'!J55+'14'!J55+'15'!J55+'16'!J55+'17'!J55+'18'!J55+'19'!J55+'20'!J55+'21'!J55+'22'!J55+'23'!J55+'24'!J55+'25'!J55+'26'!J55+'27'!J55</f>
        <v>0</v>
      </c>
      <c r="H53" s="166">
        <f ca="1">+'1'!K55+'2'!K55+'3'!K55+'4'!K55+'5'!K55+'6'!K55+'7'!K55+'8'!K55+'9'!K55+'10'!K55+'11'!K55+'12'!K55+'13'!K55+'14'!K55+'15'!K55+'16'!K55+'17'!K55+'18'!K55+'19'!K55+'20'!K55+'21'!K55+'22'!K55+'23'!K55+'24'!K55+'25'!K55+'26'!K55+'27'!K55</f>
        <v>0</v>
      </c>
      <c r="I53" s="166">
        <f ca="1">+'1'!M55+'2'!M55+'3'!M55+'4'!M55+'5'!M55+'6'!M55+'7'!M55+'8'!M55+'9'!M55+'10'!M55+'11'!M55+'12'!M55+'13'!M55+'14'!M55+'15'!M55+'16'!M55+'17'!M55+'18'!M55+'19'!M55+'20'!M55+'21'!M55+'22'!M55+'23'!M55+'24'!M55+'25'!M55+'26'!M55+'27'!M55</f>
        <v>0</v>
      </c>
      <c r="O53" s="21" t="s">
        <v>218</v>
      </c>
    </row>
    <row r="54" spans="1:15">
      <c r="A54" s="64">
        <f>+'Taxes RCA 2022'!A50</f>
        <v>39</v>
      </c>
      <c r="B54" s="68" t="str">
        <f>+'Taxes RCA 2022'!B50</f>
        <v>Transfert infranational au titre de la taxe d'abattage (+)</v>
      </c>
      <c r="C54" s="165">
        <f>+'1'!E57+'2'!E57+'3'!E57+'4'!E57+'5'!E57+'6'!E57+'7'!E57+'8'!E57+'9'!E57+'10'!E57+'11'!E57+'12'!E57+'13'!E57+'14'!E57+'15'!E57+'16'!E57+'17'!E57+'18'!E57+'19'!E57+'20'!E57+'21'!E57+'22'!E57+'23'!E57+'24'!E57+'25'!E57+'26'!E57+'27'!E57</f>
        <v>0</v>
      </c>
      <c r="D54" s="165">
        <f>+'1'!F57+'2'!F57+'3'!F57+'4'!F57+'5'!F57+'6'!F57+'7'!F57+'8'!F57+'9'!F57+'10'!F57+'11'!F57+'12'!F57+'13'!F57+'14'!F57+'15'!F57+'16'!F57+'17'!F57+'18'!F57+'19'!F57+'20'!F57+'21'!F57+'22'!F57+'23'!F57+'24'!F57+'25'!F57+'26'!F57+'27'!F57</f>
        <v>0</v>
      </c>
      <c r="E54" s="165">
        <f>+'1'!G57+'2'!G57+'3'!G57+'4'!G57+'5'!G57+'6'!G57+'7'!G57+'8'!G57+'9'!G57+'10'!G57+'11'!G57+'12'!G57+'13'!G57+'14'!G57+'15'!G57+'16'!G57+'17'!G57+'18'!G57+'19'!G57+'20'!G57+'21'!G57+'22'!G57+'23'!G57+'24'!G57+'25'!G57+'26'!G57+'27'!G57</f>
        <v>0</v>
      </c>
      <c r="F54" s="165">
        <f>+'1'!I57+'2'!I57+'3'!I57+'4'!I57+'5'!I57+'6'!I57+'7'!I57+'8'!I57+'9'!I57+'10'!I57+'11'!I57+'12'!I57+'13'!I57+'14'!I57+'15'!I57+'16'!I57+'17'!I57+'18'!I57+'19'!I57+'20'!I57+'21'!I57+'22'!I57+'23'!I57+'24'!I57+'25'!I57+'26'!I57+'27'!I57</f>
        <v>0</v>
      </c>
      <c r="G54" s="165">
        <f ca="1">+'1'!J57+'2'!J57+'3'!J57+'4'!J57+'5'!J57+'6'!J57+'7'!J57+'8'!J57+'9'!J57+'10'!J57+'11'!J57+'12'!J57+'13'!J57+'14'!J57+'15'!J57+'16'!J57+'17'!J57+'18'!J57+'19'!J57+'20'!J57+'21'!J57+'22'!J57+'23'!J57+'24'!J57+'25'!J57+'26'!J57+'27'!J57</f>
        <v>0</v>
      </c>
      <c r="H54" s="165">
        <f ca="1">+'1'!K57+'2'!K57+'3'!K57+'4'!K57+'5'!K57+'6'!K57+'7'!K57+'8'!K57+'9'!K57+'10'!K57+'11'!K57+'12'!K57+'13'!K57+'14'!K57+'15'!K57+'16'!K57+'17'!K57+'18'!K57+'19'!K57+'20'!K57+'21'!K57+'22'!K57+'23'!K57+'24'!K57+'25'!K57+'26'!K57+'27'!K57</f>
        <v>0</v>
      </c>
      <c r="I54" s="165">
        <f ca="1">+'1'!M57+'2'!M57+'3'!M57+'4'!M57+'5'!M57+'6'!M57+'7'!M57+'8'!M57+'9'!M57+'10'!M57+'11'!M57+'12'!M57+'13'!M57+'14'!M57+'15'!M57+'16'!M57+'17'!M57+'18'!M57+'19'!M57+'20'!M57+'21'!M57+'22'!M57+'23'!M57+'24'!M57+'25'!M57+'26'!M57+'27'!M57</f>
        <v>0</v>
      </c>
      <c r="O54" s="21" t="s">
        <v>219</v>
      </c>
    </row>
    <row r="55" spans="1:15">
      <c r="A55" s="53">
        <f>+'Taxes RCA 2022'!A51</f>
        <v>40</v>
      </c>
      <c r="B55" s="18" t="str">
        <f>+'Taxes RCA 2022'!B51</f>
        <v>Transfert infranational au titre de la taxe reboisement (+)</v>
      </c>
      <c r="C55" s="114">
        <f>+'1'!E58+'2'!E58+'3'!E58+'4'!E58+'5'!E58+'6'!E58+'7'!E58+'8'!E58+'9'!E58+'10'!E58+'11'!E58+'12'!E58+'13'!E58+'14'!E58+'15'!E58+'16'!E58+'17'!E58+'18'!E58+'19'!E58+'20'!E58+'21'!E58+'22'!E58+'23'!E58+'24'!E58+'25'!E58+'26'!E58+'27'!E58</f>
        <v>0</v>
      </c>
      <c r="D55" s="114">
        <f>+'1'!F58+'2'!F58+'3'!F58+'4'!F58+'5'!F58+'6'!F58+'7'!F58+'8'!F58+'9'!F58+'10'!F58+'11'!F58+'12'!F58+'13'!F58+'14'!F58+'15'!F58+'16'!F58+'17'!F58+'18'!F58+'19'!F58+'20'!F58+'21'!F58+'22'!F58+'23'!F58+'24'!F58+'25'!F58+'26'!F58+'27'!F58</f>
        <v>0</v>
      </c>
      <c r="E55" s="114">
        <f>+'1'!G58+'2'!G58+'3'!G58+'4'!G58+'5'!G58+'6'!G58+'7'!G58+'8'!G58+'9'!G58+'10'!G58+'11'!G58+'12'!G58+'13'!G58+'14'!G58+'15'!G58+'16'!G58+'17'!G58+'18'!G58+'19'!G58+'20'!G58+'21'!G58+'22'!G58+'23'!G58+'24'!G58+'25'!G58+'26'!G58+'27'!G58</f>
        <v>0</v>
      </c>
      <c r="F55" s="114">
        <f>+'1'!I58+'2'!I58+'3'!I58+'4'!I58+'5'!I58+'6'!I58+'7'!I58+'8'!I58+'9'!I58+'10'!I58+'11'!I58+'12'!I58+'13'!I58+'14'!I58+'15'!I58+'16'!I58+'17'!I58+'18'!I58+'19'!I58+'20'!I58+'21'!I58+'22'!I58+'23'!I58+'24'!I58+'25'!I58+'26'!I58+'27'!I58</f>
        <v>0</v>
      </c>
      <c r="G55" s="114">
        <f ca="1">+'1'!J58+'2'!J58+'3'!J58+'4'!J58+'5'!J58+'6'!J58+'7'!J58+'8'!J58+'9'!J58+'10'!J58+'11'!J58+'12'!J58+'13'!J58+'14'!J58+'15'!J58+'16'!J58+'17'!J58+'18'!J58+'19'!J58+'20'!J58+'21'!J58+'22'!J58+'23'!J58+'24'!J58+'25'!J58+'26'!J58+'27'!J58</f>
        <v>0</v>
      </c>
      <c r="H55" s="114">
        <f ca="1">+'1'!K58+'2'!K58+'3'!K58+'4'!K58+'5'!K58+'6'!K58+'7'!K58+'8'!K58+'9'!K58+'10'!K58+'11'!K58+'12'!K58+'13'!K58+'14'!K58+'15'!K58+'16'!K58+'17'!K58+'18'!K58+'19'!K58+'20'!K58+'21'!K58+'22'!K58+'23'!K58+'24'!K58+'25'!K58+'26'!K58+'27'!K58</f>
        <v>0</v>
      </c>
      <c r="I55" s="114">
        <f ca="1">+'1'!M58+'2'!M58+'3'!M58+'4'!M58+'5'!M58+'6'!M58+'7'!M58+'8'!M58+'9'!M58+'10'!M58+'11'!M58+'12'!M58+'13'!M58+'14'!M58+'15'!M58+'16'!M58+'17'!M58+'18'!M58+'19'!M58+'20'!M58+'21'!M58+'22'!M58+'23'!M58+'24'!M58+'25'!M58+'26'!M58+'27'!M58</f>
        <v>0</v>
      </c>
      <c r="O55" s="21" t="s">
        <v>220</v>
      </c>
    </row>
    <row r="56" spans="1:15">
      <c r="A56" s="64">
        <f>+'Taxes RCA 2022'!A52</f>
        <v>41</v>
      </c>
      <c r="B56" s="68" t="str">
        <f>+'Taxes RCA 2022'!B52</f>
        <v>Transfert infranational au titre de la taxe environnementale (+)</v>
      </c>
      <c r="C56" s="165">
        <f>+'1'!E59+'2'!E59+'3'!E59+'4'!E59+'5'!E59+'6'!E59+'7'!E59+'8'!E59+'9'!E59+'10'!E59+'11'!E59+'12'!E59+'13'!E59+'14'!E59+'15'!E59+'16'!E59+'17'!E59+'18'!E59+'19'!E59+'20'!E59+'21'!E59+'22'!E59+'23'!E59+'24'!E59+'25'!E59+'26'!E59+'27'!E59</f>
        <v>0</v>
      </c>
      <c r="D56" s="165">
        <f>+'1'!F59+'2'!F59+'3'!F59+'4'!F59+'5'!F59+'6'!F59+'7'!F59+'8'!F59+'9'!F59+'10'!F59+'11'!F59+'12'!F59+'13'!F59+'14'!F59+'15'!F59+'16'!F59+'17'!F59+'18'!F59+'19'!F59+'20'!F59+'21'!F59+'22'!F59+'23'!F59+'24'!F59+'25'!F59+'26'!F59+'27'!F59</f>
        <v>0</v>
      </c>
      <c r="E56" s="165">
        <f>+'1'!G59+'2'!G59+'3'!G59+'4'!G59+'5'!G59+'6'!G59+'7'!G59+'8'!G59+'9'!G59+'10'!G59+'11'!G59+'12'!G59+'13'!G59+'14'!G59+'15'!G59+'16'!G59+'17'!G59+'18'!G59+'19'!G59+'20'!G59+'21'!G59+'22'!G59+'23'!G59+'24'!G59+'25'!G59+'26'!G59+'27'!G59</f>
        <v>0</v>
      </c>
      <c r="F56" s="165">
        <f>+'1'!I59+'2'!I59+'3'!I59+'4'!I59+'5'!I59+'6'!I59+'7'!I59+'8'!I59+'9'!I59+'10'!I59+'11'!I59+'12'!I59+'13'!I59+'14'!I59+'15'!I59+'16'!I59+'17'!I59+'18'!I59+'19'!I59+'20'!I59+'21'!I59+'22'!I59+'23'!I59+'24'!I59+'25'!I59+'26'!I59+'27'!I59</f>
        <v>0</v>
      </c>
      <c r="G56" s="165">
        <f ca="1">+'1'!J59+'2'!J59+'3'!J59+'4'!J59+'5'!J59+'6'!J59+'7'!J59+'8'!J59+'9'!J59+'10'!J59+'11'!J59+'12'!J59+'13'!J59+'14'!J59+'15'!J59+'16'!J59+'17'!J59+'18'!J59+'19'!J59+'20'!J59+'21'!J59+'22'!J59+'23'!J59+'24'!J59+'25'!J59+'26'!J59+'27'!J59</f>
        <v>0</v>
      </c>
      <c r="H56" s="165">
        <f ca="1">+'1'!K59+'2'!K59+'3'!K59+'4'!K59+'5'!K59+'6'!K59+'7'!K59+'8'!K59+'9'!K59+'10'!K59+'11'!K59+'12'!K59+'13'!K59+'14'!K59+'15'!K59+'16'!K59+'17'!K59+'18'!K59+'19'!K59+'20'!K59+'21'!K59+'22'!K59+'23'!K59+'24'!K59+'25'!K59+'26'!K59+'27'!K59</f>
        <v>0</v>
      </c>
      <c r="I56" s="165">
        <f ca="1">+'1'!M59+'2'!M59+'3'!M59+'4'!M59+'5'!M59+'6'!M59+'7'!M59+'8'!M59+'9'!M59+'10'!M59+'11'!M59+'12'!M59+'13'!M59+'14'!M59+'15'!M59+'16'!M59+'17'!M59+'18'!M59+'19'!M59+'20'!M59+'21'!M59+'22'!M59+'23'!M59+'24'!M59+'25'!M59+'26'!M59+'27'!M59</f>
        <v>0</v>
      </c>
      <c r="O56" s="21" t="s">
        <v>221</v>
      </c>
    </row>
    <row r="57" spans="1:15">
      <c r="A57" s="53">
        <f>+'Taxes RCA 2022'!A53</f>
        <v>42</v>
      </c>
      <c r="B57" s="18" t="str">
        <f>+'Taxes RCA 2022'!B53</f>
        <v>Droit de sortie (DS)/Taxe Export (+)</v>
      </c>
      <c r="C57" s="114">
        <f>+'1'!E60+'2'!E60+'3'!E60+'4'!E60+'5'!E60+'6'!E60+'7'!E60+'8'!E60+'9'!E60+'10'!E60+'11'!E60+'12'!E60+'13'!E60+'14'!E60+'15'!E60+'16'!E60+'17'!E60+'18'!E60+'19'!E60+'20'!E60+'21'!E60+'22'!E60+'23'!E60+'24'!E60+'25'!E60+'26'!E60+'27'!E60</f>
        <v>0</v>
      </c>
      <c r="D57" s="114">
        <f>+'1'!F60+'2'!F60+'3'!F60+'4'!F60+'5'!F60+'6'!F60+'7'!F60+'8'!F60+'9'!F60+'10'!F60+'11'!F60+'12'!F60+'13'!F60+'14'!F60+'15'!F60+'16'!F60+'17'!F60+'18'!F60+'19'!F60+'20'!F60+'21'!F60+'22'!F60+'23'!F60+'24'!F60+'25'!F60+'26'!F60+'27'!F60</f>
        <v>0</v>
      </c>
      <c r="E57" s="114">
        <f>+'1'!G60+'2'!G60+'3'!G60+'4'!G60+'5'!G60+'6'!G60+'7'!G60+'8'!G60+'9'!G60+'10'!G60+'11'!G60+'12'!G60+'13'!G60+'14'!G60+'15'!G60+'16'!G60+'17'!G60+'18'!G60+'19'!G60+'20'!G60+'21'!G60+'22'!G60+'23'!G60+'24'!G60+'25'!G60+'26'!G60+'27'!G60</f>
        <v>0</v>
      </c>
      <c r="F57" s="114">
        <f>+'1'!I60+'2'!I60+'3'!I60+'4'!I60+'5'!I60+'6'!I60+'7'!I60+'8'!I60+'9'!I60+'10'!I60+'11'!I60+'12'!I60+'13'!I60+'14'!I60+'15'!I60+'16'!I60+'17'!I60+'18'!I60+'19'!I60+'20'!I60+'21'!I60+'22'!I60+'23'!I60+'24'!I60+'25'!I60+'26'!I60+'27'!I60</f>
        <v>0</v>
      </c>
      <c r="G57" s="114">
        <f ca="1">+'1'!J60+'2'!J60+'3'!J60+'4'!J60+'5'!J60+'6'!J60+'7'!J60+'8'!J60+'9'!J60+'10'!J60+'11'!J60+'12'!J60+'13'!J60+'14'!J60+'15'!J60+'16'!J60+'17'!J60+'18'!J60+'19'!J60+'20'!J60+'21'!J60+'22'!J60+'23'!J60+'24'!J60+'25'!J60+'26'!J60+'27'!J60</f>
        <v>0</v>
      </c>
      <c r="H57" s="114">
        <f ca="1">+'1'!K60+'2'!K60+'3'!K60+'4'!K60+'5'!K60+'6'!K60+'7'!K60+'8'!K60+'9'!K60+'10'!K60+'11'!K60+'12'!K60+'13'!K60+'14'!K60+'15'!K60+'16'!K60+'17'!K60+'18'!K60+'19'!K60+'20'!K60+'21'!K60+'22'!K60+'23'!K60+'24'!K60+'25'!K60+'26'!K60+'27'!K60</f>
        <v>0</v>
      </c>
      <c r="I57" s="114">
        <f ca="1">+'1'!M60+'2'!M60+'3'!M60+'4'!M60+'5'!M60+'6'!M60+'7'!M60+'8'!M60+'9'!M60+'10'!M60+'11'!M60+'12'!M60+'13'!M60+'14'!M60+'15'!M60+'16'!M60+'17'!M60+'18'!M60+'19'!M60+'20'!M60+'21'!M60+'22'!M60+'23'!M60+'24'!M60+'25'!M60+'26'!M60+'27'!M60</f>
        <v>0</v>
      </c>
      <c r="O57" s="21" t="s">
        <v>203</v>
      </c>
    </row>
    <row r="58" spans="1:15">
      <c r="A58" s="64">
        <f>+'Taxes RCA 2022'!A54</f>
        <v>43</v>
      </c>
      <c r="B58" s="68" t="str">
        <f>+'Taxes RCA 2022'!B54</f>
        <v xml:space="preserve">Autres transferts au profit des communes </v>
      </c>
      <c r="C58" s="165">
        <f>+'1'!E61+'2'!E61+'3'!E61+'4'!E61+'5'!E61+'6'!E61+'7'!E61+'8'!E61+'9'!E61+'10'!E61+'11'!E61+'12'!E61+'13'!E61+'14'!E61+'15'!E61+'16'!E61+'17'!E61+'18'!E61+'19'!E61+'20'!E61+'21'!E61+'22'!E61+'23'!E61+'24'!E61+'25'!E61+'26'!E61+'27'!E61</f>
        <v>0</v>
      </c>
      <c r="D58" s="165">
        <f>+'1'!F61+'2'!F61+'3'!F61+'4'!F61+'5'!F61+'6'!F61+'7'!F61+'8'!F61+'9'!F61+'10'!F61+'11'!F61+'12'!F61+'13'!F61+'14'!F61+'15'!F61+'16'!F61+'17'!F61+'18'!F61+'19'!F61+'20'!F61+'21'!F61+'22'!F61+'23'!F61+'24'!F61+'25'!F61+'26'!F61+'27'!F61</f>
        <v>0</v>
      </c>
      <c r="E58" s="165">
        <f>+'1'!G61+'2'!G61+'3'!G61+'4'!G61+'5'!G61+'6'!G61+'7'!G61+'8'!G61+'9'!G61+'10'!G61+'11'!G61+'12'!G61+'13'!G61+'14'!G61+'15'!G61+'16'!G61+'17'!G61+'18'!G61+'19'!G61+'20'!G61+'21'!G61+'22'!G61+'23'!G61+'24'!G61+'25'!G61+'26'!G61+'27'!G61</f>
        <v>0</v>
      </c>
      <c r="F58" s="165">
        <f>+'1'!I61+'2'!I61+'3'!I61+'4'!I61+'5'!I61+'6'!I61+'7'!I61+'8'!I61+'9'!I61+'10'!I61+'11'!I61+'12'!I61+'13'!I61+'14'!I61+'15'!I61+'16'!I61+'17'!I61+'18'!I61+'19'!I61+'20'!I61+'21'!I61+'22'!I61+'23'!I61+'24'!I61+'25'!I61+'26'!I61+'27'!I61</f>
        <v>0</v>
      </c>
      <c r="G58" s="165">
        <f ca="1">+'1'!J61+'2'!J61+'3'!J61+'4'!J61+'5'!J61+'6'!J61+'7'!J61+'8'!J61+'9'!J61+'10'!J61+'11'!J61+'12'!J61+'13'!J61+'14'!J61+'15'!J61+'16'!J61+'17'!J61+'18'!J61+'19'!J61+'20'!J61+'21'!J61+'22'!J61+'23'!J61+'24'!J61+'25'!J61+'26'!J61+'27'!J61</f>
        <v>0</v>
      </c>
      <c r="H58" s="165">
        <f ca="1">+'1'!K61+'2'!K61+'3'!K61+'4'!K61+'5'!K61+'6'!K61+'7'!K61+'8'!K61+'9'!K61+'10'!K61+'11'!K61+'12'!K61+'13'!K61+'14'!K61+'15'!K61+'16'!K61+'17'!K61+'18'!K61+'19'!K61+'20'!K61+'21'!K61+'22'!K61+'23'!K61+'24'!K61+'25'!K61+'26'!K61+'27'!K61</f>
        <v>0</v>
      </c>
      <c r="I58" s="165">
        <f ca="1">+'1'!M61+'2'!M61+'3'!M61+'4'!M61+'5'!M61+'6'!M61+'7'!M61+'8'!M61+'9'!M61+'10'!M61+'11'!M61+'12'!M61+'13'!M61+'14'!M61+'15'!M61+'16'!M61+'17'!M61+'18'!M61+'19'!M61+'20'!M61+'21'!M61+'22'!M61+'23'!M61+'24'!M61+'25'!M61+'26'!M61+'27'!M61</f>
        <v>0</v>
      </c>
      <c r="O58" s="21" t="s">
        <v>222</v>
      </c>
    </row>
    <row r="59" spans="1:15">
      <c r="A59" s="163"/>
      <c r="B59" s="58" t="str">
        <f>+'Taxes RCA 2022'!B55</f>
        <v>DGTCP (DGP)</v>
      </c>
      <c r="C59" s="166">
        <f>+'1'!E62+'2'!E62+'3'!E62+'4'!E62+'5'!E62+'6'!E62+'7'!E62+'8'!E62+'9'!E62+'10'!E62+'11'!E62+'12'!E62+'13'!E62+'14'!E62+'15'!E62+'16'!E62+'17'!E62+'18'!E62+'19'!E62+'20'!E62+'21'!E62+'22'!E62+'23'!E62+'24'!E62+'25'!E62+'26'!E62+'27'!E62</f>
        <v>0</v>
      </c>
      <c r="D59" s="166">
        <f>+'1'!F62+'2'!F62+'3'!F62+'4'!F62+'5'!F62+'6'!F62+'7'!F62+'8'!F62+'9'!F62+'10'!F62+'11'!F62+'12'!F62+'13'!F62+'14'!F62+'15'!F62+'16'!F62+'17'!F62+'18'!F62+'19'!F62+'20'!F62+'21'!F62+'22'!F62+'23'!F62+'24'!F62+'25'!F62+'26'!F62+'27'!F62</f>
        <v>0</v>
      </c>
      <c r="E59" s="166">
        <f>+'1'!G62+'2'!G62+'3'!G62+'4'!G62+'5'!G62+'6'!G62+'7'!G62+'8'!G62+'9'!G62+'10'!G62+'11'!G62+'12'!G62+'13'!G62+'14'!G62+'15'!G62+'16'!G62+'17'!G62+'18'!G62+'19'!G62+'20'!G62+'21'!G62+'22'!G62+'23'!G62+'24'!G62+'25'!G62+'26'!G62+'27'!G62</f>
        <v>0</v>
      </c>
      <c r="F59" s="166">
        <f>+'1'!I62+'2'!I62+'3'!I62+'4'!I62+'5'!I62+'6'!I62+'7'!I62+'8'!I62+'9'!I62+'10'!I62+'11'!I62+'12'!I62+'13'!I62+'14'!I62+'15'!I62+'16'!I62+'17'!I62+'18'!I62+'19'!I62+'20'!I62+'21'!I62+'22'!I62+'23'!I62+'24'!I62+'25'!I62+'26'!I62+'27'!I62</f>
        <v>0</v>
      </c>
      <c r="G59" s="166">
        <f ca="1">+'1'!J62+'2'!J62+'3'!J62+'4'!J62+'5'!J62+'6'!J62+'7'!J62+'8'!J62+'9'!J62+'10'!J62+'11'!J62+'12'!J62+'13'!J62+'14'!J62+'15'!J62+'16'!J62+'17'!J62+'18'!J62+'19'!J62+'20'!J62+'21'!J62+'22'!J62+'23'!J62+'24'!J62+'25'!J62+'26'!J62+'27'!J62</f>
        <v>0</v>
      </c>
      <c r="H59" s="166">
        <f ca="1">+'1'!K62+'2'!K62+'3'!K62+'4'!K62+'5'!K62+'6'!K62+'7'!K62+'8'!K62+'9'!K62+'10'!K62+'11'!K62+'12'!K62+'13'!K62+'14'!K62+'15'!K62+'16'!K62+'17'!K62+'18'!K62+'19'!K62+'20'!K62+'21'!K62+'22'!K62+'23'!K62+'24'!K62+'25'!K62+'26'!K62+'27'!K62</f>
        <v>0</v>
      </c>
      <c r="I59" s="166">
        <f ca="1">+'1'!M62+'2'!M62+'3'!M62+'4'!M62+'5'!M62+'6'!M62+'7'!M62+'8'!M62+'9'!M62+'10'!M62+'11'!M62+'12'!M62+'13'!M62+'14'!M62+'15'!M62+'16'!M62+'17'!M62+'18'!M62+'19'!M62+'20'!M62+'21'!M62+'22'!M62+'23'!M62+'24'!M62+'25'!M62+'26'!M62+'27'!M62</f>
        <v>0</v>
      </c>
      <c r="O59" s="21" t="s">
        <v>206</v>
      </c>
    </row>
    <row r="60" spans="1:15">
      <c r="A60" s="53">
        <f>+'Taxes RCA 2022'!A56</f>
        <v>44</v>
      </c>
      <c r="B60" s="18" t="str">
        <f>+'Taxes RCA 2022'!B56</f>
        <v xml:space="preserve">Fonds du soutien à la Promotion Pétrolière </v>
      </c>
      <c r="C60" s="114">
        <f>+'1'!E63+'2'!E63+'3'!E63+'4'!E63+'5'!E63+'6'!E63+'7'!E63+'8'!E63+'9'!E63+'10'!E63+'11'!E63+'12'!E63+'13'!E63+'14'!E63+'15'!E63+'16'!E63+'17'!E63+'18'!E63+'19'!E63+'20'!E63+'21'!E63+'22'!E63+'23'!E63+'24'!E63+'25'!E63+'26'!E63+'27'!E63</f>
        <v>0</v>
      </c>
      <c r="D60" s="114">
        <f>+'1'!F63+'2'!F63+'3'!F63+'4'!F63+'5'!F63+'6'!F63+'7'!F63+'8'!F63+'9'!F63+'10'!F63+'11'!F63+'12'!F63+'13'!F63+'14'!F63+'15'!F63+'16'!F63+'17'!F63+'18'!F63+'19'!F63+'20'!F63+'21'!F63+'22'!F63+'23'!F63+'24'!F63+'25'!F63+'26'!F63+'27'!F63</f>
        <v>0</v>
      </c>
      <c r="E60" s="114">
        <f>+'1'!G63+'2'!G63+'3'!G63+'4'!G63+'5'!G63+'6'!G63+'7'!G63+'8'!G63+'9'!G63+'10'!G63+'11'!G63+'12'!G63+'13'!G63+'14'!G63+'15'!G63+'16'!G63+'17'!G63+'18'!G63+'19'!G63+'20'!G63+'21'!G63+'22'!G63+'23'!G63+'24'!G63+'25'!G63+'26'!G63+'27'!G63</f>
        <v>0</v>
      </c>
      <c r="F60" s="114">
        <f>+'1'!I63+'2'!I63+'3'!I63+'4'!I63+'5'!I63+'6'!I63+'7'!I63+'8'!I63+'9'!I63+'10'!I63+'11'!I63+'12'!I63+'13'!I63+'14'!I63+'15'!I63+'16'!I63+'17'!I63+'18'!I63+'19'!I63+'20'!I63+'21'!I63+'22'!I63+'23'!I63+'24'!I63+'25'!I63+'26'!I63+'27'!I63</f>
        <v>0</v>
      </c>
      <c r="G60" s="114">
        <f ca="1">+'1'!J63+'2'!J63+'3'!J63+'4'!J63+'5'!J63+'6'!J63+'7'!J63+'8'!J63+'9'!J63+'10'!J63+'11'!J63+'12'!J63+'13'!J63+'14'!J63+'15'!J63+'16'!J63+'17'!J63+'18'!J63+'19'!J63+'20'!J63+'21'!J63+'22'!J63+'23'!J63+'24'!J63+'25'!J63+'26'!J63+'27'!J63</f>
        <v>0</v>
      </c>
      <c r="H60" s="114">
        <f ca="1">+'1'!K63+'2'!K63+'3'!K63+'4'!K63+'5'!K63+'6'!K63+'7'!K63+'8'!K63+'9'!K63+'10'!K63+'11'!K63+'12'!K63+'13'!K63+'14'!K63+'15'!K63+'16'!K63+'17'!K63+'18'!K63+'19'!K63+'20'!K63+'21'!K63+'22'!K63+'23'!K63+'24'!K63+'25'!K63+'26'!K63+'27'!K63</f>
        <v>0</v>
      </c>
      <c r="I60" s="114">
        <f ca="1">+'1'!M63+'2'!M63+'3'!M63+'4'!M63+'5'!M63+'6'!M63+'7'!M63+'8'!M63+'9'!M63+'10'!M63+'11'!M63+'12'!M63+'13'!M63+'14'!M63+'15'!M63+'16'!M63+'17'!M63+'18'!M63+'19'!M63+'20'!M63+'21'!M63+'22'!M63+'23'!M63+'24'!M63+'25'!M63+'26'!M63+'27'!M63</f>
        <v>0</v>
      </c>
      <c r="O60" s="21" t="s">
        <v>205</v>
      </c>
    </row>
    <row r="61" spans="1:15">
      <c r="A61" s="64">
        <f>+'Taxes RCA 2022'!A57</f>
        <v>45</v>
      </c>
      <c r="B61" s="68" t="str">
        <f>+'Taxes RCA 2022'!B57</f>
        <v>Fonds de Soutien aux projets de Développement Communautaire</v>
      </c>
      <c r="C61" s="165">
        <f>+'1'!E64+'2'!E64+'3'!E64+'4'!E64+'5'!E64+'6'!E64+'7'!E64+'8'!E64+'9'!E64+'10'!E64+'11'!E64+'12'!E64+'13'!E64+'14'!E64+'15'!E64+'16'!E64+'17'!E64+'18'!E64+'19'!E64+'20'!E64+'21'!E64+'22'!E64+'23'!E64+'24'!E64+'25'!E64+'26'!E64+'27'!E64</f>
        <v>0</v>
      </c>
      <c r="D61" s="165">
        <f>+'1'!F64+'2'!F64+'3'!F64+'4'!F64+'5'!F64+'6'!F64+'7'!F64+'8'!F64+'9'!F64+'10'!F64+'11'!F64+'12'!F64+'13'!F64+'14'!F64+'15'!F64+'16'!F64+'17'!F64+'18'!F64+'19'!F64+'20'!F64+'21'!F64+'22'!F64+'23'!F64+'24'!F64+'25'!F64+'26'!F64+'27'!F64</f>
        <v>0</v>
      </c>
      <c r="E61" s="165">
        <f>+'1'!G64+'2'!G64+'3'!G64+'4'!G64+'5'!G64+'6'!G64+'7'!G64+'8'!G64+'9'!G64+'10'!G64+'11'!G64+'12'!G64+'13'!G64+'14'!G64+'15'!G64+'16'!G64+'17'!G64+'18'!G64+'19'!G64+'20'!G64+'21'!G64+'22'!G64+'23'!G64+'24'!G64+'25'!G64+'26'!G64+'27'!G64</f>
        <v>0</v>
      </c>
      <c r="F61" s="165">
        <f>+'1'!I64+'2'!I64+'3'!I64+'4'!I64+'5'!I64+'6'!I64+'7'!I64+'8'!I64+'9'!I64+'10'!I64+'11'!I64+'12'!I64+'13'!I64+'14'!I64+'15'!I64+'16'!I64+'17'!I64+'18'!I64+'19'!I64+'20'!I64+'21'!I64+'22'!I64+'23'!I64+'24'!I64+'25'!I64+'26'!I64+'27'!I64</f>
        <v>0</v>
      </c>
      <c r="G61" s="165">
        <f ca="1">+'1'!J64+'2'!J64+'3'!J64+'4'!J64+'5'!J64+'6'!J64+'7'!J64+'8'!J64+'9'!J64+'10'!J64+'11'!J64+'12'!J64+'13'!J64+'14'!J64+'15'!J64+'16'!J64+'17'!J64+'18'!J64+'19'!J64+'20'!J64+'21'!J64+'22'!J64+'23'!J64+'24'!J64+'25'!J64+'26'!J64+'27'!J64</f>
        <v>0</v>
      </c>
      <c r="H61" s="165">
        <f ca="1">+'1'!K64+'2'!K64+'3'!K64+'4'!K64+'5'!K64+'6'!K64+'7'!K64+'8'!K64+'9'!K64+'10'!K64+'11'!K64+'12'!K64+'13'!K64+'14'!K64+'15'!K64+'16'!K64+'17'!K64+'18'!K64+'19'!K64+'20'!K64+'21'!K64+'22'!K64+'23'!K64+'24'!K64+'25'!K64+'26'!K64+'27'!K64</f>
        <v>0</v>
      </c>
      <c r="I61" s="165">
        <f ca="1">+'1'!M64+'2'!M64+'3'!M64+'4'!M64+'5'!M64+'6'!M64+'7'!M64+'8'!M64+'9'!M64+'10'!M64+'11'!M64+'12'!M64+'13'!M64+'14'!M64+'15'!M64+'16'!M64+'17'!M64+'18'!M64+'19'!M64+'20'!M64+'21'!M64+'22'!M64+'23'!M64+'24'!M64+'25'!M64+'26'!M64+'27'!M64</f>
        <v>0</v>
      </c>
      <c r="O61" s="21" t="s">
        <v>207</v>
      </c>
    </row>
    <row r="62" spans="1:15">
      <c r="A62" s="163"/>
      <c r="B62" s="58" t="str">
        <f>+'Taxes RCA 2022'!B58</f>
        <v xml:space="preserve">Paiements Sociaux </v>
      </c>
      <c r="C62" s="166">
        <f>+'1'!E65+'2'!E65+'3'!E65+'4'!E65+'5'!E65+'6'!E65+'7'!E65+'8'!E65+'9'!E65+'10'!E65+'11'!E65+'12'!E65+'13'!E65+'14'!E65+'15'!E65+'16'!E65+'17'!E65+'18'!E65+'19'!E65+'20'!E65+'21'!E65+'22'!E65+'23'!E65+'24'!E65+'25'!E65+'26'!E65+'27'!E65</f>
        <v>9489800</v>
      </c>
      <c r="D62" s="166">
        <f>+'1'!F65+'2'!F65+'3'!F65+'4'!F65+'5'!F65+'6'!F65+'7'!F65+'8'!F65+'9'!F65+'10'!F65+'11'!F65+'12'!F65+'13'!F65+'14'!F65+'15'!F65+'16'!F65+'17'!F65+'18'!F65+'19'!F65+'20'!F65+'21'!F65+'22'!F65+'23'!F65+'24'!F65+'25'!F65+'26'!F65+'27'!F65</f>
        <v>-9489800</v>
      </c>
      <c r="E62" s="166">
        <f>+'1'!G65+'2'!G65+'3'!G65+'4'!G65+'5'!G65+'6'!G65+'7'!G65+'8'!G65+'9'!G65+'10'!G65+'11'!G65+'12'!G65+'13'!G65+'14'!G65+'15'!G65+'16'!G65+'17'!G65+'18'!G65+'19'!G65+'20'!G65+'21'!G65+'22'!G65+'23'!G65+'24'!G65+'25'!G65+'26'!G65+'27'!G65</f>
        <v>0</v>
      </c>
      <c r="F62" s="166">
        <f>+'1'!I65+'2'!I65+'3'!I65+'4'!I65+'5'!I65+'6'!I65+'7'!I65+'8'!I65+'9'!I65+'10'!I65+'11'!I65+'12'!I65+'13'!I65+'14'!I65+'15'!I65+'16'!I65+'17'!I65+'18'!I65+'19'!I65+'20'!I65+'21'!I65+'22'!I65+'23'!I65+'24'!I65+'25'!I65+'26'!I65+'27'!I65</f>
        <v>0</v>
      </c>
      <c r="G62" s="166">
        <f ca="1">+'1'!J65+'2'!J65+'3'!J65+'4'!J65+'5'!J65+'6'!J65+'7'!J65+'8'!J65+'9'!J65+'10'!J65+'11'!J65+'12'!J65+'13'!J65+'14'!J65+'15'!J65+'16'!J65+'17'!J65+'18'!J65+'19'!J65+'20'!J65+'21'!J65+'22'!J65+'23'!J65+'24'!J65+'25'!J65+'26'!J65+'27'!J65</f>
        <v>0</v>
      </c>
      <c r="H62" s="166">
        <f ca="1">+'1'!K65+'2'!K65+'3'!K65+'4'!K65+'5'!K65+'6'!K65+'7'!K65+'8'!K65+'9'!K65+'10'!K65+'11'!K65+'12'!K65+'13'!K65+'14'!K65+'15'!K65+'16'!K65+'17'!K65+'18'!K65+'19'!K65+'20'!K65+'21'!K65+'22'!K65+'23'!K65+'24'!K65+'25'!K65+'26'!K65+'27'!K65</f>
        <v>0</v>
      </c>
      <c r="I62" s="166">
        <f ca="1">+'1'!M65+'2'!M65+'3'!M65+'4'!M65+'5'!M65+'6'!M65+'7'!M65+'8'!M65+'9'!M65+'10'!M65+'11'!M65+'12'!M65+'13'!M65+'14'!M65+'15'!M65+'16'!M65+'17'!M65+'18'!M65+'19'!M65+'20'!M65+'21'!M65+'22'!M65+'23'!M65+'24'!M65+'25'!M65+'26'!M65+'27'!M65</f>
        <v>0</v>
      </c>
      <c r="O62" s="21" t="s">
        <v>82</v>
      </c>
    </row>
    <row r="63" spans="1:15">
      <c r="A63" s="53">
        <f>+'Taxes RCA 2022'!A59</f>
        <v>46</v>
      </c>
      <c r="B63" s="18" t="str">
        <f>+'Taxes RCA 2022'!B59</f>
        <v>Paiements sociaux obligatoires</v>
      </c>
      <c r="C63" s="114">
        <f>+'1'!E66+'2'!E66+'3'!E66+'4'!E66+'5'!E66+'6'!E66+'7'!E66+'8'!E66+'9'!E66+'10'!E66+'11'!E66+'12'!E66+'13'!E66+'14'!E66+'15'!E66+'16'!E66+'17'!E66+'18'!E66+'19'!E66+'20'!E66+'21'!E66+'22'!E66+'23'!E66+'24'!E66+'25'!E66+'26'!E66+'27'!E66</f>
        <v>9489800</v>
      </c>
      <c r="D63" s="114">
        <f>+'1'!F66+'2'!F66+'3'!F66+'4'!F66+'5'!F66+'6'!F66+'7'!F66+'8'!F66+'9'!F66+'10'!F66+'11'!F66+'12'!F66+'13'!F66+'14'!F66+'15'!F66+'16'!F66+'17'!F66+'18'!F66+'19'!F66+'20'!F66+'21'!F66+'22'!F66+'23'!F66+'24'!F66+'25'!F66+'26'!F66+'27'!F66</f>
        <v>-9489800</v>
      </c>
      <c r="E63" s="114">
        <f>+'1'!G66+'2'!G66+'3'!G66+'4'!G66+'5'!G66+'6'!G66+'7'!G66+'8'!G66+'9'!G66+'10'!G66+'11'!G66+'12'!G66+'13'!G66+'14'!G66+'15'!G66+'16'!G66+'17'!G66+'18'!G66+'19'!G66+'20'!G66+'21'!G66+'22'!G66+'23'!G66+'24'!G66+'25'!G66+'26'!G66+'27'!G66</f>
        <v>0</v>
      </c>
      <c r="F63" s="114">
        <f>+'1'!I66+'2'!I66+'3'!I66+'4'!I66+'5'!I66+'6'!I66+'7'!I66+'8'!I66+'9'!I66+'10'!I66+'11'!I66+'12'!I66+'13'!I66+'14'!I66+'15'!I66+'16'!I66+'17'!I66+'18'!I66+'19'!I66+'20'!I66+'21'!I66+'22'!I66+'23'!I66+'24'!I66+'25'!I66+'26'!I66+'27'!I66</f>
        <v>0</v>
      </c>
      <c r="G63" s="114">
        <f ca="1">+'1'!J66+'2'!J66+'3'!J66+'4'!J66+'5'!J66+'6'!J66+'7'!J66+'8'!J66+'9'!J66+'10'!J66+'11'!J66+'12'!J66+'13'!J66+'14'!J66+'15'!J66+'16'!J66+'17'!J66+'18'!J66+'19'!J66+'20'!J66+'21'!J66+'22'!J66+'23'!J66+'24'!J66+'25'!J66+'26'!J66+'27'!J66</f>
        <v>0</v>
      </c>
      <c r="H63" s="114">
        <f ca="1">+'1'!K66+'2'!K66+'3'!K66+'4'!K66+'5'!K66+'6'!K66+'7'!K66+'8'!K66+'9'!K66+'10'!K66+'11'!K66+'12'!K66+'13'!K66+'14'!K66+'15'!K66+'16'!K66+'17'!K66+'18'!K66+'19'!K66+'20'!K66+'21'!K66+'22'!K66+'23'!K66+'24'!K66+'25'!K66+'26'!K66+'27'!K66</f>
        <v>0</v>
      </c>
      <c r="I63" s="114">
        <f ca="1">+'1'!M66+'2'!M66+'3'!M66+'4'!M66+'5'!M66+'6'!M66+'7'!M66+'8'!M66+'9'!M66+'10'!M66+'11'!M66+'12'!M66+'13'!M66+'14'!M66+'15'!M66+'16'!M66+'17'!M66+'18'!M66+'19'!M66+'20'!M66+'21'!M66+'22'!M66+'23'!M66+'24'!M66+'25'!M66+'26'!M66+'27'!M66</f>
        <v>0</v>
      </c>
      <c r="O63" s="21" t="s">
        <v>67</v>
      </c>
    </row>
    <row r="64" spans="1:15">
      <c r="A64" s="64">
        <f>+'Taxes RCA 2022'!A60</f>
        <v>47</v>
      </c>
      <c r="B64" s="68" t="str">
        <f>+'Taxes RCA 2022'!B60</f>
        <v>Paiements sociaux volontaires</v>
      </c>
      <c r="C64" s="165">
        <f>+'1'!E67+'2'!E67+'3'!E67+'4'!E67+'5'!E67+'6'!E67+'7'!E67+'8'!E67+'9'!E67+'10'!E67+'11'!E67+'12'!E67+'13'!E67+'14'!E67+'15'!E67+'16'!E67+'17'!E67+'18'!E67+'19'!E67+'20'!E67+'21'!E67+'22'!E67+'23'!E67+'24'!E67+'25'!E67+'26'!E67+'27'!E67</f>
        <v>0</v>
      </c>
      <c r="D64" s="165">
        <f>+'1'!F67+'2'!F67+'3'!F67+'4'!F67+'5'!F67+'6'!F67+'7'!F67+'8'!F67+'9'!F67+'10'!F67+'11'!F67+'12'!F67+'13'!F67+'14'!F67+'15'!F67+'16'!F67+'17'!F67+'18'!F67+'19'!F67+'20'!F67+'21'!F67+'22'!F67+'23'!F67+'24'!F67+'25'!F67+'26'!F67+'27'!F67</f>
        <v>0</v>
      </c>
      <c r="E64" s="165">
        <f>+'1'!G67+'2'!G67+'3'!G67+'4'!G67+'5'!G67+'6'!G67+'7'!G67+'8'!G67+'9'!G67+'10'!G67+'11'!G67+'12'!G67+'13'!G67+'14'!G67+'15'!G67+'16'!G67+'17'!G67+'18'!G67+'19'!G67+'20'!G67+'21'!G67+'22'!G67+'23'!G67+'24'!G67+'25'!G67+'26'!G67+'27'!G67</f>
        <v>0</v>
      </c>
      <c r="F64" s="165">
        <f>+'1'!I67+'2'!I67+'3'!I67+'4'!I67+'5'!I67+'6'!I67+'7'!I67+'8'!I67+'9'!I67+'10'!I67+'11'!I67+'12'!I67+'13'!I67+'14'!I67+'15'!I67+'16'!I67+'17'!I67+'18'!I67+'19'!I67+'20'!I67+'21'!I67+'22'!I67+'23'!I67+'24'!I67+'25'!I67+'26'!I67+'27'!I67</f>
        <v>0</v>
      </c>
      <c r="G64" s="165">
        <f ca="1">+'1'!J67+'2'!J67+'3'!J67+'4'!J67+'5'!J67+'6'!J67+'7'!J67+'8'!J67+'9'!J67+'10'!J67+'11'!J67+'12'!J67+'13'!J67+'14'!J67+'15'!J67+'16'!J67+'17'!J67+'18'!J67+'19'!J67+'20'!J67+'21'!J67+'22'!J67+'23'!J67+'24'!J67+'25'!J67+'26'!J67+'27'!J67</f>
        <v>0</v>
      </c>
      <c r="H64" s="165">
        <f ca="1">+'1'!K67+'2'!K67+'3'!K67+'4'!K67+'5'!K67+'6'!K67+'7'!K67+'8'!K67+'9'!K67+'10'!K67+'11'!K67+'12'!K67+'13'!K67+'14'!K67+'15'!K67+'16'!K67+'17'!K67+'18'!K67+'19'!K67+'20'!K67+'21'!K67+'22'!K67+'23'!K67+'24'!K67+'25'!K67+'26'!K67+'27'!K67</f>
        <v>0</v>
      </c>
      <c r="I64" s="165">
        <f ca="1">+'1'!M67+'2'!M67+'3'!M67+'4'!M67+'5'!M67+'6'!M67+'7'!M67+'8'!M67+'9'!M67+'10'!M67+'11'!M67+'12'!M67+'13'!M67+'14'!M67+'15'!M67+'16'!M67+'17'!M67+'18'!M67+'19'!M67+'20'!M67+'21'!M67+'22'!M67+'23'!M67+'24'!M67+'25'!M67+'26'!M67+'27'!M67</f>
        <v>0</v>
      </c>
      <c r="O64" s="21" t="s">
        <v>75</v>
      </c>
    </row>
    <row r="65" spans="1:15">
      <c r="A65" s="163"/>
      <c r="B65" s="58" t="str">
        <f>+'Taxes RCA 2022'!B61</f>
        <v>Paiements environnementaux - DGTCP (FNE)</v>
      </c>
      <c r="C65" s="166">
        <f>+'1'!E68+'2'!E68+'3'!E68+'4'!E68+'5'!E68+'6'!E68+'7'!E68+'8'!E68+'9'!E68+'10'!E68+'11'!E68+'12'!E68+'13'!E68+'14'!E68+'15'!E68+'16'!E68+'17'!E68+'18'!E68+'19'!E68+'20'!E68+'21'!E68+'22'!E68+'23'!E68+'24'!E68+'25'!E68+'26'!E68+'27'!E68</f>
        <v>0</v>
      </c>
      <c r="D65" s="166">
        <f>+'1'!F68+'2'!F68+'3'!F68+'4'!F68+'5'!F68+'6'!F68+'7'!F68+'8'!F68+'9'!F68+'10'!F68+'11'!F68+'12'!F68+'13'!F68+'14'!F68+'15'!F68+'16'!F68+'17'!F68+'18'!F68+'19'!F68+'20'!F68+'21'!F68+'22'!F68+'23'!F68+'24'!F68+'25'!F68+'26'!F68+'27'!F68</f>
        <v>12300000</v>
      </c>
      <c r="E65" s="166">
        <f>+'1'!G68+'2'!G68+'3'!G68+'4'!G68+'5'!G68+'6'!G68+'7'!G68+'8'!G68+'9'!G68+'10'!G68+'11'!G68+'12'!G68+'13'!G68+'14'!G68+'15'!G68+'16'!G68+'17'!G68+'18'!G68+'19'!G68+'20'!G68+'21'!G68+'22'!G68+'23'!G68+'24'!G68+'25'!G68+'26'!G68+'27'!G68</f>
        <v>12300000</v>
      </c>
      <c r="F65" s="166">
        <f>+'1'!I68+'2'!I68+'3'!I68+'4'!I68+'5'!I68+'6'!I68+'7'!I68+'8'!I68+'9'!I68+'10'!I68+'11'!I68+'12'!I68+'13'!I68+'14'!I68+'15'!I68+'16'!I68+'17'!I68+'18'!I68+'19'!I68+'20'!I68+'21'!I68+'22'!I68+'23'!I68+'24'!I68+'25'!I68+'26'!I68+'27'!I68</f>
        <v>24000000</v>
      </c>
      <c r="G65" s="166">
        <f ca="1">+'1'!J68+'2'!J68+'3'!J68+'4'!J68+'5'!J68+'6'!J68+'7'!J68+'8'!J68+'9'!J68+'10'!J68+'11'!J68+'12'!J68+'13'!J68+'14'!J68+'15'!J68+'16'!J68+'17'!J68+'18'!J68+'19'!J68+'20'!J68+'21'!J68+'22'!J68+'23'!J68+'24'!J68+'25'!J68+'26'!J68+'27'!J68</f>
        <v>0</v>
      </c>
      <c r="H65" s="166">
        <f ca="1">+'1'!K68+'2'!K68+'3'!K68+'4'!K68+'5'!K68+'6'!K68+'7'!K68+'8'!K68+'9'!K68+'10'!K68+'11'!K68+'12'!K68+'13'!K68+'14'!K68+'15'!K68+'16'!K68+'17'!K68+'18'!K68+'19'!K68+'20'!K68+'21'!K68+'22'!K68+'23'!K68+'24'!K68+'25'!K68+'26'!K68+'27'!K68</f>
        <v>24000000</v>
      </c>
      <c r="I65" s="166">
        <f ca="1">+'1'!M68+'2'!M68+'3'!M68+'4'!M68+'5'!M68+'6'!M68+'7'!M68+'8'!M68+'9'!M68+'10'!M68+'11'!M68+'12'!M68+'13'!M68+'14'!M68+'15'!M68+'16'!M68+'17'!M68+'18'!M68+'19'!M68+'20'!M68+'21'!M68+'22'!M68+'23'!M68+'24'!M68+'25'!M68+'26'!M68+'27'!M68</f>
        <v>-11700000</v>
      </c>
      <c r="O65" s="21" t="s">
        <v>224</v>
      </c>
    </row>
    <row r="66" spans="1:15">
      <c r="A66" s="53">
        <f>+'Taxes RCA 2022'!A62</f>
        <v>48</v>
      </c>
      <c r="B66" s="18" t="str">
        <f>+'Taxes RCA 2022'!B62</f>
        <v>Taxes sur les appareils à pression de vapeur et de gaz (+)</v>
      </c>
      <c r="C66" s="114">
        <f>+'1'!E69+'2'!E69+'3'!E69+'4'!E69+'5'!E69+'6'!E69+'7'!E69+'8'!E69+'9'!E69+'10'!E69+'11'!E69+'12'!E69+'13'!E69+'14'!E69+'15'!E69+'16'!E69+'17'!E69+'18'!E69+'19'!E69+'20'!E69+'21'!E69+'22'!E69+'23'!E69+'24'!E69+'25'!E69+'26'!E69+'27'!E69</f>
        <v>0</v>
      </c>
      <c r="D66" s="114">
        <f>+'1'!F69+'2'!F69+'3'!F69+'4'!F69+'5'!F69+'6'!F69+'7'!F69+'8'!F69+'9'!F69+'10'!F69+'11'!F69+'12'!F69+'13'!F69+'14'!F69+'15'!F69+'16'!F69+'17'!F69+'18'!F69+'19'!F69+'20'!F69+'21'!F69+'22'!F69+'23'!F69+'24'!F69+'25'!F69+'26'!F69+'27'!F69</f>
        <v>0</v>
      </c>
      <c r="E66" s="114">
        <f>+'1'!G69+'2'!G69+'3'!G69+'4'!G69+'5'!G69+'6'!G69+'7'!G69+'8'!G69+'9'!G69+'10'!G69+'11'!G69+'12'!G69+'13'!G69+'14'!G69+'15'!G69+'16'!G69+'17'!G69+'18'!G69+'19'!G69+'20'!G69+'21'!G69+'22'!G69+'23'!G69+'24'!G69+'25'!G69+'26'!G69+'27'!G69</f>
        <v>0</v>
      </c>
      <c r="F66" s="114">
        <f>+'1'!I69+'2'!I69+'3'!I69+'4'!I69+'5'!I69+'6'!I69+'7'!I69+'8'!I69+'9'!I69+'10'!I69+'11'!I69+'12'!I69+'13'!I69+'14'!I69+'15'!I69+'16'!I69+'17'!I69+'18'!I69+'19'!I69+'20'!I69+'21'!I69+'22'!I69+'23'!I69+'24'!I69+'25'!I69+'26'!I69+'27'!I69</f>
        <v>0</v>
      </c>
      <c r="G66" s="114">
        <f ca="1">+'1'!J69+'2'!J69+'3'!J69+'4'!J69+'5'!J69+'6'!J69+'7'!J69+'8'!J69+'9'!J69+'10'!J69+'11'!J69+'12'!J69+'13'!J69+'14'!J69+'15'!J69+'16'!J69+'17'!J69+'18'!J69+'19'!J69+'20'!J69+'21'!J69+'22'!J69+'23'!J69+'24'!J69+'25'!J69+'26'!J69+'27'!J69</f>
        <v>0</v>
      </c>
      <c r="H66" s="114">
        <f ca="1">+'1'!K69+'2'!K69+'3'!K69+'4'!K69+'5'!K69+'6'!K69+'7'!K69+'8'!K69+'9'!K69+'10'!K69+'11'!K69+'12'!K69+'13'!K69+'14'!K69+'15'!K69+'16'!K69+'17'!K69+'18'!K69+'19'!K69+'20'!K69+'21'!K69+'22'!K69+'23'!K69+'24'!K69+'25'!K69+'26'!K69+'27'!K69</f>
        <v>0</v>
      </c>
      <c r="I66" s="114">
        <f ca="1">+'1'!M69+'2'!M69+'3'!M69+'4'!M69+'5'!M69+'6'!M69+'7'!M69+'8'!M69+'9'!M69+'10'!M69+'11'!M69+'12'!M69+'13'!M69+'14'!M69+'15'!M69+'16'!M69+'17'!M69+'18'!M69+'19'!M69+'20'!M69+'21'!M69+'22'!M69+'23'!M69+'24'!M69+'25'!M69+'26'!M69+'27'!M69</f>
        <v>0</v>
      </c>
      <c r="O66" s="21" t="s">
        <v>208</v>
      </c>
    </row>
    <row r="67" spans="1:15">
      <c r="A67" s="64">
        <f>+'Taxes RCA 2022'!A63</f>
        <v>49</v>
      </c>
      <c r="B67" s="68" t="str">
        <f>+'Taxes RCA 2022'!B63</f>
        <v>Taxes à la pollution (+)</v>
      </c>
      <c r="C67" s="165">
        <f>+'1'!E70+'2'!E70+'3'!E70+'4'!E70+'5'!E70+'6'!E70+'7'!E70+'8'!E70+'9'!E70+'10'!E70+'11'!E70+'12'!E70+'13'!E70+'14'!E70+'15'!E70+'16'!E70+'17'!E70+'18'!E70+'19'!E70+'20'!E70+'21'!E70+'22'!E70+'23'!E70+'24'!E70+'25'!E70+'26'!E70+'27'!E70</f>
        <v>0</v>
      </c>
      <c r="D67" s="165">
        <f>+'1'!F70+'2'!F70+'3'!F70+'4'!F70+'5'!F70+'6'!F70+'7'!F70+'8'!F70+'9'!F70+'10'!F70+'11'!F70+'12'!F70+'13'!F70+'14'!F70+'15'!F70+'16'!F70+'17'!F70+'18'!F70+'19'!F70+'20'!F70+'21'!F70+'22'!F70+'23'!F70+'24'!F70+'25'!F70+'26'!F70+'27'!F70</f>
        <v>0</v>
      </c>
      <c r="E67" s="165">
        <f>+'1'!G70+'2'!G70+'3'!G70+'4'!G70+'5'!G70+'6'!G70+'7'!G70+'8'!G70+'9'!G70+'10'!G70+'11'!G70+'12'!G70+'13'!G70+'14'!G70+'15'!G70+'16'!G70+'17'!G70+'18'!G70+'19'!G70+'20'!G70+'21'!G70+'22'!G70+'23'!G70+'24'!G70+'25'!G70+'26'!G70+'27'!G70</f>
        <v>0</v>
      </c>
      <c r="F67" s="165">
        <f>+'1'!I70+'2'!I70+'3'!I70+'4'!I70+'5'!I70+'6'!I70+'7'!I70+'8'!I70+'9'!I70+'10'!I70+'11'!I70+'12'!I70+'13'!I70+'14'!I70+'15'!I70+'16'!I70+'17'!I70+'18'!I70+'19'!I70+'20'!I70+'21'!I70+'22'!I70+'23'!I70+'24'!I70+'25'!I70+'26'!I70+'27'!I70</f>
        <v>0</v>
      </c>
      <c r="G67" s="165">
        <f ca="1">+'1'!J70+'2'!J70+'3'!J70+'4'!J70+'5'!J70+'6'!J70+'7'!J70+'8'!J70+'9'!J70+'10'!J70+'11'!J70+'12'!J70+'13'!J70+'14'!J70+'15'!J70+'16'!J70+'17'!J70+'18'!J70+'19'!J70+'20'!J70+'21'!J70+'22'!J70+'23'!J70+'24'!J70+'25'!J70+'26'!J70+'27'!J70</f>
        <v>0</v>
      </c>
      <c r="H67" s="165">
        <f ca="1">+'1'!K70+'2'!K70+'3'!K70+'4'!K70+'5'!K70+'6'!K70+'7'!K70+'8'!K70+'9'!K70+'10'!K70+'11'!K70+'12'!K70+'13'!K70+'14'!K70+'15'!K70+'16'!K70+'17'!K70+'18'!K70+'19'!K70+'20'!K70+'21'!K70+'22'!K70+'23'!K70+'24'!K70+'25'!K70+'26'!K70+'27'!K70</f>
        <v>0</v>
      </c>
      <c r="I67" s="165">
        <f ca="1">+'1'!M70+'2'!M70+'3'!M70+'4'!M70+'5'!M70+'6'!M70+'7'!M70+'8'!M70+'9'!M70+'10'!M70+'11'!M70+'12'!M70+'13'!M70+'14'!M70+'15'!M70+'16'!M70+'17'!M70+'18'!M70+'19'!M70+'20'!M70+'21'!M70+'22'!M70+'23'!M70+'24'!M70+'25'!M70+'26'!M70+'27'!M70</f>
        <v>0</v>
      </c>
      <c r="O67" s="21" t="s">
        <v>209</v>
      </c>
    </row>
    <row r="68" spans="1:15" ht="24">
      <c r="A68" s="53">
        <f>+'Taxes RCA 2022'!A64</f>
        <v>50</v>
      </c>
      <c r="B68" s="171" t="str">
        <f>+'Taxes RCA 2022'!B64</f>
        <v>Redevances annuelles résultant des inspections et contrôle des installations classées (+)</v>
      </c>
      <c r="C68" s="114">
        <f>+'1'!E71+'2'!E71+'3'!E71+'4'!E71+'5'!E71+'6'!E71+'7'!E71+'8'!E71+'9'!E71+'10'!E71+'11'!E71+'12'!E71+'13'!E71+'14'!E71+'15'!E71+'16'!E71+'17'!E71+'18'!E71+'19'!E71+'20'!E71+'21'!E71+'22'!E71+'23'!E71+'24'!E71+'25'!E71+'26'!E71+'27'!E71</f>
        <v>0</v>
      </c>
      <c r="D68" s="114">
        <f>+'1'!F71+'2'!F71+'3'!F71+'4'!F71+'5'!F71+'6'!F71+'7'!F71+'8'!F71+'9'!F71+'10'!F71+'11'!F71+'12'!F71+'13'!F71+'14'!F71+'15'!F71+'16'!F71+'17'!F71+'18'!F71+'19'!F71+'20'!F71+'21'!F71+'22'!F71+'23'!F71+'24'!F71+'25'!F71+'26'!F71+'27'!F71</f>
        <v>0</v>
      </c>
      <c r="E68" s="114">
        <f>+'1'!G71+'2'!G71+'3'!G71+'4'!G71+'5'!G71+'6'!G71+'7'!G71+'8'!G71+'9'!G71+'10'!G71+'11'!G71+'12'!G71+'13'!G71+'14'!G71+'15'!G71+'16'!G71+'17'!G71+'18'!G71+'19'!G71+'20'!G71+'21'!G71+'22'!G71+'23'!G71+'24'!G71+'25'!G71+'26'!G71+'27'!G71</f>
        <v>0</v>
      </c>
      <c r="F68" s="114">
        <f>+'1'!I71+'2'!I71+'3'!I71+'4'!I71+'5'!I71+'6'!I71+'7'!I71+'8'!I71+'9'!I71+'10'!I71+'11'!I71+'12'!I71+'13'!I71+'14'!I71+'15'!I71+'16'!I71+'17'!I71+'18'!I71+'19'!I71+'20'!I71+'21'!I71+'22'!I71+'23'!I71+'24'!I71+'25'!I71+'26'!I71+'27'!I71</f>
        <v>0</v>
      </c>
      <c r="G68" s="114">
        <f ca="1">+'1'!J71+'2'!J71+'3'!J71+'4'!J71+'5'!J71+'6'!J71+'7'!J71+'8'!J71+'9'!J71+'10'!J71+'11'!J71+'12'!J71+'13'!J71+'14'!J71+'15'!J71+'16'!J71+'17'!J71+'18'!J71+'19'!J71+'20'!J71+'21'!J71+'22'!J71+'23'!J71+'24'!J71+'25'!J71+'26'!J71+'27'!J71</f>
        <v>0</v>
      </c>
      <c r="H68" s="114">
        <f ca="1">+'1'!K71+'2'!K71+'3'!K71+'4'!K71+'5'!K71+'6'!K71+'7'!K71+'8'!K71+'9'!K71+'10'!K71+'11'!K71+'12'!K71+'13'!K71+'14'!K71+'15'!K71+'16'!K71+'17'!K71+'18'!K71+'19'!K71+'20'!K71+'21'!K71+'22'!K71+'23'!K71+'24'!K71+'25'!K71+'26'!K71+'27'!K71</f>
        <v>0</v>
      </c>
      <c r="I68" s="114">
        <f ca="1">+'1'!M71+'2'!M71+'3'!M71+'4'!M71+'5'!M71+'6'!M71+'7'!M71+'8'!M71+'9'!M71+'10'!M71+'11'!M71+'12'!M71+'13'!M71+'14'!M71+'15'!M71+'16'!M71+'17'!M71+'18'!M71+'19'!M71+'20'!M71+'21'!M71+'22'!M71+'23'!M71+'24'!M71+'25'!M71+'26'!M71+'27'!M71</f>
        <v>0</v>
      </c>
      <c r="O68" s="21" t="s">
        <v>210</v>
      </c>
    </row>
    <row r="69" spans="1:15">
      <c r="A69" s="64">
        <f>+'Taxes RCA 2022'!A65</f>
        <v>51</v>
      </c>
      <c r="B69" s="68" t="str">
        <f>+'Taxes RCA 2022'!B65</f>
        <v>Taxes superficiaires encaissées par le FNE (+)</v>
      </c>
      <c r="C69" s="165">
        <f>+'1'!E72+'2'!E72+'3'!E72+'4'!E72+'5'!E72+'6'!E72+'7'!E72+'8'!E72+'9'!E72+'10'!E72+'11'!E72+'12'!E72+'13'!E72+'14'!E72+'15'!E72+'16'!E72+'17'!E72+'18'!E72+'19'!E72+'20'!E72+'21'!E72+'22'!E72+'23'!E72+'24'!E72+'25'!E72+'26'!E72+'27'!E72</f>
        <v>0</v>
      </c>
      <c r="D69" s="165">
        <f>+'1'!F72+'2'!F72+'3'!F72+'4'!F72+'5'!F72+'6'!F72+'7'!F72+'8'!F72+'9'!F72+'10'!F72+'11'!F72+'12'!F72+'13'!F72+'14'!F72+'15'!F72+'16'!F72+'17'!F72+'18'!F72+'19'!F72+'20'!F72+'21'!F72+'22'!F72+'23'!F72+'24'!F72+'25'!F72+'26'!F72+'27'!F72</f>
        <v>0</v>
      </c>
      <c r="E69" s="165">
        <f>+'1'!G72+'2'!G72+'3'!G72+'4'!G72+'5'!G72+'6'!G72+'7'!G72+'8'!G72+'9'!G72+'10'!G72+'11'!G72+'12'!G72+'13'!G72+'14'!G72+'15'!G72+'16'!G72+'17'!G72+'18'!G72+'19'!G72+'20'!G72+'21'!G72+'22'!G72+'23'!G72+'24'!G72+'25'!G72+'26'!G72+'27'!G72</f>
        <v>0</v>
      </c>
      <c r="F69" s="165">
        <f>+'1'!I72+'2'!I72+'3'!I72+'4'!I72+'5'!I72+'6'!I72+'7'!I72+'8'!I72+'9'!I72+'10'!I72+'11'!I72+'12'!I72+'13'!I72+'14'!I72+'15'!I72+'16'!I72+'17'!I72+'18'!I72+'19'!I72+'20'!I72+'21'!I72+'22'!I72+'23'!I72+'24'!I72+'25'!I72+'26'!I72+'27'!I72</f>
        <v>0</v>
      </c>
      <c r="G69" s="165">
        <f ca="1">+'1'!J72+'2'!J72+'3'!J72+'4'!J72+'5'!J72+'6'!J72+'7'!J72+'8'!J72+'9'!J72+'10'!J72+'11'!J72+'12'!J72+'13'!J72+'14'!J72+'15'!J72+'16'!J72+'17'!J72+'18'!J72+'19'!J72+'20'!J72+'21'!J72+'22'!J72+'23'!J72+'24'!J72+'25'!J72+'26'!J72+'27'!J72</f>
        <v>0</v>
      </c>
      <c r="H69" s="165">
        <f ca="1">+'1'!K72+'2'!K72+'3'!K72+'4'!K72+'5'!K72+'6'!K72+'7'!K72+'8'!K72+'9'!K72+'10'!K72+'11'!K72+'12'!K72+'13'!K72+'14'!K72+'15'!K72+'16'!K72+'17'!K72+'18'!K72+'19'!K72+'20'!K72+'21'!K72+'22'!K72+'23'!K72+'24'!K72+'25'!K72+'26'!K72+'27'!K72</f>
        <v>0</v>
      </c>
      <c r="I69" s="165">
        <f ca="1">+'1'!M72+'2'!M72+'3'!M72+'4'!M72+'5'!M72+'6'!M72+'7'!M72+'8'!M72+'9'!M72+'10'!M72+'11'!M72+'12'!M72+'13'!M72+'14'!M72+'15'!M72+'16'!M72+'17'!M72+'18'!M72+'19'!M72+'20'!M72+'21'!M72+'22'!M72+'23'!M72+'24'!M72+'25'!M72+'26'!M72+'27'!M72</f>
        <v>0</v>
      </c>
      <c r="O69" s="21" t="s">
        <v>211</v>
      </c>
    </row>
    <row r="70" spans="1:15">
      <c r="A70" s="53">
        <f>+'Taxes RCA 2022'!A66</f>
        <v>52</v>
      </c>
      <c r="B70" s="18" t="str">
        <f>+'Taxes RCA 2022'!B66</f>
        <v>Taxes de remise en état (+)</v>
      </c>
      <c r="C70" s="114">
        <f>+'1'!E73+'2'!E73+'3'!E73+'4'!E73+'5'!E73+'6'!E73+'7'!E73+'8'!E73+'9'!E73+'10'!E73+'11'!E73+'12'!E73+'13'!E73+'14'!E73+'15'!E73+'16'!E73+'17'!E73+'18'!E73+'19'!E73+'20'!E73+'21'!E73+'22'!E73+'23'!E73+'24'!E73+'25'!E73+'26'!E73+'27'!E73</f>
        <v>0</v>
      </c>
      <c r="D70" s="114">
        <f>+'1'!F73+'2'!F73+'3'!F73+'4'!F73+'5'!F73+'6'!F73+'7'!F73+'8'!F73+'9'!F73+'10'!F73+'11'!F73+'12'!F73+'13'!F73+'14'!F73+'15'!F73+'16'!F73+'17'!F73+'18'!F73+'19'!F73+'20'!F73+'21'!F73+'22'!F73+'23'!F73+'24'!F73+'25'!F73+'26'!F73+'27'!F73</f>
        <v>0</v>
      </c>
      <c r="E70" s="114">
        <f>+'1'!G73+'2'!G73+'3'!G73+'4'!G73+'5'!G73+'6'!G73+'7'!G73+'8'!G73+'9'!G73+'10'!G73+'11'!G73+'12'!G73+'13'!G73+'14'!G73+'15'!G73+'16'!G73+'17'!G73+'18'!G73+'19'!G73+'20'!G73+'21'!G73+'22'!G73+'23'!G73+'24'!G73+'25'!G73+'26'!G73+'27'!G73</f>
        <v>0</v>
      </c>
      <c r="F70" s="114">
        <f>+'1'!I73+'2'!I73+'3'!I73+'4'!I73+'5'!I73+'6'!I73+'7'!I73+'8'!I73+'9'!I73+'10'!I73+'11'!I73+'12'!I73+'13'!I73+'14'!I73+'15'!I73+'16'!I73+'17'!I73+'18'!I73+'19'!I73+'20'!I73+'21'!I73+'22'!I73+'23'!I73+'24'!I73+'25'!I73+'26'!I73+'27'!I73</f>
        <v>0</v>
      </c>
      <c r="G70" s="114">
        <f ca="1">+'1'!J73+'2'!J73+'3'!J73+'4'!J73+'5'!J73+'6'!J73+'7'!J73+'8'!J73+'9'!J73+'10'!J73+'11'!J73+'12'!J73+'13'!J73+'14'!J73+'15'!J73+'16'!J73+'17'!J73+'18'!J73+'19'!J73+'20'!J73+'21'!J73+'22'!J73+'23'!J73+'24'!J73+'25'!J73+'26'!J73+'27'!J73</f>
        <v>0</v>
      </c>
      <c r="H70" s="114">
        <f ca="1">+'1'!K73+'2'!K73+'3'!K73+'4'!K73+'5'!K73+'6'!K73+'7'!K73+'8'!K73+'9'!K73+'10'!K73+'11'!K73+'12'!K73+'13'!K73+'14'!K73+'15'!K73+'16'!K73+'17'!K73+'18'!K73+'19'!K73+'20'!K73+'21'!K73+'22'!K73+'23'!K73+'24'!K73+'25'!K73+'26'!K73+'27'!K73</f>
        <v>0</v>
      </c>
      <c r="I70" s="114">
        <f ca="1">+'1'!M73+'2'!M73+'3'!M73+'4'!M73+'5'!M73+'6'!M73+'7'!M73+'8'!M73+'9'!M73+'10'!M73+'11'!M73+'12'!M73+'13'!M73+'14'!M73+'15'!M73+'16'!M73+'17'!M73+'18'!M73+'19'!M73+'20'!M73+'21'!M73+'22'!M73+'23'!M73+'24'!M73+'25'!M73+'26'!M73+'27'!M73</f>
        <v>0</v>
      </c>
      <c r="O70" s="21" t="s">
        <v>212</v>
      </c>
    </row>
    <row r="71" spans="1:15">
      <c r="A71" s="64">
        <f>+'Taxes RCA 2022'!A67</f>
        <v>53</v>
      </c>
      <c r="B71" s="68" t="str">
        <f>+'Taxes RCA 2022'!B67</f>
        <v>Taxes environnementales sur les Stes forestières et Minières (+)</v>
      </c>
      <c r="C71" s="165">
        <f>+'1'!E74+'2'!E74+'3'!E74+'4'!E74+'5'!E74+'6'!E74+'7'!E74+'8'!E74+'9'!E74+'10'!E74+'11'!E74+'12'!E74+'13'!E74+'14'!E74+'15'!E74+'16'!E74+'17'!E74+'18'!E74+'19'!E74+'20'!E74+'21'!E74+'22'!E74+'23'!E74+'24'!E74+'25'!E74+'26'!E74+'27'!E74</f>
        <v>0</v>
      </c>
      <c r="D71" s="165">
        <f>+'1'!F74+'2'!F74+'3'!F74+'4'!F74+'5'!F74+'6'!F74+'7'!F74+'8'!F74+'9'!F74+'10'!F74+'11'!F74+'12'!F74+'13'!F74+'14'!F74+'15'!F74+'16'!F74+'17'!F74+'18'!F74+'19'!F74+'20'!F74+'21'!F74+'22'!F74+'23'!F74+'24'!F74+'25'!F74+'26'!F74+'27'!F74</f>
        <v>12300000</v>
      </c>
      <c r="E71" s="165">
        <f>+'1'!G74+'2'!G74+'3'!G74+'4'!G74+'5'!G74+'6'!G74+'7'!G74+'8'!G74+'9'!G74+'10'!G74+'11'!G74+'12'!G74+'13'!G74+'14'!G74+'15'!G74+'16'!G74+'17'!G74+'18'!G74+'19'!G74+'20'!G74+'21'!G74+'22'!G74+'23'!G74+'24'!G74+'25'!G74+'26'!G74+'27'!G74</f>
        <v>12300000</v>
      </c>
      <c r="F71" s="165">
        <f>+'1'!I74+'2'!I74+'3'!I74+'4'!I74+'5'!I74+'6'!I74+'7'!I74+'8'!I74+'9'!I74+'10'!I74+'11'!I74+'12'!I74+'13'!I74+'14'!I74+'15'!I74+'16'!I74+'17'!I74+'18'!I74+'19'!I74+'20'!I74+'21'!I74+'22'!I74+'23'!I74+'24'!I74+'25'!I74+'26'!I74+'27'!I74</f>
        <v>24000000</v>
      </c>
      <c r="G71" s="165">
        <f ca="1">+'1'!J74+'2'!J74+'3'!J74+'4'!J74+'5'!J74+'6'!J74+'7'!J74+'8'!J74+'9'!J74+'10'!J74+'11'!J74+'12'!J74+'13'!J74+'14'!J74+'15'!J74+'16'!J74+'17'!J74+'18'!J74+'19'!J74+'20'!J74+'21'!J74+'22'!J74+'23'!J74+'24'!J74+'25'!J74+'26'!J74+'27'!J74</f>
        <v>0</v>
      </c>
      <c r="H71" s="165">
        <f ca="1">+'1'!K74+'2'!K74+'3'!K74+'4'!K74+'5'!K74+'6'!K74+'7'!K74+'8'!K74+'9'!K74+'10'!K74+'11'!K74+'12'!K74+'13'!K74+'14'!K74+'15'!K74+'16'!K74+'17'!K74+'18'!K74+'19'!K74+'20'!K74+'21'!K74+'22'!K74+'23'!K74+'24'!K74+'25'!K74+'26'!K74+'27'!K74</f>
        <v>24000000</v>
      </c>
      <c r="I71" s="165">
        <f ca="1">+'1'!M74+'2'!M74+'3'!M74+'4'!M74+'5'!M74+'6'!M74+'7'!M74+'8'!M74+'9'!M74+'10'!M74+'11'!M74+'12'!M74+'13'!M74+'14'!M74+'15'!M74+'16'!M74+'17'!M74+'18'!M74+'19'!M74+'20'!M74+'21'!M74+'22'!M74+'23'!M74+'24'!M74+'25'!M74+'26'!M74+'27'!M74</f>
        <v>-11700000</v>
      </c>
      <c r="O71" s="21" t="s">
        <v>204</v>
      </c>
    </row>
    <row r="72" spans="1:15">
      <c r="A72" s="53">
        <f>+'Taxes RCA 2022'!A68</f>
        <v>54</v>
      </c>
      <c r="B72" s="18" t="str">
        <f>+'Taxes RCA 2022'!B68</f>
        <v xml:space="preserve">Amendes environnementales </v>
      </c>
      <c r="C72" s="114">
        <f>+'1'!E75+'2'!E75+'3'!E75+'4'!E75+'5'!E75+'6'!E75+'7'!E75+'8'!E75+'9'!E75+'10'!E75+'11'!E75+'12'!E75+'13'!E75+'14'!E75+'15'!E75+'16'!E75+'17'!E75+'18'!E75+'19'!E75+'20'!E75+'21'!E75+'22'!E75+'23'!E75+'24'!E75+'25'!E75+'26'!E75+'27'!E75</f>
        <v>0</v>
      </c>
      <c r="D72" s="114">
        <f>+'1'!F75+'2'!F75+'3'!F75+'4'!F75+'5'!F75+'6'!F75+'7'!F75+'8'!F75+'9'!F75+'10'!F75+'11'!F75+'12'!F75+'13'!F75+'14'!F75+'15'!F75+'16'!F75+'17'!F75+'18'!F75+'19'!F75+'20'!F75+'21'!F75+'22'!F75+'23'!F75+'24'!F75+'25'!F75+'26'!F75+'27'!F75</f>
        <v>0</v>
      </c>
      <c r="E72" s="114">
        <f>+'1'!G75+'2'!G75+'3'!G75+'4'!G75+'5'!G75+'6'!G75+'7'!G75+'8'!G75+'9'!G75+'10'!G75+'11'!G75+'12'!G75+'13'!G75+'14'!G75+'15'!G75+'16'!G75+'17'!G75+'18'!G75+'19'!G75+'20'!G75+'21'!G75+'22'!G75+'23'!G75+'24'!G75+'25'!G75+'26'!G75+'27'!G75</f>
        <v>0</v>
      </c>
      <c r="F72" s="114">
        <f>+'1'!I75+'2'!I75+'3'!I75+'4'!I75+'5'!I75+'6'!I75+'7'!I75+'8'!I75+'9'!I75+'10'!I75+'11'!I75+'12'!I75+'13'!I75+'14'!I75+'15'!I75+'16'!I75+'17'!I75+'18'!I75+'19'!I75+'20'!I75+'21'!I75+'22'!I75+'23'!I75+'24'!I75+'25'!I75+'26'!I75+'27'!I75</f>
        <v>0</v>
      </c>
      <c r="G72" s="114">
        <f ca="1">+'1'!J75+'2'!J75+'3'!J75+'4'!J75+'5'!J75+'6'!J75+'7'!J75+'8'!J75+'9'!J75+'10'!J75+'11'!J75+'12'!J75+'13'!J75+'14'!J75+'15'!J75+'16'!J75+'17'!J75+'18'!J75+'19'!J75+'20'!J75+'21'!J75+'22'!J75+'23'!J75+'24'!J75+'25'!J75+'26'!J75+'27'!J75</f>
        <v>0</v>
      </c>
      <c r="H72" s="114">
        <f ca="1">+'1'!K75+'2'!K75+'3'!K75+'4'!K75+'5'!K75+'6'!K75+'7'!K75+'8'!K75+'9'!K75+'10'!K75+'11'!K75+'12'!K75+'13'!K75+'14'!K75+'15'!K75+'16'!K75+'17'!K75+'18'!K75+'19'!K75+'20'!K75+'21'!K75+'22'!K75+'23'!K75+'24'!K75+'25'!K75+'26'!K75+'27'!K75</f>
        <v>0</v>
      </c>
      <c r="I72" s="114">
        <f ca="1">+'1'!M75+'2'!M75+'3'!M75+'4'!M75+'5'!M75+'6'!M75+'7'!M75+'8'!M75+'9'!M75+'10'!M75+'11'!M75+'12'!M75+'13'!M75+'14'!M75+'15'!M75+'16'!M75+'17'!M75+'18'!M75+'19'!M75+'20'!M75+'21'!M75+'22'!M75+'23'!M75+'24'!M75+'25'!M75+'26'!M75+'27'!M75</f>
        <v>0</v>
      </c>
      <c r="O72" s="21" t="s">
        <v>213</v>
      </c>
    </row>
    <row r="73" spans="1:15">
      <c r="A73" s="64">
        <f>+'Taxes RCA 2022'!A69</f>
        <v>55</v>
      </c>
      <c r="B73" s="68" t="str">
        <f>+'Taxes RCA 2022'!B69</f>
        <v>Dépenses environnementales volontaires (+)</v>
      </c>
      <c r="C73" s="165">
        <f>+'1'!E76+'2'!E76+'3'!E76+'4'!E76+'5'!E76+'6'!E76+'7'!E76+'8'!E76+'9'!E76+'10'!E76+'11'!E76+'12'!E76+'13'!E76+'14'!E76+'15'!E76+'16'!E76+'17'!E76+'18'!E76+'19'!E76+'20'!E76+'21'!E76+'22'!E76+'23'!E76+'24'!E76+'25'!E76+'26'!E76+'27'!E76</f>
        <v>0</v>
      </c>
      <c r="D73" s="165">
        <f>+'1'!F76+'2'!F76+'3'!F76+'4'!F76+'5'!F76+'6'!F76+'7'!F76+'8'!F76+'9'!F76+'10'!F76+'11'!F76+'12'!F76+'13'!F76+'14'!F76+'15'!F76+'16'!F76+'17'!F76+'18'!F76+'19'!F76+'20'!F76+'21'!F76+'22'!F76+'23'!F76+'24'!F76+'25'!F76+'26'!F76+'27'!F76</f>
        <v>0</v>
      </c>
      <c r="E73" s="165">
        <f>+'1'!G76+'2'!G76+'3'!G76+'4'!G76+'5'!G76+'6'!G76+'7'!G76+'8'!G76+'9'!G76+'10'!G76+'11'!G76+'12'!G76+'13'!G76+'14'!G76+'15'!G76+'16'!G76+'17'!G76+'18'!G76+'19'!G76+'20'!G76+'21'!G76+'22'!G76+'23'!G76+'24'!G76+'25'!G76+'26'!G76+'27'!G76</f>
        <v>0</v>
      </c>
      <c r="F73" s="165">
        <f>+'1'!I76+'2'!I76+'3'!I76+'4'!I76+'5'!I76+'6'!I76+'7'!I76+'8'!I76+'9'!I76+'10'!I76+'11'!I76+'12'!I76+'13'!I76+'14'!I76+'15'!I76+'16'!I76+'17'!I76+'18'!I76+'19'!I76+'20'!I76+'21'!I76+'22'!I76+'23'!I76+'24'!I76+'25'!I76+'26'!I76+'27'!I76</f>
        <v>0</v>
      </c>
      <c r="G73" s="165">
        <f ca="1">+'1'!J76+'2'!J76+'3'!J76+'4'!J76+'5'!J76+'6'!J76+'7'!J76+'8'!J76+'9'!J76+'10'!J76+'11'!J76+'12'!J76+'13'!J76+'14'!J76+'15'!J76+'16'!J76+'17'!J76+'18'!J76+'19'!J76+'20'!J76+'21'!J76+'22'!J76+'23'!J76+'24'!J76+'25'!J76+'26'!J76+'27'!J76</f>
        <v>0</v>
      </c>
      <c r="H73" s="165">
        <f ca="1">+'1'!K76+'2'!K76+'3'!K76+'4'!K76+'5'!K76+'6'!K76+'7'!K76+'8'!K76+'9'!K76+'10'!K76+'11'!K76+'12'!K76+'13'!K76+'14'!K76+'15'!K76+'16'!K76+'17'!K76+'18'!K76+'19'!K76+'20'!K76+'21'!K76+'22'!K76+'23'!K76+'24'!K76+'25'!K76+'26'!K76+'27'!K76</f>
        <v>0</v>
      </c>
      <c r="I73" s="165">
        <f ca="1">+'1'!M76+'2'!M76+'3'!M76+'4'!M76+'5'!M76+'6'!M76+'7'!M76+'8'!M76+'9'!M76+'10'!M76+'11'!M76+'12'!M76+'13'!M76+'14'!M76+'15'!M76+'16'!M76+'17'!M76+'18'!M76+'19'!M76+'20'!M76+'21'!M76+'22'!M76+'23'!M76+'24'!M76+'25'!M76+'26'!M76+'27'!M76</f>
        <v>0</v>
      </c>
      <c r="O73" s="21" t="s">
        <v>214</v>
      </c>
    </row>
    <row r="74" spans="1:15">
      <c r="A74" s="163"/>
      <c r="B74" s="58" t="str">
        <f>+'Taxes RCA 2022'!B70</f>
        <v>Tous</v>
      </c>
      <c r="C74" s="166">
        <f>+'1'!E77+'2'!E77+'3'!E77+'4'!E77+'5'!E77+'6'!E77+'7'!E77+'8'!E77+'9'!E77+'10'!E77+'11'!E77+'12'!E77+'13'!E77+'14'!E77+'15'!E77+'16'!E77+'17'!E77+'18'!E77+'19'!E77+'20'!E77+'21'!E77+'22'!E77+'23'!E77+'24'!E77+'25'!E77+'26'!E77+'27'!E77</f>
        <v>146394336</v>
      </c>
      <c r="D74" s="166">
        <f>+'1'!F77+'2'!F77+'3'!F77+'4'!F77+'5'!F77+'6'!F77+'7'!F77+'8'!F77+'9'!F77+'10'!F77+'11'!F77+'12'!F77+'13'!F77+'14'!F77+'15'!F77+'16'!F77+'17'!F77+'18'!F77+'19'!F77+'20'!F77+'21'!F77+'22'!F77+'23'!F77+'24'!F77+'25'!F77+'26'!F77+'27'!F77</f>
        <v>-109384343</v>
      </c>
      <c r="E74" s="166">
        <f>+'1'!G77+'2'!G77+'3'!G77+'4'!G77+'5'!G77+'6'!G77+'7'!G77+'8'!G77+'9'!G77+'10'!G77+'11'!G77+'12'!G77+'13'!G77+'14'!G77+'15'!G77+'16'!G77+'17'!G77+'18'!G77+'19'!G77+'20'!G77+'21'!G77+'22'!G77+'23'!G77+'24'!G77+'25'!G77+'26'!G77+'27'!G77</f>
        <v>37009993</v>
      </c>
      <c r="F74" s="166">
        <f>+'1'!I77+'2'!I77+'3'!I77+'4'!I77+'5'!I77+'6'!I77+'7'!I77+'8'!I77+'9'!I77+'10'!I77+'11'!I77+'12'!I77+'13'!I77+'14'!I77+'15'!I77+'16'!I77+'17'!I77+'18'!I77+'19'!I77+'20'!I77+'21'!I77+'22'!I77+'23'!I77+'24'!I77+'25'!I77+'26'!I77+'27'!I77</f>
        <v>39224744.905000001</v>
      </c>
      <c r="G74" s="166">
        <f ca="1">+'1'!J77+'2'!J77+'3'!J77+'4'!J77+'5'!J77+'6'!J77+'7'!J77+'8'!J77+'9'!J77+'10'!J77+'11'!J77+'12'!J77+'13'!J77+'14'!J77+'15'!J77+'16'!J77+'17'!J77+'18'!J77+'19'!J77+'20'!J77+'21'!J77+'22'!J77+'23'!J77+'24'!J77+'25'!J77+'26'!J77+'27'!J77</f>
        <v>0</v>
      </c>
      <c r="H74" s="166">
        <f ca="1">+'1'!K77+'2'!K77+'3'!K77+'4'!K77+'5'!K77+'6'!K77+'7'!K77+'8'!K77+'9'!K77+'10'!K77+'11'!K77+'12'!K77+'13'!K77+'14'!K77+'15'!K77+'16'!K77+'17'!K77+'18'!K77+'19'!K77+'20'!K77+'21'!K77+'22'!K77+'23'!K77+'24'!K77+'25'!K77+'26'!K77+'27'!K77</f>
        <v>39224744.905000001</v>
      </c>
      <c r="I74" s="166">
        <f ca="1">+'1'!M77+'2'!M77+'3'!M77+'4'!M77+'5'!M77+'6'!M77+'7'!M77+'8'!M77+'9'!M77+'10'!M77+'11'!M77+'12'!M77+'13'!M77+'14'!M77+'15'!M77+'16'!M77+'17'!M77+'18'!M77+'19'!M77+'20'!M77+'21'!M77+'22'!M77+'23'!M77+'24'!M77+'25'!M77+'26'!M77+'27'!M77</f>
        <v>-2214751.9049999984</v>
      </c>
      <c r="O74" s="21" t="s">
        <v>92</v>
      </c>
    </row>
    <row r="75" spans="1:15">
      <c r="A75" s="53">
        <f>+'Taxes RCA 2022'!A71</f>
        <v>56</v>
      </c>
      <c r="B75" s="18" t="str">
        <f>+'Taxes RCA 2022'!B71</f>
        <v xml:space="preserve">Secrétariat permanent du processus de Kimberley (SPPK)  </v>
      </c>
      <c r="C75" s="114">
        <f>+'1'!E78+'2'!E78+'3'!E78+'4'!E78+'5'!E78+'6'!E78+'7'!E78+'8'!E78+'9'!E78+'10'!E78+'11'!E78+'12'!E78+'13'!E78+'14'!E78+'15'!E78+'16'!E78+'17'!E78+'18'!E78+'19'!E78+'20'!E78+'21'!E78+'22'!E78+'23'!E78+'24'!E78+'25'!E78+'26'!E78+'27'!E78</f>
        <v>37009993</v>
      </c>
      <c r="D75" s="114">
        <f>+'1'!F78+'2'!F78+'3'!F78+'4'!F78+'5'!F78+'6'!F78+'7'!F78+'8'!F78+'9'!F78+'10'!F78+'11'!F78+'12'!F78+'13'!F78+'14'!F78+'15'!F78+'16'!F78+'17'!F78+'18'!F78+'19'!F78+'20'!F78+'21'!F78+'22'!F78+'23'!F78+'24'!F78+'25'!F78+'26'!F78+'27'!F78</f>
        <v>0</v>
      </c>
      <c r="E75" s="114">
        <f>+'1'!G78+'2'!G78+'3'!G78+'4'!G78+'5'!G78+'6'!G78+'7'!G78+'8'!G78+'9'!G78+'10'!G78+'11'!G78+'12'!G78+'13'!G78+'14'!G78+'15'!G78+'16'!G78+'17'!G78+'18'!G78+'19'!G78+'20'!G78+'21'!G78+'22'!G78+'23'!G78+'24'!G78+'25'!G78+'26'!G78+'27'!G78</f>
        <v>37009993</v>
      </c>
      <c r="F75" s="114">
        <f>+'1'!I78+'2'!I78+'3'!I78+'4'!I78+'5'!I78+'6'!I78+'7'!I78+'8'!I78+'9'!I78+'10'!I78+'11'!I78+'12'!I78+'13'!I78+'14'!I78+'15'!I78+'16'!I78+'17'!I78+'18'!I78+'19'!I78+'20'!I78+'21'!I78+'22'!I78+'23'!I78+'24'!I78+'25'!I78+'26'!I78+'27'!I78</f>
        <v>39224744.905000001</v>
      </c>
      <c r="G75" s="114">
        <f ca="1">+'1'!J78+'2'!J78+'3'!J78+'4'!J78+'5'!J78+'6'!J78+'7'!J78+'8'!J78+'9'!J78+'10'!J78+'11'!J78+'12'!J78+'13'!J78+'14'!J78+'15'!J78+'16'!J78+'17'!J78+'18'!J78+'19'!J78+'20'!J78+'21'!J78+'22'!J78+'23'!J78+'24'!J78+'25'!J78+'26'!J78+'27'!J78</f>
        <v>0</v>
      </c>
      <c r="H75" s="114">
        <f ca="1">+'1'!K78+'2'!K78+'3'!K78+'4'!K78+'5'!K78+'6'!K78+'7'!K78+'8'!K78+'9'!K78+'10'!K78+'11'!K78+'12'!K78+'13'!K78+'14'!K78+'15'!K78+'16'!K78+'17'!K78+'18'!K78+'19'!K78+'20'!K78+'21'!K78+'22'!K78+'23'!K78+'24'!K78+'25'!K78+'26'!K78+'27'!K78</f>
        <v>39224744.905000001</v>
      </c>
      <c r="I75" s="114">
        <f ca="1">+'1'!M78+'2'!M78+'3'!M78+'4'!M78+'5'!M78+'6'!M78+'7'!M78+'8'!M78+'9'!M78+'10'!M78+'11'!M78+'12'!M78+'13'!M78+'14'!M78+'15'!M78+'16'!M78+'17'!M78+'18'!M78+'19'!M78+'20'!M78+'21'!M78+'22'!M78+'23'!M78+'24'!M78+'25'!M78+'26'!M78+'27'!M78</f>
        <v>-2214751.9049999984</v>
      </c>
      <c r="O75" s="21" t="s">
        <v>195</v>
      </c>
    </row>
    <row r="76" spans="1:15">
      <c r="A76" s="53">
        <f>+'Taxes RCA 2022'!A72</f>
        <v>57</v>
      </c>
      <c r="B76" s="18" t="str">
        <f>+'Taxes RCA 2022'!B72</f>
        <v>Autres paiements significatifs versés aux entités gouvernementales (&gt;10 millions FCFA)</v>
      </c>
      <c r="C76" s="114">
        <f>+'1'!E79+'2'!E79+'3'!E79+'4'!E79+'5'!E79+'6'!E79+'7'!E79+'8'!E79+'9'!E79+'10'!E79+'11'!E79+'12'!E79+'13'!E79+'14'!E79+'15'!E79+'16'!E79+'17'!E79+'18'!E79+'19'!E79+'20'!E79+'21'!E79+'22'!E79+'23'!E79+'24'!E79+'25'!E79+'26'!E79+'27'!E79</f>
        <v>109384343</v>
      </c>
      <c r="D76" s="114">
        <f>+'1'!F79+'2'!F79+'3'!F79+'4'!F79+'5'!F79+'6'!F79+'7'!F79+'8'!F79+'9'!F79+'10'!F79+'11'!F79+'12'!F79+'13'!F79+'14'!F79+'15'!F79+'16'!F79+'17'!F79+'18'!F79+'19'!F79+'20'!F79+'21'!F79+'22'!F79+'23'!F79+'24'!F79+'25'!F79+'26'!F79+'27'!F79</f>
        <v>-109384343</v>
      </c>
      <c r="E76" s="114">
        <f>+'1'!G79+'2'!G79+'3'!G79+'4'!G79+'5'!G79+'6'!G79+'7'!G79+'8'!G79+'9'!G79+'10'!G79+'11'!G79+'12'!G79+'13'!G79+'14'!G79+'15'!G79+'16'!G79+'17'!G79+'18'!G79+'19'!G79+'20'!G79+'21'!G79+'22'!G79+'23'!G79+'24'!G79+'25'!G79+'26'!G79+'27'!G79</f>
        <v>0</v>
      </c>
      <c r="F76" s="114">
        <f>+'1'!I79+'2'!I79+'3'!I79+'4'!I79+'5'!I79+'6'!I79+'7'!I79+'8'!I79+'9'!I79+'10'!I79+'11'!I79+'12'!I79+'13'!I79+'14'!I79+'15'!I79+'16'!I79+'17'!I79+'18'!I79+'19'!I79+'20'!I79+'21'!I79+'22'!I79+'23'!I79+'24'!I79+'25'!I79+'26'!I79+'27'!I79</f>
        <v>0</v>
      </c>
      <c r="G76" s="114">
        <f ca="1">+'1'!J79+'2'!J79+'3'!J79+'4'!J79+'5'!J79+'6'!J79+'7'!J79+'8'!J79+'9'!J79+'10'!J79+'11'!J79+'12'!J79+'13'!J79+'14'!J79+'15'!J79+'16'!J79+'17'!J79+'18'!J79+'19'!J79+'20'!J79+'21'!J79+'22'!J79+'23'!J79+'24'!J79+'25'!J79+'26'!J79+'27'!J79</f>
        <v>0</v>
      </c>
      <c r="H76" s="114">
        <f ca="1">+'1'!K79+'2'!K79+'3'!K79+'4'!K79+'5'!K79+'6'!K79+'7'!K79+'8'!K79+'9'!K79+'10'!K79+'11'!K79+'12'!K79+'13'!K79+'14'!K79+'15'!K79+'16'!K79+'17'!K79+'18'!K79+'19'!K79+'20'!K79+'21'!K79+'22'!K79+'23'!K79+'24'!K79+'25'!K79+'26'!K79+'27'!K79</f>
        <v>0</v>
      </c>
      <c r="I76" s="114">
        <f ca="1">+'1'!M79+'2'!M79+'3'!M79+'4'!M79+'5'!M79+'6'!M79+'7'!M79+'8'!M79+'9'!M79+'10'!M79+'11'!M79+'12'!M79+'13'!M79+'14'!M79+'15'!M79+'16'!M79+'17'!M79+'18'!M79+'19'!M79+'20'!M79+'21'!M79+'22'!M79+'23'!M79+'24'!M79+'25'!M79+'26'!M79+'27'!M79</f>
        <v>0</v>
      </c>
      <c r="O76" s="21" t="s">
        <v>225</v>
      </c>
    </row>
    <row r="77" spans="1:15">
      <c r="D77" s="41"/>
      <c r="G77" s="41"/>
    </row>
  </sheetData>
  <mergeCells count="5">
    <mergeCell ref="A1:A2"/>
    <mergeCell ref="B1:B2"/>
    <mergeCell ref="C1:E1"/>
    <mergeCell ref="F1:H1"/>
    <mergeCell ref="I1:I2"/>
  </mergeCells>
  <conditionalFormatting sqref="D77">
    <cfRule type="containsText" dxfId="117" priority="6" operator="containsText" text="ERROR">
      <formula>NOT(ISERROR(SEARCH("ERROR",D77)))</formula>
    </cfRule>
  </conditionalFormatting>
  <conditionalFormatting sqref="G77">
    <cfRule type="containsText" dxfId="116" priority="5" operator="containsText" text="ERROR">
      <formula>NOT(ISERROR(SEARCH("ERROR",G77)))</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F1987-047B-40E5-9C12-E9E16F63E5D1}">
  <sheetPr codeName="Feuil67"/>
  <dimension ref="A5:E37"/>
  <sheetViews>
    <sheetView topLeftCell="A3" zoomScale="90" zoomScaleNormal="90" zoomScaleSheetLayoutView="70" workbookViewId="0">
      <selection activeCell="D9" sqref="D9"/>
    </sheetView>
  </sheetViews>
  <sheetFormatPr baseColWidth="10" defaultColWidth="11.54296875" defaultRowHeight="14.5"/>
  <cols>
    <col min="1" max="1" width="4.81640625" style="291" customWidth="1"/>
    <col min="2" max="2" width="47.7265625" style="302" customWidth="1"/>
    <col min="3" max="3" width="18.1796875" style="302" customWidth="1"/>
    <col min="4" max="4" width="17.54296875" style="291" customWidth="1"/>
    <col min="5" max="5" width="17.453125" style="291" customWidth="1"/>
    <col min="6" max="10" width="11.54296875" style="291"/>
    <col min="11" max="11" width="11.54296875" style="291" customWidth="1"/>
    <col min="12" max="16384" width="11.54296875" style="291"/>
  </cols>
  <sheetData>
    <row r="5" spans="1:5">
      <c r="A5" s="834" t="s">
        <v>780</v>
      </c>
      <c r="B5" s="834"/>
      <c r="C5" s="834"/>
      <c r="D5" s="834"/>
      <c r="E5" s="834"/>
    </row>
    <row r="8" spans="1:5" ht="24.5" thickBot="1">
      <c r="A8" s="407" t="s">
        <v>6</v>
      </c>
      <c r="B8" s="407" t="s">
        <v>55</v>
      </c>
      <c r="C8" s="407" t="s">
        <v>533</v>
      </c>
      <c r="D8" s="407" t="s">
        <v>354</v>
      </c>
      <c r="E8" s="407" t="s">
        <v>355</v>
      </c>
    </row>
    <row r="9" spans="1:5" ht="15" thickTop="1">
      <c r="A9" s="412">
        <v>1</v>
      </c>
      <c r="B9" s="413" t="s">
        <v>356</v>
      </c>
      <c r="C9" s="413" t="s">
        <v>534</v>
      </c>
      <c r="D9" s="414">
        <v>65887.490000000005</v>
      </c>
      <c r="E9" s="415">
        <v>1120</v>
      </c>
    </row>
    <row r="10" spans="1:5">
      <c r="A10" s="408">
        <f>+A9+1</f>
        <v>2</v>
      </c>
      <c r="B10" s="409" t="s">
        <v>357</v>
      </c>
      <c r="C10" s="409" t="s">
        <v>534</v>
      </c>
      <c r="D10" s="410">
        <v>17962.3</v>
      </c>
      <c r="E10" s="411">
        <v>449</v>
      </c>
    </row>
    <row r="11" spans="1:5">
      <c r="A11" s="412">
        <f>+A10+1</f>
        <v>3</v>
      </c>
      <c r="B11" s="413" t="s">
        <v>537</v>
      </c>
      <c r="C11" s="413" t="s">
        <v>534</v>
      </c>
      <c r="D11" s="414">
        <v>15386.33</v>
      </c>
      <c r="E11" s="415">
        <v>262</v>
      </c>
    </row>
    <row r="12" spans="1:5">
      <c r="A12" s="408">
        <f>+A11+1</f>
        <v>4</v>
      </c>
      <c r="B12" s="409" t="s">
        <v>358</v>
      </c>
      <c r="C12" s="409" t="s">
        <v>534</v>
      </c>
      <c r="D12" s="410">
        <v>11254.55</v>
      </c>
      <c r="E12" s="411">
        <v>191</v>
      </c>
    </row>
    <row r="13" spans="1:5">
      <c r="A13" s="412">
        <f>+A12+1</f>
        <v>5</v>
      </c>
      <c r="B13" s="413" t="s">
        <v>359</v>
      </c>
      <c r="C13" s="413" t="s">
        <v>534</v>
      </c>
      <c r="D13" s="414">
        <v>10639.7</v>
      </c>
      <c r="E13" s="415">
        <v>181</v>
      </c>
    </row>
    <row r="14" spans="1:5">
      <c r="A14" s="416"/>
      <c r="B14" s="417" t="s">
        <v>762</v>
      </c>
      <c r="C14" s="417"/>
      <c r="D14" s="418">
        <f>SUM(D9:D13)</f>
        <v>121130.37000000001</v>
      </c>
      <c r="E14" s="418">
        <f>SUM(E9:E13)</f>
        <v>2203</v>
      </c>
    </row>
    <row r="15" spans="1:5">
      <c r="A15" s="412">
        <v>1</v>
      </c>
      <c r="B15" s="413" t="s">
        <v>539</v>
      </c>
      <c r="C15" s="413" t="s">
        <v>535</v>
      </c>
      <c r="D15" s="414">
        <v>518705.33</v>
      </c>
      <c r="E15" s="415">
        <v>10011</v>
      </c>
    </row>
    <row r="16" spans="1:5">
      <c r="A16" s="408">
        <f t="shared" ref="A16:A35" si="0">+A15+1</f>
        <v>2</v>
      </c>
      <c r="B16" s="409" t="s">
        <v>540</v>
      </c>
      <c r="C16" s="409" t="s">
        <v>535</v>
      </c>
      <c r="D16" s="410">
        <v>242126.57</v>
      </c>
      <c r="E16" s="411">
        <v>5554</v>
      </c>
    </row>
    <row r="17" spans="1:5">
      <c r="A17" s="412">
        <f t="shared" si="0"/>
        <v>3</v>
      </c>
      <c r="B17" s="413" t="s">
        <v>541</v>
      </c>
      <c r="C17" s="413" t="s">
        <v>535</v>
      </c>
      <c r="D17" s="414">
        <v>226813.07</v>
      </c>
      <c r="E17" s="415">
        <v>4568</v>
      </c>
    </row>
    <row r="18" spans="1:5">
      <c r="A18" s="408">
        <f t="shared" si="0"/>
        <v>4</v>
      </c>
      <c r="B18" s="409" t="s">
        <v>542</v>
      </c>
      <c r="C18" s="409" t="s">
        <v>535</v>
      </c>
      <c r="D18" s="410">
        <v>207719.26</v>
      </c>
      <c r="E18" s="411">
        <v>4091</v>
      </c>
    </row>
    <row r="19" spans="1:5">
      <c r="A19" s="412">
        <f t="shared" si="0"/>
        <v>5</v>
      </c>
      <c r="B19" s="413" t="s">
        <v>544</v>
      </c>
      <c r="C19" s="413" t="s">
        <v>535</v>
      </c>
      <c r="D19" s="414">
        <v>80717.38</v>
      </c>
      <c r="E19" s="415">
        <v>1805</v>
      </c>
    </row>
    <row r="20" spans="1:5">
      <c r="A20" s="408">
        <f t="shared" si="0"/>
        <v>6</v>
      </c>
      <c r="B20" s="409" t="s">
        <v>551</v>
      </c>
      <c r="C20" s="409" t="s">
        <v>535</v>
      </c>
      <c r="D20" s="410">
        <v>61665.4</v>
      </c>
      <c r="E20" s="411">
        <v>1542</v>
      </c>
    </row>
    <row r="21" spans="1:5">
      <c r="A21" s="412">
        <f t="shared" si="0"/>
        <v>7</v>
      </c>
      <c r="B21" s="413" t="s">
        <v>545</v>
      </c>
      <c r="C21" s="413" t="s">
        <v>535</v>
      </c>
      <c r="D21" s="414">
        <v>11832.28</v>
      </c>
      <c r="E21" s="415">
        <v>308</v>
      </c>
    </row>
    <row r="22" spans="1:5">
      <c r="A22" s="408">
        <f t="shared" si="0"/>
        <v>8</v>
      </c>
      <c r="B22" s="409" t="s">
        <v>552</v>
      </c>
      <c r="C22" s="409" t="s">
        <v>535</v>
      </c>
      <c r="D22" s="410">
        <v>11749.08</v>
      </c>
      <c r="E22" s="411">
        <v>200</v>
      </c>
    </row>
    <row r="23" spans="1:5">
      <c r="A23" s="412">
        <f t="shared" si="0"/>
        <v>9</v>
      </c>
      <c r="B23" s="413" t="s">
        <v>543</v>
      </c>
      <c r="C23" s="413" t="s">
        <v>535</v>
      </c>
      <c r="D23" s="414">
        <v>11331.47</v>
      </c>
      <c r="E23" s="415">
        <v>206</v>
      </c>
    </row>
    <row r="24" spans="1:5">
      <c r="A24" s="408">
        <f t="shared" si="0"/>
        <v>10</v>
      </c>
      <c r="B24" s="409" t="s">
        <v>546</v>
      </c>
      <c r="C24" s="409" t="s">
        <v>535</v>
      </c>
      <c r="D24" s="410">
        <v>8848.42</v>
      </c>
      <c r="E24" s="411">
        <v>169</v>
      </c>
    </row>
    <row r="25" spans="1:5">
      <c r="A25" s="412">
        <f t="shared" si="0"/>
        <v>11</v>
      </c>
      <c r="B25" s="413" t="s">
        <v>547</v>
      </c>
      <c r="C25" s="413" t="s">
        <v>535</v>
      </c>
      <c r="D25" s="414">
        <v>7872.13</v>
      </c>
      <c r="E25" s="415">
        <v>197</v>
      </c>
    </row>
    <row r="26" spans="1:5">
      <c r="A26" s="408">
        <f t="shared" si="0"/>
        <v>12</v>
      </c>
      <c r="B26" s="409" t="s">
        <v>550</v>
      </c>
      <c r="C26" s="409" t="s">
        <v>535</v>
      </c>
      <c r="D26" s="410">
        <v>6588</v>
      </c>
      <c r="E26" s="411">
        <v>112</v>
      </c>
    </row>
    <row r="27" spans="1:5">
      <c r="A27" s="412">
        <f t="shared" si="0"/>
        <v>13</v>
      </c>
      <c r="B27" s="413" t="s">
        <v>548</v>
      </c>
      <c r="C27" s="413" t="s">
        <v>535</v>
      </c>
      <c r="D27" s="414">
        <v>3715.59</v>
      </c>
      <c r="E27" s="415">
        <v>74</v>
      </c>
    </row>
    <row r="28" spans="1:5">
      <c r="A28" s="408">
        <f t="shared" si="0"/>
        <v>14</v>
      </c>
      <c r="B28" s="409" t="s">
        <v>553</v>
      </c>
      <c r="C28" s="409" t="s">
        <v>535</v>
      </c>
      <c r="D28" s="410">
        <v>3600.65</v>
      </c>
      <c r="E28" s="411">
        <v>90</v>
      </c>
    </row>
    <row r="29" spans="1:5">
      <c r="A29" s="412">
        <f t="shared" si="0"/>
        <v>15</v>
      </c>
      <c r="B29" s="413" t="s">
        <v>538</v>
      </c>
      <c r="C29" s="413" t="s">
        <v>535</v>
      </c>
      <c r="D29" s="414">
        <v>3584.29</v>
      </c>
      <c r="E29" s="415">
        <v>90</v>
      </c>
    </row>
    <row r="30" spans="1:5">
      <c r="A30" s="408">
        <f t="shared" si="0"/>
        <v>16</v>
      </c>
      <c r="B30" s="409" t="s">
        <v>549</v>
      </c>
      <c r="C30" s="409" t="s">
        <v>535</v>
      </c>
      <c r="D30" s="410">
        <v>3129.52</v>
      </c>
      <c r="E30" s="411">
        <v>85</v>
      </c>
    </row>
    <row r="31" spans="1:5">
      <c r="A31" s="412">
        <f t="shared" si="0"/>
        <v>17</v>
      </c>
      <c r="B31" s="413" t="s">
        <v>554</v>
      </c>
      <c r="C31" s="413" t="s">
        <v>535</v>
      </c>
      <c r="D31" s="414">
        <v>2826.1</v>
      </c>
      <c r="E31" s="415">
        <v>80</v>
      </c>
    </row>
    <row r="32" spans="1:5">
      <c r="A32" s="408">
        <f t="shared" si="0"/>
        <v>18</v>
      </c>
      <c r="B32" s="409" t="s">
        <v>558</v>
      </c>
      <c r="C32" s="409" t="s">
        <v>535</v>
      </c>
      <c r="D32" s="410">
        <v>809.6</v>
      </c>
      <c r="E32" s="411">
        <v>26</v>
      </c>
    </row>
    <row r="33" spans="1:5">
      <c r="A33" s="412">
        <f t="shared" si="0"/>
        <v>19</v>
      </c>
      <c r="B33" s="413" t="s">
        <v>555</v>
      </c>
      <c r="C33" s="413" t="s">
        <v>535</v>
      </c>
      <c r="D33" s="414">
        <v>764.5</v>
      </c>
      <c r="E33" s="415">
        <v>20</v>
      </c>
    </row>
    <row r="34" spans="1:5">
      <c r="A34" s="408">
        <f t="shared" si="0"/>
        <v>20</v>
      </c>
      <c r="B34" s="409" t="s">
        <v>556</v>
      </c>
      <c r="C34" s="409" t="s">
        <v>535</v>
      </c>
      <c r="D34" s="410">
        <v>362.4</v>
      </c>
      <c r="E34" s="411">
        <v>9</v>
      </c>
    </row>
    <row r="35" spans="1:5">
      <c r="A35" s="412">
        <f t="shared" si="0"/>
        <v>21</v>
      </c>
      <c r="B35" s="413" t="s">
        <v>557</v>
      </c>
      <c r="C35" s="413" t="s">
        <v>535</v>
      </c>
      <c r="D35" s="414">
        <v>342.2</v>
      </c>
      <c r="E35" s="415">
        <v>20</v>
      </c>
    </row>
    <row r="36" spans="1:5">
      <c r="A36" s="416"/>
      <c r="B36" s="417" t="s">
        <v>559</v>
      </c>
      <c r="C36" s="417"/>
      <c r="D36" s="418">
        <f>SUM(D15:D35)</f>
        <v>1415103.2399999998</v>
      </c>
      <c r="E36" s="418">
        <f>SUM(E15:E35)</f>
        <v>29257</v>
      </c>
    </row>
    <row r="37" spans="1:5">
      <c r="A37" s="416"/>
      <c r="B37" s="417" t="s">
        <v>536</v>
      </c>
      <c r="C37" s="417"/>
      <c r="D37" s="418">
        <f>+D36+D14</f>
        <v>1536233.6099999999</v>
      </c>
      <c r="E37" s="418">
        <f>+E36+E14</f>
        <v>31460</v>
      </c>
    </row>
  </sheetData>
  <autoFilter ref="A8:E37" xr:uid="{FDBF1987-047B-40E5-9C12-E9E16F63E5D1}">
    <sortState xmlns:xlrd2="http://schemas.microsoft.com/office/spreadsheetml/2017/richdata2" ref="A9:E35">
      <sortCondition descending="1" ref="C9:C35"/>
      <sortCondition descending="1" ref="E9:E35"/>
    </sortState>
  </autoFilter>
  <sortState xmlns:xlrd2="http://schemas.microsoft.com/office/spreadsheetml/2017/richdata2" ref="A9:E35">
    <sortCondition descending="1" ref="C9:C35"/>
    <sortCondition descending="1" ref="D9:D35"/>
  </sortState>
  <mergeCells count="1">
    <mergeCell ref="A5: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9F56-49BF-4007-A453-60E43F40B441}">
  <sheetPr codeName="Feuil68"/>
  <dimension ref="B3:D17"/>
  <sheetViews>
    <sheetView workbookViewId="0">
      <selection activeCell="K24" sqref="K24"/>
    </sheetView>
  </sheetViews>
  <sheetFormatPr baseColWidth="10" defaultColWidth="11.54296875" defaultRowHeight="14.5"/>
  <cols>
    <col min="1" max="3" width="11.54296875" style="291"/>
    <col min="4" max="4" width="43.26953125" style="291" customWidth="1"/>
    <col min="5" max="16384" width="11.54296875" style="291"/>
  </cols>
  <sheetData>
    <row r="3" spans="2:4">
      <c r="B3" s="834" t="s">
        <v>781</v>
      </c>
      <c r="C3" s="834"/>
      <c r="D3" s="834"/>
    </row>
    <row r="5" spans="2:4" ht="15" thickBot="1">
      <c r="B5" s="319" t="s">
        <v>6</v>
      </c>
      <c r="C5" s="319" t="s">
        <v>55</v>
      </c>
      <c r="D5" s="319" t="s">
        <v>360</v>
      </c>
    </row>
    <row r="6" spans="2:4" ht="15" thickTop="1">
      <c r="B6" s="321">
        <v>1</v>
      </c>
      <c r="C6" s="322" t="s">
        <v>362</v>
      </c>
      <c r="D6" s="401">
        <v>205911.58</v>
      </c>
    </row>
    <row r="7" spans="2:4">
      <c r="B7" s="403">
        <v>2</v>
      </c>
      <c r="C7" s="404" t="s">
        <v>367</v>
      </c>
      <c r="D7" s="405">
        <v>160203.64000000001</v>
      </c>
    </row>
    <row r="8" spans="2:4">
      <c r="B8" s="321">
        <v>3</v>
      </c>
      <c r="C8" s="322" t="s">
        <v>147</v>
      </c>
      <c r="D8" s="401">
        <v>69510.41</v>
      </c>
    </row>
    <row r="9" spans="2:4">
      <c r="B9" s="403">
        <v>4</v>
      </c>
      <c r="C9" s="404" t="s">
        <v>363</v>
      </c>
      <c r="D9" s="405">
        <v>66630.59</v>
      </c>
    </row>
    <row r="10" spans="2:4" ht="21">
      <c r="B10" s="321">
        <v>5</v>
      </c>
      <c r="C10" s="322" t="s">
        <v>364</v>
      </c>
      <c r="D10" s="401">
        <v>44834.53</v>
      </c>
    </row>
    <row r="11" spans="2:4">
      <c r="B11" s="403">
        <v>6</v>
      </c>
      <c r="C11" s="404" t="s">
        <v>366</v>
      </c>
      <c r="D11" s="405">
        <v>41795.94</v>
      </c>
    </row>
    <row r="12" spans="2:4">
      <c r="B12" s="321">
        <v>7</v>
      </c>
      <c r="C12" s="322" t="s">
        <v>361</v>
      </c>
      <c r="D12" s="401">
        <v>28298.22</v>
      </c>
    </row>
    <row r="13" spans="2:4">
      <c r="B13" s="403">
        <v>8</v>
      </c>
      <c r="C13" s="404" t="s">
        <v>365</v>
      </c>
      <c r="D13" s="405">
        <v>11481.3</v>
      </c>
    </row>
    <row r="14" spans="2:4">
      <c r="B14" s="321">
        <v>9</v>
      </c>
      <c r="C14" s="322" t="s">
        <v>369</v>
      </c>
      <c r="D14" s="401">
        <v>10199</v>
      </c>
    </row>
    <row r="15" spans="2:4">
      <c r="B15" s="403">
        <v>10</v>
      </c>
      <c r="C15" s="404" t="s">
        <v>368</v>
      </c>
      <c r="D15" s="405">
        <v>179</v>
      </c>
    </row>
    <row r="16" spans="2:4">
      <c r="B16" s="321">
        <v>11</v>
      </c>
      <c r="C16" s="322" t="s">
        <v>370</v>
      </c>
      <c r="D16" s="401">
        <v>59.75</v>
      </c>
    </row>
    <row r="17" spans="2:4">
      <c r="B17" s="323"/>
      <c r="C17" s="324" t="s">
        <v>1</v>
      </c>
      <c r="D17" s="402">
        <f>SUM(D6:D16)</f>
        <v>639103.96</v>
      </c>
    </row>
  </sheetData>
  <autoFilter ref="B5:D16" xr:uid="{8F549F56-49BF-4007-A453-60E43F40B441}">
    <sortState xmlns:xlrd2="http://schemas.microsoft.com/office/spreadsheetml/2017/richdata2" ref="B6:D16">
      <sortCondition descending="1" ref="D5:D16"/>
    </sortState>
  </autoFilter>
  <mergeCells count="1">
    <mergeCell ref="B3:D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EDE54-7E2A-4DDC-8EAA-AA1ADEF6ACAD}">
  <sheetPr codeName="Feuil69"/>
  <dimension ref="A5:F21"/>
  <sheetViews>
    <sheetView topLeftCell="A3" zoomScaleNormal="100" workbookViewId="0">
      <selection activeCell="M30" sqref="M30"/>
    </sheetView>
  </sheetViews>
  <sheetFormatPr baseColWidth="10" defaultColWidth="11.54296875" defaultRowHeight="14.5"/>
  <cols>
    <col min="1" max="1" width="4.81640625" style="291" customWidth="1"/>
    <col min="2" max="2" width="47.7265625" style="302" customWidth="1"/>
    <col min="3" max="3" width="17.54296875" style="291" customWidth="1"/>
    <col min="4" max="5" width="17.453125" style="291" customWidth="1"/>
    <col min="6" max="6" width="15.7265625" style="291" customWidth="1"/>
    <col min="7" max="16384" width="11.54296875" style="291"/>
  </cols>
  <sheetData>
    <row r="5" spans="1:6">
      <c r="A5" s="833" t="s">
        <v>782</v>
      </c>
      <c r="B5" s="833"/>
      <c r="C5" s="833"/>
      <c r="D5" s="833"/>
      <c r="E5" s="833"/>
      <c r="F5" s="833"/>
    </row>
    <row r="8" spans="1:6" ht="24.5" thickBot="1">
      <c r="A8" s="303" t="s">
        <v>6</v>
      </c>
      <c r="B8" s="303" t="s">
        <v>55</v>
      </c>
      <c r="C8" s="303" t="s">
        <v>371</v>
      </c>
      <c r="D8" s="303" t="s">
        <v>355</v>
      </c>
      <c r="E8" s="303" t="s">
        <v>566</v>
      </c>
      <c r="F8" s="303" t="s">
        <v>372</v>
      </c>
    </row>
    <row r="9" spans="1:6" ht="15" thickTop="1">
      <c r="A9" s="300">
        <v>1</v>
      </c>
      <c r="B9" s="311" t="s">
        <v>374</v>
      </c>
      <c r="C9" s="312">
        <f>12422.99+8195.04+3929.97+13004.08+17478.69+8488.26+14305.93+8125.9+12077.73+33.24</f>
        <v>98061.83</v>
      </c>
      <c r="D9" s="427">
        <v>7119.7550659999997</v>
      </c>
      <c r="E9" s="427">
        <f>+D9/'Tableau (36a)'!$C$6</f>
        <v>11.391211691433135</v>
      </c>
      <c r="F9" s="326">
        <f t="shared" ref="F9:F20" si="0">+D9/$D$21</f>
        <v>0.79730286137580797</v>
      </c>
    </row>
    <row r="10" spans="1:6">
      <c r="A10" s="314">
        <v>2</v>
      </c>
      <c r="B10" s="315" t="s">
        <v>375</v>
      </c>
      <c r="C10" s="316">
        <f>24.89+1691.31+2709.79+2739.02+2750.43</f>
        <v>9915.44</v>
      </c>
      <c r="D10" s="428">
        <v>653.39258099999995</v>
      </c>
      <c r="E10" s="428">
        <f>+D10/'Tableau (36a)'!$C$6</f>
        <v>1.0453917499671008</v>
      </c>
      <c r="F10" s="406">
        <f t="shared" si="0"/>
        <v>7.3169901155841863E-2</v>
      </c>
    </row>
    <row r="11" spans="1:6">
      <c r="A11" s="300">
        <v>3</v>
      </c>
      <c r="B11" s="311" t="s">
        <v>376</v>
      </c>
      <c r="C11" s="312">
        <f>513.81+447.03+364.36+895.7</f>
        <v>2220.8999999999996</v>
      </c>
      <c r="D11" s="427">
        <v>282.24369300000001</v>
      </c>
      <c r="E11" s="427">
        <f>+D11/'Tableau (36a)'!$C$6</f>
        <v>0.4515741940180481</v>
      </c>
      <c r="F11" s="326">
        <f t="shared" si="0"/>
        <v>3.1606944613700443E-2</v>
      </c>
    </row>
    <row r="12" spans="1:6">
      <c r="A12" s="314">
        <v>4</v>
      </c>
      <c r="B12" s="315" t="s">
        <v>384</v>
      </c>
      <c r="C12" s="316">
        <f>1505.47+390.51</f>
        <v>1895.98</v>
      </c>
      <c r="D12" s="428">
        <v>249.020105</v>
      </c>
      <c r="E12" s="428">
        <f>+D12/'Tableau (36a)'!$C$6</f>
        <v>0.39841830304305403</v>
      </c>
      <c r="F12" s="406">
        <f t="shared" si="0"/>
        <v>2.788641468928366E-2</v>
      </c>
    </row>
    <row r="13" spans="1:6">
      <c r="A13" s="300">
        <v>5</v>
      </c>
      <c r="B13" s="311" t="s">
        <v>382</v>
      </c>
      <c r="C13" s="312">
        <v>1730.62</v>
      </c>
      <c r="D13" s="427">
        <v>176.601022</v>
      </c>
      <c r="E13" s="427">
        <f>+D13/'Tableau (36a)'!$C$6</f>
        <v>0.28255180239727651</v>
      </c>
      <c r="F13" s="326">
        <f t="shared" si="0"/>
        <v>1.9776593275644579E-2</v>
      </c>
    </row>
    <row r="14" spans="1:6">
      <c r="A14" s="314">
        <v>6</v>
      </c>
      <c r="B14" s="315" t="s">
        <v>373</v>
      </c>
      <c r="C14" s="316">
        <f>195.84+633.37</f>
        <v>829.21</v>
      </c>
      <c r="D14" s="428">
        <v>222.249268</v>
      </c>
      <c r="E14" s="428">
        <f>+D14/'Tableau (36a)'!$C$6</f>
        <v>0.35558645439138714</v>
      </c>
      <c r="F14" s="406">
        <f t="shared" si="0"/>
        <v>2.4888493448501844E-2</v>
      </c>
    </row>
    <row r="15" spans="1:6">
      <c r="A15" s="300">
        <v>7</v>
      </c>
      <c r="B15" s="311" t="s">
        <v>383</v>
      </c>
      <c r="C15" s="312">
        <v>404.7</v>
      </c>
      <c r="D15" s="427">
        <v>84.791232999999991</v>
      </c>
      <c r="E15" s="427">
        <f>+D15/'Tableau (36a)'!$C$6</f>
        <v>0.13566125178843771</v>
      </c>
      <c r="F15" s="326">
        <f t="shared" si="0"/>
        <v>9.4953115751584532E-3</v>
      </c>
    </row>
    <row r="16" spans="1:6">
      <c r="A16" s="314">
        <v>8</v>
      </c>
      <c r="B16" s="315" t="s">
        <v>379</v>
      </c>
      <c r="C16" s="316">
        <f>127.9+88.2</f>
        <v>216.10000000000002</v>
      </c>
      <c r="D16" s="428">
        <v>44.1</v>
      </c>
      <c r="E16" s="428">
        <f>+D16/'Tableau (36a)'!$C$6</f>
        <v>7.0557544597447994E-2</v>
      </c>
      <c r="F16" s="406">
        <f t="shared" si="0"/>
        <v>4.9385204772819831E-3</v>
      </c>
    </row>
    <row r="17" spans="1:6">
      <c r="A17" s="300">
        <v>9</v>
      </c>
      <c r="B17" s="311" t="s">
        <v>378</v>
      </c>
      <c r="C17" s="312">
        <v>205.36</v>
      </c>
      <c r="D17" s="427">
        <v>37.646999999999998</v>
      </c>
      <c r="E17" s="427">
        <f>+D17/'Tableau (36a)'!$C$6</f>
        <v>6.0233103887984682E-2</v>
      </c>
      <c r="F17" s="326">
        <f t="shared" si="0"/>
        <v>4.2158839094837818E-3</v>
      </c>
    </row>
    <row r="18" spans="1:6">
      <c r="A18" s="314">
        <v>10</v>
      </c>
      <c r="B18" s="315" t="s">
        <v>377</v>
      </c>
      <c r="C18" s="316">
        <v>63.76</v>
      </c>
      <c r="D18" s="428">
        <v>20</v>
      </c>
      <c r="E18" s="428">
        <f>+D18/'Tableau (36a)'!$C$6</f>
        <v>3.1998886438751928E-2</v>
      </c>
      <c r="F18" s="406">
        <f t="shared" si="0"/>
        <v>2.2396918264317384E-3</v>
      </c>
    </row>
    <row r="19" spans="1:6">
      <c r="A19" s="300">
        <v>11</v>
      </c>
      <c r="B19" s="311" t="s">
        <v>380</v>
      </c>
      <c r="C19" s="312">
        <v>41.22</v>
      </c>
      <c r="D19" s="427">
        <v>20</v>
      </c>
      <c r="E19" s="427">
        <f>+D19/'Tableau (36a)'!$C$6</f>
        <v>3.1998886438751928E-2</v>
      </c>
      <c r="F19" s="326">
        <f t="shared" si="0"/>
        <v>2.2396918264317384E-3</v>
      </c>
    </row>
    <row r="20" spans="1:6">
      <c r="A20" s="314">
        <v>12</v>
      </c>
      <c r="B20" s="315" t="s">
        <v>381</v>
      </c>
      <c r="C20" s="316">
        <v>22.31</v>
      </c>
      <c r="D20" s="428">
        <v>20</v>
      </c>
      <c r="E20" s="428">
        <f>+D20/'Tableau (36a)'!$C$6</f>
        <v>3.1998886438751928E-2</v>
      </c>
      <c r="F20" s="406">
        <f t="shared" si="0"/>
        <v>2.2396918264317384E-3</v>
      </c>
    </row>
    <row r="21" spans="1:6">
      <c r="A21" s="301"/>
      <c r="B21" s="317" t="s">
        <v>1</v>
      </c>
      <c r="C21" s="318">
        <f>SUM(C9:C20)</f>
        <v>115607.43</v>
      </c>
      <c r="D21" s="429">
        <f>SUM(D9:D20)</f>
        <v>8929.7999680000012</v>
      </c>
      <c r="E21" s="429">
        <f>SUM(E9:E20)</f>
        <v>14.287182754840126</v>
      </c>
      <c r="F21" s="327">
        <f>SUM(F9:F20)</f>
        <v>0.99999999999999967</v>
      </c>
    </row>
  </sheetData>
  <autoFilter ref="A8:F20" xr:uid="{38DEDE54-7E2A-4DDC-8EAA-AA1ADEF6ACAD}">
    <sortState xmlns:xlrd2="http://schemas.microsoft.com/office/spreadsheetml/2017/richdata2" ref="A9:F20">
      <sortCondition descending="1" ref="C8:C20"/>
    </sortState>
  </autoFilter>
  <mergeCells count="1">
    <mergeCell ref="A5:F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B7DD0-4062-4893-8585-2A5FE3D8DB15}">
  <sheetPr codeName="Feuil70"/>
  <dimension ref="A6:D13"/>
  <sheetViews>
    <sheetView zoomScaleNormal="100" workbookViewId="0"/>
  </sheetViews>
  <sheetFormatPr baseColWidth="10" defaultColWidth="11.54296875" defaultRowHeight="14.5"/>
  <cols>
    <col min="1" max="1" width="47.7265625" style="302" customWidth="1"/>
    <col min="2" max="2" width="17.54296875" style="291" customWidth="1"/>
    <col min="3" max="3" width="17.453125" style="291" customWidth="1"/>
    <col min="4" max="4" width="15.7265625" style="291" customWidth="1"/>
    <col min="5" max="16384" width="11.54296875" style="291"/>
  </cols>
  <sheetData>
    <row r="6" spans="1:4">
      <c r="A6" s="833" t="s">
        <v>783</v>
      </c>
      <c r="B6" s="833"/>
      <c r="C6" s="833"/>
      <c r="D6" s="833"/>
    </row>
    <row r="8" spans="1:4" ht="24.5" thickBot="1">
      <c r="A8" s="319" t="s">
        <v>385</v>
      </c>
      <c r="B8" s="319" t="s">
        <v>371</v>
      </c>
      <c r="C8" s="319" t="s">
        <v>560</v>
      </c>
      <c r="D8" s="319" t="s">
        <v>372</v>
      </c>
    </row>
    <row r="9" spans="1:4" ht="15" thickTop="1">
      <c r="A9" s="328" t="s">
        <v>386</v>
      </c>
      <c r="B9" s="419">
        <v>113771.83</v>
      </c>
      <c r="C9" s="329">
        <f>+C13-C10-C11-C12</f>
        <v>13722803.949999999</v>
      </c>
      <c r="D9" s="420">
        <f>+C9/$C$13</f>
        <v>0.98411465582741187</v>
      </c>
    </row>
    <row r="10" spans="1:4">
      <c r="A10" s="330" t="s">
        <v>387</v>
      </c>
      <c r="B10" s="421">
        <v>1730.62</v>
      </c>
      <c r="C10" s="331">
        <v>189791.48</v>
      </c>
      <c r="D10" s="422">
        <f>+C10/$C$13</f>
        <v>1.3610671528917029E-2</v>
      </c>
    </row>
    <row r="11" spans="1:4">
      <c r="A11" s="328" t="s">
        <v>388</v>
      </c>
      <c r="B11" s="419">
        <v>63.76</v>
      </c>
      <c r="C11" s="329">
        <v>11471.81</v>
      </c>
      <c r="D11" s="420">
        <f>+C11/$C$13</f>
        <v>8.2268728686949301E-4</v>
      </c>
    </row>
    <row r="12" spans="1:4">
      <c r="A12" s="330" t="s">
        <v>561</v>
      </c>
      <c r="B12" s="421">
        <v>41.22</v>
      </c>
      <c r="C12" s="331">
        <v>20246.939999999999</v>
      </c>
      <c r="D12" s="422">
        <f>+C12/$C$13</f>
        <v>1.4519853568015348E-3</v>
      </c>
    </row>
    <row r="13" spans="1:4">
      <c r="A13" s="332" t="s">
        <v>1</v>
      </c>
      <c r="B13" s="333">
        <f>SUM(B9:B12)</f>
        <v>115607.43</v>
      </c>
      <c r="C13" s="423">
        <v>13944314.18</v>
      </c>
      <c r="D13" s="424">
        <f>SUM(D9:D12)</f>
        <v>1</v>
      </c>
    </row>
  </sheetData>
  <autoFilter ref="A8:D12" xr:uid="{1A6B7DD0-4062-4893-8585-2A5FE3D8DB15}">
    <sortState xmlns:xlrd2="http://schemas.microsoft.com/office/spreadsheetml/2017/richdata2" ref="A9:D12">
      <sortCondition descending="1" ref="B8:B12"/>
    </sortState>
  </autoFilter>
  <mergeCells count="1">
    <mergeCell ref="A6:D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25E8A-637A-48A8-B2CC-DDC23EBF9833}">
  <sheetPr codeName="Feuil71"/>
  <dimension ref="A5:D16"/>
  <sheetViews>
    <sheetView topLeftCell="A3" zoomScaleNormal="100" workbookViewId="0">
      <selection activeCell="B29" sqref="B29"/>
    </sheetView>
  </sheetViews>
  <sheetFormatPr baseColWidth="10" defaultColWidth="11.54296875" defaultRowHeight="14.5"/>
  <cols>
    <col min="1" max="1" width="47.7265625" style="302" customWidth="1"/>
    <col min="2" max="3" width="16.26953125" style="291" customWidth="1"/>
    <col min="4" max="4" width="15.7265625" style="291" customWidth="1"/>
    <col min="5" max="16384" width="11.54296875" style="291"/>
  </cols>
  <sheetData>
    <row r="5" spans="1:4">
      <c r="A5" s="833"/>
      <c r="B5" s="833"/>
      <c r="C5" s="833"/>
      <c r="D5" s="833"/>
    </row>
    <row r="6" spans="1:4">
      <c r="B6" s="291">
        <f>1/1000000</f>
        <v>9.9999999999999995E-7</v>
      </c>
      <c r="C6" s="291">
        <f>+'Taux de change RCA 2022'!J11</f>
        <v>625.02175000000011</v>
      </c>
    </row>
    <row r="8" spans="1:4" ht="24.5" thickBot="1">
      <c r="A8" s="319" t="s">
        <v>385</v>
      </c>
      <c r="B8" s="319" t="s">
        <v>564</v>
      </c>
      <c r="C8" s="319" t="s">
        <v>565</v>
      </c>
      <c r="D8" s="319" t="s">
        <v>372</v>
      </c>
    </row>
    <row r="9" spans="1:4" ht="15" thickTop="1">
      <c r="A9" s="328" t="s">
        <v>386</v>
      </c>
      <c r="B9" s="419">
        <v>21229.806699000001</v>
      </c>
      <c r="C9" s="419">
        <f>+B9/$C$6</f>
        <v>33.966508683897793</v>
      </c>
      <c r="D9" s="425">
        <f t="shared" ref="D9:D15" si="0">+B9/$B$16</f>
        <v>0.67484579654919608</v>
      </c>
    </row>
    <row r="10" spans="1:4">
      <c r="A10" s="330" t="s">
        <v>391</v>
      </c>
      <c r="B10" s="421">
        <v>8015.1965949999994</v>
      </c>
      <c r="C10" s="421">
        <f t="shared" ref="C10:C15" si="1">+B10/$C$6</f>
        <v>12.823868281383804</v>
      </c>
      <c r="D10" s="426">
        <f t="shared" si="0"/>
        <v>0.25478431374064103</v>
      </c>
    </row>
    <row r="11" spans="1:4">
      <c r="A11" s="328" t="s">
        <v>392</v>
      </c>
      <c r="B11" s="419">
        <v>2016.24261</v>
      </c>
      <c r="C11" s="419">
        <f t="shared" si="1"/>
        <v>3.2258759155181393</v>
      </c>
      <c r="D11" s="425">
        <f t="shared" si="0"/>
        <v>6.4091626903318516E-2</v>
      </c>
    </row>
    <row r="12" spans="1:4">
      <c r="A12" s="330" t="s">
        <v>387</v>
      </c>
      <c r="B12" s="421">
        <v>90.016249999999999</v>
      </c>
      <c r="C12" s="421">
        <f t="shared" si="1"/>
        <v>0.14402098806961516</v>
      </c>
      <c r="D12" s="426">
        <f t="shared" si="0"/>
        <v>2.861405607451102E-3</v>
      </c>
    </row>
    <row r="13" spans="1:4">
      <c r="A13" s="328" t="s">
        <v>388</v>
      </c>
      <c r="B13" s="419">
        <v>33.015000000000001</v>
      </c>
      <c r="C13" s="419">
        <f t="shared" si="1"/>
        <v>5.2822161788769743E-2</v>
      </c>
      <c r="D13" s="425">
        <f t="shared" si="0"/>
        <v>1.049469469456883E-3</v>
      </c>
    </row>
    <row r="14" spans="1:4">
      <c r="A14" s="330" t="s">
        <v>562</v>
      </c>
      <c r="B14" s="421">
        <v>65.932264000000004</v>
      </c>
      <c r="C14" s="421">
        <f t="shared" si="1"/>
        <v>0.1054879514192906</v>
      </c>
      <c r="D14" s="426">
        <f t="shared" si="0"/>
        <v>2.0958321405473617E-3</v>
      </c>
    </row>
    <row r="15" spans="1:4">
      <c r="A15" s="328" t="s">
        <v>563</v>
      </c>
      <c r="B15" s="419">
        <v>8.5427999999999997</v>
      </c>
      <c r="C15" s="419">
        <f t="shared" si="1"/>
        <v>1.3668004353448497E-2</v>
      </c>
      <c r="D15" s="425">
        <f t="shared" si="0"/>
        <v>2.7155558938895229E-4</v>
      </c>
    </row>
    <row r="16" spans="1:4">
      <c r="A16" s="332" t="s">
        <v>1</v>
      </c>
      <c r="B16" s="333">
        <f>SUM(B9:B15)</f>
        <v>31458.752218000001</v>
      </c>
      <c r="C16" s="333">
        <f>SUM(C9:C15)</f>
        <v>50.332251986430855</v>
      </c>
      <c r="D16" s="424">
        <f>SUM(D9:D12)</f>
        <v>0.99658314280060667</v>
      </c>
    </row>
  </sheetData>
  <autoFilter ref="A8:D16" xr:uid="{38DEDE54-7E2A-4DDC-8EAA-AA1ADEF6ACAD}"/>
  <mergeCells count="1">
    <mergeCell ref="A5:D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C601C-DE77-4FEA-B462-0DF9EAEA8C21}">
  <dimension ref="A5:D16"/>
  <sheetViews>
    <sheetView topLeftCell="A3" zoomScaleNormal="100" workbookViewId="0">
      <selection activeCell="B16" sqref="B16"/>
    </sheetView>
  </sheetViews>
  <sheetFormatPr baseColWidth="10" defaultColWidth="11.54296875" defaultRowHeight="14.5"/>
  <cols>
    <col min="1" max="1" width="47.7265625" style="611" customWidth="1"/>
    <col min="2" max="2" width="19.26953125" style="610" bestFit="1" customWidth="1"/>
    <col min="3" max="3" width="16.26953125" style="610" customWidth="1"/>
    <col min="4" max="4" width="15.7265625" style="610" customWidth="1"/>
    <col min="5" max="16384" width="11.54296875" style="610"/>
  </cols>
  <sheetData>
    <row r="5" spans="1:4">
      <c r="A5" s="835"/>
      <c r="B5" s="835"/>
      <c r="C5" s="835"/>
      <c r="D5" s="835"/>
    </row>
    <row r="6" spans="1:4" ht="15.5">
      <c r="A6" s="609" t="s">
        <v>784</v>
      </c>
      <c r="C6" s="783">
        <f>+'[2]Taux de change RCA 2022'!J11</f>
        <v>625.02175000000011</v>
      </c>
    </row>
    <row r="8" spans="1:4" ht="24.5" thickBot="1">
      <c r="A8" s="612" t="s">
        <v>385</v>
      </c>
      <c r="B8" s="612" t="s">
        <v>564</v>
      </c>
      <c r="C8" s="612" t="s">
        <v>565</v>
      </c>
      <c r="D8" s="612" t="s">
        <v>372</v>
      </c>
    </row>
    <row r="9" spans="1:4" ht="15" thickTop="1">
      <c r="A9" s="613" t="s">
        <v>386</v>
      </c>
      <c r="B9" s="614">
        <v>21229.806699000001</v>
      </c>
      <c r="C9" s="614">
        <f>+B9/$C$6</f>
        <v>33.966508683897793</v>
      </c>
      <c r="D9" s="425">
        <f t="shared" ref="D9:D15" si="0">+B9/$B$16</f>
        <v>0.67484579654919608</v>
      </c>
    </row>
    <row r="10" spans="1:4">
      <c r="A10" s="615" t="s">
        <v>391</v>
      </c>
      <c r="B10" s="616">
        <v>8015.1965949999994</v>
      </c>
      <c r="C10" s="616">
        <f t="shared" ref="C10:C15" si="1">+B10/$C$6</f>
        <v>12.823868281383804</v>
      </c>
      <c r="D10" s="426">
        <f t="shared" si="0"/>
        <v>0.25478431374064103</v>
      </c>
    </row>
    <row r="11" spans="1:4">
      <c r="A11" s="613" t="s">
        <v>392</v>
      </c>
      <c r="B11" s="614">
        <v>2016.24261</v>
      </c>
      <c r="C11" s="614">
        <f t="shared" si="1"/>
        <v>3.2258759155181393</v>
      </c>
      <c r="D11" s="425">
        <f t="shared" si="0"/>
        <v>6.4091626903318516E-2</v>
      </c>
    </row>
    <row r="12" spans="1:4">
      <c r="A12" s="615" t="s">
        <v>387</v>
      </c>
      <c r="B12" s="616">
        <v>90.016249999999999</v>
      </c>
      <c r="C12" s="616">
        <f t="shared" si="1"/>
        <v>0.14402098806961516</v>
      </c>
      <c r="D12" s="426">
        <f t="shared" si="0"/>
        <v>2.861405607451102E-3</v>
      </c>
    </row>
    <row r="13" spans="1:4">
      <c r="A13" s="613" t="s">
        <v>388</v>
      </c>
      <c r="B13" s="614">
        <v>33.015000000000001</v>
      </c>
      <c r="C13" s="614">
        <f t="shared" si="1"/>
        <v>5.2822161788769743E-2</v>
      </c>
      <c r="D13" s="425">
        <f t="shared" si="0"/>
        <v>1.049469469456883E-3</v>
      </c>
    </row>
    <row r="14" spans="1:4">
      <c r="A14" s="615" t="s">
        <v>562</v>
      </c>
      <c r="B14" s="616">
        <v>65.932264000000004</v>
      </c>
      <c r="C14" s="616">
        <f t="shared" si="1"/>
        <v>0.1054879514192906</v>
      </c>
      <c r="D14" s="426">
        <f t="shared" si="0"/>
        <v>2.0958321405473617E-3</v>
      </c>
    </row>
    <row r="15" spans="1:4">
      <c r="A15" s="613" t="s">
        <v>563</v>
      </c>
      <c r="B15" s="614">
        <v>8.5427999999999997</v>
      </c>
      <c r="C15" s="614">
        <f t="shared" si="1"/>
        <v>1.3668004353448497E-2</v>
      </c>
      <c r="D15" s="425">
        <f t="shared" si="0"/>
        <v>2.7155558938895229E-4</v>
      </c>
    </row>
    <row r="16" spans="1:4">
      <c r="A16" s="617" t="s">
        <v>1</v>
      </c>
      <c r="B16" s="909">
        <f>SUM(B9:B15)</f>
        <v>31458.752218000001</v>
      </c>
      <c r="C16" s="618">
        <f>SUM(C9:C15)</f>
        <v>50.332251986430855</v>
      </c>
      <c r="D16" s="619">
        <f>SUM(D9:D12)</f>
        <v>0.99658314280060667</v>
      </c>
    </row>
  </sheetData>
  <autoFilter ref="A8:D16" xr:uid="{38DEDE54-7E2A-4DDC-8EAA-AA1ADEF6ACAD}"/>
  <mergeCells count="1">
    <mergeCell ref="A5:D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799D2-8937-4010-8CB8-693A92896DC3}">
  <sheetPr codeName="Feuil72"/>
  <dimension ref="A6:C21"/>
  <sheetViews>
    <sheetView topLeftCell="A4" zoomScaleNormal="100" workbookViewId="0">
      <selection activeCell="C8" sqref="C8"/>
    </sheetView>
  </sheetViews>
  <sheetFormatPr baseColWidth="10" defaultColWidth="11.54296875" defaultRowHeight="14.5"/>
  <cols>
    <col min="1" max="1" width="47.7265625" style="302" customWidth="1"/>
    <col min="2" max="2" width="17.54296875" style="291" customWidth="1"/>
    <col min="3" max="3" width="15.7265625" style="291" customWidth="1"/>
    <col min="4" max="16384" width="11.54296875" style="291"/>
  </cols>
  <sheetData>
    <row r="6" spans="1:3">
      <c r="A6" s="833" t="s">
        <v>389</v>
      </c>
      <c r="B6" s="833"/>
      <c r="C6" s="833"/>
    </row>
    <row r="8" spans="1:3" ht="15" thickBot="1">
      <c r="A8" s="303" t="s">
        <v>385</v>
      </c>
      <c r="B8" s="303" t="s">
        <v>390</v>
      </c>
      <c r="C8" s="303" t="s">
        <v>372</v>
      </c>
    </row>
    <row r="9" spans="1:3" ht="15" thickTop="1">
      <c r="A9" s="309" t="s">
        <v>386</v>
      </c>
      <c r="B9" s="310">
        <v>64</v>
      </c>
      <c r="C9" s="325">
        <v>0.70699999999999996</v>
      </c>
    </row>
    <row r="10" spans="1:3">
      <c r="A10" s="311" t="s">
        <v>391</v>
      </c>
      <c r="B10" s="313">
        <v>23</v>
      </c>
      <c r="C10" s="326">
        <v>0.24399999999999999</v>
      </c>
    </row>
    <row r="11" spans="1:3">
      <c r="A11" s="315" t="s">
        <v>392</v>
      </c>
      <c r="B11" s="316">
        <v>3.18</v>
      </c>
      <c r="C11" s="325">
        <v>3.5099999999999999E-2</v>
      </c>
    </row>
    <row r="12" spans="1:3">
      <c r="A12" s="317" t="s">
        <v>1</v>
      </c>
      <c r="B12" s="318">
        <f>SUM(B9:B11)</f>
        <v>90.18</v>
      </c>
      <c r="C12" s="327">
        <v>1</v>
      </c>
    </row>
    <row r="14" spans="1:3">
      <c r="A14" s="833" t="s">
        <v>572</v>
      </c>
      <c r="B14" s="833"/>
      <c r="C14" s="833"/>
    </row>
    <row r="15" spans="1:3" ht="15" thickBot="1">
      <c r="A15" s="407" t="s">
        <v>571</v>
      </c>
      <c r="B15" s="407" t="s">
        <v>567</v>
      </c>
      <c r="C15" s="407" t="s">
        <v>568</v>
      </c>
    </row>
    <row r="16" spans="1:3" ht="15" thickTop="1">
      <c r="A16" s="413" t="s">
        <v>569</v>
      </c>
      <c r="B16" s="412">
        <v>13.77</v>
      </c>
      <c r="C16" s="415">
        <v>31715</v>
      </c>
    </row>
    <row r="17" spans="1:3">
      <c r="A17" s="409" t="s">
        <v>387</v>
      </c>
      <c r="B17" s="408">
        <v>0.28000000000000003</v>
      </c>
      <c r="C17" s="411">
        <v>5000</v>
      </c>
    </row>
    <row r="18" spans="1:3">
      <c r="A18" s="413" t="s">
        <v>388</v>
      </c>
      <c r="B18" s="412" t="s">
        <v>405</v>
      </c>
      <c r="C18" s="412" t="s">
        <v>405</v>
      </c>
    </row>
    <row r="19" spans="1:3">
      <c r="A19" s="409" t="s">
        <v>570</v>
      </c>
      <c r="B19" s="408">
        <v>0.03</v>
      </c>
      <c r="C19" s="411">
        <v>5000</v>
      </c>
    </row>
    <row r="20" spans="1:3">
      <c r="A20" s="417" t="s">
        <v>1</v>
      </c>
      <c r="B20" s="416">
        <v>14.08</v>
      </c>
      <c r="C20" s="430">
        <v>41715</v>
      </c>
    </row>
    <row r="21" spans="1:3">
      <c r="C21" s="400"/>
    </row>
  </sheetData>
  <mergeCells count="2">
    <mergeCell ref="A6:C6"/>
    <mergeCell ref="A14:C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873B8-8B01-4438-99A4-1243EF2C0374}">
  <sheetPr codeName="Feuil73"/>
  <dimension ref="A6:F42"/>
  <sheetViews>
    <sheetView topLeftCell="A2" zoomScaleNormal="100" workbookViewId="0">
      <selection activeCell="A19" sqref="A19"/>
    </sheetView>
  </sheetViews>
  <sheetFormatPr baseColWidth="10" defaultColWidth="11.54296875" defaultRowHeight="14.5"/>
  <cols>
    <col min="1" max="1" width="4.81640625" style="291" customWidth="1"/>
    <col min="2" max="2" width="47.7265625" style="302" customWidth="1"/>
    <col min="3" max="3" width="20.1796875" style="291" customWidth="1"/>
    <col min="4" max="16384" width="11.54296875" style="291"/>
  </cols>
  <sheetData>
    <row r="6" spans="1:5">
      <c r="A6" s="833" t="s">
        <v>785</v>
      </c>
      <c r="B6" s="833"/>
    </row>
    <row r="8" spans="1:5" ht="24.5" thickBot="1">
      <c r="A8" s="719" t="s">
        <v>6</v>
      </c>
      <c r="B8" s="910" t="s">
        <v>55</v>
      </c>
      <c r="C8" s="719" t="s">
        <v>839</v>
      </c>
      <c r="D8" s="719" t="s">
        <v>833</v>
      </c>
      <c r="E8" s="719" t="s">
        <v>834</v>
      </c>
    </row>
    <row r="9" spans="1:5" ht="15" thickTop="1">
      <c r="A9" s="750">
        <v>1</v>
      </c>
      <c r="B9" s="749" t="s">
        <v>393</v>
      </c>
      <c r="C9" s="911">
        <v>103390</v>
      </c>
      <c r="D9" s="750" t="s">
        <v>835</v>
      </c>
      <c r="E9" s="912">
        <v>0.37</v>
      </c>
    </row>
    <row r="10" spans="1:5">
      <c r="A10" s="747">
        <v>2</v>
      </c>
      <c r="B10" s="746" t="s">
        <v>367</v>
      </c>
      <c r="C10" s="913">
        <v>59891</v>
      </c>
      <c r="D10" s="747" t="s">
        <v>835</v>
      </c>
      <c r="E10" s="914">
        <v>0.22</v>
      </c>
    </row>
    <row r="11" spans="1:5">
      <c r="A11" s="750">
        <v>3</v>
      </c>
      <c r="B11" s="749" t="s">
        <v>836</v>
      </c>
      <c r="C11" s="911">
        <v>34088</v>
      </c>
      <c r="D11" s="750" t="s">
        <v>835</v>
      </c>
      <c r="E11" s="912">
        <v>0.12</v>
      </c>
    </row>
    <row r="12" spans="1:5">
      <c r="A12" s="747">
        <v>4</v>
      </c>
      <c r="B12" s="746" t="s">
        <v>366</v>
      </c>
      <c r="C12" s="913">
        <v>21659</v>
      </c>
      <c r="D12" s="747" t="s">
        <v>835</v>
      </c>
      <c r="E12" s="914">
        <v>0.08</v>
      </c>
    </row>
    <row r="13" spans="1:5">
      <c r="A13" s="750">
        <v>5</v>
      </c>
      <c r="B13" s="749" t="s">
        <v>147</v>
      </c>
      <c r="C13" s="911">
        <v>20918</v>
      </c>
      <c r="D13" s="750" t="s">
        <v>835</v>
      </c>
      <c r="E13" s="912">
        <v>0.08</v>
      </c>
    </row>
    <row r="14" spans="1:5">
      <c r="A14" s="747">
        <v>6</v>
      </c>
      <c r="B14" s="746" t="s">
        <v>837</v>
      </c>
      <c r="C14" s="913">
        <v>17424</v>
      </c>
      <c r="D14" s="747" t="s">
        <v>835</v>
      </c>
      <c r="E14" s="914">
        <v>0.06</v>
      </c>
    </row>
    <row r="15" spans="1:5">
      <c r="A15" s="750">
        <v>7</v>
      </c>
      <c r="B15" s="749" t="s">
        <v>365</v>
      </c>
      <c r="C15" s="911">
        <v>9172</v>
      </c>
      <c r="D15" s="750" t="s">
        <v>835</v>
      </c>
      <c r="E15" s="912">
        <v>0.03</v>
      </c>
    </row>
    <row r="16" spans="1:5">
      <c r="A16" s="747">
        <v>8</v>
      </c>
      <c r="B16" s="746" t="s">
        <v>364</v>
      </c>
      <c r="C16" s="913">
        <v>8789</v>
      </c>
      <c r="D16" s="747" t="s">
        <v>835</v>
      </c>
      <c r="E16" s="914">
        <v>0.03</v>
      </c>
    </row>
    <row r="17" spans="1:6">
      <c r="A17" s="750">
        <v>9</v>
      </c>
      <c r="B17" s="749" t="s">
        <v>395</v>
      </c>
      <c r="C17" s="911">
        <v>2184</v>
      </c>
      <c r="D17" s="750" t="s">
        <v>835</v>
      </c>
      <c r="E17" s="912">
        <v>0.01</v>
      </c>
    </row>
    <row r="18" spans="1:6">
      <c r="A18" s="747">
        <v>10</v>
      </c>
      <c r="B18" s="746" t="s">
        <v>838</v>
      </c>
      <c r="C18" s="747">
        <v>228</v>
      </c>
      <c r="D18" s="747" t="s">
        <v>835</v>
      </c>
      <c r="E18" s="914">
        <v>0</v>
      </c>
    </row>
    <row r="19" spans="1:6">
      <c r="A19" s="750">
        <v>11</v>
      </c>
      <c r="B19" s="749" t="s">
        <v>368</v>
      </c>
      <c r="C19" s="750">
        <v>130</v>
      </c>
      <c r="D19" s="750" t="s">
        <v>835</v>
      </c>
      <c r="E19" s="912">
        <v>0</v>
      </c>
    </row>
    <row r="20" spans="1:6">
      <c r="A20" s="747">
        <v>12</v>
      </c>
      <c r="B20" s="746" t="s">
        <v>573</v>
      </c>
      <c r="C20" s="747" t="s">
        <v>296</v>
      </c>
      <c r="D20" s="747" t="s">
        <v>835</v>
      </c>
      <c r="E20" s="747" t="s">
        <v>296</v>
      </c>
    </row>
    <row r="21" spans="1:6">
      <c r="A21" s="750">
        <v>13</v>
      </c>
      <c r="B21" s="749" t="s">
        <v>247</v>
      </c>
      <c r="C21" s="750" t="s">
        <v>296</v>
      </c>
      <c r="D21" s="750" t="s">
        <v>835</v>
      </c>
      <c r="E21" s="750" t="s">
        <v>296</v>
      </c>
    </row>
    <row r="22" spans="1:6">
      <c r="A22" s="544"/>
      <c r="B22" s="547" t="s">
        <v>1</v>
      </c>
      <c r="C22" s="597">
        <v>277872.90999999997</v>
      </c>
      <c r="D22" s="544" t="s">
        <v>835</v>
      </c>
      <c r="E22" s="598">
        <v>1</v>
      </c>
    </row>
    <row r="23" spans="1:6">
      <c r="A23"/>
      <c r="B23"/>
      <c r="C23"/>
      <c r="D23"/>
      <c r="E23"/>
    </row>
    <row r="24" spans="1:6" ht="36.5" thickBot="1">
      <c r="A24" s="719" t="s">
        <v>6</v>
      </c>
      <c r="B24" s="719" t="s">
        <v>55</v>
      </c>
      <c r="C24" s="719" t="s">
        <v>841</v>
      </c>
      <c r="D24" s="719" t="s">
        <v>574</v>
      </c>
      <c r="E24" s="719" t="s">
        <v>842</v>
      </c>
      <c r="F24" s="719" t="s">
        <v>840</v>
      </c>
    </row>
    <row r="25" spans="1:6" ht="15" thickTop="1">
      <c r="A25" s="750">
        <v>1</v>
      </c>
      <c r="B25" s="749" t="s">
        <v>393</v>
      </c>
      <c r="C25" s="911">
        <v>2312</v>
      </c>
      <c r="D25" s="912">
        <v>0.46</v>
      </c>
      <c r="E25" s="753">
        <v>101071.66</v>
      </c>
      <c r="F25" s="912">
        <v>0.33</v>
      </c>
    </row>
    <row r="26" spans="1:6">
      <c r="A26" s="747">
        <v>2</v>
      </c>
      <c r="B26" s="746" t="s">
        <v>367</v>
      </c>
      <c r="C26" s="913">
        <v>1169</v>
      </c>
      <c r="D26" s="914">
        <v>0.23</v>
      </c>
      <c r="E26" s="748">
        <v>58296.160000000003</v>
      </c>
      <c r="F26" s="914">
        <v>0.19</v>
      </c>
    </row>
    <row r="27" spans="1:6">
      <c r="A27" s="750">
        <v>3</v>
      </c>
      <c r="B27" s="749" t="s">
        <v>836</v>
      </c>
      <c r="C27" s="750">
        <v>370</v>
      </c>
      <c r="D27" s="912">
        <v>7.0000000000000007E-2</v>
      </c>
      <c r="E27" s="753">
        <v>68181.03</v>
      </c>
      <c r="F27" s="912">
        <v>0.22</v>
      </c>
    </row>
    <row r="28" spans="1:6">
      <c r="A28" s="747">
        <v>4</v>
      </c>
      <c r="B28" s="746" t="s">
        <v>366</v>
      </c>
      <c r="C28" s="747">
        <v>95</v>
      </c>
      <c r="D28" s="914">
        <v>0.02</v>
      </c>
      <c r="E28" s="748">
        <v>13959.61</v>
      </c>
      <c r="F28" s="914">
        <v>0.05</v>
      </c>
    </row>
    <row r="29" spans="1:6">
      <c r="A29" s="750">
        <v>5</v>
      </c>
      <c r="B29" s="749" t="s">
        <v>147</v>
      </c>
      <c r="C29" s="750">
        <v>242</v>
      </c>
      <c r="D29" s="912">
        <v>0.05</v>
      </c>
      <c r="E29" s="753">
        <v>25013.09</v>
      </c>
      <c r="F29" s="912">
        <v>0.08</v>
      </c>
    </row>
    <row r="30" spans="1:6">
      <c r="A30" s="747">
        <v>6</v>
      </c>
      <c r="B30" s="746" t="s">
        <v>837</v>
      </c>
      <c r="C30" s="747">
        <v>115</v>
      </c>
      <c r="D30" s="914">
        <v>0.02</v>
      </c>
      <c r="E30" s="748">
        <v>12980.17</v>
      </c>
      <c r="F30" s="914">
        <v>0.04</v>
      </c>
    </row>
    <row r="31" spans="1:6">
      <c r="A31" s="750">
        <v>7</v>
      </c>
      <c r="B31" s="749" t="s">
        <v>365</v>
      </c>
      <c r="C31" s="750">
        <v>29</v>
      </c>
      <c r="D31" s="912">
        <v>0.01</v>
      </c>
      <c r="E31" s="753">
        <v>5387.22</v>
      </c>
      <c r="F31" s="912">
        <v>0.02</v>
      </c>
    </row>
    <row r="32" spans="1:6">
      <c r="A32" s="747">
        <v>8</v>
      </c>
      <c r="B32" s="746" t="s">
        <v>364</v>
      </c>
      <c r="C32" s="747">
        <v>247</v>
      </c>
      <c r="D32" s="914">
        <v>0.05</v>
      </c>
      <c r="E32" s="748">
        <v>13631.26</v>
      </c>
      <c r="F32" s="914">
        <v>0.04</v>
      </c>
    </row>
    <row r="33" spans="1:6">
      <c r="A33" s="750">
        <v>9</v>
      </c>
      <c r="B33" s="749" t="s">
        <v>395</v>
      </c>
      <c r="C33" s="750">
        <v>155</v>
      </c>
      <c r="D33" s="912">
        <v>0.03</v>
      </c>
      <c r="E33" s="753">
        <v>3377.12</v>
      </c>
      <c r="F33" s="912">
        <v>0.01</v>
      </c>
    </row>
    <row r="34" spans="1:6">
      <c r="A34" s="747">
        <v>10</v>
      </c>
      <c r="B34" s="746" t="s">
        <v>838</v>
      </c>
      <c r="C34" s="747">
        <v>43</v>
      </c>
      <c r="D34" s="914">
        <v>0.01</v>
      </c>
      <c r="E34" s="748">
        <v>1209.71</v>
      </c>
      <c r="F34" s="914">
        <v>0</v>
      </c>
    </row>
    <row r="35" spans="1:6">
      <c r="A35" s="750">
        <v>11</v>
      </c>
      <c r="B35" s="749" t="s">
        <v>368</v>
      </c>
      <c r="C35" s="750">
        <v>68</v>
      </c>
      <c r="D35" s="912">
        <v>0.01</v>
      </c>
      <c r="E35" s="750">
        <v>242.33</v>
      </c>
      <c r="F35" s="912">
        <v>0</v>
      </c>
    </row>
    <row r="36" spans="1:6">
      <c r="A36" s="747">
        <v>12</v>
      </c>
      <c r="B36" s="746" t="s">
        <v>573</v>
      </c>
      <c r="C36" s="747">
        <v>142</v>
      </c>
      <c r="D36" s="914">
        <v>0.03</v>
      </c>
      <c r="E36" s="748">
        <v>1455.92</v>
      </c>
      <c r="F36" s="914">
        <v>0</v>
      </c>
    </row>
    <row r="37" spans="1:6">
      <c r="A37" s="750">
        <v>13</v>
      </c>
      <c r="B37" s="749" t="s">
        <v>247</v>
      </c>
      <c r="C37" s="750">
        <v>83</v>
      </c>
      <c r="D37" s="912">
        <v>0.02</v>
      </c>
      <c r="E37" s="750">
        <v>746.98</v>
      </c>
      <c r="F37" s="912">
        <v>0</v>
      </c>
    </row>
    <row r="38" spans="1:6">
      <c r="A38" s="544"/>
      <c r="B38" s="547" t="s">
        <v>1</v>
      </c>
      <c r="C38" s="597">
        <v>5067.9799999999996</v>
      </c>
      <c r="D38" s="598">
        <v>1</v>
      </c>
      <c r="E38" s="597">
        <v>305552.25</v>
      </c>
      <c r="F38" s="598">
        <v>1</v>
      </c>
    </row>
    <row r="39" spans="1:6">
      <c r="A39"/>
      <c r="B39"/>
      <c r="C39"/>
      <c r="D39"/>
      <c r="E39"/>
      <c r="F39"/>
    </row>
    <row r="40" spans="1:6">
      <c r="A40"/>
      <c r="B40"/>
      <c r="C40"/>
      <c r="D40"/>
      <c r="E40"/>
      <c r="F40"/>
    </row>
    <row r="41" spans="1:6">
      <c r="A41" s="704"/>
      <c r="B41"/>
      <c r="C41"/>
      <c r="D41"/>
      <c r="E41"/>
      <c r="F41"/>
    </row>
    <row r="42" spans="1:6">
      <c r="A42" s="704"/>
      <c r="B42"/>
      <c r="C42"/>
      <c r="D42"/>
      <c r="E42"/>
      <c r="F42"/>
    </row>
  </sheetData>
  <autoFilter ref="A8:C21" xr:uid="{7D5873B8-8B01-4438-99A4-1243EF2C0374}"/>
  <mergeCells count="1">
    <mergeCell ref="A6:B6"/>
  </mergeCells>
  <hyperlinks>
    <hyperlink ref="C8" location="_ftn1" display="_ftn1" xr:uid="{C4FDACAB-8E07-431F-8D0E-6F35D5452CEE}"/>
    <hyperlink ref="C24" location="_ftn1" display="_ftn1" xr:uid="{2775C0C6-4A2D-4063-BA02-DDFD76683F46}"/>
    <hyperlink ref="E24" location="_ftn2" display="_ftn2" xr:uid="{E478975A-8214-4778-9C34-4CB37DFFEA6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070F-4A9E-4134-92B3-55BCAD870C66}">
  <sheetPr codeName="Feuil74"/>
  <dimension ref="B4:H4"/>
  <sheetViews>
    <sheetView workbookViewId="0">
      <selection activeCell="Q30" sqref="Q30"/>
    </sheetView>
  </sheetViews>
  <sheetFormatPr baseColWidth="10" defaultColWidth="11.54296875" defaultRowHeight="14.5"/>
  <cols>
    <col min="1" max="7" width="11.54296875" style="291"/>
    <col min="8" max="8" width="13.81640625" style="291" customWidth="1"/>
    <col min="9" max="16384" width="11.54296875" style="291"/>
  </cols>
  <sheetData>
    <row r="4" spans="2:8" ht="32.5" customHeight="1">
      <c r="B4" s="836" t="s">
        <v>396</v>
      </c>
      <c r="C4" s="836"/>
      <c r="D4" s="836"/>
      <c r="E4" s="836"/>
      <c r="F4" s="836"/>
      <c r="G4" s="836"/>
      <c r="H4" s="836"/>
    </row>
  </sheetData>
  <mergeCells count="1">
    <mergeCell ref="B4: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6D926-8DF6-4496-BE66-A62708388116}">
  <sheetPr codeName="Feuil75"/>
  <dimension ref="B3:E14"/>
  <sheetViews>
    <sheetView topLeftCell="A9" workbookViewId="0">
      <selection activeCell="E12" sqref="E12"/>
    </sheetView>
  </sheetViews>
  <sheetFormatPr baseColWidth="10" defaultColWidth="11.54296875" defaultRowHeight="14.5"/>
  <cols>
    <col min="1" max="1" width="11.54296875" style="291"/>
    <col min="2" max="2" width="16.26953125" style="291" customWidth="1"/>
    <col min="3" max="4" width="11.54296875" style="291"/>
    <col min="5" max="5" width="30.7265625" style="291" customWidth="1"/>
    <col min="6" max="16384" width="11.54296875" style="291"/>
  </cols>
  <sheetData>
    <row r="3" spans="2:5">
      <c r="B3" s="836" t="s">
        <v>786</v>
      </c>
      <c r="C3" s="836"/>
      <c r="D3" s="836"/>
      <c r="E3" s="836"/>
    </row>
    <row r="4" spans="2:5">
      <c r="B4" s="620"/>
    </row>
    <row r="5" spans="2:5" ht="15" thickBot="1">
      <c r="B5" s="334"/>
      <c r="C5" s="303" t="s">
        <v>397</v>
      </c>
      <c r="D5" s="303" t="s">
        <v>145</v>
      </c>
      <c r="E5" s="303" t="s">
        <v>257</v>
      </c>
    </row>
    <row r="6" spans="2:5" ht="84.5" thickTop="1">
      <c r="B6" s="335" t="s">
        <v>398</v>
      </c>
      <c r="C6" s="336" t="s">
        <v>399</v>
      </c>
      <c r="D6" s="336" t="s">
        <v>400</v>
      </c>
      <c r="E6" s="336" t="s">
        <v>401</v>
      </c>
    </row>
    <row r="7" spans="2:5" ht="36">
      <c r="B7" s="839" t="s">
        <v>402</v>
      </c>
      <c r="C7" s="294" t="s">
        <v>403</v>
      </c>
      <c r="D7" s="832" t="s">
        <v>404</v>
      </c>
      <c r="E7" s="840" t="s">
        <v>405</v>
      </c>
    </row>
    <row r="8" spans="2:5" ht="24">
      <c r="B8" s="839"/>
      <c r="C8" s="294" t="s">
        <v>406</v>
      </c>
      <c r="D8" s="832"/>
      <c r="E8" s="840"/>
    </row>
    <row r="9" spans="2:5" ht="60">
      <c r="B9" s="335" t="s">
        <v>407</v>
      </c>
      <c r="C9" s="338">
        <v>16</v>
      </c>
      <c r="D9" s="338">
        <v>9</v>
      </c>
      <c r="E9" s="338">
        <v>2</v>
      </c>
    </row>
    <row r="10" spans="2:5" ht="52.9" customHeight="1">
      <c r="B10" s="839" t="s">
        <v>408</v>
      </c>
      <c r="C10" s="840" t="s">
        <v>409</v>
      </c>
      <c r="D10" s="840"/>
      <c r="E10" s="840"/>
    </row>
    <row r="11" spans="2:5" ht="39.65" customHeight="1">
      <c r="B11" s="839"/>
      <c r="C11" s="840" t="s">
        <v>410</v>
      </c>
      <c r="D11" s="840"/>
      <c r="E11" s="840"/>
    </row>
    <row r="12" spans="2:5" ht="48">
      <c r="B12" s="335" t="s">
        <v>411</v>
      </c>
      <c r="C12" s="338">
        <v>235</v>
      </c>
      <c r="D12" s="338">
        <v>7</v>
      </c>
      <c r="E12" s="338">
        <v>0</v>
      </c>
    </row>
    <row r="13" spans="2:5" ht="36">
      <c r="B13" s="337" t="s">
        <v>412</v>
      </c>
      <c r="C13" s="339" t="s">
        <v>413</v>
      </c>
      <c r="D13" s="339" t="s">
        <v>414</v>
      </c>
      <c r="E13" s="339" t="s">
        <v>415</v>
      </c>
    </row>
    <row r="14" spans="2:5">
      <c r="B14" s="340" t="s">
        <v>416</v>
      </c>
      <c r="C14" s="837" t="s">
        <v>417</v>
      </c>
      <c r="D14" s="837"/>
      <c r="E14" s="838"/>
    </row>
  </sheetData>
  <mergeCells count="8">
    <mergeCell ref="C14:E14"/>
    <mergeCell ref="B3:E3"/>
    <mergeCell ref="B7:B8"/>
    <mergeCell ref="D7:D8"/>
    <mergeCell ref="E7:E8"/>
    <mergeCell ref="B10:B11"/>
    <mergeCell ref="C10:E10"/>
    <mergeCell ref="C11:E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dimension ref="A1:L33"/>
  <sheetViews>
    <sheetView showGridLines="0" zoomScaleNormal="100" workbookViewId="0">
      <selection activeCell="B3" sqref="B3:B29"/>
    </sheetView>
  </sheetViews>
  <sheetFormatPr baseColWidth="10" defaultColWidth="11.54296875" defaultRowHeight="10"/>
  <cols>
    <col min="1" max="1" width="3.54296875" style="6" bestFit="1" customWidth="1"/>
    <col min="2" max="2" width="46.453125" style="5" bestFit="1" customWidth="1"/>
    <col min="3" max="3" width="15.453125" style="11" bestFit="1" customWidth="1"/>
    <col min="4" max="4" width="15" style="11" bestFit="1" customWidth="1"/>
    <col min="5" max="5" width="15.453125" style="5" bestFit="1" customWidth="1"/>
    <col min="6" max="6" width="12" style="11" bestFit="1" customWidth="1"/>
    <col min="7" max="7" width="14.1796875" style="11" bestFit="1" customWidth="1"/>
    <col min="8" max="8" width="14.1796875" style="5" bestFit="1" customWidth="1"/>
    <col min="9" max="9" width="15.453125" style="5" bestFit="1" customWidth="1"/>
    <col min="10" max="10" width="15" style="5" bestFit="1" customWidth="1"/>
    <col min="11" max="11" width="15.453125" style="5" bestFit="1" customWidth="1"/>
    <col min="12" max="16384" width="11.54296875" style="5"/>
  </cols>
  <sheetData>
    <row r="1" spans="1:12" ht="12">
      <c r="A1" s="795" t="s">
        <v>7</v>
      </c>
      <c r="B1" s="797" t="s">
        <v>8</v>
      </c>
      <c r="C1" s="799" t="s">
        <v>73</v>
      </c>
      <c r="D1" s="799"/>
      <c r="E1" s="799"/>
      <c r="F1" s="799" t="s">
        <v>29</v>
      </c>
      <c r="G1" s="799"/>
      <c r="H1" s="799"/>
      <c r="I1" s="799" t="s">
        <v>72</v>
      </c>
      <c r="J1" s="799"/>
      <c r="K1" s="800"/>
    </row>
    <row r="2" spans="1:12" ht="12.5" thickBot="1">
      <c r="A2" s="796"/>
      <c r="B2" s="798"/>
      <c r="C2" s="83" t="s">
        <v>71</v>
      </c>
      <c r="D2" s="83" t="s">
        <v>30</v>
      </c>
      <c r="E2" s="83" t="s">
        <v>70</v>
      </c>
      <c r="F2" s="83" t="s">
        <v>71</v>
      </c>
      <c r="G2" s="83" t="s">
        <v>30</v>
      </c>
      <c r="H2" s="83" t="s">
        <v>70</v>
      </c>
      <c r="I2" s="83" t="s">
        <v>71</v>
      </c>
      <c r="J2" s="83" t="s">
        <v>30</v>
      </c>
      <c r="K2" s="84" t="s">
        <v>70</v>
      </c>
    </row>
    <row r="3" spans="1:12" ht="12">
      <c r="A3" s="67">
        <f>+Companies!A3</f>
        <v>1</v>
      </c>
      <c r="B3" s="69" t="str">
        <f>+Companies!B3</f>
        <v>CCO</v>
      </c>
      <c r="C3" s="68">
        <f>'1'!$E$8</f>
        <v>334281652</v>
      </c>
      <c r="D3" s="68">
        <f>'1'!$I$8</f>
        <v>322703047.315</v>
      </c>
      <c r="E3" s="68">
        <f t="shared" ref="E3:E18" si="0">C3-D3</f>
        <v>11578604.685000002</v>
      </c>
      <c r="F3" s="68">
        <f>'1'!$F$8</f>
        <v>0</v>
      </c>
      <c r="G3" s="68">
        <f ca="1">'1'!$J$8</f>
        <v>12000000</v>
      </c>
      <c r="H3" s="68">
        <f t="shared" ref="H3:H18" ca="1" si="1">F3-G3</f>
        <v>-12000000</v>
      </c>
      <c r="I3" s="68">
        <f>C3+F3</f>
        <v>334281652</v>
      </c>
      <c r="J3" s="68">
        <f ca="1">D3+G3</f>
        <v>334703047.315</v>
      </c>
      <c r="K3" s="68">
        <f ca="1">I3-J3</f>
        <v>-421395.31499999762</v>
      </c>
      <c r="L3" s="5" t="str">
        <f>VLOOKUP(B3,Companies!B:D,3,0)</f>
        <v>Minier</v>
      </c>
    </row>
    <row r="4" spans="1:12" ht="12">
      <c r="A4" s="17">
        <f>+Companies!A4</f>
        <v>2</v>
      </c>
      <c r="B4" s="24" t="str">
        <f>+Companies!B4</f>
        <v xml:space="preserve">Kotto Mines </v>
      </c>
      <c r="C4" s="18">
        <f>'2'!$E$8</f>
        <v>0</v>
      </c>
      <c r="D4" s="18">
        <f>'2'!$I$8</f>
        <v>104603548.69999999</v>
      </c>
      <c r="E4" s="18">
        <f t="shared" si="0"/>
        <v>-104603548.69999999</v>
      </c>
      <c r="F4" s="18">
        <f>'2'!$F$8</f>
        <v>0</v>
      </c>
      <c r="G4" s="18">
        <f ca="1">'2'!$J$8</f>
        <v>0</v>
      </c>
      <c r="H4" s="18">
        <f t="shared" ca="1" si="1"/>
        <v>0</v>
      </c>
      <c r="I4" s="18">
        <f t="shared" ref="I4:I18" si="2">C4+F4</f>
        <v>0</v>
      </c>
      <c r="J4" s="18">
        <f t="shared" ref="J4:J18" ca="1" si="3">D4+G4</f>
        <v>104603548.69999999</v>
      </c>
      <c r="K4" s="18">
        <f t="shared" ref="K4:K18" ca="1" si="4">I4-J4</f>
        <v>-104603548.69999999</v>
      </c>
      <c r="L4" s="5" t="str">
        <f>VLOOKUP(B4,Companies!B:D,3,0)</f>
        <v>Minier</v>
      </c>
    </row>
    <row r="5" spans="1:12" ht="12">
      <c r="A5" s="67">
        <f>+Companies!A5</f>
        <v>3</v>
      </c>
      <c r="B5" s="69" t="str">
        <f>+Companies!B5</f>
        <v>SAWA SAWA</v>
      </c>
      <c r="C5" s="68">
        <f>'3'!$E$8</f>
        <v>0</v>
      </c>
      <c r="D5" s="68">
        <f>'3'!$I$8</f>
        <v>113005206.47499999</v>
      </c>
      <c r="E5" s="68">
        <f t="shared" si="0"/>
        <v>-113005206.47499999</v>
      </c>
      <c r="F5" s="68">
        <f>'3'!$F$8</f>
        <v>0</v>
      </c>
      <c r="G5" s="68">
        <f ca="1">'3'!$J$8</f>
        <v>0</v>
      </c>
      <c r="H5" s="68">
        <f t="shared" ca="1" si="1"/>
        <v>0</v>
      </c>
      <c r="I5" s="68">
        <f t="shared" si="2"/>
        <v>0</v>
      </c>
      <c r="J5" s="68">
        <f t="shared" ca="1" si="3"/>
        <v>113005206.47499999</v>
      </c>
      <c r="K5" s="68">
        <f t="shared" ca="1" si="4"/>
        <v>-113005206.47499999</v>
      </c>
      <c r="L5" s="5" t="str">
        <f>VLOOKUP(B5,Companies!B:D,3,0)</f>
        <v>Minier</v>
      </c>
    </row>
    <row r="6" spans="1:12" ht="12">
      <c r="A6" s="17">
        <f>+Companies!A6</f>
        <v>4</v>
      </c>
      <c r="B6" s="24" t="str">
        <f>+Companies!B6</f>
        <v>STE SIGMA GOLD LTD</v>
      </c>
      <c r="C6" s="18">
        <f>'4'!$E$8</f>
        <v>0</v>
      </c>
      <c r="D6" s="18">
        <f>'4'!$I$8</f>
        <v>127421336.97750001</v>
      </c>
      <c r="E6" s="18">
        <f t="shared" si="0"/>
        <v>-127421336.97750001</v>
      </c>
      <c r="F6" s="18">
        <f>'4'!$F$8</f>
        <v>0</v>
      </c>
      <c r="G6" s="18">
        <f ca="1">'4'!$J$8</f>
        <v>0</v>
      </c>
      <c r="H6" s="18">
        <f t="shared" ca="1" si="1"/>
        <v>0</v>
      </c>
      <c r="I6" s="18">
        <f t="shared" si="2"/>
        <v>0</v>
      </c>
      <c r="J6" s="18">
        <f t="shared" ca="1" si="3"/>
        <v>127421336.97750001</v>
      </c>
      <c r="K6" s="18">
        <f t="shared" ca="1" si="4"/>
        <v>-127421336.97750001</v>
      </c>
      <c r="L6" s="5" t="str">
        <f>VLOOKUP(B6,Companies!B:D,3,0)</f>
        <v>Minier</v>
      </c>
    </row>
    <row r="7" spans="1:12" ht="12">
      <c r="A7" s="67">
        <f>+Companies!A7</f>
        <v>5</v>
      </c>
      <c r="B7" s="69" t="str">
        <f>+Companies!B7</f>
        <v>ADAMA SWISS</v>
      </c>
      <c r="C7" s="68">
        <f>'5'!$E$8</f>
        <v>0</v>
      </c>
      <c r="D7" s="68">
        <f>'5'!$I$8</f>
        <v>230117607.11250001</v>
      </c>
      <c r="E7" s="68">
        <f t="shared" si="0"/>
        <v>-230117607.11250001</v>
      </c>
      <c r="F7" s="68">
        <f>'5'!$F$8</f>
        <v>0</v>
      </c>
      <c r="G7" s="68">
        <f ca="1">'5'!$J$8</f>
        <v>0</v>
      </c>
      <c r="H7" s="68">
        <f t="shared" ca="1" si="1"/>
        <v>0</v>
      </c>
      <c r="I7" s="68">
        <f t="shared" si="2"/>
        <v>0</v>
      </c>
      <c r="J7" s="68">
        <f t="shared" ca="1" si="3"/>
        <v>230117607.11250001</v>
      </c>
      <c r="K7" s="68">
        <f t="shared" ca="1" si="4"/>
        <v>-230117607.11250001</v>
      </c>
      <c r="L7" s="5" t="str">
        <f>VLOOKUP(B7,Companies!B:D,3,0)</f>
        <v>Minier</v>
      </c>
    </row>
    <row r="8" spans="1:12" ht="12">
      <c r="A8" s="17">
        <f>+Companies!A8</f>
        <v>6</v>
      </c>
      <c r="B8" s="24" t="str">
        <f>+Companies!B8</f>
        <v>SOCIETE INDUSTRIE MINIERE DE CENTRA</v>
      </c>
      <c r="C8" s="18">
        <f>'6'!$E$8</f>
        <v>0</v>
      </c>
      <c r="D8" s="18">
        <f>'6'!$I$8</f>
        <v>25198139.924999997</v>
      </c>
      <c r="E8" s="18">
        <f t="shared" si="0"/>
        <v>-25198139.924999997</v>
      </c>
      <c r="F8" s="18">
        <f>'6'!$F$8</f>
        <v>0</v>
      </c>
      <c r="G8" s="18">
        <f ca="1">'6'!$J$8</f>
        <v>0</v>
      </c>
      <c r="H8" s="18">
        <f t="shared" ca="1" si="1"/>
        <v>0</v>
      </c>
      <c r="I8" s="18">
        <f t="shared" si="2"/>
        <v>0</v>
      </c>
      <c r="J8" s="18">
        <f t="shared" ca="1" si="3"/>
        <v>25198139.924999997</v>
      </c>
      <c r="K8" s="18">
        <f t="shared" ca="1" si="4"/>
        <v>-25198139.924999997</v>
      </c>
      <c r="L8" s="5" t="str">
        <f>VLOOKUP(B8,Companies!B:D,3,0)</f>
        <v>Minier</v>
      </c>
    </row>
    <row r="9" spans="1:12" ht="12">
      <c r="A9" s="67">
        <f>+Companies!A9</f>
        <v>7</v>
      </c>
      <c r="B9" s="69" t="str">
        <f>+Companies!B9</f>
        <v>SOCIETE B.B.B</v>
      </c>
      <c r="C9" s="68">
        <f>'7'!$E$8</f>
        <v>0</v>
      </c>
      <c r="D9" s="68">
        <f>'7'!$I$8</f>
        <v>2778480</v>
      </c>
      <c r="E9" s="68">
        <f t="shared" si="0"/>
        <v>-2778480</v>
      </c>
      <c r="F9" s="68">
        <f>'7'!$F$8</f>
        <v>0</v>
      </c>
      <c r="G9" s="68">
        <f ca="1">'7'!$J$8</f>
        <v>0</v>
      </c>
      <c r="H9" s="68">
        <f t="shared" ca="1" si="1"/>
        <v>0</v>
      </c>
      <c r="I9" s="68">
        <f t="shared" si="2"/>
        <v>0</v>
      </c>
      <c r="J9" s="68">
        <f t="shared" ca="1" si="3"/>
        <v>2778480</v>
      </c>
      <c r="K9" s="68">
        <f t="shared" ca="1" si="4"/>
        <v>-2778480</v>
      </c>
      <c r="L9" s="5" t="str">
        <f>VLOOKUP(B9,Companies!B:D,3,0)</f>
        <v>Minier</v>
      </c>
    </row>
    <row r="10" spans="1:12" ht="12">
      <c r="A10" s="17">
        <f>+Companies!A10</f>
        <v>8</v>
      </c>
      <c r="B10" s="24" t="str">
        <f>+Companies!B10</f>
        <v>SOCIETE_GOLD_KOSS</v>
      </c>
      <c r="C10" s="18">
        <f>'8'!$E$8</f>
        <v>0</v>
      </c>
      <c r="D10" s="18">
        <f>'8'!$I$8</f>
        <v>0</v>
      </c>
      <c r="E10" s="18">
        <f t="shared" si="0"/>
        <v>0</v>
      </c>
      <c r="F10" s="18">
        <f>'8'!$F$8</f>
        <v>0</v>
      </c>
      <c r="G10" s="18">
        <f ca="1">'8'!$J$8</f>
        <v>33000000</v>
      </c>
      <c r="H10" s="18">
        <f t="shared" ca="1" si="1"/>
        <v>-33000000</v>
      </c>
      <c r="I10" s="18">
        <f t="shared" si="2"/>
        <v>0</v>
      </c>
      <c r="J10" s="18">
        <f t="shared" ca="1" si="3"/>
        <v>33000000</v>
      </c>
      <c r="K10" s="18">
        <f t="shared" ca="1" si="4"/>
        <v>-33000000</v>
      </c>
      <c r="L10" s="5" t="str">
        <f>VLOOKUP(B10,Companies!B:D,3,0)</f>
        <v>Minier</v>
      </c>
    </row>
    <row r="11" spans="1:12" ht="12">
      <c r="A11" s="67">
        <f>+Companies!A11</f>
        <v>9</v>
      </c>
      <c r="B11" s="69" t="str">
        <f>+Companies!B11</f>
        <v>GONGA</v>
      </c>
      <c r="C11" s="68">
        <f>'9'!$E$8</f>
        <v>0</v>
      </c>
      <c r="D11" s="68">
        <f>'9'!$I$8</f>
        <v>43982413.950000003</v>
      </c>
      <c r="E11" s="68">
        <f t="shared" si="0"/>
        <v>-43982413.950000003</v>
      </c>
      <c r="F11" s="68">
        <f>'9'!$F$8</f>
        <v>0</v>
      </c>
      <c r="G11" s="68">
        <f ca="1">'9'!$J$8</f>
        <v>0</v>
      </c>
      <c r="H11" s="68">
        <f t="shared" ca="1" si="1"/>
        <v>0</v>
      </c>
      <c r="I11" s="68">
        <f t="shared" si="2"/>
        <v>0</v>
      </c>
      <c r="J11" s="68">
        <f t="shared" ca="1" si="3"/>
        <v>43982413.950000003</v>
      </c>
      <c r="K11" s="68">
        <f t="shared" ca="1" si="4"/>
        <v>-43982413.950000003</v>
      </c>
      <c r="L11" s="5" t="str">
        <f>VLOOKUP(B11,Companies!B:D,3,0)</f>
        <v>Minier</v>
      </c>
    </row>
    <row r="12" spans="1:12" ht="12">
      <c r="A12" s="17">
        <f>+Companies!A12</f>
        <v>10</v>
      </c>
      <c r="B12" s="24" t="str">
        <f>+Companies!B12</f>
        <v>HW-Lepo</v>
      </c>
      <c r="C12" s="18">
        <f>'10'!$E$8</f>
        <v>62069593</v>
      </c>
      <c r="D12" s="18">
        <f>'10'!$I$8</f>
        <v>29490500.225000001</v>
      </c>
      <c r="E12" s="18">
        <f t="shared" si="0"/>
        <v>32579092.774999999</v>
      </c>
      <c r="F12" s="18">
        <f>'10'!$F$8</f>
        <v>-6983617.7750000004</v>
      </c>
      <c r="G12" s="18">
        <f ca="1">'10'!$J$8</f>
        <v>7549760</v>
      </c>
      <c r="H12" s="18">
        <f t="shared" ca="1" si="1"/>
        <v>-14533377.775</v>
      </c>
      <c r="I12" s="18">
        <f t="shared" si="2"/>
        <v>55085975.225000001</v>
      </c>
      <c r="J12" s="18">
        <f t="shared" ca="1" si="3"/>
        <v>37040260.225000001</v>
      </c>
      <c r="K12" s="18">
        <f t="shared" ca="1" si="4"/>
        <v>18045715</v>
      </c>
      <c r="L12" s="5" t="str">
        <f>VLOOKUP(B12,Companies!B:D,3,0)</f>
        <v>Minier</v>
      </c>
    </row>
    <row r="13" spans="1:12" ht="12">
      <c r="A13" s="67">
        <f>+Companies!A13</f>
        <v>11</v>
      </c>
      <c r="B13" s="69" t="str">
        <f>+Companies!B13</f>
        <v>VOGUEROC SURL</v>
      </c>
      <c r="C13" s="68">
        <f>'11'!$E$8</f>
        <v>0</v>
      </c>
      <c r="D13" s="68">
        <f>'11'!$I$8</f>
        <v>9271554.1050000004</v>
      </c>
      <c r="E13" s="68">
        <f t="shared" si="0"/>
        <v>-9271554.1050000004</v>
      </c>
      <c r="F13" s="68">
        <f>'11'!$F$8</f>
        <v>0</v>
      </c>
      <c r="G13" s="68">
        <f ca="1">'11'!$J$8</f>
        <v>22500000</v>
      </c>
      <c r="H13" s="68">
        <f t="shared" ca="1" si="1"/>
        <v>-22500000</v>
      </c>
      <c r="I13" s="68">
        <f t="shared" si="2"/>
        <v>0</v>
      </c>
      <c r="J13" s="68">
        <f t="shared" ca="1" si="3"/>
        <v>31771554.105</v>
      </c>
      <c r="K13" s="68">
        <f t="shared" ca="1" si="4"/>
        <v>-31771554.105</v>
      </c>
      <c r="L13" s="5" t="str">
        <f>VLOOKUP(B13,Companies!B:D,3,0)</f>
        <v>Minier</v>
      </c>
    </row>
    <row r="14" spans="1:12" ht="12">
      <c r="A14" s="17">
        <f>+Companies!A14</f>
        <v>12</v>
      </c>
      <c r="B14" s="24" t="str">
        <f>+Companies!B14</f>
        <v>SOCIETE DUNTA</v>
      </c>
      <c r="C14" s="18">
        <f>'12'!$E$8</f>
        <v>31919352</v>
      </c>
      <c r="D14" s="18">
        <f>'12'!$I$8</f>
        <v>11721767.557499999</v>
      </c>
      <c r="E14" s="18">
        <f t="shared" si="0"/>
        <v>20197584.442500003</v>
      </c>
      <c r="F14" s="18">
        <f>'12'!$F$8</f>
        <v>0</v>
      </c>
      <c r="G14" s="18">
        <f ca="1">'12'!$J$8</f>
        <v>16986839</v>
      </c>
      <c r="H14" s="18">
        <f t="shared" ca="1" si="1"/>
        <v>-16986839</v>
      </c>
      <c r="I14" s="18">
        <f t="shared" si="2"/>
        <v>31919352</v>
      </c>
      <c r="J14" s="18">
        <f t="shared" ca="1" si="3"/>
        <v>28708606.557499997</v>
      </c>
      <c r="K14" s="18">
        <f t="shared" ca="1" si="4"/>
        <v>3210745.4425000027</v>
      </c>
      <c r="L14" s="5" t="str">
        <f>VLOOKUP(B14,Companies!B:D,3,0)</f>
        <v>Minier</v>
      </c>
    </row>
    <row r="15" spans="1:12" ht="12">
      <c r="A15" s="67">
        <f>+Companies!A15</f>
        <v>13</v>
      </c>
      <c r="B15" s="69" t="str">
        <f>+Companies!B15</f>
        <v>SOCIETE_AMERICAN EAGLE</v>
      </c>
      <c r="C15" s="68">
        <f>'13'!$E$8</f>
        <v>0</v>
      </c>
      <c r="D15" s="68">
        <f>'13'!$I$8</f>
        <v>0</v>
      </c>
      <c r="E15" s="68">
        <f t="shared" si="0"/>
        <v>0</v>
      </c>
      <c r="F15" s="68">
        <f>'13'!$F$8</f>
        <v>0</v>
      </c>
      <c r="G15" s="68">
        <f ca="1">'13'!$J$8</f>
        <v>22500000</v>
      </c>
      <c r="H15" s="68">
        <f t="shared" ca="1" si="1"/>
        <v>-22500000</v>
      </c>
      <c r="I15" s="68">
        <f t="shared" si="2"/>
        <v>0</v>
      </c>
      <c r="J15" s="68">
        <f t="shared" ca="1" si="3"/>
        <v>22500000</v>
      </c>
      <c r="K15" s="68">
        <f t="shared" ca="1" si="4"/>
        <v>-22500000</v>
      </c>
      <c r="L15" s="5" t="str">
        <f>VLOOKUP(B15,Companies!B:D,3,0)</f>
        <v>Minier</v>
      </c>
    </row>
    <row r="16" spans="1:12" ht="12">
      <c r="A16" s="17">
        <f>+Companies!A16</f>
        <v>14</v>
      </c>
      <c r="B16" s="24" t="str">
        <f>+Companies!B16</f>
        <v>SOCIETE_AF_IRON</v>
      </c>
      <c r="C16" s="18">
        <f>'14'!$E$8</f>
        <v>0</v>
      </c>
      <c r="D16" s="18">
        <f>'14'!$I$8</f>
        <v>0</v>
      </c>
      <c r="E16" s="18">
        <f t="shared" si="0"/>
        <v>0</v>
      </c>
      <c r="F16" s="18">
        <f>'14'!$F$8</f>
        <v>0</v>
      </c>
      <c r="G16" s="18">
        <f ca="1">'14'!$J$8</f>
        <v>22113000</v>
      </c>
      <c r="H16" s="18">
        <f t="shared" ca="1" si="1"/>
        <v>-22113000</v>
      </c>
      <c r="I16" s="18">
        <f t="shared" si="2"/>
        <v>0</v>
      </c>
      <c r="J16" s="18">
        <f t="shared" ca="1" si="3"/>
        <v>22113000</v>
      </c>
      <c r="K16" s="18">
        <f t="shared" ca="1" si="4"/>
        <v>-22113000</v>
      </c>
      <c r="L16" s="5" t="str">
        <f>VLOOKUP(B16,Companies!B:D,3,0)</f>
        <v>Minier</v>
      </c>
    </row>
    <row r="17" spans="1:12" ht="12">
      <c r="A17" s="67">
        <f>+Companies!A17</f>
        <v>15</v>
      </c>
      <c r="B17" s="69" t="str">
        <f>+Companies!B17</f>
        <v>Diamville SAU</v>
      </c>
      <c r="C17" s="68">
        <f>'15'!$E$8</f>
        <v>0</v>
      </c>
      <c r="D17" s="68">
        <f>'15'!$I$8</f>
        <v>11409880</v>
      </c>
      <c r="E17" s="68">
        <f t="shared" si="0"/>
        <v>-11409880</v>
      </c>
      <c r="F17" s="68">
        <f>'15'!$F$8</f>
        <v>0</v>
      </c>
      <c r="G17" s="68">
        <f ca="1">'15'!$J$8</f>
        <v>0</v>
      </c>
      <c r="H17" s="68">
        <f t="shared" ca="1" si="1"/>
        <v>0</v>
      </c>
      <c r="I17" s="68">
        <f t="shared" si="2"/>
        <v>0</v>
      </c>
      <c r="J17" s="68">
        <f t="shared" ca="1" si="3"/>
        <v>11409880</v>
      </c>
      <c r="K17" s="68">
        <f t="shared" ca="1" si="4"/>
        <v>-11409880</v>
      </c>
      <c r="L17" s="5" t="str">
        <f>VLOOKUP(B17,Companies!B:D,3,0)</f>
        <v>Minier</v>
      </c>
    </row>
    <row r="18" spans="1:12" ht="12">
      <c r="A18" s="17">
        <f>+Companies!A18</f>
        <v>16</v>
      </c>
      <c r="B18" s="24" t="str">
        <f>+Companies!B18</f>
        <v>Midas Ressources SARLU</v>
      </c>
      <c r="C18" s="18">
        <f>'16'!$E$8</f>
        <v>0</v>
      </c>
      <c r="D18" s="18">
        <f>'16'!$I$8</f>
        <v>0</v>
      </c>
      <c r="E18" s="18">
        <f t="shared" si="0"/>
        <v>0</v>
      </c>
      <c r="F18" s="18">
        <f>'16'!$F$8</f>
        <v>0</v>
      </c>
      <c r="G18" s="18">
        <f ca="1">'16'!$J$8</f>
        <v>0</v>
      </c>
      <c r="H18" s="18">
        <f t="shared" ca="1" si="1"/>
        <v>0</v>
      </c>
      <c r="I18" s="18">
        <f t="shared" si="2"/>
        <v>0</v>
      </c>
      <c r="J18" s="18">
        <f t="shared" ca="1" si="3"/>
        <v>0</v>
      </c>
      <c r="K18" s="18">
        <f t="shared" ca="1" si="4"/>
        <v>0</v>
      </c>
      <c r="L18" s="5" t="str">
        <f>VLOOKUP(B18,Companies!B:D,3,0)</f>
        <v>Minier</v>
      </c>
    </row>
    <row r="19" spans="1:12" ht="12">
      <c r="A19" s="67">
        <f>+Companies!A19</f>
        <v>17</v>
      </c>
      <c r="B19" s="69" t="str">
        <f>+Companies!B19</f>
        <v xml:space="preserve">SOCIETE D'EXPLOITATION FORESTIERE CENTRAFRICAINE </v>
      </c>
      <c r="C19" s="68">
        <f>'17'!$E$8</f>
        <v>0</v>
      </c>
      <c r="D19" s="68">
        <f>'17'!$I$8</f>
        <v>1362116901.4784298</v>
      </c>
      <c r="E19" s="68">
        <f t="shared" ref="E19:E24" si="5">C19-D19</f>
        <v>-1362116901.4784298</v>
      </c>
      <c r="F19" s="68">
        <f>'17'!$F$8</f>
        <v>0</v>
      </c>
      <c r="G19" s="68">
        <f ca="1">'17'!$J$8</f>
        <v>297150368.85714287</v>
      </c>
      <c r="H19" s="68">
        <f t="shared" ref="H19:H24" ca="1" si="6">F19-G19</f>
        <v>-297150368.85714287</v>
      </c>
      <c r="I19" s="68">
        <f t="shared" ref="I19:J24" si="7">C19+F19</f>
        <v>0</v>
      </c>
      <c r="J19" s="68">
        <f t="shared" ca="1" si="7"/>
        <v>1659267270.3355727</v>
      </c>
      <c r="K19" s="68">
        <f t="shared" ref="K19:K24" ca="1" si="8">I19-J19</f>
        <v>-1659267270.3355727</v>
      </c>
      <c r="L19" s="5" t="str">
        <f>VLOOKUP(B19,Companies!B:D,3,0)</f>
        <v>Forestier</v>
      </c>
    </row>
    <row r="20" spans="1:12" ht="12">
      <c r="A20" s="17">
        <f>+Companies!A20</f>
        <v>18</v>
      </c>
      <c r="B20" s="24" t="str">
        <f>+Companies!B20</f>
        <v>SOCIETE TIMBERLAND INDUSTRIES</v>
      </c>
      <c r="C20" s="18">
        <f>'18'!$E$8</f>
        <v>0</v>
      </c>
      <c r="D20" s="18">
        <f>'18'!$I$8</f>
        <v>960989889.10877252</v>
      </c>
      <c r="E20" s="18">
        <f t="shared" si="5"/>
        <v>-960989889.10877252</v>
      </c>
      <c r="F20" s="18">
        <f>'18'!$F$8</f>
        <v>0</v>
      </c>
      <c r="G20" s="18">
        <f ca="1">'18'!$J$8</f>
        <v>145874292.14285713</v>
      </c>
      <c r="H20" s="18">
        <f t="shared" ca="1" si="6"/>
        <v>-145874292.14285713</v>
      </c>
      <c r="I20" s="18">
        <f t="shared" si="7"/>
        <v>0</v>
      </c>
      <c r="J20" s="18">
        <f t="shared" ca="1" si="7"/>
        <v>1106864181.2516296</v>
      </c>
      <c r="K20" s="18">
        <f t="shared" ca="1" si="8"/>
        <v>-1106864181.2516296</v>
      </c>
      <c r="L20" s="5" t="str">
        <f>VLOOKUP(B20,Companies!B:D,3,0)</f>
        <v>Forestier</v>
      </c>
    </row>
    <row r="21" spans="1:12" ht="12">
      <c r="A21" s="67">
        <f>+Companies!A21</f>
        <v>19</v>
      </c>
      <c r="B21" s="69" t="str">
        <f>+Companies!B21</f>
        <v>SCAD</v>
      </c>
      <c r="C21" s="68">
        <f>'19'!$E$8</f>
        <v>0</v>
      </c>
      <c r="D21" s="68">
        <f>'19'!$I$8</f>
        <v>464696613.96140301</v>
      </c>
      <c r="E21" s="68">
        <f t="shared" si="5"/>
        <v>-464696613.96140301</v>
      </c>
      <c r="F21" s="68">
        <f>'19'!$F$8</f>
        <v>0</v>
      </c>
      <c r="G21" s="68">
        <f ca="1">'19'!$J$8</f>
        <v>88212278.142857149</v>
      </c>
      <c r="H21" s="68">
        <f t="shared" ca="1" si="6"/>
        <v>-88212278.142857149</v>
      </c>
      <c r="I21" s="68">
        <f t="shared" si="7"/>
        <v>0</v>
      </c>
      <c r="J21" s="68">
        <f t="shared" ca="1" si="7"/>
        <v>552908892.10426021</v>
      </c>
      <c r="K21" s="68">
        <f t="shared" ca="1" si="8"/>
        <v>-552908892.10426021</v>
      </c>
      <c r="L21" s="5" t="str">
        <f>VLOOKUP(B21,Companies!B:D,3,0)</f>
        <v>Forestier</v>
      </c>
    </row>
    <row r="22" spans="1:12" ht="12">
      <c r="A22" s="17">
        <f>+Companies!A22</f>
        <v>20</v>
      </c>
      <c r="B22" s="24" t="str">
        <f>+Companies!B22</f>
        <v>SOCIETE  IFB  SARL  INUSTRIE FOREST. BATALIMO</v>
      </c>
      <c r="C22" s="18">
        <f>'20'!$E$8</f>
        <v>422637628</v>
      </c>
      <c r="D22" s="18">
        <f>'20'!$I$8</f>
        <v>348726922.22490048</v>
      </c>
      <c r="E22" s="18">
        <f t="shared" si="5"/>
        <v>73910705.775099516</v>
      </c>
      <c r="F22" s="18">
        <f>'20'!$F$8</f>
        <v>-16681430</v>
      </c>
      <c r="G22" s="18">
        <f ca="1">'20'!$J$8</f>
        <v>48945763.428571433</v>
      </c>
      <c r="H22" s="18">
        <f t="shared" ca="1" si="6"/>
        <v>-65627193.428571433</v>
      </c>
      <c r="I22" s="18">
        <f t="shared" si="7"/>
        <v>405956198</v>
      </c>
      <c r="J22" s="18">
        <f t="shared" ca="1" si="7"/>
        <v>397672685.65347195</v>
      </c>
      <c r="K22" s="18">
        <f t="shared" ca="1" si="8"/>
        <v>8283512.3465280533</v>
      </c>
      <c r="L22" s="5" t="str">
        <f>VLOOKUP(B22,Companies!B:D,3,0)</f>
        <v>Forestier</v>
      </c>
    </row>
    <row r="23" spans="1:12" ht="12">
      <c r="A23" s="67">
        <f>+Companies!A23</f>
        <v>21</v>
      </c>
      <c r="B23" s="69" t="str">
        <f>+Companies!B23</f>
        <v>VIC WOOD CENTRAFRIQUE</v>
      </c>
      <c r="C23" s="68">
        <f>'21'!$E$8</f>
        <v>0</v>
      </c>
      <c r="D23" s="68">
        <f>'21'!$I$8</f>
        <v>339473524.484721</v>
      </c>
      <c r="E23" s="68">
        <f t="shared" si="5"/>
        <v>-339473524.484721</v>
      </c>
      <c r="F23" s="68">
        <f>'21'!$F$8</f>
        <v>0</v>
      </c>
      <c r="G23" s="68">
        <f ca="1">'21'!$J$8</f>
        <v>15531769</v>
      </c>
      <c r="H23" s="68">
        <f t="shared" ca="1" si="6"/>
        <v>-15531769</v>
      </c>
      <c r="I23" s="68">
        <f t="shared" si="7"/>
        <v>0</v>
      </c>
      <c r="J23" s="68">
        <f t="shared" ca="1" si="7"/>
        <v>355005293.484721</v>
      </c>
      <c r="K23" s="68">
        <f t="shared" ca="1" si="8"/>
        <v>-355005293.484721</v>
      </c>
      <c r="L23" s="5" t="str">
        <f>VLOOKUP(B23,Companies!B:D,3,0)</f>
        <v>Forestier</v>
      </c>
    </row>
    <row r="24" spans="1:12" ht="12">
      <c r="A24" s="17">
        <f>+Companies!A24</f>
        <v>22</v>
      </c>
      <c r="B24" s="24" t="str">
        <f>+Companies!B24</f>
        <v>CENTRA BOIS</v>
      </c>
      <c r="C24" s="18">
        <f>'22'!$E$8</f>
        <v>413544189</v>
      </c>
      <c r="D24" s="18">
        <f>'22'!$I$8</f>
        <v>487075551.83090401</v>
      </c>
      <c r="E24" s="18">
        <f t="shared" si="5"/>
        <v>-73531362.830904007</v>
      </c>
      <c r="F24" s="18">
        <f>'22'!$F$8</f>
        <v>27682069</v>
      </c>
      <c r="G24" s="18">
        <f ca="1">'22'!$J$8</f>
        <v>46567832.714285716</v>
      </c>
      <c r="H24" s="18">
        <f t="shared" ca="1" si="6"/>
        <v>-18885763.714285716</v>
      </c>
      <c r="I24" s="18">
        <f t="shared" si="7"/>
        <v>441226258</v>
      </c>
      <c r="J24" s="18">
        <f t="shared" ca="1" si="7"/>
        <v>533643384.54518974</v>
      </c>
      <c r="K24" s="18">
        <f t="shared" ca="1" si="8"/>
        <v>-92417126.545189738</v>
      </c>
      <c r="L24" s="5" t="str">
        <f>VLOOKUP(B24,Companies!B:D,3,0)</f>
        <v>Forestier</v>
      </c>
    </row>
    <row r="25" spans="1:12" ht="12">
      <c r="A25" s="67">
        <f>+Companies!A25</f>
        <v>23</v>
      </c>
      <c r="B25" s="69" t="str">
        <f>+Companies!B25</f>
        <v>SOCIETE TRANSFORMATION DE BOIS CENTRAF.</v>
      </c>
      <c r="C25" s="68">
        <f>'23'!$E$8</f>
        <v>0</v>
      </c>
      <c r="D25" s="68">
        <f>'23'!$I$8</f>
        <v>364928028.18944299</v>
      </c>
      <c r="E25" s="68">
        <f t="shared" ref="E25:E29" si="9">C25-D25</f>
        <v>-364928028.18944299</v>
      </c>
      <c r="F25" s="68">
        <f>'23'!$F$8</f>
        <v>0</v>
      </c>
      <c r="G25" s="68">
        <f ca="1">'23'!$J$8</f>
        <v>62837677</v>
      </c>
      <c r="H25" s="68">
        <f t="shared" ref="H25:H29" ca="1" si="10">F25-G25</f>
        <v>-62837677</v>
      </c>
      <c r="I25" s="68">
        <f t="shared" ref="I25:I29" si="11">C25+F25</f>
        <v>0</v>
      </c>
      <c r="J25" s="68">
        <f t="shared" ref="J25:J29" ca="1" si="12">D25+G25</f>
        <v>427765705.18944299</v>
      </c>
      <c r="K25" s="68">
        <f t="shared" ref="K25:K28" ca="1" si="13">I25-J25</f>
        <v>-427765705.18944299</v>
      </c>
      <c r="L25" s="5" t="str">
        <f>VLOOKUP(B25,Companies!B:D,3,0)</f>
        <v>Forestier</v>
      </c>
    </row>
    <row r="26" spans="1:12" ht="12">
      <c r="A26" s="17">
        <v>24</v>
      </c>
      <c r="B26" s="24" t="str">
        <f>+Companies!B26</f>
        <v>THANRY CENTRAFRIQUE</v>
      </c>
      <c r="C26" s="18">
        <f>'24'!$E$8</f>
        <v>0</v>
      </c>
      <c r="D26" s="18">
        <f>'24'!$I$8</f>
        <v>193396707.39827999</v>
      </c>
      <c r="E26" s="18">
        <f t="shared" si="9"/>
        <v>-193396707.39827999</v>
      </c>
      <c r="F26" s="18">
        <f>'24'!$F$8</f>
        <v>0</v>
      </c>
      <c r="G26" s="18">
        <f ca="1">'24'!$J$8</f>
        <v>40798246.142857142</v>
      </c>
      <c r="H26" s="18">
        <f t="shared" ca="1" si="10"/>
        <v>-40798246.142857142</v>
      </c>
      <c r="I26" s="18">
        <f t="shared" si="11"/>
        <v>0</v>
      </c>
      <c r="J26" s="18">
        <f t="shared" ca="1" si="12"/>
        <v>234194953.54113713</v>
      </c>
      <c r="K26" s="18">
        <f t="shared" ca="1" si="13"/>
        <v>-234194953.54113713</v>
      </c>
      <c r="L26" s="5" t="str">
        <f>VLOOKUP(B26,Companies!B:D,3,0)</f>
        <v>Forestier</v>
      </c>
    </row>
    <row r="27" spans="1:12" ht="12">
      <c r="A27" s="67">
        <v>25</v>
      </c>
      <c r="B27" s="69" t="str">
        <f>+Companies!B27</f>
        <v>Bois Rouge SARLU</v>
      </c>
      <c r="C27" s="68">
        <f>'25'!$E$8</f>
        <v>0</v>
      </c>
      <c r="D27" s="68">
        <f>'25'!$I$8</f>
        <v>31416134.880000003</v>
      </c>
      <c r="E27" s="68">
        <f t="shared" si="9"/>
        <v>-31416134.880000003</v>
      </c>
      <c r="F27" s="68">
        <f>'25'!$F$8</f>
        <v>0</v>
      </c>
      <c r="G27" s="68">
        <f ca="1">'25'!$J$8</f>
        <v>10619842</v>
      </c>
      <c r="H27" s="68">
        <f t="shared" ca="1" si="10"/>
        <v>-10619842</v>
      </c>
      <c r="I27" s="68">
        <f t="shared" si="11"/>
        <v>0</v>
      </c>
      <c r="J27" s="68">
        <f t="shared" ca="1" si="12"/>
        <v>42035976.880000003</v>
      </c>
      <c r="K27" s="68">
        <f t="shared" ca="1" si="13"/>
        <v>-42035976.880000003</v>
      </c>
      <c r="L27" s="5" t="str">
        <f>VLOOKUP(B27,Companies!B:D,3,0)</f>
        <v>Forestier</v>
      </c>
    </row>
    <row r="28" spans="1:12" ht="12">
      <c r="A28" s="17">
        <v>26</v>
      </c>
      <c r="B28" s="24" t="str">
        <f>+Companies!B28</f>
        <v>PTI- IAS</v>
      </c>
      <c r="C28" s="18">
        <f>'26'!$E$8</f>
        <v>0</v>
      </c>
      <c r="D28" s="18">
        <f>'26'!$I$8</f>
        <v>112095000</v>
      </c>
      <c r="E28" s="18">
        <f t="shared" si="9"/>
        <v>-112095000</v>
      </c>
      <c r="F28" s="18">
        <f>'26'!$F$8</f>
        <v>0</v>
      </c>
      <c r="G28" s="18">
        <f ca="1">'26'!$J$8</f>
        <v>0</v>
      </c>
      <c r="H28" s="18">
        <f t="shared" ca="1" si="10"/>
        <v>0</v>
      </c>
      <c r="I28" s="18">
        <f t="shared" si="11"/>
        <v>0</v>
      </c>
      <c r="J28" s="18">
        <f t="shared" ca="1" si="12"/>
        <v>112095000</v>
      </c>
      <c r="K28" s="18">
        <f t="shared" ca="1" si="13"/>
        <v>-112095000</v>
      </c>
      <c r="L28" s="5" t="str">
        <f>VLOOKUP(B28,Companies!B:D,3,0)</f>
        <v>Petrolier</v>
      </c>
    </row>
    <row r="29" spans="1:12" ht="12">
      <c r="A29" s="67">
        <v>27</v>
      </c>
      <c r="B29" s="69" t="str">
        <f>+Companies!B29</f>
        <v>PTIAL</v>
      </c>
      <c r="C29" s="68">
        <f>'27'!$E$8</f>
        <v>0</v>
      </c>
      <c r="D29" s="68">
        <f>'27'!$I$8</f>
        <v>49479519</v>
      </c>
      <c r="E29" s="68">
        <f t="shared" si="9"/>
        <v>-49479519</v>
      </c>
      <c r="F29" s="68">
        <f>'27'!$F$8</f>
        <v>0</v>
      </c>
      <c r="G29" s="68">
        <f ca="1">'27'!$J$8</f>
        <v>0</v>
      </c>
      <c r="H29" s="68">
        <f t="shared" ca="1" si="10"/>
        <v>0</v>
      </c>
      <c r="I29" s="68">
        <f t="shared" si="11"/>
        <v>0</v>
      </c>
      <c r="J29" s="68">
        <f t="shared" ca="1" si="12"/>
        <v>49479519</v>
      </c>
      <c r="K29" s="68">
        <f ca="1">I29-J29</f>
        <v>-49479519</v>
      </c>
      <c r="L29" s="5" t="str">
        <f>VLOOKUP(B29,Companies!B:D,3,0)</f>
        <v>Petrolier</v>
      </c>
    </row>
    <row r="30" spans="1:12" s="11" customFormat="1" ht="12">
      <c r="A30" s="86"/>
      <c r="B30" s="87" t="s">
        <v>1</v>
      </c>
      <c r="C30" s="172">
        <f>SUM(C3:C29)</f>
        <v>1264452414</v>
      </c>
      <c r="D30" s="172">
        <f t="shared" ref="D30:K30" si="14">SUM(D3:D29)</f>
        <v>5746098274.899353</v>
      </c>
      <c r="E30" s="172">
        <f t="shared" si="14"/>
        <v>-4481645860.899354</v>
      </c>
      <c r="F30" s="172">
        <f t="shared" si="14"/>
        <v>4017021.2250000015</v>
      </c>
      <c r="G30" s="172">
        <f t="shared" ca="1" si="14"/>
        <v>893187668.42857158</v>
      </c>
      <c r="H30" s="172">
        <f t="shared" ca="1" si="14"/>
        <v>-889170647.20357168</v>
      </c>
      <c r="I30" s="172">
        <f t="shared" si="14"/>
        <v>1268469435.2249999</v>
      </c>
      <c r="J30" s="172">
        <f t="shared" ca="1" si="14"/>
        <v>6639285943.3279247</v>
      </c>
      <c r="K30" s="188">
        <f t="shared" ca="1" si="14"/>
        <v>-5370816508.1029253</v>
      </c>
    </row>
    <row r="31" spans="1:12">
      <c r="C31" s="173"/>
      <c r="D31" s="173"/>
      <c r="E31" s="173"/>
      <c r="F31" s="173"/>
      <c r="G31" s="173"/>
      <c r="H31" s="173"/>
      <c r="I31" s="173"/>
      <c r="J31" s="173"/>
      <c r="K31" s="173"/>
    </row>
    <row r="32" spans="1:12">
      <c r="C32" s="12"/>
      <c r="E32" s="10"/>
      <c r="K32" s="13"/>
    </row>
    <row r="33" spans="5:5">
      <c r="E33" s="14"/>
    </row>
  </sheetData>
  <mergeCells count="5">
    <mergeCell ref="A1:A2"/>
    <mergeCell ref="B1:B2"/>
    <mergeCell ref="C1:E1"/>
    <mergeCell ref="F1:H1"/>
    <mergeCell ref="I1:K1"/>
  </mergeCells>
  <conditionalFormatting sqref="C31:K31">
    <cfRule type="containsText" dxfId="115" priority="1" operator="containsText" text="ERROR">
      <formula>NOT(ISERROR(SEARCH("ERROR",C31)))</formula>
    </cfRule>
  </conditionalFormatting>
  <pageMargins left="0.39370078740157483" right="0.39370078740157483" top="0.39370078740157483" bottom="0.39370078740157483" header="7.874015748031496E-2" footer="7.874015748031496E-2"/>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16EE-2031-4E2C-9403-2BB1987574FA}">
  <sheetPr codeName="Feuil76"/>
  <dimension ref="B4:D22"/>
  <sheetViews>
    <sheetView workbookViewId="0">
      <selection activeCell="F13" sqref="F13"/>
    </sheetView>
  </sheetViews>
  <sheetFormatPr baseColWidth="10" defaultRowHeight="12.5"/>
  <cols>
    <col min="2" max="2" width="23.1796875" customWidth="1"/>
    <col min="3" max="3" width="14.26953125" customWidth="1"/>
    <col min="4" max="4" width="33.81640625" customWidth="1"/>
  </cols>
  <sheetData>
    <row r="4" spans="2:4">
      <c r="B4" s="836" t="s">
        <v>787</v>
      </c>
      <c r="C4" s="836"/>
      <c r="D4" s="836"/>
    </row>
    <row r="6" spans="2:4" ht="13" thickBot="1">
      <c r="B6" s="341" t="s">
        <v>250</v>
      </c>
      <c r="C6" s="342" t="s">
        <v>291</v>
      </c>
      <c r="D6" s="342" t="s">
        <v>288</v>
      </c>
    </row>
    <row r="7" spans="2:4" ht="13" thickTop="1">
      <c r="B7" s="343" t="s">
        <v>418</v>
      </c>
      <c r="C7" s="344" t="s">
        <v>419</v>
      </c>
      <c r="D7" s="343" t="s">
        <v>420</v>
      </c>
    </row>
    <row r="8" spans="2:4">
      <c r="B8" s="345" t="s">
        <v>421</v>
      </c>
      <c r="C8" s="346" t="s">
        <v>532</v>
      </c>
      <c r="D8" s="345" t="s">
        <v>640</v>
      </c>
    </row>
    <row r="9" spans="2:4">
      <c r="B9" s="343" t="s">
        <v>422</v>
      </c>
      <c r="C9" s="344"/>
      <c r="D9" s="343" t="s">
        <v>423</v>
      </c>
    </row>
    <row r="10" spans="2:4">
      <c r="B10" s="345" t="s">
        <v>424</v>
      </c>
      <c r="C10" s="346"/>
      <c r="D10" s="345" t="s">
        <v>425</v>
      </c>
    </row>
    <row r="11" spans="2:4">
      <c r="B11" s="343" t="s">
        <v>426</v>
      </c>
      <c r="C11" s="344"/>
      <c r="D11" s="343" t="s">
        <v>427</v>
      </c>
    </row>
    <row r="12" spans="2:4">
      <c r="B12" s="345" t="s">
        <v>428</v>
      </c>
      <c r="C12" s="346"/>
      <c r="D12" s="345" t="s">
        <v>429</v>
      </c>
    </row>
    <row r="13" spans="2:4">
      <c r="B13" s="343" t="s">
        <v>430</v>
      </c>
      <c r="C13" s="344"/>
      <c r="D13" s="343" t="s">
        <v>431</v>
      </c>
    </row>
    <row r="14" spans="2:4">
      <c r="B14" s="345" t="s">
        <v>432</v>
      </c>
      <c r="C14" s="346"/>
      <c r="D14" s="345" t="s">
        <v>433</v>
      </c>
    </row>
    <row r="15" spans="2:4">
      <c r="B15" s="343" t="s">
        <v>434</v>
      </c>
      <c r="C15" s="344"/>
      <c r="D15" s="343" t="s">
        <v>435</v>
      </c>
    </row>
    <row r="16" spans="2:4">
      <c r="B16" s="345" t="s">
        <v>436</v>
      </c>
      <c r="C16" s="346"/>
      <c r="D16" s="345"/>
    </row>
    <row r="17" spans="2:4">
      <c r="B17" s="343" t="s">
        <v>437</v>
      </c>
      <c r="C17" s="344"/>
      <c r="D17" s="343"/>
    </row>
    <row r="18" spans="2:4">
      <c r="B18" s="345" t="s">
        <v>438</v>
      </c>
      <c r="C18" s="346"/>
      <c r="D18" s="345"/>
    </row>
    <row r="19" spans="2:4">
      <c r="B19" s="343" t="s">
        <v>439</v>
      </c>
      <c r="C19" s="344"/>
      <c r="D19" s="343"/>
    </row>
    <row r="20" spans="2:4">
      <c r="B20" s="345" t="s">
        <v>440</v>
      </c>
      <c r="C20" s="346"/>
      <c r="D20" s="345"/>
    </row>
    <row r="21" spans="2:4">
      <c r="B21" s="343" t="s">
        <v>441</v>
      </c>
      <c r="C21" s="344"/>
      <c r="D21" s="343"/>
    </row>
    <row r="22" spans="2:4">
      <c r="B22" s="345" t="s">
        <v>442</v>
      </c>
      <c r="C22" s="346"/>
      <c r="D22" s="345"/>
    </row>
  </sheetData>
  <mergeCells count="1">
    <mergeCell ref="B4:D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B9EAC-DB7D-4A2D-B0B1-85D5F77D0C05}">
  <sheetPr codeName="Feuil77"/>
  <dimension ref="A2:G70"/>
  <sheetViews>
    <sheetView workbookViewId="0">
      <selection activeCell="B18" sqref="B18"/>
    </sheetView>
  </sheetViews>
  <sheetFormatPr baseColWidth="10" defaultColWidth="11.453125" defaultRowHeight="12"/>
  <cols>
    <col min="1" max="1" width="3.26953125" style="19" customWidth="1"/>
    <col min="2" max="2" width="55.7265625" style="433" customWidth="1"/>
    <col min="3" max="5" width="11.453125" style="1"/>
    <col min="6" max="6" width="24.81640625" style="432" customWidth="1"/>
    <col min="7" max="16384" width="11.453125" style="1"/>
  </cols>
  <sheetData>
    <row r="2" spans="1:7">
      <c r="A2" s="621" t="s">
        <v>788</v>
      </c>
    </row>
    <row r="3" spans="1:7" ht="12.5" thickBot="1"/>
    <row r="4" spans="1:7" ht="47.5" thickBot="1">
      <c r="A4" s="642" t="s">
        <v>6</v>
      </c>
      <c r="B4" s="643" t="s">
        <v>575</v>
      </c>
      <c r="C4" s="644" t="s">
        <v>577</v>
      </c>
      <c r="D4" s="644" t="s">
        <v>576</v>
      </c>
      <c r="E4" s="644" t="s">
        <v>579</v>
      </c>
      <c r="F4" s="643" t="s">
        <v>580</v>
      </c>
      <c r="G4" s="431"/>
    </row>
    <row r="5" spans="1:7" ht="12.5" thickBot="1">
      <c r="A5" s="841" t="s">
        <v>609</v>
      </c>
      <c r="B5" s="842"/>
      <c r="C5" s="842"/>
      <c r="D5" s="842"/>
      <c r="E5" s="842"/>
      <c r="F5" s="843"/>
    </row>
    <row r="6" spans="1:7" ht="12.5" thickBot="1">
      <c r="A6" s="645">
        <v>1</v>
      </c>
      <c r="B6" s="646" t="s">
        <v>165</v>
      </c>
      <c r="C6" s="647" t="s">
        <v>578</v>
      </c>
      <c r="D6" s="647"/>
      <c r="E6" s="647" t="s">
        <v>578</v>
      </c>
      <c r="F6" s="646" t="s">
        <v>166</v>
      </c>
    </row>
    <row r="7" spans="1:7" ht="12.5" thickBot="1">
      <c r="A7" s="648">
        <v>2</v>
      </c>
      <c r="B7" s="649" t="s">
        <v>167</v>
      </c>
      <c r="C7" s="650" t="s">
        <v>578</v>
      </c>
      <c r="D7" s="650"/>
      <c r="E7" s="650" t="s">
        <v>578</v>
      </c>
      <c r="F7" s="649" t="s">
        <v>166</v>
      </c>
    </row>
    <row r="8" spans="1:7" ht="12.5" thickBot="1">
      <c r="A8" s="645">
        <v>3</v>
      </c>
      <c r="B8" s="646" t="s">
        <v>581</v>
      </c>
      <c r="C8" s="647" t="s">
        <v>578</v>
      </c>
      <c r="D8" s="647" t="s">
        <v>578</v>
      </c>
      <c r="E8" s="647" t="s">
        <v>578</v>
      </c>
      <c r="F8" s="646" t="s">
        <v>166</v>
      </c>
    </row>
    <row r="9" spans="1:7" ht="12.5" thickBot="1">
      <c r="A9" s="648">
        <v>4</v>
      </c>
      <c r="B9" s="649" t="s">
        <v>582</v>
      </c>
      <c r="C9" s="650" t="s">
        <v>578</v>
      </c>
      <c r="D9" s="650" t="s">
        <v>578</v>
      </c>
      <c r="E9" s="650"/>
      <c r="F9" s="649" t="s">
        <v>170</v>
      </c>
    </row>
    <row r="10" spans="1:7" ht="12.5" thickBot="1">
      <c r="A10" s="645">
        <v>5</v>
      </c>
      <c r="B10" s="646" t="s">
        <v>323</v>
      </c>
      <c r="C10" s="647"/>
      <c r="D10" s="647" t="s">
        <v>578</v>
      </c>
      <c r="E10" s="651"/>
      <c r="F10" s="646" t="s">
        <v>81</v>
      </c>
    </row>
    <row r="11" spans="1:7" ht="12.5" thickBot="1">
      <c r="A11" s="648">
        <v>6</v>
      </c>
      <c r="B11" s="649" t="s">
        <v>172</v>
      </c>
      <c r="C11" s="650" t="s">
        <v>578</v>
      </c>
      <c r="D11" s="652"/>
      <c r="E11" s="650" t="s">
        <v>578</v>
      </c>
      <c r="F11" s="649" t="s">
        <v>81</v>
      </c>
    </row>
    <row r="12" spans="1:7" ht="12.5" thickBot="1">
      <c r="A12" s="645">
        <v>7</v>
      </c>
      <c r="B12" s="646" t="s">
        <v>173</v>
      </c>
      <c r="C12" s="647" t="s">
        <v>578</v>
      </c>
      <c r="D12" s="651"/>
      <c r="E12" s="647" t="s">
        <v>578</v>
      </c>
      <c r="F12" s="646" t="s">
        <v>81</v>
      </c>
    </row>
    <row r="13" spans="1:7" ht="12.5" thickBot="1">
      <c r="A13" s="648">
        <v>8</v>
      </c>
      <c r="B13" s="649" t="s">
        <v>174</v>
      </c>
      <c r="C13" s="650" t="s">
        <v>578</v>
      </c>
      <c r="D13" s="650"/>
      <c r="E13" s="650" t="s">
        <v>578</v>
      </c>
      <c r="F13" s="649" t="s">
        <v>81</v>
      </c>
    </row>
    <row r="14" spans="1:7" ht="12.5" thickBot="1">
      <c r="A14" s="645">
        <v>9</v>
      </c>
      <c r="B14" s="646" t="s">
        <v>175</v>
      </c>
      <c r="C14" s="647" t="s">
        <v>578</v>
      </c>
      <c r="D14" s="647" t="s">
        <v>578</v>
      </c>
      <c r="E14" s="647" t="s">
        <v>578</v>
      </c>
      <c r="F14" s="646" t="s">
        <v>81</v>
      </c>
    </row>
    <row r="15" spans="1:7" ht="12.5" thickBot="1">
      <c r="A15" s="648">
        <v>10</v>
      </c>
      <c r="B15" s="649" t="s">
        <v>583</v>
      </c>
      <c r="C15" s="650" t="s">
        <v>740</v>
      </c>
      <c r="D15" s="652"/>
      <c r="E15" s="652" t="s">
        <v>578</v>
      </c>
      <c r="F15" s="649" t="s">
        <v>81</v>
      </c>
    </row>
    <row r="16" spans="1:7" ht="12.5" thickBot="1">
      <c r="A16" s="645">
        <v>11</v>
      </c>
      <c r="B16" s="646" t="s">
        <v>80</v>
      </c>
      <c r="C16" s="647" t="s">
        <v>578</v>
      </c>
      <c r="D16" s="651"/>
      <c r="E16" s="647" t="s">
        <v>578</v>
      </c>
      <c r="F16" s="646" t="s">
        <v>81</v>
      </c>
    </row>
    <row r="17" spans="1:6" ht="12.5" thickBot="1">
      <c r="A17" s="648">
        <v>12</v>
      </c>
      <c r="B17" s="649" t="s">
        <v>177</v>
      </c>
      <c r="C17" s="650"/>
      <c r="D17" s="652"/>
      <c r="E17" s="652" t="s">
        <v>578</v>
      </c>
      <c r="F17" s="649" t="s">
        <v>81</v>
      </c>
    </row>
    <row r="18" spans="1:6" ht="12.5" thickBot="1">
      <c r="A18" s="645">
        <v>13</v>
      </c>
      <c r="B18" s="646" t="s">
        <v>178</v>
      </c>
      <c r="C18" s="647"/>
      <c r="D18" s="651"/>
      <c r="E18" s="651" t="s">
        <v>578</v>
      </c>
      <c r="F18" s="646" t="s">
        <v>81</v>
      </c>
    </row>
    <row r="19" spans="1:6" ht="12.5" thickBot="1">
      <c r="A19" s="648">
        <v>14</v>
      </c>
      <c r="B19" s="649" t="s">
        <v>179</v>
      </c>
      <c r="C19" s="650"/>
      <c r="D19" s="650"/>
      <c r="E19" s="652" t="s">
        <v>578</v>
      </c>
      <c r="F19" s="649" t="s">
        <v>81</v>
      </c>
    </row>
    <row r="20" spans="1:6" ht="12.5" thickBot="1">
      <c r="A20" s="645">
        <v>15</v>
      </c>
      <c r="B20" s="646" t="s">
        <v>180</v>
      </c>
      <c r="C20" s="651" t="s">
        <v>578</v>
      </c>
      <c r="D20" s="651"/>
      <c r="E20" s="651" t="s">
        <v>578</v>
      </c>
      <c r="F20" s="646" t="s">
        <v>81</v>
      </c>
    </row>
    <row r="21" spans="1:6" ht="12.5" thickBot="1">
      <c r="A21" s="648">
        <v>16</v>
      </c>
      <c r="B21" s="649" t="s">
        <v>181</v>
      </c>
      <c r="C21" s="650" t="s">
        <v>578</v>
      </c>
      <c r="D21" s="650" t="s">
        <v>578</v>
      </c>
      <c r="E21" s="650" t="s">
        <v>578</v>
      </c>
      <c r="F21" s="649" t="s">
        <v>81</v>
      </c>
    </row>
    <row r="22" spans="1:6" ht="12.5" thickBot="1">
      <c r="A22" s="645">
        <v>17</v>
      </c>
      <c r="B22" s="646" t="s">
        <v>182</v>
      </c>
      <c r="C22" s="647"/>
      <c r="D22" s="651"/>
      <c r="E22" s="651" t="s">
        <v>578</v>
      </c>
      <c r="F22" s="646" t="s">
        <v>81</v>
      </c>
    </row>
    <row r="23" spans="1:6" ht="12.5" thickBot="1">
      <c r="A23" s="648">
        <v>18</v>
      </c>
      <c r="B23" s="649" t="s">
        <v>183</v>
      </c>
      <c r="C23" s="650" t="s">
        <v>578</v>
      </c>
      <c r="D23" s="650"/>
      <c r="E23" s="650" t="s">
        <v>578</v>
      </c>
      <c r="F23" s="649" t="s">
        <v>81</v>
      </c>
    </row>
    <row r="24" spans="1:6" ht="12.5" thickBot="1">
      <c r="A24" s="645">
        <v>19</v>
      </c>
      <c r="B24" s="646" t="s">
        <v>184</v>
      </c>
      <c r="C24" s="647" t="s">
        <v>578</v>
      </c>
      <c r="D24" s="651"/>
      <c r="E24" s="651"/>
      <c r="F24" s="646" t="s">
        <v>81</v>
      </c>
    </row>
    <row r="25" spans="1:6" ht="12.5" thickBot="1">
      <c r="A25" s="648">
        <v>20</v>
      </c>
      <c r="B25" s="649" t="s">
        <v>584</v>
      </c>
      <c r="C25" s="650" t="s">
        <v>578</v>
      </c>
      <c r="D25" s="650"/>
      <c r="E25" s="650"/>
      <c r="F25" s="649" t="s">
        <v>81</v>
      </c>
    </row>
    <row r="26" spans="1:6" ht="24.5" thickBot="1">
      <c r="A26" s="645">
        <v>21</v>
      </c>
      <c r="B26" s="646" t="s">
        <v>585</v>
      </c>
      <c r="C26" s="647" t="s">
        <v>578</v>
      </c>
      <c r="D26" s="647"/>
      <c r="E26" s="651"/>
      <c r="F26" s="646" t="s">
        <v>81</v>
      </c>
    </row>
    <row r="27" spans="1:6" ht="15.75" customHeight="1" thickBot="1">
      <c r="A27" s="648">
        <v>22</v>
      </c>
      <c r="B27" s="649" t="s">
        <v>586</v>
      </c>
      <c r="C27" s="650" t="s">
        <v>578</v>
      </c>
      <c r="D27" s="650" t="s">
        <v>578</v>
      </c>
      <c r="E27" s="650" t="s">
        <v>578</v>
      </c>
      <c r="F27" s="649" t="s">
        <v>81</v>
      </c>
    </row>
    <row r="28" spans="1:6" ht="12.5" thickBot="1">
      <c r="A28" s="645">
        <v>23</v>
      </c>
      <c r="B28" s="646" t="s">
        <v>603</v>
      </c>
      <c r="C28" s="647" t="s">
        <v>578</v>
      </c>
      <c r="D28" s="647"/>
      <c r="E28" s="647"/>
      <c r="F28" s="646" t="s">
        <v>81</v>
      </c>
    </row>
    <row r="29" spans="1:6" ht="12.5" thickBot="1">
      <c r="A29" s="648">
        <v>24</v>
      </c>
      <c r="B29" s="649" t="s">
        <v>587</v>
      </c>
      <c r="C29" s="650" t="s">
        <v>578</v>
      </c>
      <c r="D29" s="650" t="s">
        <v>578</v>
      </c>
      <c r="E29" s="650" t="s">
        <v>578</v>
      </c>
      <c r="F29" s="649" t="s">
        <v>81</v>
      </c>
    </row>
    <row r="30" spans="1:6" ht="12.5" thickBot="1">
      <c r="A30" s="645">
        <v>25</v>
      </c>
      <c r="B30" s="646" t="s">
        <v>324</v>
      </c>
      <c r="C30" s="647"/>
      <c r="D30" s="647"/>
      <c r="E30" s="647" t="s">
        <v>578</v>
      </c>
      <c r="F30" s="646" t="s">
        <v>81</v>
      </c>
    </row>
    <row r="31" spans="1:6" ht="15.75" customHeight="1" thickBot="1">
      <c r="A31" s="648">
        <v>26</v>
      </c>
      <c r="B31" s="649" t="s">
        <v>588</v>
      </c>
      <c r="C31" s="650"/>
      <c r="D31" s="650"/>
      <c r="E31" s="650" t="s">
        <v>578</v>
      </c>
      <c r="F31" s="649" t="s">
        <v>81</v>
      </c>
    </row>
    <row r="32" spans="1:6" ht="15.75" customHeight="1" thickBot="1">
      <c r="A32" s="841" t="s">
        <v>515</v>
      </c>
      <c r="B32" s="842"/>
      <c r="C32" s="842"/>
      <c r="D32" s="842"/>
      <c r="E32" s="842"/>
      <c r="F32" s="843"/>
    </row>
    <row r="33" spans="1:6" ht="24.5" thickBot="1">
      <c r="A33" s="645">
        <v>27</v>
      </c>
      <c r="B33" s="646" t="s">
        <v>604</v>
      </c>
      <c r="C33" s="647" t="s">
        <v>578</v>
      </c>
      <c r="D33" s="647"/>
      <c r="E33" s="651"/>
      <c r="F33" s="646" t="s">
        <v>515</v>
      </c>
    </row>
    <row r="34" spans="1:6" ht="12.5" thickBot="1">
      <c r="A34" s="648">
        <v>28</v>
      </c>
      <c r="B34" s="649" t="s">
        <v>194</v>
      </c>
      <c r="C34" s="650" t="s">
        <v>578</v>
      </c>
      <c r="D34" s="650"/>
      <c r="E34" s="650"/>
      <c r="F34" s="649" t="s">
        <v>515</v>
      </c>
    </row>
    <row r="35" spans="1:6" ht="12.5" thickBot="1">
      <c r="A35" s="648">
        <v>29</v>
      </c>
      <c r="B35" s="649" t="s">
        <v>196</v>
      </c>
      <c r="C35" s="650" t="s">
        <v>578</v>
      </c>
      <c r="D35" s="650" t="s">
        <v>578</v>
      </c>
      <c r="E35" s="652"/>
      <c r="F35" s="649" t="s">
        <v>515</v>
      </c>
    </row>
    <row r="36" spans="1:6" ht="15" customHeight="1" thickBot="1">
      <c r="A36" s="645">
        <v>30</v>
      </c>
      <c r="B36" s="646" t="s">
        <v>197</v>
      </c>
      <c r="C36" s="647" t="s">
        <v>578</v>
      </c>
      <c r="D36" s="653"/>
      <c r="E36" s="651"/>
      <c r="F36" s="646" t="s">
        <v>515</v>
      </c>
    </row>
    <row r="37" spans="1:6" ht="12.5" thickBot="1">
      <c r="A37" s="648">
        <v>31</v>
      </c>
      <c r="B37" s="649" t="s">
        <v>605</v>
      </c>
      <c r="C37" s="650" t="s">
        <v>578</v>
      </c>
      <c r="D37" s="652"/>
      <c r="E37" s="652"/>
      <c r="F37" s="649" t="s">
        <v>198</v>
      </c>
    </row>
    <row r="38" spans="1:6" ht="12.5" thickBot="1">
      <c r="A38" s="841" t="s">
        <v>734</v>
      </c>
      <c r="B38" s="842"/>
      <c r="C38" s="842"/>
      <c r="D38" s="842"/>
      <c r="E38" s="842"/>
      <c r="F38" s="843"/>
    </row>
    <row r="39" spans="1:6" ht="16" thickBot="1">
      <c r="A39" s="645">
        <v>32</v>
      </c>
      <c r="B39" s="646" t="s">
        <v>735</v>
      </c>
      <c r="C39" s="647" t="s">
        <v>578</v>
      </c>
      <c r="D39" s="653"/>
      <c r="E39" s="647"/>
      <c r="F39" s="646" t="s">
        <v>275</v>
      </c>
    </row>
    <row r="40" spans="1:6" ht="12.5" thickBot="1">
      <c r="A40" s="648">
        <v>33</v>
      </c>
      <c r="B40" s="649" t="s">
        <v>736</v>
      </c>
      <c r="C40" s="650"/>
      <c r="D40" s="650"/>
      <c r="E40" s="650" t="s">
        <v>578</v>
      </c>
      <c r="F40" s="649" t="s">
        <v>275</v>
      </c>
    </row>
    <row r="41" spans="1:6" ht="12.5" thickBot="1">
      <c r="A41" s="645">
        <v>34</v>
      </c>
      <c r="B41" s="646" t="s">
        <v>178</v>
      </c>
      <c r="C41" s="647"/>
      <c r="D41" s="647"/>
      <c r="E41" s="647" t="s">
        <v>578</v>
      </c>
      <c r="F41" s="646" t="s">
        <v>275</v>
      </c>
    </row>
    <row r="42" spans="1:6" ht="12.5" thickBot="1">
      <c r="A42" s="648">
        <v>35</v>
      </c>
      <c r="B42" s="649" t="s">
        <v>737</v>
      </c>
      <c r="C42" s="650"/>
      <c r="D42" s="650"/>
      <c r="E42" s="650" t="s">
        <v>578</v>
      </c>
      <c r="F42" s="649" t="s">
        <v>275</v>
      </c>
    </row>
    <row r="43" spans="1:6" ht="12.5" thickBot="1">
      <c r="A43" s="645">
        <v>36</v>
      </c>
      <c r="B43" s="646" t="s">
        <v>607</v>
      </c>
      <c r="C43" s="647" t="s">
        <v>578</v>
      </c>
      <c r="D43" s="647"/>
      <c r="E43" s="651" t="s">
        <v>578</v>
      </c>
      <c r="F43" s="646" t="s">
        <v>738</v>
      </c>
    </row>
    <row r="44" spans="1:6" ht="12.5" thickBot="1">
      <c r="A44" s="841" t="s">
        <v>614</v>
      </c>
      <c r="B44" s="842"/>
      <c r="C44" s="842"/>
      <c r="D44" s="842"/>
      <c r="E44" s="842"/>
      <c r="F44" s="843"/>
    </row>
    <row r="45" spans="1:6" ht="12.5" thickBot="1">
      <c r="A45" s="648">
        <v>37</v>
      </c>
      <c r="B45" s="649" t="s">
        <v>205</v>
      </c>
      <c r="C45" s="650"/>
      <c r="D45" s="652" t="s">
        <v>578</v>
      </c>
      <c r="E45" s="650"/>
      <c r="F45" s="649" t="s">
        <v>206</v>
      </c>
    </row>
    <row r="46" spans="1:6" ht="12.5" thickBot="1">
      <c r="A46" s="645">
        <v>38</v>
      </c>
      <c r="B46" s="646" t="s">
        <v>207</v>
      </c>
      <c r="C46" s="647"/>
      <c r="D46" s="651" t="s">
        <v>578</v>
      </c>
      <c r="E46" s="647"/>
      <c r="F46" s="646" t="s">
        <v>206</v>
      </c>
    </row>
    <row r="47" spans="1:6" ht="12.5" thickBot="1">
      <c r="A47" s="841" t="s">
        <v>613</v>
      </c>
      <c r="B47" s="842"/>
      <c r="C47" s="842"/>
      <c r="D47" s="842"/>
      <c r="E47" s="842"/>
      <c r="F47" s="843"/>
    </row>
    <row r="48" spans="1:6" ht="36.5" thickBot="1">
      <c r="A48" s="648">
        <v>39</v>
      </c>
      <c r="B48" s="649" t="s">
        <v>67</v>
      </c>
      <c r="C48" s="650" t="s">
        <v>578</v>
      </c>
      <c r="D48" s="650" t="s">
        <v>578</v>
      </c>
      <c r="E48" s="650" t="s">
        <v>578</v>
      </c>
      <c r="F48" s="649" t="s">
        <v>589</v>
      </c>
    </row>
    <row r="49" spans="1:6" ht="36.5" thickBot="1">
      <c r="A49" s="645">
        <v>40</v>
      </c>
      <c r="B49" s="646" t="s">
        <v>75</v>
      </c>
      <c r="C49" s="647" t="s">
        <v>578</v>
      </c>
      <c r="D49" s="647" t="s">
        <v>578</v>
      </c>
      <c r="E49" s="647" t="s">
        <v>578</v>
      </c>
      <c r="F49" s="646" t="s">
        <v>589</v>
      </c>
    </row>
    <row r="50" spans="1:6" ht="12.5" thickBot="1">
      <c r="A50" s="841" t="s">
        <v>610</v>
      </c>
      <c r="B50" s="842"/>
      <c r="C50" s="842"/>
      <c r="D50" s="842"/>
      <c r="E50" s="842"/>
      <c r="F50" s="843"/>
    </row>
    <row r="51" spans="1:6" ht="12.5" thickBot="1">
      <c r="A51" s="648">
        <v>41</v>
      </c>
      <c r="B51" s="649" t="s">
        <v>590</v>
      </c>
      <c r="C51" s="650" t="s">
        <v>578</v>
      </c>
      <c r="D51" s="652" t="s">
        <v>578</v>
      </c>
      <c r="E51" s="652" t="s">
        <v>578</v>
      </c>
      <c r="F51" s="649" t="s">
        <v>608</v>
      </c>
    </row>
    <row r="52" spans="1:6" ht="12.5" thickBot="1">
      <c r="A52" s="645">
        <v>42</v>
      </c>
      <c r="B52" s="646" t="s">
        <v>591</v>
      </c>
      <c r="C52" s="647" t="s">
        <v>578</v>
      </c>
      <c r="D52" s="651" t="s">
        <v>578</v>
      </c>
      <c r="E52" s="647" t="s">
        <v>578</v>
      </c>
      <c r="F52" s="646" t="s">
        <v>608</v>
      </c>
    </row>
    <row r="53" spans="1:6" ht="24.5" thickBot="1">
      <c r="A53" s="648">
        <v>43</v>
      </c>
      <c r="B53" s="649" t="s">
        <v>592</v>
      </c>
      <c r="C53" s="650" t="s">
        <v>578</v>
      </c>
      <c r="D53" s="652" t="s">
        <v>578</v>
      </c>
      <c r="E53" s="652" t="s">
        <v>578</v>
      </c>
      <c r="F53" s="649" t="s">
        <v>608</v>
      </c>
    </row>
    <row r="54" spans="1:6" ht="12.5" thickBot="1">
      <c r="A54" s="645">
        <v>44</v>
      </c>
      <c r="B54" s="646" t="s">
        <v>593</v>
      </c>
      <c r="C54" s="647" t="s">
        <v>578</v>
      </c>
      <c r="D54" s="651" t="s">
        <v>578</v>
      </c>
      <c r="E54" s="651" t="s">
        <v>578</v>
      </c>
      <c r="F54" s="646" t="s">
        <v>608</v>
      </c>
    </row>
    <row r="55" spans="1:6" ht="12.5" thickBot="1">
      <c r="A55" s="648">
        <v>45</v>
      </c>
      <c r="B55" s="649" t="s">
        <v>594</v>
      </c>
      <c r="C55" s="650" t="s">
        <v>578</v>
      </c>
      <c r="D55" s="650" t="s">
        <v>578</v>
      </c>
      <c r="E55" s="652" t="s">
        <v>578</v>
      </c>
      <c r="F55" s="649" t="s">
        <v>608</v>
      </c>
    </row>
    <row r="56" spans="1:6" ht="12.5" thickBot="1">
      <c r="A56" s="645">
        <v>46</v>
      </c>
      <c r="B56" s="646" t="s">
        <v>607</v>
      </c>
      <c r="C56" s="651" t="s">
        <v>578</v>
      </c>
      <c r="D56" s="651" t="s">
        <v>578</v>
      </c>
      <c r="E56" s="651" t="s">
        <v>578</v>
      </c>
      <c r="F56" s="646" t="s">
        <v>608</v>
      </c>
    </row>
    <row r="57" spans="1:6" ht="12.5" thickBot="1">
      <c r="A57" s="648">
        <v>47</v>
      </c>
      <c r="B57" s="649" t="s">
        <v>213</v>
      </c>
      <c r="C57" s="650" t="s">
        <v>578</v>
      </c>
      <c r="D57" s="650" t="s">
        <v>578</v>
      </c>
      <c r="E57" s="650" t="s">
        <v>578</v>
      </c>
      <c r="F57" s="649" t="s">
        <v>608</v>
      </c>
    </row>
    <row r="58" spans="1:6" ht="12.5" thickBot="1">
      <c r="A58" s="645">
        <v>48</v>
      </c>
      <c r="B58" s="646" t="s">
        <v>595</v>
      </c>
      <c r="C58" s="647" t="s">
        <v>578</v>
      </c>
      <c r="D58" s="651" t="s">
        <v>578</v>
      </c>
      <c r="E58" s="651" t="s">
        <v>578</v>
      </c>
      <c r="F58" s="646" t="s">
        <v>608</v>
      </c>
    </row>
    <row r="59" spans="1:6" ht="12.5" thickBot="1">
      <c r="A59" s="841" t="s">
        <v>215</v>
      </c>
      <c r="B59" s="842"/>
      <c r="C59" s="842"/>
      <c r="D59" s="842"/>
      <c r="E59" s="842"/>
      <c r="F59" s="843"/>
    </row>
    <row r="60" spans="1:6" ht="48.5" thickBot="1">
      <c r="A60" s="648">
        <v>49</v>
      </c>
      <c r="B60" s="649" t="s">
        <v>596</v>
      </c>
      <c r="C60" s="650"/>
      <c r="D60" s="650"/>
      <c r="E60" s="650" t="s">
        <v>578</v>
      </c>
      <c r="F60" s="649" t="s">
        <v>602</v>
      </c>
    </row>
    <row r="61" spans="1:6" ht="48.5" thickBot="1">
      <c r="A61" s="645">
        <v>50</v>
      </c>
      <c r="B61" s="646" t="s">
        <v>597</v>
      </c>
      <c r="C61" s="647"/>
      <c r="D61" s="651"/>
      <c r="E61" s="651" t="s">
        <v>578</v>
      </c>
      <c r="F61" s="646" t="s">
        <v>602</v>
      </c>
    </row>
    <row r="62" spans="1:6" ht="12.5" thickBot="1">
      <c r="A62" s="841" t="s">
        <v>611</v>
      </c>
      <c r="B62" s="842"/>
      <c r="C62" s="842"/>
      <c r="D62" s="842"/>
      <c r="E62" s="842"/>
      <c r="F62" s="843"/>
    </row>
    <row r="63" spans="1:6" ht="12.5" thickBot="1">
      <c r="A63" s="648">
        <v>51</v>
      </c>
      <c r="B63" s="649" t="s">
        <v>598</v>
      </c>
      <c r="C63" s="650"/>
      <c r="D63" s="650"/>
      <c r="E63" s="650" t="s">
        <v>578</v>
      </c>
      <c r="F63" s="649" t="s">
        <v>275</v>
      </c>
    </row>
    <row r="64" spans="1:6" ht="12.5" thickBot="1">
      <c r="A64" s="645">
        <v>52</v>
      </c>
      <c r="B64" s="646" t="s">
        <v>599</v>
      </c>
      <c r="C64" s="647"/>
      <c r="D64" s="647"/>
      <c r="E64" s="651" t="s">
        <v>578</v>
      </c>
      <c r="F64" s="646" t="s">
        <v>275</v>
      </c>
    </row>
    <row r="65" spans="1:6" ht="12.5" thickBot="1">
      <c r="A65" s="648">
        <v>53</v>
      </c>
      <c r="B65" s="649" t="s">
        <v>600</v>
      </c>
      <c r="C65" s="650" t="s">
        <v>578</v>
      </c>
      <c r="D65" s="650" t="s">
        <v>578</v>
      </c>
      <c r="E65" s="650" t="s">
        <v>578</v>
      </c>
      <c r="F65" s="649" t="s">
        <v>275</v>
      </c>
    </row>
    <row r="66" spans="1:6" ht="12.5" thickBot="1">
      <c r="A66" s="645">
        <v>54</v>
      </c>
      <c r="B66" s="646" t="s">
        <v>606</v>
      </c>
      <c r="C66" s="647"/>
      <c r="D66" s="647"/>
      <c r="E66" s="647" t="s">
        <v>578</v>
      </c>
      <c r="F66" s="646" t="s">
        <v>275</v>
      </c>
    </row>
    <row r="67" spans="1:6" ht="12.5" thickBot="1">
      <c r="A67" s="648">
        <v>55</v>
      </c>
      <c r="B67" s="649" t="s">
        <v>601</v>
      </c>
      <c r="C67" s="650" t="s">
        <v>578</v>
      </c>
      <c r="D67" s="650" t="s">
        <v>578</v>
      </c>
      <c r="E67" s="650" t="s">
        <v>578</v>
      </c>
      <c r="F67" s="649" t="s">
        <v>405</v>
      </c>
    </row>
    <row r="68" spans="1:6" ht="12.5" thickBot="1">
      <c r="A68" s="841" t="s">
        <v>612</v>
      </c>
      <c r="B68" s="842"/>
      <c r="C68" s="842"/>
      <c r="D68" s="842"/>
      <c r="E68" s="842"/>
      <c r="F68" s="843"/>
    </row>
    <row r="69" spans="1:6" ht="12.5" thickBot="1">
      <c r="A69" s="645">
        <v>56</v>
      </c>
      <c r="B69" s="646" t="s">
        <v>195</v>
      </c>
      <c r="C69" s="647" t="s">
        <v>578</v>
      </c>
      <c r="D69" s="651"/>
      <c r="E69" s="651"/>
      <c r="F69" s="646" t="s">
        <v>261</v>
      </c>
    </row>
    <row r="70" spans="1:6" ht="24.5" thickBot="1">
      <c r="A70" s="645">
        <v>57</v>
      </c>
      <c r="B70" s="646" t="s">
        <v>739</v>
      </c>
      <c r="C70" s="647" t="s">
        <v>578</v>
      </c>
      <c r="D70" s="647" t="s">
        <v>578</v>
      </c>
      <c r="E70" s="647" t="s">
        <v>578</v>
      </c>
      <c r="F70" s="646" t="s">
        <v>92</v>
      </c>
    </row>
  </sheetData>
  <autoFilter ref="A4:F70" xr:uid="{C7AB9EAC-DB7D-4A2D-B0B1-85D5F77D0C05}"/>
  <mergeCells count="9">
    <mergeCell ref="A5:F5"/>
    <mergeCell ref="A50:F50"/>
    <mergeCell ref="A59:F59"/>
    <mergeCell ref="A62:F62"/>
    <mergeCell ref="A68:F68"/>
    <mergeCell ref="A47:F47"/>
    <mergeCell ref="A44:F44"/>
    <mergeCell ref="A38:F38"/>
    <mergeCell ref="A32:F3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FF2F5-9A8A-4CA0-B3D8-9F6A2B5D1114}">
  <sheetPr codeName="Feuil85"/>
  <dimension ref="B2:I58"/>
  <sheetViews>
    <sheetView workbookViewId="0">
      <selection activeCell="E24" sqref="E24"/>
    </sheetView>
  </sheetViews>
  <sheetFormatPr baseColWidth="10" defaultRowHeight="12.5"/>
  <cols>
    <col min="2" max="2" width="53" customWidth="1"/>
    <col min="3" max="3" width="30.1796875" style="376" customWidth="1"/>
    <col min="4" max="4" width="19.1796875" bestFit="1" customWidth="1"/>
    <col min="5" max="5" width="15.453125" bestFit="1" customWidth="1"/>
    <col min="9" max="9" width="11.453125" style="380"/>
  </cols>
  <sheetData>
    <row r="2" spans="2:5" ht="15.5">
      <c r="B2" s="609" t="s">
        <v>791</v>
      </c>
    </row>
    <row r="4" spans="2:5">
      <c r="B4" s="861" t="s">
        <v>241</v>
      </c>
      <c r="C4" s="859" t="s">
        <v>264</v>
      </c>
    </row>
    <row r="5" spans="2:5" ht="13" thickBot="1">
      <c r="B5" s="862"/>
      <c r="C5" s="860"/>
    </row>
    <row r="6" spans="2:5" ht="13" thickTop="1">
      <c r="B6" s="441" t="s">
        <v>249</v>
      </c>
      <c r="C6" s="442">
        <f>+C7+C25+C22</f>
        <v>5504351848.3676252</v>
      </c>
      <c r="D6" s="209"/>
      <c r="E6" s="208"/>
    </row>
    <row r="7" spans="2:5">
      <c r="B7" s="536" t="s">
        <v>81</v>
      </c>
      <c r="C7" s="537">
        <f>SUM(C8:C21)</f>
        <v>2696856308.3614216</v>
      </c>
    </row>
    <row r="8" spans="2:5">
      <c r="B8" s="538" t="str">
        <f>+'Tableau Général'!A6</f>
        <v>Taxe d’abattage</v>
      </c>
      <c r="C8" s="471">
        <f>+'Tableau Général'!BM6</f>
        <v>738839045.12800002</v>
      </c>
    </row>
    <row r="9" spans="2:5">
      <c r="B9" s="539" t="str">
        <f>+'Tableau Général'!A7</f>
        <v>Loyer</v>
      </c>
      <c r="C9" s="444">
        <f>+'Tableau Général'!BM7</f>
        <v>1330029931.4285715</v>
      </c>
    </row>
    <row r="10" spans="2:5">
      <c r="B10" s="538" t="str">
        <f>+'Tableau Général'!A8</f>
        <v>Taxe de Reboisement</v>
      </c>
      <c r="C10" s="471">
        <f>+'Tableau Général'!BM8</f>
        <v>378739499.80485004</v>
      </c>
    </row>
    <row r="11" spans="2:5">
      <c r="B11" s="539" t="str">
        <f>+'Tableau Général'!A9</f>
        <v>Impôt minimum forfaitaire (IMF)</v>
      </c>
      <c r="C11" s="444">
        <f>+'Tableau Général'!BM9</f>
        <v>31961655</v>
      </c>
    </row>
    <row r="12" spans="2:5">
      <c r="B12" s="540" t="str">
        <f>+'Tableau Général'!A10</f>
        <v>Patente</v>
      </c>
      <c r="C12" s="471">
        <f>+'Tableau Général'!BM10</f>
        <v>21040254</v>
      </c>
    </row>
    <row r="13" spans="2:5">
      <c r="B13" s="539" t="str">
        <f>+'Tableau Général'!A11</f>
        <v>Impôt sur les revenus des personnes physiques (IRPP)</v>
      </c>
      <c r="C13" s="444">
        <f>+'Tableau Général'!BM11</f>
        <v>49666084</v>
      </c>
    </row>
    <row r="14" spans="2:5">
      <c r="B14" s="538" t="str">
        <f>+'Tableau Général'!A12</f>
        <v>Minimum impôt sur les sociétés (MIS)</v>
      </c>
      <c r="C14" s="471">
        <f>+'Tableau Général'!BM12</f>
        <v>43550545</v>
      </c>
    </row>
    <row r="15" spans="2:5">
      <c r="B15" s="539" t="str">
        <f>+'Tableau Général'!A13</f>
        <v>Contribution au développement social (CDS)</v>
      </c>
      <c r="C15" s="444">
        <f>+'Tableau Général'!BM13</f>
        <v>38686913</v>
      </c>
    </row>
    <row r="16" spans="2:5">
      <c r="B16" s="538" t="str">
        <f>+'Tableau Général'!A14</f>
        <v>Précompte</v>
      </c>
      <c r="C16" s="471">
        <f>+'Tableau Général'!BM14</f>
        <v>24602961</v>
      </c>
    </row>
    <row r="17" spans="2:4">
      <c r="B17" s="539" t="str">
        <f>+'Tableau Général'!A15</f>
        <v>Impôt sur les sociétés (IS)</v>
      </c>
      <c r="C17" s="444">
        <f>+'Tableau Général'!BM15</f>
        <v>24416584</v>
      </c>
    </row>
    <row r="18" spans="2:4">
      <c r="B18" s="538" t="str">
        <f>+'Tableau Général'!A16</f>
        <v>Droits d'enregistrement (DE)</v>
      </c>
      <c r="C18" s="471">
        <f>+'Tableau Général'!BM16</f>
        <v>6660000</v>
      </c>
    </row>
    <row r="19" spans="2:4">
      <c r="B19" s="539" t="str">
        <f>+'Tableau Général'!A17</f>
        <v>Impôt sur les fonciers bâtis (IFB)</v>
      </c>
      <c r="C19" s="444">
        <f>+'Tableau Général'!BM17</f>
        <v>6436000</v>
      </c>
    </row>
    <row r="20" spans="2:4">
      <c r="B20" s="538" t="str">
        <f>+'Tableau Général'!A18</f>
        <v>Taxe sur la valeur ajoutée (TVA)</v>
      </c>
      <c r="C20" s="471">
        <f>+'Tableau Général'!BM18</f>
        <v>2136836</v>
      </c>
    </row>
    <row r="21" spans="2:4">
      <c r="B21" s="539" t="str">
        <f>+'Tableau Général'!A19</f>
        <v>Impôt sur les revenus des loyers (IRL)</v>
      </c>
      <c r="C21" s="444">
        <f>+'Tableau Général'!BM19</f>
        <v>90000</v>
      </c>
    </row>
    <row r="22" spans="2:4">
      <c r="B22" s="536" t="s">
        <v>166</v>
      </c>
      <c r="C22" s="537">
        <f>+C23+C24</f>
        <v>437146090</v>
      </c>
    </row>
    <row r="23" spans="2:4">
      <c r="B23" s="539" t="s">
        <v>165</v>
      </c>
      <c r="C23" s="444">
        <f>+'Tableau Général'!BM21</f>
        <v>23598149</v>
      </c>
    </row>
    <row r="24" spans="2:4">
      <c r="B24" s="540" t="s">
        <v>167</v>
      </c>
      <c r="C24" s="471">
        <f>+'Tableau Général'!BM22</f>
        <v>413547941</v>
      </c>
    </row>
    <row r="25" spans="2:4">
      <c r="B25" s="536" t="s">
        <v>170</v>
      </c>
      <c r="C25" s="537">
        <f>SUM(C26:C30)</f>
        <v>2370349450.0062037</v>
      </c>
    </row>
    <row r="26" spans="2:4">
      <c r="B26" s="538" t="str">
        <f>+'Tableau Général'!A24</f>
        <v>Affectation au titre la taxe de reboisement (FDF &amp; AGDRF)</v>
      </c>
      <c r="C26" s="471">
        <f>+'Tableau Général'!BM24</f>
        <v>808234148.13064969</v>
      </c>
    </row>
    <row r="27" spans="2:4">
      <c r="B27" s="539" t="str">
        <f>+'Tableau Général'!A25</f>
        <v>Affectation au titre de taxe d’abattage (FDF &amp; AGDRF)</v>
      </c>
      <c r="C27" s="444">
        <f>+'Tableau Général'!BM25</f>
        <v>572537665.04364693</v>
      </c>
    </row>
    <row r="28" spans="2:4">
      <c r="B28" s="538" t="str">
        <f>+'Tableau Général'!A26</f>
        <v>Affectation au titre la taxe de reboisement (au profit des communes)</v>
      </c>
      <c r="C28" s="471">
        <f>+'Tableau Général'!BM26</f>
        <v>402837403.90825999</v>
      </c>
    </row>
    <row r="29" spans="2:4">
      <c r="B29" s="539" t="str">
        <f>+'Tableau Général'!A27</f>
        <v>Affectation au titre de taxe d’abattage (au profit des communes)</v>
      </c>
      <c r="C29" s="444">
        <f>+'Tableau Général'!BM27</f>
        <v>562740232.92364693</v>
      </c>
    </row>
    <row r="30" spans="2:4">
      <c r="B30" s="540" t="str">
        <f>+'Tableau Général'!A28</f>
        <v>Taxes environnementales sur les Stes forestières et Minières</v>
      </c>
      <c r="C30" s="471">
        <f>+'Tableau Général'!BM28</f>
        <v>24000000</v>
      </c>
    </row>
    <row r="31" spans="2:4">
      <c r="B31" s="441" t="s">
        <v>250</v>
      </c>
      <c r="C31" s="442">
        <f>+C32+C44+C47+C49+C53</f>
        <v>1998176128.5050001</v>
      </c>
      <c r="D31" s="209"/>
    </row>
    <row r="32" spans="2:4">
      <c r="B32" s="536" t="s">
        <v>81</v>
      </c>
      <c r="C32" s="537">
        <f>SUM(C33:C43)</f>
        <v>265454073</v>
      </c>
    </row>
    <row r="33" spans="2:3">
      <c r="B33" s="538" t="s">
        <v>244</v>
      </c>
      <c r="C33" s="471">
        <f>VLOOKUP(B33,'Tableau Général'!$A$5:$AW$19,49,0)</f>
        <v>104005239</v>
      </c>
    </row>
    <row r="34" spans="2:3">
      <c r="B34" s="539" t="s">
        <v>80</v>
      </c>
      <c r="C34" s="444">
        <f>VLOOKUP(B34,'Tableau Général'!$A$5:$AW$19,49,0)</f>
        <v>64029656</v>
      </c>
    </row>
    <row r="35" spans="2:3">
      <c r="B35" s="538" t="s">
        <v>265</v>
      </c>
      <c r="C35" s="471">
        <f>VLOOKUP(B35,'Tableau Général'!$A$5:$AW$19,49,0)</f>
        <v>26400000</v>
      </c>
    </row>
    <row r="36" spans="2:3">
      <c r="B36" s="539" t="s">
        <v>174</v>
      </c>
      <c r="C36" s="444">
        <f>VLOOKUP(B36,'Tableau Général'!$A$5:$AW$19,49,0)</f>
        <v>23370874</v>
      </c>
    </row>
    <row r="37" spans="2:3">
      <c r="B37" s="540" t="s">
        <v>180</v>
      </c>
      <c r="C37" s="471">
        <f>VLOOKUP(B37,'Tableau Général'!$A$5:$AW$19,49,0)</f>
        <v>9978800</v>
      </c>
    </row>
    <row r="38" spans="2:3">
      <c r="B38" s="539" t="s">
        <v>172</v>
      </c>
      <c r="C38" s="444">
        <f>VLOOKUP(B38,'Tableau Général'!$A$5:$AW$19,49,0)</f>
        <v>13156668</v>
      </c>
    </row>
    <row r="39" spans="2:3">
      <c r="B39" s="538" t="s">
        <v>245</v>
      </c>
      <c r="C39" s="471">
        <f>VLOOKUP(B39,'Tableau Général'!$A$5:$AW$19,49,0)</f>
        <v>14342090</v>
      </c>
    </row>
    <row r="40" spans="2:3">
      <c r="B40" s="539" t="s">
        <v>182</v>
      </c>
      <c r="C40" s="444">
        <f>VLOOKUP(B40,'Tableau Général'!$A$5:$AW$19,49,0)</f>
        <v>3420576</v>
      </c>
    </row>
    <row r="41" spans="2:3">
      <c r="B41" s="538" t="s">
        <v>183</v>
      </c>
      <c r="C41" s="471">
        <f>VLOOKUP(B41,'Tableau Général'!$A$5:$AW$19,49,0)</f>
        <v>2073560</v>
      </c>
    </row>
    <row r="42" spans="2:3">
      <c r="B42" s="539" t="s">
        <v>184</v>
      </c>
      <c r="C42" s="444">
        <f>VLOOKUP(B42,'Tableau Général'!$A$5:$AW$19,49,0)</f>
        <v>3256200</v>
      </c>
    </row>
    <row r="43" spans="2:3">
      <c r="B43" s="538" t="s">
        <v>179</v>
      </c>
      <c r="C43" s="471">
        <f>VLOOKUP(B43,'Tableau Général'!$A$5:$AW$19,49,0)</f>
        <v>1420410</v>
      </c>
    </row>
    <row r="44" spans="2:3">
      <c r="B44" s="536" t="s">
        <v>166</v>
      </c>
      <c r="C44" s="537">
        <f>+C45+C46</f>
        <v>706799766.11500001</v>
      </c>
    </row>
    <row r="45" spans="2:3">
      <c r="B45" s="443" t="s">
        <v>260</v>
      </c>
      <c r="C45" s="444">
        <f>+'Tableau Général'!AW21</f>
        <v>179618290.64000002</v>
      </c>
    </row>
    <row r="46" spans="2:3">
      <c r="B46" s="445" t="s">
        <v>269</v>
      </c>
      <c r="C46" s="471">
        <f>+'Tableau Général'!AW22</f>
        <v>527181475.47499996</v>
      </c>
    </row>
    <row r="47" spans="2:3">
      <c r="B47" s="536" t="s">
        <v>261</v>
      </c>
      <c r="C47" s="537">
        <f>+C48</f>
        <v>44648999.5</v>
      </c>
    </row>
    <row r="48" spans="2:3">
      <c r="B48" s="445" t="s">
        <v>261</v>
      </c>
      <c r="C48" s="541">
        <f>+'Tableau Général'!AW38</f>
        <v>44648999.5</v>
      </c>
    </row>
    <row r="49" spans="2:4">
      <c r="B49" s="536" t="s">
        <v>515</v>
      </c>
      <c r="C49" s="537">
        <f>SUM(C50:C52)</f>
        <v>980473289.8900001</v>
      </c>
    </row>
    <row r="50" spans="2:4">
      <c r="B50" s="443" t="s">
        <v>749</v>
      </c>
      <c r="C50" s="444">
        <f>VLOOKUP(B50,'Tableau Général'!$A:$AW,49,0)</f>
        <v>501700000</v>
      </c>
    </row>
    <row r="51" spans="2:4">
      <c r="B51" s="540" t="s">
        <v>267</v>
      </c>
      <c r="C51" s="471">
        <f>VLOOKUP(B51,'Tableau Général'!$A:$AW,49,0)</f>
        <v>276830500</v>
      </c>
    </row>
    <row r="52" spans="2:4">
      <c r="B52" s="443" t="s">
        <v>262</v>
      </c>
      <c r="C52" s="444">
        <f>+'Tableau Général'!AW31</f>
        <v>201942789.89000005</v>
      </c>
    </row>
    <row r="53" spans="2:4">
      <c r="B53" s="536" t="s">
        <v>275</v>
      </c>
      <c r="C53" s="537">
        <f>+C54</f>
        <v>800000</v>
      </c>
    </row>
    <row r="54" spans="2:4">
      <c r="B54" s="445" t="str">
        <f>+'Tableau (53)'!A37</f>
        <v>Taxes superficiaires (+)</v>
      </c>
      <c r="C54" s="541">
        <f>+'Tableau Général'!AW33</f>
        <v>800000</v>
      </c>
    </row>
    <row r="55" spans="2:4">
      <c r="B55" s="441" t="s">
        <v>251</v>
      </c>
      <c r="C55" s="442">
        <f>SUM(C56:C57)</f>
        <v>161574519</v>
      </c>
      <c r="D55" s="209"/>
    </row>
    <row r="56" spans="2:4">
      <c r="B56" s="536" t="s">
        <v>515</v>
      </c>
      <c r="C56" s="542"/>
    </row>
    <row r="57" spans="2:4">
      <c r="B57" s="539" t="s">
        <v>267</v>
      </c>
      <c r="C57" s="444">
        <f>+'[4]Tableau 34'!F7</f>
        <v>161574519</v>
      </c>
    </row>
    <row r="58" spans="2:4">
      <c r="B58" s="451" t="s">
        <v>1</v>
      </c>
      <c r="C58" s="452">
        <f>C55+C31+C6</f>
        <v>7664102495.8726254</v>
      </c>
      <c r="D58" s="209">
        <f>+C58-'Tableau (1)'!B19*1000000</f>
        <v>0</v>
      </c>
    </row>
  </sheetData>
  <mergeCells count="2">
    <mergeCell ref="C4:C5"/>
    <mergeCell ref="B4:B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3950F-71BD-46D3-8572-F5AE53DC1CAD}">
  <sheetPr codeName="Feuil104"/>
  <dimension ref="B1:E160"/>
  <sheetViews>
    <sheetView workbookViewId="0">
      <selection activeCell="B18" sqref="B18"/>
    </sheetView>
  </sheetViews>
  <sheetFormatPr baseColWidth="10" defaultColWidth="10.81640625" defaultRowHeight="14.5"/>
  <cols>
    <col min="1" max="1" width="10.81640625" style="513"/>
    <col min="2" max="2" width="53" style="513" customWidth="1"/>
    <col min="3" max="3" width="20.1796875" style="513" customWidth="1"/>
    <col min="4" max="4" width="18.453125" style="513" bestFit="1" customWidth="1"/>
    <col min="5" max="16384" width="10.81640625" style="513"/>
  </cols>
  <sheetData>
    <row r="1" spans="2:4" ht="15.5">
      <c r="B1" s="609" t="s">
        <v>792</v>
      </c>
    </row>
    <row r="3" spans="2:4">
      <c r="B3" s="863" t="s">
        <v>55</v>
      </c>
      <c r="C3" s="865" t="s">
        <v>652</v>
      </c>
    </row>
    <row r="4" spans="2:4" ht="15" thickBot="1">
      <c r="B4" s="864"/>
      <c r="C4" s="866"/>
    </row>
    <row r="5" spans="2:4" ht="15" thickTop="1">
      <c r="B5" s="514" t="s">
        <v>617</v>
      </c>
      <c r="C5" s="515">
        <f>SUM(C6:C52)</f>
        <v>1998176128.5049999</v>
      </c>
      <c r="D5" s="520">
        <f>+C5-'Tableau -40'!C31</f>
        <v>0</v>
      </c>
    </row>
    <row r="6" spans="2:4">
      <c r="B6" s="516" t="s">
        <v>117</v>
      </c>
      <c r="C6" s="517">
        <f t="shared" ref="C6:C51" si="0">VLOOKUP(B6,$B$76:$C$145,2,0)</f>
        <v>334703047.315</v>
      </c>
    </row>
    <row r="7" spans="2:4">
      <c r="B7" s="518" t="s">
        <v>124</v>
      </c>
      <c r="C7" s="519">
        <f t="shared" si="0"/>
        <v>230117607.11250001</v>
      </c>
    </row>
    <row r="8" spans="2:4">
      <c r="B8" s="516" t="s">
        <v>123</v>
      </c>
      <c r="C8" s="517">
        <f t="shared" si="0"/>
        <v>127421336.97750001</v>
      </c>
    </row>
    <row r="9" spans="2:4">
      <c r="B9" s="518" t="s">
        <v>121</v>
      </c>
      <c r="C9" s="519">
        <f t="shared" si="0"/>
        <v>113005206.47499999</v>
      </c>
    </row>
    <row r="10" spans="2:4">
      <c r="B10" s="516" t="s">
        <v>119</v>
      </c>
      <c r="C10" s="517">
        <f t="shared" si="0"/>
        <v>104603548.69999999</v>
      </c>
    </row>
    <row r="11" spans="2:4">
      <c r="B11" s="518" t="s">
        <v>130</v>
      </c>
      <c r="C11" s="519">
        <f t="shared" si="0"/>
        <v>43982413.950000003</v>
      </c>
    </row>
    <row r="12" spans="2:4">
      <c r="B12" s="516" t="s">
        <v>649</v>
      </c>
      <c r="C12" s="517">
        <f t="shared" si="0"/>
        <v>34686787.5</v>
      </c>
    </row>
    <row r="13" spans="2:4">
      <c r="B13" s="518" t="s">
        <v>132</v>
      </c>
      <c r="C13" s="519">
        <f t="shared" si="0"/>
        <v>37040260.225000001</v>
      </c>
    </row>
    <row r="14" spans="2:4">
      <c r="B14" s="516" t="s">
        <v>136</v>
      </c>
      <c r="C14" s="517">
        <f t="shared" si="0"/>
        <v>28708606.557499997</v>
      </c>
    </row>
    <row r="15" spans="2:4">
      <c r="B15" s="518" t="s">
        <v>126</v>
      </c>
      <c r="C15" s="519">
        <f t="shared" si="0"/>
        <v>25198139.924999997</v>
      </c>
    </row>
    <row r="16" spans="2:4">
      <c r="B16" s="516" t="s">
        <v>375</v>
      </c>
      <c r="C16" s="517">
        <f t="shared" si="0"/>
        <v>17968295.977499999</v>
      </c>
    </row>
    <row r="17" spans="2:3">
      <c r="B17" s="518" t="s">
        <v>635</v>
      </c>
      <c r="C17" s="519">
        <f t="shared" si="0"/>
        <v>16306461.887499999</v>
      </c>
    </row>
    <row r="18" spans="2:3">
      <c r="B18" s="516" t="s">
        <v>631</v>
      </c>
      <c r="C18" s="517">
        <f t="shared" si="0"/>
        <v>11960597</v>
      </c>
    </row>
    <row r="19" spans="2:3">
      <c r="B19" s="518" t="s">
        <v>140</v>
      </c>
      <c r="C19" s="519">
        <f t="shared" si="0"/>
        <v>11409880</v>
      </c>
    </row>
    <row r="20" spans="2:3">
      <c r="B20" s="516" t="s">
        <v>636</v>
      </c>
      <c r="C20" s="517">
        <f t="shared" si="0"/>
        <v>11033793.75</v>
      </c>
    </row>
    <row r="21" spans="2:3">
      <c r="B21" s="518" t="s">
        <v>134</v>
      </c>
      <c r="C21" s="519">
        <f t="shared" si="0"/>
        <v>31771554.105</v>
      </c>
    </row>
    <row r="22" spans="2:3">
      <c r="B22" s="516" t="s">
        <v>633</v>
      </c>
      <c r="C22" s="517">
        <f t="shared" si="0"/>
        <v>7485344.9400000004</v>
      </c>
    </row>
    <row r="23" spans="2:3">
      <c r="B23" s="518" t="s">
        <v>647</v>
      </c>
      <c r="C23" s="519">
        <f t="shared" si="0"/>
        <v>6934977.4499999993</v>
      </c>
    </row>
    <row r="24" spans="2:3">
      <c r="B24" s="516" t="s">
        <v>624</v>
      </c>
      <c r="C24" s="517">
        <f t="shared" si="0"/>
        <v>6868223.8499999996</v>
      </c>
    </row>
    <row r="25" spans="2:3">
      <c r="B25" s="518" t="s">
        <v>632</v>
      </c>
      <c r="C25" s="519">
        <f t="shared" si="0"/>
        <v>4767073.125</v>
      </c>
    </row>
    <row r="26" spans="2:3">
      <c r="B26" s="516" t="s">
        <v>645</v>
      </c>
      <c r="C26" s="517">
        <f t="shared" si="0"/>
        <v>4494023.0999999996</v>
      </c>
    </row>
    <row r="27" spans="2:3">
      <c r="B27" s="518" t="s">
        <v>358</v>
      </c>
      <c r="C27" s="519">
        <f t="shared" si="0"/>
        <v>4304865.375</v>
      </c>
    </row>
    <row r="28" spans="2:3">
      <c r="B28" s="516" t="s">
        <v>626</v>
      </c>
      <c r="C28" s="517">
        <f t="shared" si="0"/>
        <v>4159648.9075000002</v>
      </c>
    </row>
    <row r="29" spans="2:3">
      <c r="B29" s="518" t="s">
        <v>359</v>
      </c>
      <c r="C29" s="519">
        <f t="shared" si="0"/>
        <v>4069685.25</v>
      </c>
    </row>
    <row r="30" spans="2:3">
      <c r="B30" s="516" t="s">
        <v>625</v>
      </c>
      <c r="C30" s="517">
        <f t="shared" si="0"/>
        <v>3274484.3</v>
      </c>
    </row>
    <row r="31" spans="2:3">
      <c r="B31" s="518" t="s">
        <v>127</v>
      </c>
      <c r="C31" s="519">
        <f t="shared" si="0"/>
        <v>2778480</v>
      </c>
    </row>
    <row r="32" spans="2:3">
      <c r="B32" s="516" t="s">
        <v>629</v>
      </c>
      <c r="C32" s="517">
        <f t="shared" si="0"/>
        <v>2160000</v>
      </c>
    </row>
    <row r="33" spans="2:3">
      <c r="B33" s="518" t="s">
        <v>553</v>
      </c>
      <c r="C33" s="519">
        <f t="shared" si="0"/>
        <v>2025365.625</v>
      </c>
    </row>
    <row r="34" spans="2:3">
      <c r="B34" s="516" t="s">
        <v>648</v>
      </c>
      <c r="C34" s="517">
        <f t="shared" si="0"/>
        <v>2016163.125</v>
      </c>
    </row>
    <row r="35" spans="2:3">
      <c r="B35" s="518" t="s">
        <v>628</v>
      </c>
      <c r="C35" s="519">
        <f t="shared" si="0"/>
        <v>1956000</v>
      </c>
    </row>
    <row r="36" spans="2:3">
      <c r="B36" s="516" t="s">
        <v>644</v>
      </c>
      <c r="C36" s="517">
        <f t="shared" si="0"/>
        <v>1800000</v>
      </c>
    </row>
    <row r="37" spans="2:3">
      <c r="B37" s="518" t="s">
        <v>637</v>
      </c>
      <c r="C37" s="519">
        <f t="shared" si="0"/>
        <v>1291543</v>
      </c>
    </row>
    <row r="38" spans="2:3">
      <c r="B38" s="516" t="s">
        <v>630</v>
      </c>
      <c r="C38" s="517">
        <f t="shared" si="0"/>
        <v>990000</v>
      </c>
    </row>
    <row r="39" spans="2:3">
      <c r="B39" s="518" t="s">
        <v>634</v>
      </c>
      <c r="C39" s="519">
        <f t="shared" si="0"/>
        <v>660000</v>
      </c>
    </row>
    <row r="40" spans="2:3">
      <c r="B40" s="516" t="s">
        <v>641</v>
      </c>
      <c r="C40" s="517">
        <f t="shared" si="0"/>
        <v>550000</v>
      </c>
    </row>
    <row r="41" spans="2:3">
      <c r="B41" s="518" t="s">
        <v>380</v>
      </c>
      <c r="C41" s="519">
        <f t="shared" si="0"/>
        <v>550000</v>
      </c>
    </row>
    <row r="42" spans="2:3">
      <c r="B42" s="516" t="s">
        <v>381</v>
      </c>
      <c r="C42" s="517">
        <f t="shared" si="0"/>
        <v>550000</v>
      </c>
    </row>
    <row r="43" spans="2:3">
      <c r="B43" s="518" t="s">
        <v>643</v>
      </c>
      <c r="C43" s="519">
        <f t="shared" si="0"/>
        <v>450000</v>
      </c>
    </row>
    <row r="44" spans="2:3">
      <c r="B44" s="516" t="s">
        <v>646</v>
      </c>
      <c r="C44" s="517">
        <f t="shared" si="0"/>
        <v>450000</v>
      </c>
    </row>
    <row r="45" spans="2:3">
      <c r="B45" s="518" t="s">
        <v>627</v>
      </c>
      <c r="C45" s="519">
        <f t="shared" si="0"/>
        <v>225000</v>
      </c>
    </row>
    <row r="46" spans="2:3">
      <c r="B46" s="516" t="s">
        <v>638</v>
      </c>
      <c r="C46" s="517">
        <f t="shared" si="0"/>
        <v>225000</v>
      </c>
    </row>
    <row r="47" spans="2:3">
      <c r="B47" s="518" t="s">
        <v>642</v>
      </c>
      <c r="C47" s="519">
        <f t="shared" si="0"/>
        <v>192213</v>
      </c>
    </row>
    <row r="48" spans="2:3" hidden="1">
      <c r="B48" s="516" t="s">
        <v>129</v>
      </c>
      <c r="C48" s="517">
        <f t="shared" si="0"/>
        <v>33000000</v>
      </c>
    </row>
    <row r="49" spans="2:4" hidden="1">
      <c r="B49" s="518" t="s">
        <v>138</v>
      </c>
      <c r="C49" s="519">
        <f t="shared" si="0"/>
        <v>22500000</v>
      </c>
    </row>
    <row r="50" spans="2:4" hidden="1">
      <c r="B50" s="516" t="s">
        <v>139</v>
      </c>
      <c r="C50" s="517">
        <f t="shared" si="0"/>
        <v>22113000</v>
      </c>
    </row>
    <row r="51" spans="2:4" hidden="1">
      <c r="B51" s="518" t="s">
        <v>142</v>
      </c>
      <c r="C51" s="519">
        <f t="shared" si="0"/>
        <v>0</v>
      </c>
    </row>
    <row r="52" spans="2:4">
      <c r="B52" s="516" t="s">
        <v>750</v>
      </c>
      <c r="C52" s="517">
        <f>'Tableau Général'!AV34</f>
        <v>675417500</v>
      </c>
    </row>
    <row r="53" spans="2:4">
      <c r="B53" s="514" t="s">
        <v>620</v>
      </c>
      <c r="C53" s="515">
        <f>SUM(C54:C68)</f>
        <v>5504351848.3676252</v>
      </c>
      <c r="D53" s="520">
        <f>+C126-'Tableau -40'!C6</f>
        <v>0</v>
      </c>
    </row>
    <row r="54" spans="2:4">
      <c r="B54" s="516" t="s">
        <v>143</v>
      </c>
      <c r="C54" s="517">
        <f t="shared" ref="C54:C68" si="1">VLOOKUP(B54,$B$76:$C$145,2,0)</f>
        <v>1659267270.3355727</v>
      </c>
    </row>
    <row r="55" spans="2:4">
      <c r="B55" s="518" t="s">
        <v>639</v>
      </c>
      <c r="C55" s="519">
        <f t="shared" si="1"/>
        <v>1106864181.2516296</v>
      </c>
    </row>
    <row r="56" spans="2:4">
      <c r="B56" s="516" t="s">
        <v>153</v>
      </c>
      <c r="C56" s="517">
        <f t="shared" si="1"/>
        <v>533643384.54518974</v>
      </c>
    </row>
    <row r="57" spans="2:4">
      <c r="B57" s="518" t="s">
        <v>147</v>
      </c>
      <c r="C57" s="519">
        <f t="shared" si="1"/>
        <v>552908892.10426021</v>
      </c>
    </row>
    <row r="58" spans="2:4">
      <c r="B58" s="516" t="s">
        <v>155</v>
      </c>
      <c r="C58" s="517">
        <f t="shared" si="1"/>
        <v>427765705.18944299</v>
      </c>
    </row>
    <row r="59" spans="2:4">
      <c r="B59" s="518" t="s">
        <v>149</v>
      </c>
      <c r="C59" s="519">
        <f t="shared" si="1"/>
        <v>397672685.65347195</v>
      </c>
    </row>
    <row r="60" spans="2:4">
      <c r="B60" s="516" t="s">
        <v>151</v>
      </c>
      <c r="C60" s="517">
        <f t="shared" si="1"/>
        <v>355005293.484721</v>
      </c>
    </row>
    <row r="61" spans="2:4">
      <c r="B61" s="518" t="s">
        <v>157</v>
      </c>
      <c r="C61" s="519">
        <f t="shared" si="1"/>
        <v>234194953.54113713</v>
      </c>
    </row>
    <row r="62" spans="2:4">
      <c r="B62" s="516" t="s">
        <v>622</v>
      </c>
      <c r="C62" s="517">
        <f t="shared" si="1"/>
        <v>111742000</v>
      </c>
    </row>
    <row r="63" spans="2:4">
      <c r="B63" s="518" t="s">
        <v>395</v>
      </c>
      <c r="C63" s="519">
        <f t="shared" si="1"/>
        <v>72752674.342799991</v>
      </c>
    </row>
    <row r="64" spans="2:4">
      <c r="B64" s="516" t="s">
        <v>159</v>
      </c>
      <c r="C64" s="517">
        <f t="shared" si="1"/>
        <v>42035976.880000003</v>
      </c>
    </row>
    <row r="65" spans="2:5">
      <c r="B65" s="518" t="s">
        <v>368</v>
      </c>
      <c r="C65" s="519">
        <f t="shared" si="1"/>
        <v>3580290.6939000003</v>
      </c>
    </row>
    <row r="66" spans="2:5">
      <c r="B66" s="516" t="s">
        <v>394</v>
      </c>
      <c r="C66" s="517">
        <f t="shared" si="1"/>
        <v>3337708.2254999997</v>
      </c>
    </row>
    <row r="67" spans="2:5">
      <c r="B67" s="518" t="s">
        <v>623</v>
      </c>
      <c r="C67" s="519">
        <f t="shared" si="1"/>
        <v>3229508</v>
      </c>
    </row>
    <row r="68" spans="2:5">
      <c r="B68" s="516" t="s">
        <v>370</v>
      </c>
      <c r="C68" s="517">
        <f t="shared" si="1"/>
        <v>351324.12</v>
      </c>
    </row>
    <row r="69" spans="2:5">
      <c r="B69" s="514" t="s">
        <v>621</v>
      </c>
      <c r="C69" s="515">
        <f>+C70+C71</f>
        <v>161574519</v>
      </c>
      <c r="D69" s="520">
        <f>+C142-'Tableau -40'!C55</f>
        <v>0</v>
      </c>
    </row>
    <row r="70" spans="2:5">
      <c r="B70" s="516" t="s">
        <v>161</v>
      </c>
      <c r="C70" s="517">
        <f>VLOOKUP(B70,$B$76:$C$145,2,0)</f>
        <v>112095000</v>
      </c>
    </row>
    <row r="71" spans="2:5">
      <c r="B71" s="518" t="s">
        <v>340</v>
      </c>
      <c r="C71" s="519">
        <f>VLOOKUP(B71,$B$76:$C$145,2,0)</f>
        <v>49479519</v>
      </c>
    </row>
    <row r="72" spans="2:5">
      <c r="B72" s="511" t="s">
        <v>1</v>
      </c>
      <c r="C72" s="512">
        <f>+C69+C53+C5</f>
        <v>7664102495.8726254</v>
      </c>
      <c r="D72" s="520">
        <f>+C72-'Tableau -40'!C58</f>
        <v>0</v>
      </c>
    </row>
    <row r="76" spans="2:5" hidden="1">
      <c r="B76" s="863" t="s">
        <v>55</v>
      </c>
      <c r="C76" s="865" t="s">
        <v>652</v>
      </c>
    </row>
    <row r="77" spans="2:5" ht="15" hidden="1" thickBot="1">
      <c r="B77" s="864"/>
      <c r="C77" s="866"/>
    </row>
    <row r="78" spans="2:5" ht="15" hidden="1" thickTop="1">
      <c r="B78" s="514" t="s">
        <v>617</v>
      </c>
      <c r="C78" s="515">
        <f>SUM(C79:C124)</f>
        <v>1322758628.5049996</v>
      </c>
      <c r="D78" s="520"/>
    </row>
    <row r="79" spans="2:5" hidden="1">
      <c r="B79" s="516" t="s">
        <v>117</v>
      </c>
      <c r="C79" s="517">
        <f>'Tableau Général'!$B$39</f>
        <v>334703047.315</v>
      </c>
      <c r="D79" s="535"/>
      <c r="E79" s="520"/>
    </row>
    <row r="80" spans="2:5" hidden="1">
      <c r="B80" s="518" t="s">
        <v>119</v>
      </c>
      <c r="C80" s="519">
        <f>'Tableau Général'!$C$39</f>
        <v>104603548.69999999</v>
      </c>
      <c r="D80" s="535"/>
      <c r="E80" s="520"/>
    </row>
    <row r="81" spans="2:5" hidden="1">
      <c r="B81" s="516" t="s">
        <v>121</v>
      </c>
      <c r="C81" s="517">
        <f>'Tableau Général'!D39</f>
        <v>113005206.47499999</v>
      </c>
      <c r="D81" s="535"/>
      <c r="E81" s="520"/>
    </row>
    <row r="82" spans="2:5" hidden="1">
      <c r="B82" s="518" t="s">
        <v>123</v>
      </c>
      <c r="C82" s="519">
        <f>'Tableau Général'!E39</f>
        <v>127421336.97750001</v>
      </c>
      <c r="D82" s="535"/>
      <c r="E82" s="520"/>
    </row>
    <row r="83" spans="2:5" hidden="1">
      <c r="B83" s="516" t="s">
        <v>124</v>
      </c>
      <c r="C83" s="517">
        <f>'Tableau Général'!F39</f>
        <v>230117607.11250001</v>
      </c>
      <c r="D83" s="535"/>
      <c r="E83" s="520"/>
    </row>
    <row r="84" spans="2:5" hidden="1">
      <c r="B84" s="518" t="s">
        <v>126</v>
      </c>
      <c r="C84" s="519">
        <f>'Tableau Général'!G39</f>
        <v>25198139.924999997</v>
      </c>
      <c r="D84" s="535"/>
      <c r="E84" s="520"/>
    </row>
    <row r="85" spans="2:5" hidden="1">
      <c r="B85" s="516" t="s">
        <v>127</v>
      </c>
      <c r="C85" s="517">
        <f>'Tableau Général'!H39</f>
        <v>2778480</v>
      </c>
      <c r="D85" s="535"/>
      <c r="E85" s="520"/>
    </row>
    <row r="86" spans="2:5" hidden="1">
      <c r="B86" s="518" t="s">
        <v>129</v>
      </c>
      <c r="C86" s="519">
        <f>'Tableau Général'!I39</f>
        <v>33000000</v>
      </c>
      <c r="D86" s="535"/>
      <c r="E86" s="520"/>
    </row>
    <row r="87" spans="2:5" hidden="1">
      <c r="B87" s="516" t="s">
        <v>130</v>
      </c>
      <c r="C87" s="517">
        <f>'Tableau Général'!J39</f>
        <v>43982413.950000003</v>
      </c>
      <c r="D87" s="535"/>
      <c r="E87" s="520"/>
    </row>
    <row r="88" spans="2:5" hidden="1">
      <c r="B88" s="518" t="s">
        <v>132</v>
      </c>
      <c r="C88" s="519">
        <f>'Tableau Général'!K39</f>
        <v>37040260.225000001</v>
      </c>
      <c r="D88" s="535"/>
      <c r="E88" s="520"/>
    </row>
    <row r="89" spans="2:5" hidden="1">
      <c r="B89" s="516" t="s">
        <v>134</v>
      </c>
      <c r="C89" s="517">
        <f>'Tableau Général'!L39</f>
        <v>31771554.105</v>
      </c>
      <c r="D89" s="535"/>
      <c r="E89" s="520"/>
    </row>
    <row r="90" spans="2:5" hidden="1">
      <c r="B90" s="518" t="s">
        <v>136</v>
      </c>
      <c r="C90" s="519">
        <f>'Tableau Général'!M39</f>
        <v>28708606.557499997</v>
      </c>
      <c r="D90" s="535"/>
      <c r="E90" s="520"/>
    </row>
    <row r="91" spans="2:5" hidden="1">
      <c r="B91" s="516" t="s">
        <v>138</v>
      </c>
      <c r="C91" s="517">
        <f>'Tableau Général'!N39</f>
        <v>22500000</v>
      </c>
      <c r="D91" s="535"/>
      <c r="E91" s="520"/>
    </row>
    <row r="92" spans="2:5" hidden="1">
      <c r="B92" s="518" t="s">
        <v>139</v>
      </c>
      <c r="C92" s="519">
        <f>'Tableau Général'!O39</f>
        <v>22113000</v>
      </c>
      <c r="D92" s="535"/>
      <c r="E92" s="520"/>
    </row>
    <row r="93" spans="2:5" hidden="1">
      <c r="B93" s="516" t="s">
        <v>140</v>
      </c>
      <c r="C93" s="517">
        <f>'Tableau Général'!P39</f>
        <v>11409880</v>
      </c>
      <c r="D93" s="535"/>
      <c r="E93" s="520"/>
    </row>
    <row r="94" spans="2:5" hidden="1">
      <c r="B94" s="518" t="s">
        <v>142</v>
      </c>
      <c r="C94" s="519">
        <f>'Tableau Général'!Q39</f>
        <v>0</v>
      </c>
      <c r="D94" s="535"/>
      <c r="E94" s="520"/>
    </row>
    <row r="95" spans="2:5" hidden="1">
      <c r="B95" s="516" t="s">
        <v>624</v>
      </c>
      <c r="C95" s="517">
        <f>'Tableau Général'!R39</f>
        <v>6868223.8499999996</v>
      </c>
      <c r="D95" s="535"/>
      <c r="E95" s="520"/>
    </row>
    <row r="96" spans="2:5" hidden="1">
      <c r="B96" s="518" t="s">
        <v>625</v>
      </c>
      <c r="C96" s="519">
        <f>'Tableau Général'!S39</f>
        <v>3274484.3</v>
      </c>
      <c r="D96" s="535"/>
      <c r="E96" s="520"/>
    </row>
    <row r="97" spans="2:5" hidden="1">
      <c r="B97" s="516" t="s">
        <v>627</v>
      </c>
      <c r="C97" s="517">
        <f>'Tableau Général'!U39</f>
        <v>225000</v>
      </c>
      <c r="D97" s="535"/>
      <c r="E97" s="520"/>
    </row>
    <row r="98" spans="2:5" hidden="1">
      <c r="B98" s="518" t="s">
        <v>628</v>
      </c>
      <c r="C98" s="519">
        <f>'Tableau Général'!V39</f>
        <v>1956000</v>
      </c>
      <c r="D98" s="535"/>
      <c r="E98" s="520"/>
    </row>
    <row r="99" spans="2:5" hidden="1">
      <c r="B99" s="516" t="s">
        <v>629</v>
      </c>
      <c r="C99" s="517">
        <f>'Tableau Général'!W39</f>
        <v>2160000</v>
      </c>
      <c r="D99" s="535"/>
      <c r="E99" s="520"/>
    </row>
    <row r="100" spans="2:5" hidden="1">
      <c r="B100" s="518" t="s">
        <v>630</v>
      </c>
      <c r="C100" s="519">
        <f>'Tableau Général'!X39</f>
        <v>990000</v>
      </c>
      <c r="D100" s="535"/>
      <c r="E100" s="520"/>
    </row>
    <row r="101" spans="2:5" hidden="1">
      <c r="B101" s="516" t="s">
        <v>631</v>
      </c>
      <c r="C101" s="517">
        <f>'Tableau Général'!Y39</f>
        <v>11960597</v>
      </c>
      <c r="D101" s="535"/>
      <c r="E101" s="520"/>
    </row>
    <row r="102" spans="2:5" hidden="1">
      <c r="B102" s="518" t="s">
        <v>632</v>
      </c>
      <c r="C102" s="519">
        <f>'Tableau Général'!Z39</f>
        <v>4767073.125</v>
      </c>
      <c r="D102" s="535"/>
      <c r="E102" s="520"/>
    </row>
    <row r="103" spans="2:5" hidden="1">
      <c r="B103" s="516" t="s">
        <v>633</v>
      </c>
      <c r="C103" s="517">
        <f>'Tableau Général'!AA39</f>
        <v>7485344.9400000004</v>
      </c>
      <c r="D103" s="535"/>
      <c r="E103" s="520"/>
    </row>
    <row r="104" spans="2:5" hidden="1">
      <c r="B104" s="518" t="s">
        <v>634</v>
      </c>
      <c r="C104" s="519">
        <f>'Tableau Général'!AB39</f>
        <v>660000</v>
      </c>
      <c r="D104" s="535"/>
      <c r="E104" s="520"/>
    </row>
    <row r="105" spans="2:5" hidden="1">
      <c r="B105" s="516" t="s">
        <v>626</v>
      </c>
      <c r="C105" s="517">
        <f>'Tableau Général'!T39</f>
        <v>4159648.9075000002</v>
      </c>
      <c r="D105" s="535"/>
      <c r="E105" s="520"/>
    </row>
    <row r="106" spans="2:5" hidden="1">
      <c r="B106" s="518" t="s">
        <v>635</v>
      </c>
      <c r="C106" s="519">
        <f>'Tableau Général'!AC39</f>
        <v>16306461.887499999</v>
      </c>
      <c r="D106" s="535"/>
      <c r="E106" s="520"/>
    </row>
    <row r="107" spans="2:5" hidden="1">
      <c r="B107" s="516" t="s">
        <v>636</v>
      </c>
      <c r="C107" s="517">
        <f>'Tableau Général'!AD39</f>
        <v>11033793.75</v>
      </c>
      <c r="D107" s="535"/>
      <c r="E107" s="520"/>
    </row>
    <row r="108" spans="2:5" hidden="1">
      <c r="B108" s="518" t="s">
        <v>637</v>
      </c>
      <c r="C108" s="519">
        <f>'Tableau Général'!AE39</f>
        <v>1291543</v>
      </c>
      <c r="D108" s="535"/>
      <c r="E108" s="520"/>
    </row>
    <row r="109" spans="2:5" hidden="1">
      <c r="B109" s="516" t="s">
        <v>638</v>
      </c>
      <c r="C109" s="517">
        <f>'Tableau Général'!AF39</f>
        <v>225000</v>
      </c>
      <c r="D109" s="535"/>
      <c r="E109" s="520"/>
    </row>
    <row r="110" spans="2:5" hidden="1">
      <c r="B110" s="518" t="s">
        <v>375</v>
      </c>
      <c r="C110" s="519">
        <f>'Tableau Général'!AG39</f>
        <v>17968295.977499999</v>
      </c>
      <c r="D110" s="535"/>
      <c r="E110" s="520"/>
    </row>
    <row r="111" spans="2:5" hidden="1">
      <c r="B111" s="516" t="s">
        <v>641</v>
      </c>
      <c r="C111" s="517">
        <f>'Tableau Général'!AH39</f>
        <v>550000</v>
      </c>
      <c r="D111" s="535"/>
      <c r="E111" s="520"/>
    </row>
    <row r="112" spans="2:5" hidden="1">
      <c r="B112" s="518" t="s">
        <v>380</v>
      </c>
      <c r="C112" s="519">
        <f>'Tableau Général'!AI39</f>
        <v>550000</v>
      </c>
      <c r="D112" s="535"/>
      <c r="E112" s="520"/>
    </row>
    <row r="113" spans="2:5" hidden="1">
      <c r="B113" s="516" t="s">
        <v>381</v>
      </c>
      <c r="C113" s="517">
        <f>'Tableau Général'!AJ39</f>
        <v>550000</v>
      </c>
      <c r="D113" s="535"/>
      <c r="E113" s="520"/>
    </row>
    <row r="114" spans="2:5" hidden="1">
      <c r="B114" s="518" t="s">
        <v>642</v>
      </c>
      <c r="C114" s="519">
        <f>'Tableau Général'!AK39</f>
        <v>192213</v>
      </c>
      <c r="D114" s="535"/>
      <c r="E114" s="520"/>
    </row>
    <row r="115" spans="2:5" hidden="1">
      <c r="B115" s="516" t="s">
        <v>359</v>
      </c>
      <c r="C115" s="517">
        <f>'Tableau Général'!AL39</f>
        <v>4069685.25</v>
      </c>
      <c r="D115" s="535"/>
      <c r="E115" s="520"/>
    </row>
    <row r="116" spans="2:5" hidden="1">
      <c r="B116" s="518" t="s">
        <v>358</v>
      </c>
      <c r="C116" s="519">
        <f>'Tableau Général'!AM39</f>
        <v>4304865.375</v>
      </c>
      <c r="D116" s="535"/>
      <c r="E116" s="520"/>
    </row>
    <row r="117" spans="2:5" hidden="1">
      <c r="B117" s="516" t="s">
        <v>643</v>
      </c>
      <c r="C117" s="517">
        <f>'Tableau Général'!AN39</f>
        <v>450000</v>
      </c>
      <c r="D117" s="535"/>
      <c r="E117" s="520"/>
    </row>
    <row r="118" spans="2:5" hidden="1">
      <c r="B118" s="518" t="s">
        <v>644</v>
      </c>
      <c r="C118" s="519">
        <f>'Tableau Général'!AO39</f>
        <v>1800000</v>
      </c>
      <c r="D118" s="535"/>
      <c r="E118" s="520"/>
    </row>
    <row r="119" spans="2:5" hidden="1">
      <c r="B119" s="516" t="s">
        <v>645</v>
      </c>
      <c r="C119" s="517">
        <f>'Tableau Général'!AP39</f>
        <v>4494023.0999999996</v>
      </c>
      <c r="D119" s="535"/>
      <c r="E119" s="520"/>
    </row>
    <row r="120" spans="2:5" hidden="1">
      <c r="B120" s="518" t="s">
        <v>646</v>
      </c>
      <c r="C120" s="519">
        <f>'Tableau Général'!AQ39</f>
        <v>450000</v>
      </c>
      <c r="D120" s="535"/>
      <c r="E120" s="520"/>
    </row>
    <row r="121" spans="2:5" hidden="1">
      <c r="B121" s="516" t="s">
        <v>647</v>
      </c>
      <c r="C121" s="517">
        <f>'Tableau Général'!AR39</f>
        <v>6934977.4499999993</v>
      </c>
      <c r="D121" s="535"/>
      <c r="E121" s="520"/>
    </row>
    <row r="122" spans="2:5" hidden="1">
      <c r="B122" s="518" t="s">
        <v>553</v>
      </c>
      <c r="C122" s="519">
        <f>'Tableau Général'!AS39</f>
        <v>2025365.625</v>
      </c>
      <c r="D122" s="535"/>
      <c r="E122" s="520"/>
    </row>
    <row r="123" spans="2:5" hidden="1">
      <c r="B123" s="516" t="s">
        <v>648</v>
      </c>
      <c r="C123" s="517">
        <f>'Tableau Général'!AT39</f>
        <v>2016163.125</v>
      </c>
      <c r="D123" s="535"/>
      <c r="E123" s="520"/>
    </row>
    <row r="124" spans="2:5" hidden="1">
      <c r="B124" s="518" t="s">
        <v>649</v>
      </c>
      <c r="C124" s="519">
        <f>'Tableau Général'!AU39</f>
        <v>34686787.5</v>
      </c>
      <c r="D124" s="535"/>
      <c r="E124" s="520"/>
    </row>
    <row r="125" spans="2:5" hidden="1">
      <c r="B125" s="516" t="str">
        <f>+B52</f>
        <v>Autres sociétés (*)</v>
      </c>
      <c r="C125" s="517">
        <f>+C52</f>
        <v>675417500</v>
      </c>
      <c r="D125" s="535"/>
      <c r="E125" s="520"/>
    </row>
    <row r="126" spans="2:5" hidden="1">
      <c r="B126" s="514" t="s">
        <v>620</v>
      </c>
      <c r="C126" s="515">
        <f>SUM(C127:C141)</f>
        <v>5504351848.3676252</v>
      </c>
      <c r="D126" s="535"/>
      <c r="E126" s="520"/>
    </row>
    <row r="127" spans="2:5" hidden="1">
      <c r="B127" s="516" t="s">
        <v>143</v>
      </c>
      <c r="C127" s="517">
        <f>'Tableau Général'!AX39</f>
        <v>1659267270.3355727</v>
      </c>
      <c r="D127" s="535"/>
      <c r="E127" s="520"/>
    </row>
    <row r="128" spans="2:5" hidden="1">
      <c r="B128" s="518" t="s">
        <v>639</v>
      </c>
      <c r="C128" s="519">
        <f>'Tableau Général'!AY39</f>
        <v>1106864181.2516296</v>
      </c>
      <c r="D128" s="535"/>
      <c r="E128" s="520"/>
    </row>
    <row r="129" spans="2:5" hidden="1">
      <c r="B129" s="516" t="s">
        <v>147</v>
      </c>
      <c r="C129" s="517">
        <f>'Tableau Général'!AZ39</f>
        <v>552908892.10426021</v>
      </c>
      <c r="D129" s="535"/>
      <c r="E129" s="520"/>
    </row>
    <row r="130" spans="2:5" hidden="1">
      <c r="B130" s="518" t="s">
        <v>149</v>
      </c>
      <c r="C130" s="519">
        <f>'Tableau Général'!BA39</f>
        <v>397672685.65347195</v>
      </c>
      <c r="D130" s="535"/>
      <c r="E130" s="520"/>
    </row>
    <row r="131" spans="2:5" hidden="1">
      <c r="B131" s="516" t="s">
        <v>151</v>
      </c>
      <c r="C131" s="517">
        <f>'Tableau Général'!BB39</f>
        <v>355005293.484721</v>
      </c>
      <c r="D131" s="535"/>
      <c r="E131" s="520"/>
    </row>
    <row r="132" spans="2:5" hidden="1">
      <c r="B132" s="518" t="s">
        <v>153</v>
      </c>
      <c r="C132" s="519">
        <f>'Tableau Général'!BC39</f>
        <v>533643384.54518974</v>
      </c>
      <c r="D132" s="535"/>
      <c r="E132" s="520"/>
    </row>
    <row r="133" spans="2:5" hidden="1">
      <c r="B133" s="516" t="s">
        <v>155</v>
      </c>
      <c r="C133" s="517">
        <f>'Tableau Général'!BD39</f>
        <v>427765705.18944299</v>
      </c>
      <c r="D133" s="535"/>
      <c r="E133" s="520"/>
    </row>
    <row r="134" spans="2:5" hidden="1">
      <c r="B134" s="518" t="s">
        <v>157</v>
      </c>
      <c r="C134" s="519">
        <f>'Tableau Général'!BE39</f>
        <v>234194953.54113713</v>
      </c>
      <c r="D134" s="535"/>
      <c r="E134" s="520"/>
    </row>
    <row r="135" spans="2:5" hidden="1">
      <c r="B135" s="516" t="s">
        <v>159</v>
      </c>
      <c r="C135" s="517">
        <f>'Tableau Général'!BF39</f>
        <v>42035976.880000003</v>
      </c>
      <c r="D135" s="535"/>
      <c r="E135" s="520"/>
    </row>
    <row r="136" spans="2:5" hidden="1">
      <c r="B136" s="518" t="s">
        <v>395</v>
      </c>
      <c r="C136" s="519">
        <f>'Tableau Général'!BG39</f>
        <v>72752674.342799991</v>
      </c>
      <c r="D136" s="535"/>
      <c r="E136" s="520"/>
    </row>
    <row r="137" spans="2:5" hidden="1">
      <c r="B137" s="516" t="s">
        <v>622</v>
      </c>
      <c r="C137" s="517">
        <f>'Tableau Général'!BH39</f>
        <v>111742000</v>
      </c>
      <c r="D137" s="535"/>
      <c r="E137" s="520"/>
    </row>
    <row r="138" spans="2:5" hidden="1">
      <c r="B138" s="518" t="s">
        <v>623</v>
      </c>
      <c r="C138" s="519">
        <f>'Tableau Général'!BI39</f>
        <v>3229508</v>
      </c>
      <c r="D138" s="535"/>
      <c r="E138" s="520"/>
    </row>
    <row r="139" spans="2:5" hidden="1">
      <c r="B139" s="516" t="s">
        <v>370</v>
      </c>
      <c r="C139" s="517">
        <f>'Tableau Général'!BJ39</f>
        <v>351324.12</v>
      </c>
      <c r="D139" s="535"/>
      <c r="E139" s="520"/>
    </row>
    <row r="140" spans="2:5" hidden="1">
      <c r="B140" s="518" t="s">
        <v>394</v>
      </c>
      <c r="C140" s="519">
        <f>'Tableau Général'!BK39</f>
        <v>3337708.2254999997</v>
      </c>
      <c r="D140" s="535"/>
      <c r="E140" s="520"/>
    </row>
    <row r="141" spans="2:5" hidden="1">
      <c r="B141" s="516" t="s">
        <v>368</v>
      </c>
      <c r="C141" s="517">
        <f>'Tableau Général'!BL39</f>
        <v>3580290.6939000003</v>
      </c>
      <c r="D141" s="535"/>
      <c r="E141" s="520"/>
    </row>
    <row r="142" spans="2:5" hidden="1">
      <c r="B142" s="514" t="s">
        <v>621</v>
      </c>
      <c r="C142" s="515">
        <f>SUM(C143:C144)</f>
        <v>161574519</v>
      </c>
      <c r="D142" s="535"/>
      <c r="E142" s="520"/>
    </row>
    <row r="143" spans="2:5" hidden="1">
      <c r="B143" s="516" t="s">
        <v>161</v>
      </c>
      <c r="C143" s="517">
        <f>'Tableau Général'!BN39</f>
        <v>112095000</v>
      </c>
      <c r="D143" s="535"/>
      <c r="E143" s="520"/>
    </row>
    <row r="144" spans="2:5" hidden="1">
      <c r="B144" s="518" t="s">
        <v>340</v>
      </c>
      <c r="C144" s="519">
        <f>'Tableau Général'!BO39</f>
        <v>49479519</v>
      </c>
      <c r="D144" s="535"/>
      <c r="E144" s="520"/>
    </row>
    <row r="145" spans="2:3" hidden="1">
      <c r="B145" s="511" t="s">
        <v>1</v>
      </c>
      <c r="C145" s="512">
        <f>C142+C126+C78</f>
        <v>6988684995.8726254</v>
      </c>
    </row>
    <row r="146" spans="2:3" hidden="1"/>
    <row r="147" spans="2:3" hidden="1"/>
    <row r="148" spans="2:3" hidden="1"/>
    <row r="149" spans="2:3" hidden="1"/>
    <row r="150" spans="2:3" hidden="1"/>
    <row r="151" spans="2:3" hidden="1"/>
    <row r="152" spans="2:3" hidden="1"/>
    <row r="153" spans="2:3" hidden="1"/>
    <row r="154" spans="2:3" hidden="1"/>
    <row r="155" spans="2:3" hidden="1"/>
    <row r="156" spans="2:3" hidden="1"/>
    <row r="157" spans="2:3" hidden="1"/>
    <row r="158" spans="2:3" hidden="1"/>
    <row r="159" spans="2:3" hidden="1"/>
    <row r="160" spans="2:3" hidden="1"/>
  </sheetData>
  <autoFilter ref="B53:C68" xr:uid="{3893950F-71BD-46D3-8572-F5AE53DC1CAD}">
    <sortState xmlns:xlrd2="http://schemas.microsoft.com/office/spreadsheetml/2017/richdata2" ref="B54:C68">
      <sortCondition descending="1" ref="C53:C68"/>
    </sortState>
  </autoFilter>
  <mergeCells count="4">
    <mergeCell ref="B76:B77"/>
    <mergeCell ref="C76:C77"/>
    <mergeCell ref="B3:B4"/>
    <mergeCell ref="C3:C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5194E-B3AD-4A8D-85CB-FFE90F7F5DB0}">
  <dimension ref="A3:K24"/>
  <sheetViews>
    <sheetView topLeftCell="B1" workbookViewId="0">
      <selection activeCell="E22" sqref="E22"/>
    </sheetView>
  </sheetViews>
  <sheetFormatPr baseColWidth="10" defaultRowHeight="12.5"/>
  <cols>
    <col min="2" max="2" width="21.54296875" customWidth="1"/>
  </cols>
  <sheetData>
    <row r="3" spans="1:11" ht="15.5">
      <c r="A3" s="609" t="s">
        <v>793</v>
      </c>
    </row>
    <row r="5" spans="1:11" ht="13" thickBot="1">
      <c r="A5" s="872" t="s">
        <v>6</v>
      </c>
      <c r="B5" s="872" t="s">
        <v>55</v>
      </c>
      <c r="C5" s="871" t="s">
        <v>270</v>
      </c>
      <c r="D5" s="871"/>
      <c r="E5" s="871"/>
      <c r="F5" s="871" t="s">
        <v>271</v>
      </c>
      <c r="G5" s="871"/>
      <c r="H5" s="871"/>
      <c r="I5" s="871" t="s">
        <v>265</v>
      </c>
      <c r="J5" s="871"/>
      <c r="K5" s="872" t="s">
        <v>1</v>
      </c>
    </row>
    <row r="6" spans="1:11" ht="13" thickBot="1">
      <c r="A6" s="873"/>
      <c r="B6" s="873"/>
      <c r="C6" s="407" t="s">
        <v>728</v>
      </c>
      <c r="D6" s="407" t="s">
        <v>729</v>
      </c>
      <c r="E6" s="407" t="s">
        <v>275</v>
      </c>
      <c r="F6" s="407" t="s">
        <v>272</v>
      </c>
      <c r="G6" s="407" t="s">
        <v>273</v>
      </c>
      <c r="H6" s="407" t="s">
        <v>275</v>
      </c>
      <c r="I6" s="407" t="s">
        <v>272</v>
      </c>
      <c r="J6" s="407" t="s">
        <v>273</v>
      </c>
      <c r="K6" s="873"/>
    </row>
    <row r="7" spans="1:11" ht="30.5" thickTop="1">
      <c r="A7" s="413">
        <v>1</v>
      </c>
      <c r="B7" s="413" t="s">
        <v>143</v>
      </c>
      <c r="C7" s="412">
        <v>217.6</v>
      </c>
      <c r="D7" s="412">
        <v>163.19999999999999</v>
      </c>
      <c r="E7" s="412">
        <v>163.19999999999999</v>
      </c>
      <c r="F7" s="412">
        <v>142.99</v>
      </c>
      <c r="G7" s="412">
        <v>285.99</v>
      </c>
      <c r="H7" s="412">
        <v>142.99</v>
      </c>
      <c r="I7" s="412">
        <v>227.78</v>
      </c>
      <c r="J7" s="412">
        <v>97.62</v>
      </c>
      <c r="K7" s="414">
        <v>1441.37</v>
      </c>
    </row>
    <row r="8" spans="1:11" ht="20">
      <c r="A8" s="409">
        <v>2</v>
      </c>
      <c r="B8" s="409" t="s">
        <v>639</v>
      </c>
      <c r="C8" s="408">
        <v>206.84</v>
      </c>
      <c r="D8" s="408">
        <v>155.13</v>
      </c>
      <c r="E8" s="408">
        <v>155.13</v>
      </c>
      <c r="F8" s="408">
        <v>77.3</v>
      </c>
      <c r="G8" s="408">
        <v>154.6</v>
      </c>
      <c r="H8" s="408">
        <v>77.3</v>
      </c>
      <c r="I8" s="408">
        <v>78.900000000000006</v>
      </c>
      <c r="J8" s="408">
        <v>33.81</v>
      </c>
      <c r="K8" s="408">
        <v>939.01</v>
      </c>
    </row>
    <row r="9" spans="1:11">
      <c r="A9" s="413">
        <v>3</v>
      </c>
      <c r="B9" s="413" t="s">
        <v>147</v>
      </c>
      <c r="C9" s="412">
        <v>71.58</v>
      </c>
      <c r="D9" s="412">
        <v>53.68</v>
      </c>
      <c r="E9" s="412">
        <v>53.68</v>
      </c>
      <c r="F9" s="412">
        <v>30.06</v>
      </c>
      <c r="G9" s="412">
        <v>60.13</v>
      </c>
      <c r="H9" s="412">
        <v>30.06</v>
      </c>
      <c r="I9" s="412">
        <v>142.78</v>
      </c>
      <c r="J9" s="412">
        <v>61.19</v>
      </c>
      <c r="K9" s="412">
        <v>503.17</v>
      </c>
    </row>
    <row r="10" spans="1:11" ht="20">
      <c r="A10" s="409">
        <v>4</v>
      </c>
      <c r="B10" s="409" t="s">
        <v>730</v>
      </c>
      <c r="C10" s="408">
        <v>56.15</v>
      </c>
      <c r="D10" s="408">
        <v>42.11</v>
      </c>
      <c r="E10" s="408">
        <v>42.11</v>
      </c>
      <c r="F10" s="408">
        <v>19.46</v>
      </c>
      <c r="G10" s="408">
        <v>38.92</v>
      </c>
      <c r="H10" s="408">
        <v>19.46</v>
      </c>
      <c r="I10" s="408">
        <v>63.59</v>
      </c>
      <c r="J10" s="408">
        <v>27.89</v>
      </c>
      <c r="K10" s="408">
        <v>309.69</v>
      </c>
    </row>
    <row r="11" spans="1:11">
      <c r="A11" s="413">
        <v>5</v>
      </c>
      <c r="B11" s="413" t="s">
        <v>151</v>
      </c>
      <c r="C11" s="412">
        <v>37.46</v>
      </c>
      <c r="D11" s="412">
        <v>28.09</v>
      </c>
      <c r="E11" s="412">
        <v>28.09</v>
      </c>
      <c r="F11" s="412">
        <v>24.57</v>
      </c>
      <c r="G11" s="412">
        <v>49.14</v>
      </c>
      <c r="H11" s="412">
        <v>24.57</v>
      </c>
      <c r="I11" s="412">
        <v>84.81</v>
      </c>
      <c r="J11" s="412">
        <v>36.35</v>
      </c>
      <c r="K11" s="412">
        <v>313.08</v>
      </c>
    </row>
    <row r="12" spans="1:11">
      <c r="A12" s="409">
        <v>6</v>
      </c>
      <c r="B12" s="409" t="s">
        <v>153</v>
      </c>
      <c r="C12" s="408">
        <v>73.45</v>
      </c>
      <c r="D12" s="408">
        <v>55.09</v>
      </c>
      <c r="E12" s="408">
        <v>55.09</v>
      </c>
      <c r="F12" s="408">
        <v>61.25</v>
      </c>
      <c r="G12" s="408">
        <v>122.51</v>
      </c>
      <c r="H12" s="408">
        <v>61.25</v>
      </c>
      <c r="I12" s="408">
        <v>24.84</v>
      </c>
      <c r="J12" s="408">
        <v>10.64</v>
      </c>
      <c r="K12" s="408">
        <v>464.12</v>
      </c>
    </row>
    <row r="13" spans="1:11" ht="20">
      <c r="A13" s="413">
        <v>7</v>
      </c>
      <c r="B13" s="413" t="s">
        <v>155</v>
      </c>
      <c r="C13" s="412">
        <v>60.48</v>
      </c>
      <c r="D13" s="412">
        <v>45.36</v>
      </c>
      <c r="E13" s="412">
        <v>45.36</v>
      </c>
      <c r="F13" s="412">
        <v>30.44</v>
      </c>
      <c r="G13" s="412">
        <v>60.88</v>
      </c>
      <c r="H13" s="412">
        <v>30.44</v>
      </c>
      <c r="I13" s="412">
        <v>72.73</v>
      </c>
      <c r="J13" s="412">
        <v>31.17</v>
      </c>
      <c r="K13" s="412">
        <v>376.86</v>
      </c>
    </row>
    <row r="14" spans="1:11">
      <c r="A14" s="409">
        <v>8</v>
      </c>
      <c r="B14" s="409" t="s">
        <v>157</v>
      </c>
      <c r="C14" s="408">
        <v>16.170000000000002</v>
      </c>
      <c r="D14" s="408">
        <v>12.13</v>
      </c>
      <c r="E14" s="408">
        <v>12.13</v>
      </c>
      <c r="F14" s="408">
        <v>12.88</v>
      </c>
      <c r="G14" s="408">
        <v>25.76</v>
      </c>
      <c r="H14" s="408">
        <v>12.88</v>
      </c>
      <c r="I14" s="408">
        <v>86.14</v>
      </c>
      <c r="J14" s="408">
        <v>36.92</v>
      </c>
      <c r="K14" s="408">
        <v>215.01</v>
      </c>
    </row>
    <row r="15" spans="1:11">
      <c r="A15" s="413">
        <v>9</v>
      </c>
      <c r="B15" s="413" t="s">
        <v>159</v>
      </c>
      <c r="C15" s="412">
        <v>9.8000000000000007</v>
      </c>
      <c r="D15" s="412">
        <v>7.35</v>
      </c>
      <c r="E15" s="412">
        <v>7.35</v>
      </c>
      <c r="F15" s="412" t="s">
        <v>296</v>
      </c>
      <c r="G15" s="412" t="s">
        <v>296</v>
      </c>
      <c r="H15" s="412" t="s">
        <v>296</v>
      </c>
      <c r="I15" s="412">
        <v>444.95</v>
      </c>
      <c r="J15" s="412">
        <v>190.69</v>
      </c>
      <c r="K15" s="412">
        <v>660.14</v>
      </c>
    </row>
    <row r="16" spans="1:11">
      <c r="A16" s="409">
        <v>10</v>
      </c>
      <c r="B16" s="409" t="s">
        <v>274</v>
      </c>
      <c r="C16" s="408">
        <v>0.81</v>
      </c>
      <c r="D16" s="408">
        <v>0.61</v>
      </c>
      <c r="E16" s="408">
        <v>0.61</v>
      </c>
      <c r="F16" s="408">
        <v>3.87</v>
      </c>
      <c r="G16" s="408">
        <v>7.74</v>
      </c>
      <c r="H16" s="408">
        <v>3.87</v>
      </c>
      <c r="I16" s="408">
        <v>111.24</v>
      </c>
      <c r="J16" s="408">
        <v>49.82</v>
      </c>
      <c r="K16" s="408">
        <v>178.56</v>
      </c>
    </row>
    <row r="17" spans="1:11">
      <c r="A17" s="874" t="s">
        <v>731</v>
      </c>
      <c r="B17" s="874"/>
      <c r="C17" s="607">
        <v>750.32</v>
      </c>
      <c r="D17" s="607">
        <v>562.74</v>
      </c>
      <c r="E17" s="607">
        <v>562.74</v>
      </c>
      <c r="F17" s="607">
        <v>402.84</v>
      </c>
      <c r="G17" s="607">
        <v>805.67</v>
      </c>
      <c r="H17" s="607">
        <v>402.84</v>
      </c>
      <c r="I17" s="622">
        <v>1337.76</v>
      </c>
      <c r="J17" s="607">
        <v>576.11</v>
      </c>
      <c r="K17" s="622">
        <v>5401.01</v>
      </c>
    </row>
    <row r="20" spans="1:11">
      <c r="C20" s="702"/>
      <c r="D20" s="412"/>
      <c r="E20" s="220"/>
      <c r="F20" s="220"/>
      <c r="G20" s="220"/>
      <c r="H20" s="220"/>
      <c r="I20" s="220"/>
      <c r="J20" s="220"/>
      <c r="K20" s="412"/>
    </row>
    <row r="21" spans="1:11">
      <c r="C21" s="702"/>
      <c r="D21" s="412"/>
      <c r="E21" s="220"/>
      <c r="F21" s="220"/>
      <c r="G21" s="220"/>
      <c r="H21" s="220"/>
      <c r="I21" s="220"/>
      <c r="J21" s="220"/>
      <c r="K21" s="412"/>
    </row>
    <row r="22" spans="1:11">
      <c r="D22" s="412"/>
      <c r="E22" s="220"/>
      <c r="F22" s="220"/>
      <c r="G22" s="220"/>
      <c r="H22" s="220"/>
      <c r="I22" s="220"/>
      <c r="J22" s="220"/>
      <c r="K22" s="412"/>
    </row>
    <row r="23" spans="1:11">
      <c r="D23" s="412"/>
      <c r="E23" s="220"/>
      <c r="F23" s="220"/>
      <c r="G23" s="220"/>
      <c r="H23" s="220"/>
      <c r="I23" s="220"/>
      <c r="J23" s="220"/>
      <c r="K23" s="412"/>
    </row>
    <row r="24" spans="1:11">
      <c r="D24" s="412"/>
      <c r="E24" s="412"/>
      <c r="F24" s="412"/>
      <c r="G24" s="412"/>
      <c r="H24" s="412"/>
      <c r="I24" s="412"/>
      <c r="J24" s="412"/>
      <c r="K24" s="412"/>
    </row>
  </sheetData>
  <mergeCells count="7">
    <mergeCell ref="I5:J5"/>
    <mergeCell ref="K5:K6"/>
    <mergeCell ref="A17:B17"/>
    <mergeCell ref="A5:A6"/>
    <mergeCell ref="B5:B6"/>
    <mergeCell ref="C5:E5"/>
    <mergeCell ref="F5:H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041-1734-4E3C-A8F8-5302A2B1D844}">
  <sheetPr codeName="Feuil80"/>
  <dimension ref="B3:I49"/>
  <sheetViews>
    <sheetView topLeftCell="A26" zoomScaleNormal="100" workbookViewId="0">
      <selection activeCell="E47" sqref="E47"/>
    </sheetView>
  </sheetViews>
  <sheetFormatPr baseColWidth="10" defaultColWidth="11.453125" defaultRowHeight="10"/>
  <cols>
    <col min="1" max="1" width="17.7265625" style="434" customWidth="1"/>
    <col min="2" max="2" width="4.7265625" style="434" customWidth="1"/>
    <col min="3" max="3" width="29" style="438" customWidth="1"/>
    <col min="4" max="5" width="16.54296875" style="436" bestFit="1" customWidth="1"/>
    <col min="6" max="6" width="16.7265625" style="436" bestFit="1" customWidth="1"/>
    <col min="7" max="7" width="6.7265625" style="500" bestFit="1" customWidth="1"/>
    <col min="8" max="8" width="11.453125" style="434"/>
    <col min="9" max="9" width="11.7265625" style="434" bestFit="1" customWidth="1"/>
    <col min="10" max="16384" width="11.453125" style="434"/>
  </cols>
  <sheetData>
    <row r="3" spans="2:9" ht="15.5">
      <c r="B3" s="609" t="s">
        <v>790</v>
      </c>
    </row>
    <row r="5" spans="2:9" ht="12" thickBot="1">
      <c r="B5" s="439" t="s">
        <v>6</v>
      </c>
      <c r="C5" s="439" t="s">
        <v>256</v>
      </c>
      <c r="D5" s="440" t="s">
        <v>71</v>
      </c>
      <c r="E5" s="440" t="s">
        <v>30</v>
      </c>
      <c r="F5" s="440" t="s">
        <v>70</v>
      </c>
      <c r="G5" s="497" t="s">
        <v>651</v>
      </c>
    </row>
    <row r="6" spans="2:9" ht="12" thickTop="1">
      <c r="B6" s="441"/>
      <c r="C6" s="441" t="s">
        <v>79</v>
      </c>
      <c r="D6" s="442">
        <f>+SUM(D7:D22)</f>
        <v>421286979.22500002</v>
      </c>
      <c r="E6" s="442">
        <f ca="1">+SUM(E7:E22)</f>
        <v>1168353081.3424997</v>
      </c>
      <c r="F6" s="442">
        <f ca="1">+SUM(F7:F22)</f>
        <v>-747066102.11749995</v>
      </c>
      <c r="G6" s="501">
        <f ca="1">-F6/E6</f>
        <v>0.6394180954776798</v>
      </c>
      <c r="I6" s="435"/>
    </row>
    <row r="7" spans="2:9" ht="12">
      <c r="B7" s="443">
        <v>1</v>
      </c>
      <c r="C7" s="443" t="str">
        <f>+Companies!B3</f>
        <v>CCO</v>
      </c>
      <c r="D7" s="444">
        <f>+'Reporting by Comp'!I3</f>
        <v>334281652</v>
      </c>
      <c r="E7" s="444">
        <f ca="1">+'Reporting by Comp'!J3</f>
        <v>334703047.315</v>
      </c>
      <c r="F7" s="444">
        <f ca="1">+'Reporting by Comp'!K3</f>
        <v>-421395.31499999762</v>
      </c>
      <c r="G7" s="502">
        <f t="shared" ref="G7:G36" ca="1" si="0">-F7/E7</f>
        <v>1.2590124839927397E-3</v>
      </c>
      <c r="I7" s="435"/>
    </row>
    <row r="8" spans="2:9" ht="12">
      <c r="B8" s="445">
        <f>+B7+1</f>
        <v>2</v>
      </c>
      <c r="C8" s="445" t="str">
        <f>+Companies!B4</f>
        <v xml:space="preserve">Kotto Mines </v>
      </c>
      <c r="D8" s="446">
        <f>+'Reporting by Comp'!I4</f>
        <v>0</v>
      </c>
      <c r="E8" s="446">
        <f ca="1">+'Reporting by Comp'!J4</f>
        <v>104603548.69999999</v>
      </c>
      <c r="F8" s="446">
        <f ca="1">+'Reporting by Comp'!K4</f>
        <v>-104603548.69999999</v>
      </c>
      <c r="G8" s="503">
        <f t="shared" ca="1" si="0"/>
        <v>1</v>
      </c>
      <c r="H8" s="201"/>
    </row>
    <row r="9" spans="2:9" ht="12">
      <c r="B9" s="443">
        <f t="shared" ref="B9:B22" si="1">+B8+1</f>
        <v>3</v>
      </c>
      <c r="C9" s="443" t="str">
        <f>+Companies!B5</f>
        <v>SAWA SAWA</v>
      </c>
      <c r="D9" s="444">
        <f>+'Reporting by Comp'!I5</f>
        <v>0</v>
      </c>
      <c r="E9" s="444">
        <f ca="1">+'Reporting by Comp'!J5</f>
        <v>113005206.47499999</v>
      </c>
      <c r="F9" s="444">
        <f ca="1">+'Reporting by Comp'!K5</f>
        <v>-113005206.47499999</v>
      </c>
      <c r="G9" s="502">
        <f t="shared" ca="1" si="0"/>
        <v>1</v>
      </c>
    </row>
    <row r="10" spans="2:9" ht="12">
      <c r="B10" s="445">
        <f t="shared" si="1"/>
        <v>4</v>
      </c>
      <c r="C10" s="445" t="str">
        <f>+Companies!B6</f>
        <v>STE SIGMA GOLD LTD</v>
      </c>
      <c r="D10" s="446">
        <f>+'Reporting by Comp'!I6</f>
        <v>0</v>
      </c>
      <c r="E10" s="446">
        <f ca="1">+'Reporting by Comp'!J6</f>
        <v>127421336.97750001</v>
      </c>
      <c r="F10" s="446">
        <f ca="1">+'Reporting by Comp'!K6</f>
        <v>-127421336.97750001</v>
      </c>
      <c r="G10" s="503">
        <f t="shared" ca="1" si="0"/>
        <v>1</v>
      </c>
    </row>
    <row r="11" spans="2:9" ht="12">
      <c r="B11" s="443">
        <f t="shared" si="1"/>
        <v>5</v>
      </c>
      <c r="C11" s="443" t="str">
        <f>+Companies!B7</f>
        <v>ADAMA SWISS</v>
      </c>
      <c r="D11" s="444">
        <f>+'Reporting by Comp'!I7</f>
        <v>0</v>
      </c>
      <c r="E11" s="444">
        <f ca="1">+'Reporting by Comp'!J7</f>
        <v>230117607.11250001</v>
      </c>
      <c r="F11" s="444">
        <f ca="1">+'Reporting by Comp'!K7</f>
        <v>-230117607.11250001</v>
      </c>
      <c r="G11" s="502">
        <f t="shared" ca="1" si="0"/>
        <v>1</v>
      </c>
    </row>
    <row r="12" spans="2:9" ht="24.65" customHeight="1">
      <c r="B12" s="445">
        <f t="shared" si="1"/>
        <v>6</v>
      </c>
      <c r="C12" s="445" t="str">
        <f>+Companies!B8</f>
        <v>SOCIETE INDUSTRIE MINIERE DE CENTRA</v>
      </c>
      <c r="D12" s="446">
        <f>+'Reporting by Comp'!I8</f>
        <v>0</v>
      </c>
      <c r="E12" s="446">
        <f ca="1">+'Reporting by Comp'!J8</f>
        <v>25198139.924999997</v>
      </c>
      <c r="F12" s="446">
        <f ca="1">+'Reporting by Comp'!K8</f>
        <v>-25198139.924999997</v>
      </c>
      <c r="G12" s="503">
        <f t="shared" ca="1" si="0"/>
        <v>1</v>
      </c>
    </row>
    <row r="13" spans="2:9" ht="12">
      <c r="B13" s="443">
        <f t="shared" si="1"/>
        <v>7</v>
      </c>
      <c r="C13" s="443" t="str">
        <f>+Companies!B9</f>
        <v>SOCIETE B.B.B</v>
      </c>
      <c r="D13" s="444">
        <f>+'Reporting by Comp'!I9</f>
        <v>0</v>
      </c>
      <c r="E13" s="444">
        <f ca="1">+'Reporting by Comp'!J9</f>
        <v>2778480</v>
      </c>
      <c r="F13" s="444">
        <f ca="1">+'Reporting by Comp'!K9</f>
        <v>-2778480</v>
      </c>
      <c r="G13" s="502">
        <f t="shared" ca="1" si="0"/>
        <v>1</v>
      </c>
      <c r="H13" s="201"/>
    </row>
    <row r="14" spans="2:9" ht="12">
      <c r="B14" s="445">
        <f t="shared" si="1"/>
        <v>8</v>
      </c>
      <c r="C14" s="445" t="str">
        <f>+Companies!B10</f>
        <v>SOCIETE_GOLD_KOSS</v>
      </c>
      <c r="D14" s="446">
        <f>+'Reporting by Comp'!I10</f>
        <v>0</v>
      </c>
      <c r="E14" s="446">
        <f ca="1">+'Reporting by Comp'!J10</f>
        <v>33000000</v>
      </c>
      <c r="F14" s="446">
        <f ca="1">+'Reporting by Comp'!K10</f>
        <v>-33000000</v>
      </c>
      <c r="G14" s="503">
        <v>0</v>
      </c>
    </row>
    <row r="15" spans="2:9" ht="12">
      <c r="B15" s="443">
        <f t="shared" si="1"/>
        <v>9</v>
      </c>
      <c r="C15" s="443" t="str">
        <f>+Companies!B11</f>
        <v>GONGA</v>
      </c>
      <c r="D15" s="444">
        <f>+'Reporting by Comp'!I11</f>
        <v>0</v>
      </c>
      <c r="E15" s="444">
        <f ca="1">+'Reporting by Comp'!J11</f>
        <v>43982413.950000003</v>
      </c>
      <c r="F15" s="444">
        <f ca="1">+'Reporting by Comp'!K11</f>
        <v>-43982413.950000003</v>
      </c>
      <c r="G15" s="502">
        <f t="shared" ca="1" si="0"/>
        <v>1</v>
      </c>
    </row>
    <row r="16" spans="2:9" ht="12">
      <c r="B16" s="445">
        <f t="shared" si="1"/>
        <v>10</v>
      </c>
      <c r="C16" s="445" t="str">
        <f>+Companies!B12</f>
        <v>HW-Lepo</v>
      </c>
      <c r="D16" s="446">
        <f>+'Reporting by Comp'!I12</f>
        <v>55085975.225000001</v>
      </c>
      <c r="E16" s="446">
        <f ca="1">+'Reporting by Comp'!J12</f>
        <v>37040260.225000001</v>
      </c>
      <c r="F16" s="446">
        <f ca="1">+'Reporting by Comp'!K12</f>
        <v>18045715</v>
      </c>
      <c r="G16" s="503">
        <f t="shared" ca="1" si="0"/>
        <v>-0.48719190660059675</v>
      </c>
    </row>
    <row r="17" spans="2:9" ht="12">
      <c r="B17" s="443">
        <f t="shared" si="1"/>
        <v>11</v>
      </c>
      <c r="C17" s="447" t="str">
        <f>+Companies!B13</f>
        <v>VOGUEROC SURL</v>
      </c>
      <c r="D17" s="444">
        <f>+'Reporting by Comp'!I13</f>
        <v>0</v>
      </c>
      <c r="E17" s="444">
        <f ca="1">+'Reporting by Comp'!J13</f>
        <v>31771554.105</v>
      </c>
      <c r="F17" s="444">
        <f ca="1">+'Reporting by Comp'!K13</f>
        <v>-31771554.105</v>
      </c>
      <c r="G17" s="502">
        <f t="shared" ca="1" si="0"/>
        <v>1</v>
      </c>
    </row>
    <row r="18" spans="2:9" ht="12">
      <c r="B18" s="445">
        <f t="shared" si="1"/>
        <v>12</v>
      </c>
      <c r="C18" s="448" t="str">
        <f>+Companies!B14</f>
        <v>SOCIETE DUNTA</v>
      </c>
      <c r="D18" s="446">
        <f>+'Reporting by Comp'!I14</f>
        <v>31919352</v>
      </c>
      <c r="E18" s="446">
        <f ca="1">+'Reporting by Comp'!J14</f>
        <v>28708606.557499997</v>
      </c>
      <c r="F18" s="446">
        <f ca="1">+'Reporting by Comp'!K14</f>
        <v>3210745.4425000027</v>
      </c>
      <c r="G18" s="503">
        <f t="shared" ca="1" si="0"/>
        <v>-0.11183912517903832</v>
      </c>
    </row>
    <row r="19" spans="2:9" ht="12">
      <c r="B19" s="443">
        <f t="shared" si="1"/>
        <v>13</v>
      </c>
      <c r="C19" s="443" t="str">
        <f>+Companies!B15</f>
        <v>SOCIETE_AMERICAN EAGLE</v>
      </c>
      <c r="D19" s="444">
        <f>+'Reporting by Comp'!I15</f>
        <v>0</v>
      </c>
      <c r="E19" s="444">
        <f ca="1">+'Reporting by Comp'!J15</f>
        <v>22500000</v>
      </c>
      <c r="F19" s="444">
        <f ca="1">+'Reporting by Comp'!K15</f>
        <v>-22500000</v>
      </c>
      <c r="G19" s="502">
        <v>0</v>
      </c>
    </row>
    <row r="20" spans="2:9" ht="12">
      <c r="B20" s="445">
        <f t="shared" si="1"/>
        <v>14</v>
      </c>
      <c r="C20" s="448" t="str">
        <f>+Companies!B16</f>
        <v>SOCIETE_AF_IRON</v>
      </c>
      <c r="D20" s="446">
        <f>+'Reporting by Comp'!I16</f>
        <v>0</v>
      </c>
      <c r="E20" s="446">
        <f ca="1">+'Reporting by Comp'!J16</f>
        <v>22113000</v>
      </c>
      <c r="F20" s="446">
        <f ca="1">+'Reporting by Comp'!K16</f>
        <v>-22113000</v>
      </c>
      <c r="G20" s="503">
        <v>0</v>
      </c>
    </row>
    <row r="21" spans="2:9" ht="12">
      <c r="B21" s="443">
        <f t="shared" si="1"/>
        <v>15</v>
      </c>
      <c r="C21" s="443" t="str">
        <f>+Companies!B17</f>
        <v>Diamville SAU</v>
      </c>
      <c r="D21" s="444">
        <f>+'Reporting by Comp'!I17</f>
        <v>0</v>
      </c>
      <c r="E21" s="444">
        <f ca="1">+'Reporting by Comp'!J17</f>
        <v>11409880</v>
      </c>
      <c r="F21" s="444">
        <f ca="1">+'Reporting by Comp'!K17</f>
        <v>-11409880</v>
      </c>
      <c r="G21" s="502">
        <f t="shared" ca="1" si="0"/>
        <v>1</v>
      </c>
    </row>
    <row r="22" spans="2:9" ht="12.5" thickBot="1">
      <c r="B22" s="445">
        <f t="shared" si="1"/>
        <v>16</v>
      </c>
      <c r="C22" s="445" t="str">
        <f>+Companies!B18</f>
        <v>Midas Ressources SARLU</v>
      </c>
      <c r="D22" s="446">
        <f>+'Reporting by Comp'!I18</f>
        <v>0</v>
      </c>
      <c r="E22" s="446">
        <f ca="1">+'Reporting by Comp'!J18</f>
        <v>0</v>
      </c>
      <c r="F22" s="446">
        <f ca="1">+'Reporting by Comp'!K18</f>
        <v>0</v>
      </c>
      <c r="G22" s="503">
        <v>0</v>
      </c>
    </row>
    <row r="23" spans="2:9" ht="12" thickTop="1">
      <c r="B23" s="449"/>
      <c r="C23" s="449" t="s">
        <v>145</v>
      </c>
      <c r="D23" s="450">
        <f>+SUM(D24:D32)</f>
        <v>847182456</v>
      </c>
      <c r="E23" s="450">
        <f ca="1">+SUM(E24:E32)</f>
        <v>5309358342.985425</v>
      </c>
      <c r="F23" s="450">
        <f ca="1">+SUM(F24:F32)</f>
        <v>-4462175886.9854259</v>
      </c>
      <c r="G23" s="504">
        <f t="shared" ca="1" si="0"/>
        <v>0.84043599974387251</v>
      </c>
      <c r="I23" s="435"/>
    </row>
    <row r="24" spans="2:9" ht="24">
      <c r="B24" s="443">
        <v>17</v>
      </c>
      <c r="C24" s="443" t="str">
        <f>+Companies!B19</f>
        <v xml:space="preserve">SOCIETE D'EXPLOITATION FORESTIERE CENTRAFRICAINE </v>
      </c>
      <c r="D24" s="444">
        <f>+'Reporting by Comp'!I19</f>
        <v>0</v>
      </c>
      <c r="E24" s="444">
        <f ca="1">+'Reporting by Comp'!J19</f>
        <v>1659267270.3355727</v>
      </c>
      <c r="F24" s="444">
        <f ca="1">+'Reporting by Comp'!K19</f>
        <v>-1659267270.3355727</v>
      </c>
      <c r="G24" s="502">
        <f t="shared" ca="1" si="0"/>
        <v>1</v>
      </c>
      <c r="I24" s="435"/>
    </row>
    <row r="25" spans="2:9" ht="12">
      <c r="B25" s="445">
        <f>+B24+1</f>
        <v>18</v>
      </c>
      <c r="C25" s="445" t="str">
        <f>+Companies!B20</f>
        <v>SOCIETE TIMBERLAND INDUSTRIES</v>
      </c>
      <c r="D25" s="446">
        <f>+'Reporting by Comp'!I20</f>
        <v>0</v>
      </c>
      <c r="E25" s="446">
        <f ca="1">+'Reporting by Comp'!J20</f>
        <v>1106864181.2516296</v>
      </c>
      <c r="F25" s="446">
        <f ca="1">+'Reporting by Comp'!K20</f>
        <v>-1106864181.2516296</v>
      </c>
      <c r="G25" s="503">
        <f t="shared" ca="1" si="0"/>
        <v>1</v>
      </c>
    </row>
    <row r="26" spans="2:9" ht="12">
      <c r="B26" s="443">
        <f t="shared" ref="B26:B32" si="2">+B25+1</f>
        <v>19</v>
      </c>
      <c r="C26" s="443" t="str">
        <f>+Companies!B21</f>
        <v>SCAD</v>
      </c>
      <c r="D26" s="444">
        <f>+'Reporting by Comp'!I21</f>
        <v>0</v>
      </c>
      <c r="E26" s="444">
        <f ca="1">+'Reporting by Comp'!J21</f>
        <v>552908892.10426021</v>
      </c>
      <c r="F26" s="444">
        <f ca="1">+'Reporting by Comp'!K21</f>
        <v>-552908892.10426021</v>
      </c>
      <c r="G26" s="502">
        <f t="shared" ca="1" si="0"/>
        <v>1</v>
      </c>
    </row>
    <row r="27" spans="2:9" ht="24">
      <c r="B27" s="445">
        <f t="shared" si="2"/>
        <v>20</v>
      </c>
      <c r="C27" s="445" t="str">
        <f>+Companies!B22</f>
        <v>SOCIETE  IFB  SARL  INUSTRIE FOREST. BATALIMO</v>
      </c>
      <c r="D27" s="446">
        <f>+'Reporting by Comp'!I22</f>
        <v>405956198</v>
      </c>
      <c r="E27" s="446">
        <f ca="1">+'Reporting by Comp'!J22</f>
        <v>397672685.65347195</v>
      </c>
      <c r="F27" s="446">
        <f ca="1">+'Reporting by Comp'!K22</f>
        <v>8283512.3465280533</v>
      </c>
      <c r="G27" s="503">
        <f t="shared" ca="1" si="0"/>
        <v>-2.0829975619060304E-2</v>
      </c>
    </row>
    <row r="28" spans="2:9" ht="12">
      <c r="B28" s="443">
        <f t="shared" si="2"/>
        <v>21</v>
      </c>
      <c r="C28" s="443" t="str">
        <f>+Companies!B23</f>
        <v>VIC WOOD CENTRAFRIQUE</v>
      </c>
      <c r="D28" s="444">
        <f>+'Reporting by Comp'!I23</f>
        <v>0</v>
      </c>
      <c r="E28" s="444">
        <f ca="1">+'Reporting by Comp'!J23</f>
        <v>355005293.484721</v>
      </c>
      <c r="F28" s="444">
        <f ca="1">+'Reporting by Comp'!K23</f>
        <v>-355005293.484721</v>
      </c>
      <c r="G28" s="502">
        <f t="shared" ca="1" si="0"/>
        <v>1</v>
      </c>
    </row>
    <row r="29" spans="2:9" ht="12">
      <c r="B29" s="445">
        <f t="shared" si="2"/>
        <v>22</v>
      </c>
      <c r="C29" s="448" t="str">
        <f>+Companies!B24</f>
        <v>CENTRA BOIS</v>
      </c>
      <c r="D29" s="446">
        <f>+'Reporting by Comp'!I24</f>
        <v>441226258</v>
      </c>
      <c r="E29" s="446">
        <f ca="1">+'Reporting by Comp'!J24</f>
        <v>533643384.54518974</v>
      </c>
      <c r="F29" s="446">
        <f ca="1">+'Reporting by Comp'!K24</f>
        <v>-92417126.545189738</v>
      </c>
      <c r="G29" s="503">
        <f t="shared" ca="1" si="0"/>
        <v>0.17318143393448873</v>
      </c>
    </row>
    <row r="30" spans="2:9" ht="24">
      <c r="B30" s="443">
        <f t="shared" si="2"/>
        <v>23</v>
      </c>
      <c r="C30" s="443" t="str">
        <f>+Companies!B25</f>
        <v>SOCIETE TRANSFORMATION DE BOIS CENTRAF.</v>
      </c>
      <c r="D30" s="444">
        <f>+'Reporting by Comp'!I25</f>
        <v>0</v>
      </c>
      <c r="E30" s="444">
        <f ca="1">+'Reporting by Comp'!J25</f>
        <v>427765705.18944299</v>
      </c>
      <c r="F30" s="444">
        <f ca="1">+'Reporting by Comp'!K25</f>
        <v>-427765705.18944299</v>
      </c>
      <c r="G30" s="502">
        <f t="shared" ca="1" si="0"/>
        <v>1</v>
      </c>
    </row>
    <row r="31" spans="2:9" ht="12">
      <c r="B31" s="445">
        <f t="shared" si="2"/>
        <v>24</v>
      </c>
      <c r="C31" s="445" t="str">
        <f>+Companies!B26</f>
        <v>THANRY CENTRAFRIQUE</v>
      </c>
      <c r="D31" s="446">
        <f>+'Reporting by Comp'!I26</f>
        <v>0</v>
      </c>
      <c r="E31" s="446">
        <f ca="1">+'Reporting by Comp'!J26</f>
        <v>234194953.54113713</v>
      </c>
      <c r="F31" s="446">
        <f ca="1">+'Reporting by Comp'!K26</f>
        <v>-234194953.54113713</v>
      </c>
      <c r="G31" s="503">
        <f t="shared" ca="1" si="0"/>
        <v>1</v>
      </c>
    </row>
    <row r="32" spans="2:9" ht="12">
      <c r="B32" s="443">
        <f t="shared" si="2"/>
        <v>25</v>
      </c>
      <c r="C32" s="443" t="str">
        <f>+Companies!B27</f>
        <v>Bois Rouge SARLU</v>
      </c>
      <c r="D32" s="444">
        <f>+'Reporting by Comp'!I27</f>
        <v>0</v>
      </c>
      <c r="E32" s="444">
        <f ca="1">+'Reporting by Comp'!J27</f>
        <v>42035976.880000003</v>
      </c>
      <c r="F32" s="444">
        <f ca="1">+'Reporting by Comp'!K27</f>
        <v>-42035976.880000003</v>
      </c>
      <c r="G32" s="502">
        <f t="shared" ca="1" si="0"/>
        <v>1</v>
      </c>
    </row>
    <row r="33" spans="2:7" ht="11.5">
      <c r="B33" s="441"/>
      <c r="C33" s="441" t="s">
        <v>257</v>
      </c>
      <c r="D33" s="442">
        <f>+SUM(D34:D35)</f>
        <v>0</v>
      </c>
      <c r="E33" s="442">
        <f ca="1">+SUM(E34:E35)</f>
        <v>161574519</v>
      </c>
      <c r="F33" s="442">
        <f ca="1">+SUM(F34:F35)</f>
        <v>-161574519</v>
      </c>
      <c r="G33" s="501">
        <f t="shared" ca="1" si="0"/>
        <v>1</v>
      </c>
    </row>
    <row r="34" spans="2:7" ht="12">
      <c r="B34" s="447">
        <v>26</v>
      </c>
      <c r="C34" s="447" t="str">
        <f>+Companies!B28</f>
        <v>PTI- IAS</v>
      </c>
      <c r="D34" s="444">
        <f>+'Reporting by Comp'!I28</f>
        <v>0</v>
      </c>
      <c r="E34" s="444">
        <f ca="1">+'Reporting by Comp'!J28</f>
        <v>112095000</v>
      </c>
      <c r="F34" s="444">
        <f ca="1">+'Reporting by Comp'!K28</f>
        <v>-112095000</v>
      </c>
      <c r="G34" s="502">
        <f t="shared" ca="1" si="0"/>
        <v>1</v>
      </c>
    </row>
    <row r="35" spans="2:7" ht="12">
      <c r="B35" s="448">
        <v>27</v>
      </c>
      <c r="C35" s="448" t="str">
        <f>+Companies!B29</f>
        <v>PTIAL</v>
      </c>
      <c r="D35" s="446">
        <f>+'Reporting by Comp'!I29</f>
        <v>0</v>
      </c>
      <c r="E35" s="446">
        <f ca="1">+'Reporting by Comp'!J29</f>
        <v>49479519</v>
      </c>
      <c r="F35" s="446">
        <f ca="1">+'Reporting by Comp'!K29</f>
        <v>-49479519</v>
      </c>
      <c r="G35" s="503">
        <f t="shared" ca="1" si="0"/>
        <v>1</v>
      </c>
    </row>
    <row r="36" spans="2:7" ht="12">
      <c r="B36" s="505"/>
      <c r="C36" s="505" t="s">
        <v>1</v>
      </c>
      <c r="D36" s="506">
        <f>+'Reporting by Comp'!I30</f>
        <v>1268469435.2249999</v>
      </c>
      <c r="E36" s="506">
        <f ca="1">+'Reporting by Comp'!J30</f>
        <v>6639285943.3279247</v>
      </c>
      <c r="F36" s="506">
        <f ca="1">+'Reporting by Comp'!K30</f>
        <v>-5370816508.1029253</v>
      </c>
      <c r="G36" s="507">
        <f t="shared" ca="1" si="0"/>
        <v>0.80894490069376612</v>
      </c>
    </row>
    <row r="38" spans="2:7">
      <c r="C38" s="437" t="s">
        <v>236</v>
      </c>
      <c r="D38" s="436">
        <f>+D36/1000000-'Tableau-(51)'!C9</f>
        <v>0</v>
      </c>
      <c r="E38" s="436">
        <f ca="1">+E36-'Tableau (1)'!B10*1000000</f>
        <v>0</v>
      </c>
      <c r="F38" s="436">
        <f ca="1">+F36-'Tableau-(52)'!E33</f>
        <v>-5307517959.031764</v>
      </c>
    </row>
    <row r="41" spans="2:7" ht="12" thickBot="1">
      <c r="B41" s="439" t="s">
        <v>6</v>
      </c>
      <c r="C41" s="439" t="s">
        <v>256</v>
      </c>
      <c r="D41" s="440" t="s">
        <v>71</v>
      </c>
      <c r="E41" s="440" t="s">
        <v>30</v>
      </c>
      <c r="F41" s="440" t="s">
        <v>70</v>
      </c>
      <c r="G41" s="497" t="s">
        <v>651</v>
      </c>
    </row>
    <row r="42" spans="2:7" ht="12" thickTop="1">
      <c r="B42" s="441"/>
      <c r="C42" s="441" t="s">
        <v>79</v>
      </c>
      <c r="D42" s="442">
        <f>+SUM(D43:D45)</f>
        <v>421286979.22500002</v>
      </c>
      <c r="E42" s="442">
        <f ca="1">+SUM(E43:E45)</f>
        <v>400451914.09750003</v>
      </c>
      <c r="F42" s="442">
        <f ca="1">+SUM(F43:F45)</f>
        <v>20835065.127500005</v>
      </c>
      <c r="G42" s="501">
        <f ca="1">-F42/E42</f>
        <v>-5.2028881356344793E-2</v>
      </c>
    </row>
    <row r="43" spans="2:7" ht="12">
      <c r="B43" s="443">
        <v>1</v>
      </c>
      <c r="C43" s="443" t="str">
        <f>+C7</f>
        <v>CCO</v>
      </c>
      <c r="D43" s="444">
        <f t="shared" ref="D43:G43" si="3">+D7</f>
        <v>334281652</v>
      </c>
      <c r="E43" s="444">
        <f t="shared" ca="1" si="3"/>
        <v>334703047.315</v>
      </c>
      <c r="F43" s="444">
        <f t="shared" ca="1" si="3"/>
        <v>-421395.31499999762</v>
      </c>
      <c r="G43" s="502">
        <f t="shared" ca="1" si="3"/>
        <v>1.2590124839927397E-3</v>
      </c>
    </row>
    <row r="44" spans="2:7" ht="12">
      <c r="B44" s="445">
        <v>2</v>
      </c>
      <c r="C44" s="445" t="str">
        <f t="shared" ref="C44:G44" si="4">+C16</f>
        <v>HW-Lepo</v>
      </c>
      <c r="D44" s="446">
        <f t="shared" si="4"/>
        <v>55085975.225000001</v>
      </c>
      <c r="E44" s="446">
        <f t="shared" ca="1" si="4"/>
        <v>37040260.225000001</v>
      </c>
      <c r="F44" s="446">
        <f t="shared" ca="1" si="4"/>
        <v>18045715</v>
      </c>
      <c r="G44" s="503">
        <f t="shared" ca="1" si="4"/>
        <v>-0.48719190660059675</v>
      </c>
    </row>
    <row r="45" spans="2:7" ht="12.5" thickBot="1">
      <c r="B45" s="443">
        <v>3</v>
      </c>
      <c r="C45" s="443" t="str">
        <f t="shared" ref="C45:G45" si="5">+C18</f>
        <v>SOCIETE DUNTA</v>
      </c>
      <c r="D45" s="444">
        <f t="shared" si="5"/>
        <v>31919352</v>
      </c>
      <c r="E45" s="444">
        <f t="shared" ca="1" si="5"/>
        <v>28708606.557499997</v>
      </c>
      <c r="F45" s="444">
        <f t="shared" ca="1" si="5"/>
        <v>3210745.4425000027</v>
      </c>
      <c r="G45" s="502">
        <f t="shared" ca="1" si="5"/>
        <v>-0.11183912517903832</v>
      </c>
    </row>
    <row r="46" spans="2:7" ht="12" thickTop="1">
      <c r="B46" s="449"/>
      <c r="C46" s="449" t="str">
        <f t="shared" ref="C46" si="6">+C23</f>
        <v>Forestier</v>
      </c>
      <c r="D46" s="450">
        <f>SUM(D47:D48)</f>
        <v>847182456</v>
      </c>
      <c r="E46" s="450">
        <f ca="1">SUM(E47:E48)</f>
        <v>931316070.19866168</v>
      </c>
      <c r="F46" s="450">
        <f ca="1">SUM(F47:F48)</f>
        <v>-84133614.198661685</v>
      </c>
      <c r="G46" s="504">
        <f ca="1">-F46/E46</f>
        <v>9.0338411298663518E-2</v>
      </c>
    </row>
    <row r="47" spans="2:7" ht="24">
      <c r="B47" s="445">
        <v>4</v>
      </c>
      <c r="C47" s="445" t="str">
        <f t="shared" ref="C47:G47" si="7">+C27</f>
        <v>SOCIETE  IFB  SARL  INUSTRIE FOREST. BATALIMO</v>
      </c>
      <c r="D47" s="446">
        <f t="shared" si="7"/>
        <v>405956198</v>
      </c>
      <c r="E47" s="446">
        <f t="shared" ca="1" si="7"/>
        <v>397672685.65347195</v>
      </c>
      <c r="F47" s="446">
        <f t="shared" ca="1" si="7"/>
        <v>8283512.3465280533</v>
      </c>
      <c r="G47" s="503">
        <f t="shared" ca="1" si="7"/>
        <v>-2.0829975619060304E-2</v>
      </c>
    </row>
    <row r="48" spans="2:7" ht="12">
      <c r="B48" s="443">
        <v>5</v>
      </c>
      <c r="C48" s="443" t="str">
        <f t="shared" ref="C48:G48" si="8">+C29</f>
        <v>CENTRA BOIS</v>
      </c>
      <c r="D48" s="444">
        <f t="shared" si="8"/>
        <v>441226258</v>
      </c>
      <c r="E48" s="444">
        <f t="shared" ca="1" si="8"/>
        <v>533643384.54518974</v>
      </c>
      <c r="F48" s="444">
        <f t="shared" ca="1" si="8"/>
        <v>-92417126.545189738</v>
      </c>
      <c r="G48" s="502">
        <f t="shared" ca="1" si="8"/>
        <v>0.17318143393448873</v>
      </c>
    </row>
    <row r="49" spans="2:7" ht="12">
      <c r="B49" s="505"/>
      <c r="C49" s="505" t="str">
        <f t="shared" ref="C49" si="9">+C36</f>
        <v>Total</v>
      </c>
      <c r="D49" s="506">
        <f>+D46+D42</f>
        <v>1268469435.2249999</v>
      </c>
      <c r="E49" s="506">
        <f ca="1">+E46+E42</f>
        <v>1331767984.2961617</v>
      </c>
      <c r="F49" s="506">
        <f ca="1">+F46+F42</f>
        <v>-63298549.07116168</v>
      </c>
      <c r="G49" s="759">
        <f ca="1">+F49/E49</f>
        <v>-4.7529712245346488E-2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447F-5BE9-49B6-8D7C-B4697E4AD133}">
  <sheetPr codeName="Feuil91"/>
  <dimension ref="A6:C11"/>
  <sheetViews>
    <sheetView zoomScaleNormal="100" workbookViewId="0">
      <selection activeCell="B11" sqref="B11"/>
    </sheetView>
  </sheetViews>
  <sheetFormatPr baseColWidth="10" defaultColWidth="11.453125" defaultRowHeight="14.5"/>
  <cols>
    <col min="1" max="1" width="47.7265625" style="350" customWidth="1"/>
    <col min="2" max="2" width="18.81640625" style="349" customWidth="1"/>
    <col min="3" max="3" width="12.54296875" style="349" bestFit="1" customWidth="1"/>
    <col min="4" max="16384" width="11.453125" style="349"/>
  </cols>
  <sheetData>
    <row r="6" spans="1:3">
      <c r="A6" s="623" t="s">
        <v>794</v>
      </c>
    </row>
    <row r="8" spans="1:3" ht="15" thickBot="1">
      <c r="A8" s="351" t="s">
        <v>480</v>
      </c>
      <c r="B8" s="351" t="s">
        <v>481</v>
      </c>
      <c r="C8" s="351" t="s">
        <v>482</v>
      </c>
    </row>
    <row r="9" spans="1:3" ht="15" thickTop="1">
      <c r="A9" s="352" t="s">
        <v>483</v>
      </c>
      <c r="B9" s="353">
        <f>+'Tableau 57'!C38+'Tableau 57'!D38+'Tableau 57'!E38</f>
        <v>1875.8007767837917</v>
      </c>
      <c r="C9" s="353">
        <f>+'Tableau 57'!E38</f>
        <v>562.74023303513752</v>
      </c>
    </row>
    <row r="10" spans="1:3">
      <c r="A10" s="354" t="s">
        <v>484</v>
      </c>
      <c r="B10" s="355">
        <f>+'Tableau 57'!F38+'Tableau 57'!G38+'Tableau 57'!H38</f>
        <v>1611.3496145898996</v>
      </c>
      <c r="C10" s="355">
        <f>+'Tableau 57'!H38</f>
        <v>402.8374036474749</v>
      </c>
    </row>
    <row r="11" spans="1:3">
      <c r="A11" s="356" t="s">
        <v>1</v>
      </c>
      <c r="B11" s="357">
        <f>SUM(B9:B10)</f>
        <v>3487.1503913736915</v>
      </c>
      <c r="C11" s="357">
        <f>SUM(C9:C10)</f>
        <v>965.57763668261236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199BA-4503-4206-B9A4-427BCF2649B1}">
  <dimension ref="A3:E17"/>
  <sheetViews>
    <sheetView zoomScaleNormal="100" workbookViewId="0">
      <selection activeCell="B4" sqref="B4"/>
    </sheetView>
  </sheetViews>
  <sheetFormatPr baseColWidth="10" defaultColWidth="11.453125" defaultRowHeight="14.5"/>
  <cols>
    <col min="1" max="1" width="11.453125" style="194"/>
    <col min="2" max="2" width="42.7265625" style="194" bestFit="1" customWidth="1"/>
    <col min="3" max="4" width="21.54296875" style="194" customWidth="1"/>
    <col min="5" max="5" width="11.453125" style="194"/>
    <col min="6" max="6" width="21.54296875" style="194" bestFit="1" customWidth="1"/>
    <col min="7" max="9" width="11.453125" style="194"/>
    <col min="10" max="10" width="12.54296875" style="194" bestFit="1" customWidth="1"/>
    <col min="11" max="16384" width="11.453125" style="194"/>
  </cols>
  <sheetData>
    <row r="3" spans="1:5" ht="15.5">
      <c r="B3" s="609" t="s">
        <v>843</v>
      </c>
    </row>
    <row r="5" spans="1:5">
      <c r="B5" s="878" t="s">
        <v>71</v>
      </c>
      <c r="C5" s="544" t="s">
        <v>243</v>
      </c>
      <c r="D5" s="544" t="s">
        <v>662</v>
      </c>
      <c r="E5" s="854" t="s">
        <v>1</v>
      </c>
    </row>
    <row r="6" spans="1:5" ht="15" thickBot="1">
      <c r="A6" s="5"/>
      <c r="B6" s="879"/>
      <c r="C6" s="342" t="s">
        <v>661</v>
      </c>
      <c r="D6" s="342" t="s">
        <v>661</v>
      </c>
      <c r="E6" s="880"/>
    </row>
    <row r="7" spans="1:5" ht="15" thickTop="1">
      <c r="A7" s="5"/>
      <c r="B7" s="572" t="s">
        <v>367</v>
      </c>
      <c r="C7" s="576">
        <v>155.13</v>
      </c>
      <c r="D7" s="576">
        <v>77.3</v>
      </c>
      <c r="E7" s="576">
        <v>232.43</v>
      </c>
    </row>
    <row r="8" spans="1:5">
      <c r="A8" s="5"/>
      <c r="B8" s="749" t="s">
        <v>393</v>
      </c>
      <c r="C8" s="750">
        <v>163.19999999999999</v>
      </c>
      <c r="D8" s="750">
        <v>142.99</v>
      </c>
      <c r="E8" s="750">
        <v>306.19</v>
      </c>
    </row>
    <row r="9" spans="1:5">
      <c r="B9" s="572" t="s">
        <v>366</v>
      </c>
      <c r="C9" s="576">
        <v>45.36</v>
      </c>
      <c r="D9" s="576">
        <v>30.44</v>
      </c>
      <c r="E9" s="576">
        <v>75.8</v>
      </c>
    </row>
    <row r="10" spans="1:5">
      <c r="B10" s="749" t="s">
        <v>363</v>
      </c>
      <c r="C10" s="750">
        <v>55.09</v>
      </c>
      <c r="D10" s="750">
        <v>61.25</v>
      </c>
      <c r="E10" s="750">
        <v>116.34</v>
      </c>
    </row>
    <row r="11" spans="1:5">
      <c r="B11" s="572" t="s">
        <v>151</v>
      </c>
      <c r="C11" s="576">
        <v>28.09</v>
      </c>
      <c r="D11" s="576">
        <v>24.57</v>
      </c>
      <c r="E11" s="576">
        <v>52.66</v>
      </c>
    </row>
    <row r="12" spans="1:5">
      <c r="B12" s="749" t="s">
        <v>147</v>
      </c>
      <c r="C12" s="750">
        <v>53.68</v>
      </c>
      <c r="D12" s="750">
        <v>30.06</v>
      </c>
      <c r="E12" s="750">
        <v>83.75</v>
      </c>
    </row>
    <row r="13" spans="1:5">
      <c r="B13" s="572" t="s">
        <v>364</v>
      </c>
      <c r="C13" s="576">
        <v>42.11</v>
      </c>
      <c r="D13" s="576">
        <v>19.46</v>
      </c>
      <c r="E13" s="576">
        <v>61.57</v>
      </c>
    </row>
    <row r="14" spans="1:5">
      <c r="B14" s="749" t="s">
        <v>365</v>
      </c>
      <c r="C14" s="750">
        <v>12.13</v>
      </c>
      <c r="D14" s="750">
        <v>12.88</v>
      </c>
      <c r="E14" s="750">
        <v>25.01</v>
      </c>
    </row>
    <row r="15" spans="1:5">
      <c r="B15" s="572" t="s">
        <v>369</v>
      </c>
      <c r="C15" s="576">
        <v>7.35</v>
      </c>
      <c r="D15" s="576" t="s">
        <v>296</v>
      </c>
      <c r="E15" s="576">
        <v>7.35</v>
      </c>
    </row>
    <row r="16" spans="1:5">
      <c r="B16" s="749" t="s">
        <v>274</v>
      </c>
      <c r="C16" s="750">
        <v>0.61</v>
      </c>
      <c r="D16" s="750">
        <v>3.87</v>
      </c>
      <c r="E16" s="750">
        <v>4.4800000000000004</v>
      </c>
    </row>
    <row r="17" spans="2:5">
      <c r="B17" s="547" t="s">
        <v>1</v>
      </c>
      <c r="C17" s="544">
        <v>562.74</v>
      </c>
      <c r="D17" s="544">
        <v>402.84</v>
      </c>
      <c r="E17" s="544">
        <v>965.58</v>
      </c>
    </row>
  </sheetData>
  <mergeCells count="2">
    <mergeCell ref="B5:B6"/>
    <mergeCell ref="E5:E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B7DE-1757-47F3-B26B-71377E8C415F}">
  <dimension ref="A6:S86"/>
  <sheetViews>
    <sheetView topLeftCell="G53" workbookViewId="0">
      <selection activeCell="M64" sqref="M64"/>
    </sheetView>
  </sheetViews>
  <sheetFormatPr baseColWidth="10" defaultColWidth="11.54296875" defaultRowHeight="12"/>
  <cols>
    <col min="1" max="1" width="25.453125" style="628" hidden="1" customWidth="1"/>
    <col min="2" max="4" width="18.7265625" style="625" hidden="1" customWidth="1"/>
    <col min="5" max="5" width="0" style="625" hidden="1" customWidth="1"/>
    <col min="6" max="6" width="21.453125" style="628" customWidth="1"/>
    <col min="7" max="10" width="18.7265625" style="625" customWidth="1"/>
    <col min="11" max="11" width="14.1796875" style="625" bestFit="1" customWidth="1"/>
    <col min="12" max="13" width="11.54296875" style="625"/>
    <col min="14" max="14" width="21.453125" style="628" hidden="1" customWidth="1"/>
    <col min="15" max="18" width="18.7265625" style="625" hidden="1" customWidth="1"/>
    <col min="19" max="19" width="12.1796875" style="625" hidden="1" customWidth="1"/>
    <col min="20" max="16384" width="11.54296875" style="625"/>
  </cols>
  <sheetData>
    <row r="6" spans="1:18">
      <c r="A6" s="624"/>
      <c r="B6" s="624"/>
      <c r="C6" s="624"/>
      <c r="D6" s="624"/>
      <c r="F6" s="624"/>
      <c r="G6" s="624"/>
      <c r="H6" s="624"/>
      <c r="I6" s="624"/>
      <c r="J6" s="624"/>
      <c r="N6" s="624"/>
      <c r="O6" s="624"/>
      <c r="P6" s="624"/>
      <c r="Q6" s="624"/>
      <c r="R6" s="624"/>
    </row>
    <row r="8" spans="1:18" ht="45.75" hidden="1" customHeight="1" thickBot="1">
      <c r="A8" s="626" t="s">
        <v>71</v>
      </c>
      <c r="B8" s="627" t="s">
        <v>658</v>
      </c>
      <c r="C8" s="627" t="s">
        <v>659</v>
      </c>
      <c r="D8" s="627"/>
      <c r="G8" s="628"/>
      <c r="H8" s="628"/>
      <c r="I8" s="628"/>
      <c r="J8" s="628"/>
      <c r="O8" s="628"/>
      <c r="P8" s="628"/>
      <c r="Q8" s="628"/>
      <c r="R8" s="628"/>
    </row>
    <row r="9" spans="1:18" ht="15" hidden="1" customHeight="1">
      <c r="A9" s="629" t="s">
        <v>361</v>
      </c>
      <c r="B9" s="543">
        <v>28091108.209143002</v>
      </c>
      <c r="C9" s="543">
        <v>18625899.320915002</v>
      </c>
      <c r="D9" s="543"/>
      <c r="G9" s="628"/>
      <c r="H9" s="628"/>
      <c r="I9" s="628"/>
      <c r="J9" s="628"/>
      <c r="O9" s="628"/>
      <c r="P9" s="628"/>
      <c r="Q9" s="628"/>
      <c r="R9" s="628"/>
    </row>
    <row r="10" spans="1:18" ht="15" hidden="1" customHeight="1">
      <c r="A10" s="630" t="s">
        <v>653</v>
      </c>
      <c r="B10" s="493">
        <v>26006933.678586006</v>
      </c>
      <c r="C10" s="493">
        <v>33883017.482265003</v>
      </c>
      <c r="D10" s="493"/>
      <c r="G10" s="628"/>
      <c r="H10" s="628"/>
      <c r="I10" s="628"/>
      <c r="J10" s="628"/>
      <c r="O10" s="628"/>
      <c r="P10" s="628"/>
      <c r="Q10" s="628"/>
      <c r="R10" s="628"/>
    </row>
    <row r="11" spans="1:18" ht="15" hidden="1" customHeight="1">
      <c r="A11" s="629" t="s">
        <v>654</v>
      </c>
      <c r="B11" s="543">
        <v>68846257.896675006</v>
      </c>
      <c r="C11" s="543">
        <v>87097056.057687491</v>
      </c>
      <c r="D11" s="543"/>
      <c r="G11" s="628"/>
      <c r="H11" s="628"/>
      <c r="I11" s="628"/>
      <c r="J11" s="628"/>
      <c r="O11" s="628"/>
      <c r="P11" s="628"/>
      <c r="Q11" s="628"/>
      <c r="R11" s="628"/>
    </row>
    <row r="12" spans="1:18" ht="15" hidden="1" customHeight="1">
      <c r="A12" s="630" t="s">
        <v>655</v>
      </c>
      <c r="B12" s="493">
        <v>0</v>
      </c>
      <c r="C12" s="493">
        <v>0</v>
      </c>
      <c r="D12" s="493"/>
      <c r="G12" s="628"/>
      <c r="H12" s="628"/>
      <c r="I12" s="628"/>
      <c r="J12" s="628"/>
      <c r="O12" s="628"/>
      <c r="P12" s="628"/>
      <c r="Q12" s="628"/>
      <c r="R12" s="628"/>
    </row>
    <row r="13" spans="1:18" ht="15" hidden="1" customHeight="1">
      <c r="A13" s="629" t="s">
        <v>363</v>
      </c>
      <c r="B13" s="543">
        <v>42508971.922578007</v>
      </c>
      <c r="C13" s="543">
        <v>44147762.523700006</v>
      </c>
      <c r="D13" s="543"/>
      <c r="G13" s="628"/>
      <c r="H13" s="628"/>
      <c r="I13" s="628"/>
      <c r="J13" s="628"/>
      <c r="O13" s="628"/>
      <c r="P13" s="628"/>
      <c r="Q13" s="628"/>
      <c r="R13" s="628"/>
    </row>
    <row r="14" spans="1:18" ht="15" hidden="1" customHeight="1">
      <c r="A14" s="630" t="s">
        <v>364</v>
      </c>
      <c r="B14" s="493">
        <v>20450976.134694003</v>
      </c>
      <c r="C14" s="493">
        <v>18034850.909432497</v>
      </c>
      <c r="D14" s="493"/>
      <c r="G14" s="628"/>
      <c r="H14" s="628"/>
      <c r="I14" s="628"/>
      <c r="J14" s="628"/>
      <c r="O14" s="628"/>
      <c r="P14" s="628"/>
      <c r="Q14" s="628"/>
      <c r="R14" s="628"/>
    </row>
    <row r="15" spans="1:18" ht="15" hidden="1" customHeight="1">
      <c r="A15" s="629" t="s">
        <v>656</v>
      </c>
      <c r="B15" s="543">
        <v>2590513.1442120005</v>
      </c>
      <c r="C15" s="543">
        <v>0</v>
      </c>
      <c r="D15" s="543"/>
      <c r="G15" s="628"/>
      <c r="H15" s="628"/>
      <c r="I15" s="628"/>
      <c r="J15" s="628"/>
      <c r="O15" s="628"/>
      <c r="P15" s="628"/>
      <c r="Q15" s="628"/>
      <c r="R15" s="628"/>
    </row>
    <row r="16" spans="1:18" ht="15" hidden="1" customHeight="1">
      <c r="A16" s="630" t="s">
        <v>365</v>
      </c>
      <c r="B16" s="493">
        <v>12126857.904420001</v>
      </c>
      <c r="C16" s="493">
        <v>7238133.783485</v>
      </c>
      <c r="D16" s="493"/>
      <c r="G16" s="628"/>
      <c r="H16" s="628"/>
      <c r="I16" s="628"/>
      <c r="J16" s="628"/>
      <c r="O16" s="628"/>
      <c r="P16" s="628"/>
      <c r="Q16" s="628"/>
      <c r="R16" s="628"/>
    </row>
    <row r="17" spans="1:18" ht="15" hidden="1" customHeight="1">
      <c r="A17" s="629" t="s">
        <v>147</v>
      </c>
      <c r="B17" s="543">
        <v>23687105.660232004</v>
      </c>
      <c r="C17" s="543">
        <v>22082077.20456</v>
      </c>
      <c r="D17" s="543"/>
      <c r="G17" s="628"/>
      <c r="H17" s="628"/>
      <c r="I17" s="628"/>
      <c r="J17" s="628"/>
      <c r="O17" s="628"/>
      <c r="P17" s="628"/>
      <c r="Q17" s="628"/>
      <c r="R17" s="628"/>
    </row>
    <row r="18" spans="1:18" ht="15" hidden="1" customHeight="1">
      <c r="A18" s="630" t="s">
        <v>657</v>
      </c>
      <c r="B18" s="493">
        <v>0</v>
      </c>
      <c r="C18" s="493">
        <v>371899.09349999996</v>
      </c>
      <c r="D18" s="493"/>
      <c r="G18" s="628"/>
      <c r="H18" s="628"/>
      <c r="I18" s="628"/>
      <c r="J18" s="628"/>
      <c r="O18" s="628"/>
      <c r="P18" s="628"/>
      <c r="Q18" s="628"/>
      <c r="R18" s="628"/>
    </row>
    <row r="19" spans="1:18" ht="15" hidden="1" customHeight="1">
      <c r="A19" s="629" t="s">
        <v>366</v>
      </c>
      <c r="B19" s="543">
        <v>45063465.954654001</v>
      </c>
      <c r="C19" s="543">
        <v>30449080.027685001</v>
      </c>
      <c r="D19" s="543"/>
      <c r="G19" s="628"/>
      <c r="H19" s="628"/>
      <c r="I19" s="628"/>
      <c r="J19" s="628"/>
      <c r="O19" s="628"/>
      <c r="P19" s="628"/>
      <c r="Q19" s="628"/>
      <c r="R19" s="628"/>
    </row>
    <row r="20" spans="1:18" ht="15" hidden="1" customHeight="1">
      <c r="A20" s="629" t="s">
        <v>367</v>
      </c>
      <c r="B20" s="543">
        <v>154898440.12566</v>
      </c>
      <c r="C20" s="543">
        <v>72923723.790169999</v>
      </c>
      <c r="D20" s="543"/>
      <c r="G20" s="628"/>
      <c r="H20" s="628"/>
      <c r="I20" s="628"/>
      <c r="J20" s="628"/>
      <c r="O20" s="628"/>
      <c r="P20" s="628"/>
      <c r="Q20" s="628"/>
      <c r="R20" s="628"/>
    </row>
    <row r="21" spans="1:18" ht="15" hidden="1" customHeight="1">
      <c r="A21" s="630" t="s">
        <v>369</v>
      </c>
      <c r="B21" s="493">
        <v>4092256.2240000004</v>
      </c>
      <c r="C21" s="493">
        <v>0</v>
      </c>
      <c r="D21" s="493"/>
      <c r="G21" s="628"/>
      <c r="H21" s="628"/>
      <c r="I21" s="628"/>
      <c r="J21" s="628"/>
      <c r="O21" s="628"/>
      <c r="P21" s="628"/>
      <c r="Q21" s="628"/>
      <c r="R21" s="628"/>
    </row>
    <row r="22" spans="1:18" ht="15" hidden="1" customHeight="1">
      <c r="A22" s="630" t="s">
        <v>395</v>
      </c>
      <c r="B22" s="493">
        <v>0</v>
      </c>
      <c r="C22" s="493">
        <v>2538342.3273999998</v>
      </c>
      <c r="D22" s="493"/>
      <c r="G22" s="628"/>
      <c r="H22" s="628"/>
      <c r="I22" s="628"/>
      <c r="J22" s="628"/>
      <c r="O22" s="628"/>
      <c r="P22" s="628"/>
      <c r="Q22" s="628"/>
      <c r="R22" s="628"/>
    </row>
    <row r="23" spans="1:18" ht="15" hidden="1" customHeight="1">
      <c r="A23" s="630"/>
      <c r="B23" s="631"/>
      <c r="C23" s="631"/>
      <c r="D23" s="631"/>
      <c r="G23" s="628"/>
      <c r="H23" s="628"/>
      <c r="I23" s="628"/>
      <c r="J23" s="628"/>
      <c r="O23" s="628"/>
      <c r="P23" s="628"/>
      <c r="Q23" s="628"/>
      <c r="R23" s="628"/>
    </row>
    <row r="24" spans="1:18" ht="15" hidden="1" customHeight="1">
      <c r="G24" s="628"/>
      <c r="H24" s="628"/>
      <c r="I24" s="628"/>
      <c r="J24" s="628"/>
      <c r="O24" s="628"/>
      <c r="P24" s="628"/>
      <c r="Q24" s="628"/>
      <c r="R24" s="628"/>
    </row>
    <row r="25" spans="1:18" ht="45.75" hidden="1" customHeight="1" thickBot="1">
      <c r="A25" s="626" t="s">
        <v>71</v>
      </c>
      <c r="B25" s="627" t="s">
        <v>658</v>
      </c>
      <c r="C25" s="627" t="s">
        <v>659</v>
      </c>
      <c r="D25" s="627" t="s">
        <v>1</v>
      </c>
      <c r="G25" s="628"/>
      <c r="H25" s="628"/>
      <c r="I25" s="628"/>
      <c r="J25" s="628"/>
      <c r="O25" s="628"/>
      <c r="P25" s="628"/>
      <c r="Q25" s="628"/>
      <c r="R25" s="628"/>
    </row>
    <row r="26" spans="1:18" ht="15" hidden="1" customHeight="1">
      <c r="A26" s="629" t="s">
        <v>367</v>
      </c>
      <c r="B26" s="543">
        <v>154898440.12566</v>
      </c>
      <c r="C26" s="543">
        <v>72923723.790169999</v>
      </c>
      <c r="D26" s="543">
        <v>227822163.91583002</v>
      </c>
      <c r="G26" s="628"/>
      <c r="H26" s="628"/>
      <c r="I26" s="628"/>
      <c r="J26" s="628"/>
      <c r="O26" s="628"/>
      <c r="P26" s="628"/>
      <c r="Q26" s="628"/>
      <c r="R26" s="628"/>
    </row>
    <row r="27" spans="1:18" ht="15" hidden="1" customHeight="1">
      <c r="A27" s="630" t="s">
        <v>393</v>
      </c>
      <c r="B27" s="493">
        <v>94853191.575261012</v>
      </c>
      <c r="C27" s="493">
        <v>120980073.53995249</v>
      </c>
      <c r="D27" s="493">
        <v>215833265.11521351</v>
      </c>
      <c r="G27" s="628"/>
      <c r="H27" s="628"/>
      <c r="I27" s="628"/>
      <c r="J27" s="628"/>
      <c r="O27" s="628"/>
      <c r="P27" s="628"/>
      <c r="Q27" s="628"/>
      <c r="R27" s="628"/>
    </row>
    <row r="28" spans="1:18" ht="15" hidden="1" customHeight="1">
      <c r="A28" s="629" t="s">
        <v>366</v>
      </c>
      <c r="B28" s="543">
        <v>45063465.954654001</v>
      </c>
      <c r="C28" s="543">
        <v>30449080.027685001</v>
      </c>
      <c r="D28" s="543">
        <v>75512545.982338995</v>
      </c>
      <c r="G28" s="628"/>
      <c r="H28" s="628"/>
      <c r="I28" s="628"/>
      <c r="J28" s="628"/>
      <c r="O28" s="628"/>
      <c r="P28" s="628"/>
      <c r="Q28" s="628"/>
      <c r="R28" s="628"/>
    </row>
    <row r="29" spans="1:18" ht="15" hidden="1" customHeight="1">
      <c r="A29" s="630" t="s">
        <v>363</v>
      </c>
      <c r="B29" s="493">
        <v>42508971.922578007</v>
      </c>
      <c r="C29" s="493">
        <v>44147762.523700006</v>
      </c>
      <c r="D29" s="493">
        <v>86656734.446278006</v>
      </c>
      <c r="G29" s="628"/>
      <c r="H29" s="628"/>
      <c r="I29" s="628"/>
      <c r="J29" s="628"/>
      <c r="O29" s="628"/>
      <c r="P29" s="628"/>
      <c r="Q29" s="628"/>
      <c r="R29" s="628"/>
    </row>
    <row r="30" spans="1:18" ht="15" hidden="1" customHeight="1">
      <c r="A30" s="629" t="s">
        <v>151</v>
      </c>
      <c r="B30" s="543">
        <v>28091108.209143002</v>
      </c>
      <c r="C30" s="543">
        <v>18625899.320915002</v>
      </c>
      <c r="D30" s="543">
        <v>46717007.530058004</v>
      </c>
      <c r="G30" s="628"/>
      <c r="H30" s="628"/>
      <c r="I30" s="628"/>
      <c r="J30" s="628"/>
      <c r="O30" s="628"/>
      <c r="P30" s="628"/>
      <c r="Q30" s="628"/>
      <c r="R30" s="628"/>
    </row>
    <row r="31" spans="1:18" ht="15" hidden="1" customHeight="1">
      <c r="A31" s="630" t="s">
        <v>147</v>
      </c>
      <c r="B31" s="493">
        <v>23687105.660232004</v>
      </c>
      <c r="C31" s="493">
        <v>22082077.20456</v>
      </c>
      <c r="D31" s="493">
        <v>45769182.864792004</v>
      </c>
      <c r="G31" s="628"/>
      <c r="H31" s="628"/>
      <c r="I31" s="628"/>
      <c r="J31" s="628"/>
      <c r="O31" s="628"/>
      <c r="P31" s="628"/>
      <c r="Q31" s="628"/>
      <c r="R31" s="628"/>
    </row>
    <row r="32" spans="1:18" ht="15" hidden="1" customHeight="1">
      <c r="A32" s="629" t="s">
        <v>364</v>
      </c>
      <c r="B32" s="543">
        <v>23041489.278906003</v>
      </c>
      <c r="C32" s="543">
        <v>18034850.909432497</v>
      </c>
      <c r="D32" s="543">
        <v>41076340.188338503</v>
      </c>
      <c r="G32" s="628"/>
      <c r="H32" s="628"/>
      <c r="I32" s="628"/>
      <c r="J32" s="628"/>
      <c r="O32" s="628"/>
      <c r="P32" s="628"/>
      <c r="Q32" s="628"/>
      <c r="R32" s="628"/>
    </row>
    <row r="33" spans="1:18" ht="15" hidden="1" customHeight="1">
      <c r="A33" s="630" t="s">
        <v>365</v>
      </c>
      <c r="B33" s="493">
        <v>12126857.904420001</v>
      </c>
      <c r="C33" s="493">
        <v>7238133.783485</v>
      </c>
      <c r="D33" s="493">
        <v>19364991.687905002</v>
      </c>
      <c r="G33" s="628"/>
      <c r="H33" s="628"/>
      <c r="I33" s="628"/>
      <c r="J33" s="628"/>
      <c r="O33" s="628"/>
      <c r="P33" s="628"/>
      <c r="Q33" s="628"/>
      <c r="R33" s="628"/>
    </row>
    <row r="34" spans="1:18" ht="15" hidden="1" customHeight="1">
      <c r="A34" s="629" t="s">
        <v>369</v>
      </c>
      <c r="B34" s="543">
        <v>4092256.2240000004</v>
      </c>
      <c r="C34" s="543">
        <v>0</v>
      </c>
      <c r="D34" s="543">
        <v>4092256.2240000004</v>
      </c>
      <c r="G34" s="628"/>
      <c r="H34" s="628"/>
      <c r="I34" s="628"/>
      <c r="J34" s="628"/>
      <c r="O34" s="628"/>
      <c r="P34" s="628"/>
      <c r="Q34" s="628"/>
      <c r="R34" s="628"/>
    </row>
    <row r="35" spans="1:18" ht="15" hidden="1" customHeight="1">
      <c r="A35" s="630" t="s">
        <v>395</v>
      </c>
      <c r="B35" s="493">
        <v>0</v>
      </c>
      <c r="C35" s="493">
        <v>2538342.3273999998</v>
      </c>
      <c r="D35" s="493">
        <v>2538342.3273999998</v>
      </c>
      <c r="G35" s="628"/>
      <c r="H35" s="628"/>
      <c r="I35" s="628"/>
      <c r="J35" s="628"/>
      <c r="O35" s="628"/>
      <c r="P35" s="628"/>
      <c r="Q35" s="628"/>
      <c r="R35" s="628"/>
    </row>
    <row r="36" spans="1:18" ht="15" hidden="1" customHeight="1">
      <c r="A36" s="629" t="s">
        <v>657</v>
      </c>
      <c r="B36" s="543">
        <v>0</v>
      </c>
      <c r="C36" s="543">
        <v>371899.09349999996</v>
      </c>
      <c r="D36" s="543">
        <v>371899.09349999996</v>
      </c>
      <c r="G36" s="628"/>
      <c r="H36" s="628"/>
      <c r="I36" s="628"/>
      <c r="J36" s="628"/>
      <c r="O36" s="628"/>
      <c r="P36" s="628"/>
      <c r="Q36" s="628"/>
      <c r="R36" s="628"/>
    </row>
    <row r="37" spans="1:18" ht="15" hidden="1" customHeight="1">
      <c r="A37" s="632" t="s">
        <v>1</v>
      </c>
      <c r="B37" s="633">
        <v>428362886.85485399</v>
      </c>
      <c r="C37" s="633">
        <v>337391842.52079993</v>
      </c>
      <c r="D37" s="633">
        <v>765754729.37565398</v>
      </c>
      <c r="G37" s="628"/>
      <c r="H37" s="628"/>
      <c r="I37" s="628"/>
      <c r="J37" s="628"/>
      <c r="O37" s="628"/>
      <c r="P37" s="628"/>
      <c r="Q37" s="628"/>
      <c r="R37" s="628"/>
    </row>
    <row r="39" spans="1:18" ht="15.5">
      <c r="A39" s="609" t="s">
        <v>795</v>
      </c>
      <c r="F39" s="609" t="s">
        <v>796</v>
      </c>
      <c r="N39" s="609"/>
    </row>
    <row r="40" spans="1:18" ht="24.5" thickBot="1">
      <c r="A40" s="634" t="s">
        <v>732</v>
      </c>
      <c r="B40" s="627" t="s">
        <v>658</v>
      </c>
      <c r="C40" s="627" t="s">
        <v>659</v>
      </c>
      <c r="D40" s="627" t="s">
        <v>1</v>
      </c>
      <c r="F40" s="626" t="s">
        <v>71</v>
      </c>
      <c r="G40" s="627" t="s">
        <v>658</v>
      </c>
      <c r="H40" s="627" t="s">
        <v>659</v>
      </c>
      <c r="I40" s="627" t="s">
        <v>1</v>
      </c>
      <c r="N40" s="626"/>
      <c r="O40" s="627"/>
      <c r="P40" s="627"/>
      <c r="Q40" s="627"/>
    </row>
    <row r="41" spans="1:18" ht="13.5" thickTop="1">
      <c r="A41" s="634" t="s">
        <v>733</v>
      </c>
      <c r="B41" s="543">
        <v>154.89844012565999</v>
      </c>
      <c r="C41" s="543">
        <v>72.923723790170001</v>
      </c>
      <c r="D41" s="543">
        <v>227.82216391583</v>
      </c>
      <c r="F41" s="629" t="s">
        <v>367</v>
      </c>
      <c r="G41" s="543">
        <v>155.12792309406001</v>
      </c>
      <c r="H41" s="543">
        <v>77.301349036257491</v>
      </c>
      <c r="I41" s="543">
        <v>232.42927213031749</v>
      </c>
      <c r="N41" s="629">
        <v>85.56</v>
      </c>
      <c r="O41" s="543">
        <v>55.54</v>
      </c>
      <c r="P41" s="543">
        <v>186.93</v>
      </c>
      <c r="Q41" s="543"/>
    </row>
    <row r="42" spans="1:18">
      <c r="A42" s="630" t="s">
        <v>393</v>
      </c>
      <c r="B42" s="493">
        <v>94.853191575261008</v>
      </c>
      <c r="C42" s="493">
        <v>120.98007353995249</v>
      </c>
      <c r="D42" s="493">
        <v>215.83326511521352</v>
      </c>
      <c r="F42" s="630" t="s">
        <v>393</v>
      </c>
      <c r="G42" s="493">
        <v>163.19850601743047</v>
      </c>
      <c r="H42" s="493">
        <v>142.99389873921487</v>
      </c>
      <c r="I42" s="493">
        <v>306.19240475664537</v>
      </c>
      <c r="N42" s="630">
        <v>132.05000000000001</v>
      </c>
      <c r="O42" s="493">
        <v>87.45</v>
      </c>
      <c r="P42" s="493">
        <v>138.47999999999999</v>
      </c>
      <c r="Q42" s="493"/>
    </row>
    <row r="43" spans="1:18">
      <c r="A43" s="629" t="s">
        <v>366</v>
      </c>
      <c r="B43" s="543">
        <v>45.063465954653999</v>
      </c>
      <c r="C43" s="543">
        <v>30.449080027685003</v>
      </c>
      <c r="D43" s="543">
        <v>75.512545982338992</v>
      </c>
      <c r="F43" s="629" t="s">
        <v>366</v>
      </c>
      <c r="G43" s="543">
        <v>45.360820664334</v>
      </c>
      <c r="H43" s="543">
        <v>30.438473286925003</v>
      </c>
      <c r="I43" s="543">
        <v>75.799293951259003</v>
      </c>
      <c r="N43" s="629">
        <v>213.74</v>
      </c>
      <c r="O43" s="543">
        <v>80.349999999999994</v>
      </c>
      <c r="P43" s="543"/>
      <c r="Q43" s="543"/>
    </row>
    <row r="44" spans="1:18">
      <c r="A44" s="630" t="s">
        <v>363</v>
      </c>
      <c r="B44" s="493">
        <v>42.508971922578006</v>
      </c>
      <c r="C44" s="493">
        <v>44.14776252370001</v>
      </c>
      <c r="D44" s="493">
        <v>86.656734446278008</v>
      </c>
      <c r="F44" s="630" t="s">
        <v>363</v>
      </c>
      <c r="G44" s="493">
        <v>55.086301063751996</v>
      </c>
      <c r="H44" s="493">
        <v>61.254983567800004</v>
      </c>
      <c r="I44" s="493">
        <v>116.341284631552</v>
      </c>
      <c r="N44" s="630"/>
      <c r="O44" s="493"/>
      <c r="P44" s="493"/>
      <c r="Q44" s="493"/>
    </row>
    <row r="45" spans="1:18">
      <c r="A45" s="629" t="s">
        <v>151</v>
      </c>
      <c r="B45" s="543">
        <v>28.091108209143002</v>
      </c>
      <c r="C45" s="543">
        <v>18.625899320915003</v>
      </c>
      <c r="D45" s="543">
        <v>46.717007530058005</v>
      </c>
      <c r="F45" s="629" t="s">
        <v>151</v>
      </c>
      <c r="G45" s="543">
        <v>28.091286883143002</v>
      </c>
      <c r="H45" s="543">
        <v>24.571699906145003</v>
      </c>
      <c r="I45" s="543">
        <v>52.662986789288006</v>
      </c>
      <c r="N45" s="629"/>
      <c r="O45" s="543"/>
      <c r="P45" s="543"/>
      <c r="Q45" s="543"/>
    </row>
    <row r="46" spans="1:18">
      <c r="A46" s="630" t="s">
        <v>147</v>
      </c>
      <c r="B46" s="493">
        <v>23.687105660232003</v>
      </c>
      <c r="C46" s="493">
        <v>22.082077204560001</v>
      </c>
      <c r="D46" s="493">
        <v>45.769182864792008</v>
      </c>
      <c r="F46" s="630" t="s">
        <v>147</v>
      </c>
      <c r="G46" s="493">
        <v>53.682734760774004</v>
      </c>
      <c r="H46" s="493">
        <v>30.063739813284993</v>
      </c>
      <c r="I46" s="493">
        <v>83.746474574058993</v>
      </c>
      <c r="N46" s="630"/>
      <c r="O46" s="493"/>
      <c r="P46" s="493"/>
      <c r="Q46" s="493"/>
    </row>
    <row r="47" spans="1:18">
      <c r="A47" s="629" t="s">
        <v>364</v>
      </c>
      <c r="B47" s="543">
        <v>23.041489278906003</v>
      </c>
      <c r="C47" s="543">
        <v>18.034850909432496</v>
      </c>
      <c r="D47" s="543">
        <v>41.076340188338506</v>
      </c>
      <c r="F47" s="629" t="s">
        <v>364</v>
      </c>
      <c r="G47" s="543">
        <v>42.111294421224002</v>
      </c>
      <c r="H47" s="543">
        <v>19.459517460817501</v>
      </c>
      <c r="I47" s="543">
        <v>61.570811882041504</v>
      </c>
      <c r="N47" s="629"/>
      <c r="O47" s="543"/>
      <c r="P47" s="543"/>
      <c r="Q47" s="543"/>
    </row>
    <row r="48" spans="1:18">
      <c r="A48" s="630" t="s">
        <v>365</v>
      </c>
      <c r="B48" s="493">
        <v>12.126857904420001</v>
      </c>
      <c r="C48" s="493">
        <v>7.2381337834849999</v>
      </c>
      <c r="D48" s="493">
        <v>19.364991687905004</v>
      </c>
      <c r="F48" s="630" t="s">
        <v>365</v>
      </c>
      <c r="G48" s="493">
        <v>12.126857904420001</v>
      </c>
      <c r="H48" s="493">
        <v>12.882432196479998</v>
      </c>
      <c r="I48" s="493">
        <v>25.009290100899999</v>
      </c>
      <c r="N48" s="630"/>
      <c r="O48" s="493"/>
      <c r="P48" s="493"/>
      <c r="Q48" s="493"/>
    </row>
    <row r="49" spans="1:19">
      <c r="A49" s="629" t="s">
        <v>369</v>
      </c>
      <c r="B49" s="543">
        <v>4.0922562240000007</v>
      </c>
      <c r="C49" s="543">
        <v>0</v>
      </c>
      <c r="D49" s="543">
        <v>4.0922562240000007</v>
      </c>
      <c r="F49" s="629" t="s">
        <v>369</v>
      </c>
      <c r="G49" s="543">
        <v>7.3480738800000012</v>
      </c>
      <c r="H49" s="543">
        <v>0</v>
      </c>
      <c r="I49" s="543">
        <v>7.3480738800000012</v>
      </c>
      <c r="N49" s="629"/>
      <c r="O49" s="543"/>
      <c r="P49" s="543"/>
      <c r="Q49" s="543"/>
    </row>
    <row r="50" spans="1:19">
      <c r="A50" s="630" t="s">
        <v>395</v>
      </c>
      <c r="B50" s="493">
        <v>0</v>
      </c>
      <c r="C50" s="493">
        <v>2.5383423273999997</v>
      </c>
      <c r="D50" s="493">
        <v>2.5383423273999997</v>
      </c>
      <c r="F50" s="630" t="s">
        <v>274</v>
      </c>
      <c r="G50" s="493">
        <v>0.60643434600000001</v>
      </c>
      <c r="H50" s="493">
        <v>3.8713096405499998</v>
      </c>
      <c r="I50" s="493">
        <v>4.4777439865500002</v>
      </c>
      <c r="N50" s="630"/>
      <c r="O50" s="493"/>
      <c r="P50" s="493"/>
      <c r="Q50" s="493"/>
    </row>
    <row r="51" spans="1:19">
      <c r="A51" s="629" t="s">
        <v>657</v>
      </c>
      <c r="B51" s="543">
        <v>0</v>
      </c>
      <c r="C51" s="543">
        <v>0.37189909349999994</v>
      </c>
      <c r="D51" s="543">
        <v>0.37189909349999994</v>
      </c>
      <c r="F51" s="632" t="s">
        <v>1</v>
      </c>
      <c r="G51" s="633">
        <v>562.74023303513763</v>
      </c>
      <c r="H51" s="633">
        <v>402.8374036474749</v>
      </c>
      <c r="I51" s="633">
        <v>965.57763668261225</v>
      </c>
      <c r="N51" s="632"/>
      <c r="O51" s="633"/>
      <c r="P51" s="633"/>
      <c r="Q51" s="633"/>
    </row>
    <row r="52" spans="1:19">
      <c r="A52" s="632" t="s">
        <v>1</v>
      </c>
      <c r="B52" s="633">
        <v>428.36288685485397</v>
      </c>
      <c r="C52" s="633">
        <v>337.39184252080003</v>
      </c>
      <c r="D52" s="633">
        <v>765.75472937565405</v>
      </c>
    </row>
    <row r="56" spans="1:19">
      <c r="A56" s="623"/>
    </row>
    <row r="57" spans="1:19" ht="24.5" thickBot="1">
      <c r="A57" s="878" t="s">
        <v>71</v>
      </c>
      <c r="B57" s="544" t="s">
        <v>660</v>
      </c>
      <c r="C57" s="544" t="s">
        <v>662</v>
      </c>
      <c r="D57" s="854" t="s">
        <v>1</v>
      </c>
      <c r="F57" s="627" t="s">
        <v>620</v>
      </c>
      <c r="G57" s="627" t="s">
        <v>700</v>
      </c>
      <c r="H57" s="627" t="s">
        <v>693</v>
      </c>
      <c r="I57" s="627" t="s">
        <v>824</v>
      </c>
      <c r="J57" s="627" t="s">
        <v>825</v>
      </c>
      <c r="K57" s="627" t="s">
        <v>1</v>
      </c>
      <c r="N57" s="627" t="s">
        <v>620</v>
      </c>
      <c r="O57" s="627" t="s">
        <v>700</v>
      </c>
      <c r="P57" s="627" t="s">
        <v>693</v>
      </c>
      <c r="Q57" s="627" t="s">
        <v>824</v>
      </c>
      <c r="R57" s="627" t="s">
        <v>825</v>
      </c>
      <c r="S57" s="627" t="s">
        <v>1</v>
      </c>
    </row>
    <row r="58" spans="1:19" ht="31.5" customHeight="1" thickTop="1" thickBot="1">
      <c r="A58" s="879"/>
      <c r="B58" s="342" t="s">
        <v>661</v>
      </c>
      <c r="C58" s="342" t="s">
        <v>661</v>
      </c>
      <c r="D58" s="880"/>
      <c r="F58" s="875" t="s">
        <v>143</v>
      </c>
      <c r="G58" s="750">
        <v>174</v>
      </c>
      <c r="H58" s="752" t="s">
        <v>697</v>
      </c>
      <c r="I58" s="753">
        <v>64169090.072799608</v>
      </c>
      <c r="J58" s="753">
        <v>55544909.252458997</v>
      </c>
      <c r="K58" s="753">
        <v>119713999.32525861</v>
      </c>
      <c r="N58" s="875" t="s">
        <v>143</v>
      </c>
      <c r="O58" s="750">
        <v>174</v>
      </c>
      <c r="P58" s="752" t="s">
        <v>697</v>
      </c>
      <c r="Q58" s="753">
        <v>64169.090072799605</v>
      </c>
      <c r="R58" s="753">
        <v>55544.909252458994</v>
      </c>
      <c r="S58" s="753">
        <v>119713.9993252586</v>
      </c>
    </row>
    <row r="59" spans="1:19" ht="24.5" thickTop="1">
      <c r="A59" s="545" t="s">
        <v>367</v>
      </c>
      <c r="B59" s="458">
        <v>0.22948296840002058</v>
      </c>
      <c r="C59" s="458">
        <v>4.37762524608749</v>
      </c>
      <c r="D59" s="458">
        <v>4.6071082144875106</v>
      </c>
      <c r="F59" s="876"/>
      <c r="G59" s="750">
        <v>183</v>
      </c>
      <c r="H59" s="752" t="s">
        <v>698</v>
      </c>
      <c r="I59" s="753">
        <v>99029415.944630861</v>
      </c>
      <c r="J59" s="753">
        <v>87448989.486755878</v>
      </c>
      <c r="K59" s="753">
        <v>186478405.43138674</v>
      </c>
      <c r="N59" s="876"/>
      <c r="O59" s="750">
        <v>183</v>
      </c>
      <c r="P59" s="752" t="s">
        <v>698</v>
      </c>
      <c r="Q59" s="753">
        <v>99029.415944630862</v>
      </c>
      <c r="R59" s="753">
        <v>87448.989486755876</v>
      </c>
      <c r="S59" s="753">
        <v>186478.40543138672</v>
      </c>
    </row>
    <row r="60" spans="1:19" ht="48">
      <c r="A60" s="546" t="s">
        <v>393</v>
      </c>
      <c r="B60" s="548">
        <v>68.345314442169467</v>
      </c>
      <c r="C60" s="548">
        <v>22.013825199262385</v>
      </c>
      <c r="D60" s="548">
        <v>90.359139641431852</v>
      </c>
      <c r="F60" s="571" t="s">
        <v>639</v>
      </c>
      <c r="G60" s="576">
        <v>184</v>
      </c>
      <c r="H60" s="571" t="s">
        <v>699</v>
      </c>
      <c r="I60" s="754">
        <v>155127923.09406</v>
      </c>
      <c r="J60" s="754">
        <v>77301349.036257491</v>
      </c>
      <c r="K60" s="754">
        <v>232429272.13031751</v>
      </c>
      <c r="N60" s="571" t="s">
        <v>639</v>
      </c>
      <c r="O60" s="576">
        <v>184</v>
      </c>
      <c r="P60" s="571" t="s">
        <v>699</v>
      </c>
      <c r="Q60" s="754">
        <v>155127.92309406001</v>
      </c>
      <c r="R60" s="754">
        <v>77301.349036257496</v>
      </c>
      <c r="S60" s="754">
        <v>232429.27213031752</v>
      </c>
    </row>
    <row r="61" spans="1:19" ht="24">
      <c r="A61" s="545" t="s">
        <v>366</v>
      </c>
      <c r="B61" s="458">
        <v>0.29735470968000044</v>
      </c>
      <c r="C61" s="458">
        <v>-1.0606740760000122E-2</v>
      </c>
      <c r="D61" s="458">
        <v>0.28674796892000032</v>
      </c>
      <c r="F61" s="752" t="s">
        <v>147</v>
      </c>
      <c r="G61" s="750" t="s">
        <v>701</v>
      </c>
      <c r="H61" s="752" t="s">
        <v>702</v>
      </c>
      <c r="I61" s="753">
        <v>53682734.760774001</v>
      </c>
      <c r="J61" s="753">
        <v>30063739.813284993</v>
      </c>
      <c r="K61" s="753">
        <v>83746474.574058995</v>
      </c>
      <c r="N61" s="752" t="s">
        <v>147</v>
      </c>
      <c r="O61" s="750" t="s">
        <v>701</v>
      </c>
      <c r="P61" s="752" t="s">
        <v>702</v>
      </c>
      <c r="Q61" s="753">
        <v>53682.734760774001</v>
      </c>
      <c r="R61" s="753">
        <v>30063.739813284992</v>
      </c>
      <c r="S61" s="753">
        <v>83746.474574058986</v>
      </c>
    </row>
    <row r="62" spans="1:19" ht="45" customHeight="1">
      <c r="A62" s="546" t="s">
        <v>363</v>
      </c>
      <c r="B62" s="548">
        <v>12.57732914117399</v>
      </c>
      <c r="C62" s="548">
        <v>17.107221044099994</v>
      </c>
      <c r="D62" s="548">
        <v>29.684550185273984</v>
      </c>
      <c r="F62" s="877" t="s">
        <v>149</v>
      </c>
      <c r="G62" s="576">
        <v>165</v>
      </c>
      <c r="H62" s="571" t="s">
        <v>703</v>
      </c>
      <c r="I62" s="754">
        <v>39510256.199904002</v>
      </c>
      <c r="J62" s="754">
        <v>19459517.460817501</v>
      </c>
      <c r="K62" s="754">
        <v>58969773.660721503</v>
      </c>
      <c r="N62" s="877" t="s">
        <v>149</v>
      </c>
      <c r="O62" s="576">
        <v>165</v>
      </c>
      <c r="P62" s="571" t="s">
        <v>703</v>
      </c>
      <c r="Q62" s="754">
        <v>39510.256199904004</v>
      </c>
      <c r="R62" s="754">
        <v>19459.5174608175</v>
      </c>
      <c r="S62" s="754">
        <v>58969.773660721505</v>
      </c>
    </row>
    <row r="63" spans="1:19">
      <c r="A63" s="545" t="s">
        <v>151</v>
      </c>
      <c r="B63" s="458">
        <v>1.7867400000071143E-4</v>
      </c>
      <c r="C63" s="458">
        <v>5.9458005852299998</v>
      </c>
      <c r="D63" s="458">
        <v>5.9459792592300005</v>
      </c>
      <c r="F63" s="877"/>
      <c r="G63" s="576">
        <v>186</v>
      </c>
      <c r="H63" s="571" t="s">
        <v>704</v>
      </c>
      <c r="I63" s="754">
        <v>2601038.2213200005</v>
      </c>
      <c r="J63" s="754">
        <v>0</v>
      </c>
      <c r="K63" s="754">
        <v>2601038.2213200005</v>
      </c>
      <c r="N63" s="877"/>
      <c r="O63" s="576">
        <v>186</v>
      </c>
      <c r="P63" s="571" t="s">
        <v>704</v>
      </c>
      <c r="Q63" s="754">
        <v>2601.0382213200005</v>
      </c>
      <c r="R63" s="754">
        <v>0</v>
      </c>
      <c r="S63" s="754">
        <v>2601.0382213200005</v>
      </c>
    </row>
    <row r="64" spans="1:19">
      <c r="A64" s="546" t="s">
        <v>147</v>
      </c>
      <c r="B64" s="548">
        <v>29.995629100542001</v>
      </c>
      <c r="C64" s="548">
        <v>7.9816626087249922</v>
      </c>
      <c r="D64" s="548">
        <v>37.977291709266993</v>
      </c>
      <c r="F64" s="752" t="s">
        <v>151</v>
      </c>
      <c r="G64" s="750">
        <v>184</v>
      </c>
      <c r="H64" s="752" t="s">
        <v>705</v>
      </c>
      <c r="I64" s="753">
        <v>28091286.883143004</v>
      </c>
      <c r="J64" s="753">
        <v>24571699.906145003</v>
      </c>
      <c r="K64" s="753">
        <v>52662986.789288007</v>
      </c>
      <c r="N64" s="752" t="s">
        <v>151</v>
      </c>
      <c r="O64" s="750">
        <v>184</v>
      </c>
      <c r="P64" s="752" t="s">
        <v>705</v>
      </c>
      <c r="Q64" s="753">
        <v>28091.286883143002</v>
      </c>
      <c r="R64" s="753">
        <v>24571.699906145004</v>
      </c>
      <c r="S64" s="753">
        <v>52662.986789288007</v>
      </c>
    </row>
    <row r="65" spans="1:19" ht="24">
      <c r="A65" s="545" t="s">
        <v>364</v>
      </c>
      <c r="B65" s="458">
        <v>19.069805142318</v>
      </c>
      <c r="C65" s="458">
        <v>1.4246665513850054</v>
      </c>
      <c r="D65" s="458">
        <v>20.494471693703005</v>
      </c>
      <c r="F65" s="571" t="s">
        <v>153</v>
      </c>
      <c r="G65" s="576">
        <v>192</v>
      </c>
      <c r="H65" s="571" t="s">
        <v>706</v>
      </c>
      <c r="I65" s="754">
        <v>55086301.063751996</v>
      </c>
      <c r="J65" s="754">
        <v>61254983.5678</v>
      </c>
      <c r="K65" s="754">
        <v>116341284.631552</v>
      </c>
      <c r="N65" s="571" t="s">
        <v>153</v>
      </c>
      <c r="O65" s="576">
        <v>192</v>
      </c>
      <c r="P65" s="571" t="s">
        <v>706</v>
      </c>
      <c r="Q65" s="754">
        <v>55086.301063751998</v>
      </c>
      <c r="R65" s="754">
        <v>61254.983567800002</v>
      </c>
      <c r="S65" s="754">
        <v>116341.284631552</v>
      </c>
    </row>
    <row r="66" spans="1:19" ht="24">
      <c r="A66" s="546" t="s">
        <v>365</v>
      </c>
      <c r="B66" s="548">
        <v>0</v>
      </c>
      <c r="C66" s="548">
        <v>5.6442984129949982</v>
      </c>
      <c r="D66" s="548">
        <v>5.6442984129949982</v>
      </c>
      <c r="F66" s="752" t="s">
        <v>155</v>
      </c>
      <c r="G66" s="750">
        <v>189</v>
      </c>
      <c r="H66" s="752" t="s">
        <v>707</v>
      </c>
      <c r="I66" s="753">
        <v>45360820.664333999</v>
      </c>
      <c r="J66" s="753">
        <v>30438473.286925003</v>
      </c>
      <c r="K66" s="753">
        <v>75799293.951259002</v>
      </c>
      <c r="N66" s="752" t="s">
        <v>155</v>
      </c>
      <c r="O66" s="750">
        <v>189</v>
      </c>
      <c r="P66" s="752" t="s">
        <v>707</v>
      </c>
      <c r="Q66" s="753">
        <v>45360.820664334002</v>
      </c>
      <c r="R66" s="753">
        <v>30438.473286925004</v>
      </c>
      <c r="S66" s="753">
        <v>75799.293951259009</v>
      </c>
    </row>
    <row r="67" spans="1:19" ht="48">
      <c r="A67" s="545" t="s">
        <v>369</v>
      </c>
      <c r="B67" s="458">
        <v>3.2558176560000005</v>
      </c>
      <c r="C67" s="458">
        <v>0</v>
      </c>
      <c r="D67" s="458">
        <v>3.2558176560000005</v>
      </c>
      <c r="F67" s="571" t="s">
        <v>157</v>
      </c>
      <c r="G67" s="576">
        <v>164</v>
      </c>
      <c r="H67" s="571" t="s">
        <v>708</v>
      </c>
      <c r="I67" s="754">
        <v>12126857.904420001</v>
      </c>
      <c r="J67" s="754">
        <v>12882432.196479999</v>
      </c>
      <c r="K67" s="754">
        <v>25009290.100900002</v>
      </c>
      <c r="N67" s="571" t="s">
        <v>157</v>
      </c>
      <c r="O67" s="576">
        <v>164</v>
      </c>
      <c r="P67" s="571" t="s">
        <v>708</v>
      </c>
      <c r="Q67" s="754">
        <v>12126.857904420001</v>
      </c>
      <c r="R67" s="754">
        <v>12882.432196479998</v>
      </c>
      <c r="S67" s="754">
        <v>25009.290100899998</v>
      </c>
    </row>
    <row r="68" spans="1:19">
      <c r="A68" s="545" t="s">
        <v>770</v>
      </c>
      <c r="B68" s="458"/>
      <c r="C68" s="458"/>
      <c r="D68" s="458"/>
      <c r="F68" s="752" t="s">
        <v>159</v>
      </c>
      <c r="G68" s="750">
        <v>193</v>
      </c>
      <c r="H68" s="752" t="s">
        <v>709</v>
      </c>
      <c r="I68" s="753">
        <v>7348073.8800000008</v>
      </c>
      <c r="J68" s="753">
        <v>0</v>
      </c>
      <c r="K68" s="753">
        <v>7348073.8800000008</v>
      </c>
      <c r="N68" s="752" t="s">
        <v>159</v>
      </c>
      <c r="O68" s="750">
        <v>193</v>
      </c>
      <c r="P68" s="752" t="s">
        <v>709</v>
      </c>
      <c r="Q68" s="753">
        <v>7348.0738800000008</v>
      </c>
      <c r="R68" s="753">
        <v>0</v>
      </c>
      <c r="S68" s="753">
        <v>7348.0738800000008</v>
      </c>
    </row>
    <row r="69" spans="1:19" ht="15" customHeight="1">
      <c r="A69" s="546" t="s">
        <v>274</v>
      </c>
      <c r="B69" s="548">
        <v>0.60643434600000001</v>
      </c>
      <c r="C69" s="548">
        <v>0.96106821965000044</v>
      </c>
      <c r="D69" s="548">
        <v>1.5675025656500003</v>
      </c>
      <c r="F69" s="877" t="s">
        <v>756</v>
      </c>
      <c r="G69" s="877"/>
      <c r="H69" s="571"/>
      <c r="I69" s="754">
        <v>606434.34600000002</v>
      </c>
      <c r="J69" s="754">
        <v>3871309.6405499997</v>
      </c>
      <c r="K69" s="754">
        <v>4477743.9865499996</v>
      </c>
      <c r="N69" s="877" t="s">
        <v>756</v>
      </c>
      <c r="O69" s="877"/>
      <c r="P69" s="571"/>
      <c r="Q69" s="754">
        <v>606.43434600000001</v>
      </c>
      <c r="R69" s="754">
        <v>3871.3096405499996</v>
      </c>
      <c r="S69" s="754">
        <v>4477.74398655</v>
      </c>
    </row>
    <row r="70" spans="1:19">
      <c r="A70" s="547" t="s">
        <v>1</v>
      </c>
      <c r="B70" s="633">
        <v>134.37734618028347</v>
      </c>
      <c r="C70" s="633">
        <v>65.44556112667486</v>
      </c>
      <c r="D70" s="633">
        <v>199.82290730695834</v>
      </c>
      <c r="F70" s="632" t="s">
        <v>1</v>
      </c>
      <c r="G70" s="633"/>
      <c r="H70" s="633"/>
      <c r="I70" s="633">
        <v>562740233.03513741</v>
      </c>
      <c r="J70" s="633">
        <v>402837403.64747483</v>
      </c>
      <c r="K70" s="633">
        <v>965577636.68261254</v>
      </c>
      <c r="N70" s="755" t="s">
        <v>1</v>
      </c>
      <c r="O70" s="756"/>
      <c r="P70" s="756"/>
      <c r="Q70" s="756">
        <v>562740.23303513753</v>
      </c>
      <c r="R70" s="756">
        <v>402837.40364747489</v>
      </c>
      <c r="S70" s="756">
        <v>965577.63668261236</v>
      </c>
    </row>
    <row r="72" spans="1:19">
      <c r="B72" s="635">
        <v>134.37734618028355</v>
      </c>
      <c r="C72" s="635">
        <v>65.445561126674875</v>
      </c>
      <c r="D72" s="635"/>
      <c r="G72" s="635"/>
      <c r="H72" s="635"/>
      <c r="O72" s="635"/>
      <c r="P72" s="635"/>
    </row>
    <row r="73" spans="1:19">
      <c r="A73" s="628" t="s">
        <v>236</v>
      </c>
      <c r="B73" s="635">
        <v>0</v>
      </c>
      <c r="C73" s="635">
        <v>0</v>
      </c>
      <c r="G73" s="635"/>
      <c r="H73" s="635"/>
      <c r="O73" s="635"/>
      <c r="P73" s="635"/>
    </row>
    <row r="76" spans="1:19">
      <c r="A76" s="878" t="s">
        <v>71</v>
      </c>
      <c r="B76" s="544" t="s">
        <v>660</v>
      </c>
      <c r="C76" s="544" t="s">
        <v>662</v>
      </c>
      <c r="D76" s="854" t="s">
        <v>1</v>
      </c>
    </row>
    <row r="77" spans="1:19" ht="12.5" thickBot="1">
      <c r="A77" s="879"/>
      <c r="B77" s="342" t="s">
        <v>661</v>
      </c>
      <c r="C77" s="342" t="s">
        <v>661</v>
      </c>
      <c r="D77" s="880"/>
    </row>
    <row r="78" spans="1:19" ht="12.5" thickTop="1">
      <c r="A78" s="546" t="s">
        <v>393</v>
      </c>
      <c r="B78" s="548">
        <v>68.345314442169467</v>
      </c>
      <c r="C78" s="548">
        <v>22.013825199262385</v>
      </c>
      <c r="D78" s="548">
        <v>90.359139641431852</v>
      </c>
    </row>
    <row r="79" spans="1:19">
      <c r="A79" s="546" t="s">
        <v>363</v>
      </c>
      <c r="B79" s="548">
        <v>12.57732914117399</v>
      </c>
      <c r="C79" s="548">
        <v>17.107221044099994</v>
      </c>
      <c r="D79" s="548">
        <v>29.684550185273984</v>
      </c>
    </row>
    <row r="80" spans="1:19">
      <c r="A80" s="546" t="s">
        <v>147</v>
      </c>
      <c r="B80" s="548">
        <v>29.995629100542001</v>
      </c>
      <c r="C80" s="548">
        <v>7.9816626087249922</v>
      </c>
      <c r="D80" s="548">
        <v>37.977291709266993</v>
      </c>
    </row>
    <row r="81" spans="1:4">
      <c r="A81" s="545" t="s">
        <v>364</v>
      </c>
      <c r="B81" s="458">
        <v>19.069805142318</v>
      </c>
      <c r="C81" s="458">
        <v>1.4246665513850054</v>
      </c>
      <c r="D81" s="458">
        <v>20.494471693703005</v>
      </c>
    </row>
    <row r="82" spans="1:4">
      <c r="A82" s="546" t="s">
        <v>365</v>
      </c>
      <c r="B82" s="548">
        <v>0</v>
      </c>
      <c r="C82" s="548">
        <v>5.6442984129949982</v>
      </c>
      <c r="D82" s="548">
        <v>5.6442984129949982</v>
      </c>
    </row>
    <row r="83" spans="1:4">
      <c r="A83" s="545" t="s">
        <v>369</v>
      </c>
      <c r="B83" s="458">
        <v>3.2558176560000005</v>
      </c>
      <c r="C83" s="458">
        <v>0</v>
      </c>
      <c r="D83" s="458">
        <v>3.2558176560000005</v>
      </c>
    </row>
    <row r="84" spans="1:4">
      <c r="A84" s="545" t="s">
        <v>770</v>
      </c>
      <c r="B84" s="458">
        <v>0</v>
      </c>
      <c r="C84" s="458">
        <v>0</v>
      </c>
      <c r="D84" s="458">
        <v>0</v>
      </c>
    </row>
    <row r="85" spans="1:4">
      <c r="A85" s="546" t="s">
        <v>274</v>
      </c>
      <c r="B85" s="548">
        <v>0.60643434600000001</v>
      </c>
      <c r="C85" s="548">
        <v>0.96106821965000044</v>
      </c>
      <c r="D85" s="548">
        <v>1.5675025656500003</v>
      </c>
    </row>
    <row r="86" spans="1:4">
      <c r="A86" s="547" t="s">
        <v>1</v>
      </c>
      <c r="B86" s="633">
        <v>133.85032982820346</v>
      </c>
      <c r="C86" s="633">
        <v>55.132742036117378</v>
      </c>
      <c r="D86" s="633">
        <v>188.98307186432086</v>
      </c>
    </row>
  </sheetData>
  <autoFilter ref="A25:C36" xr:uid="{22AABDBB-2945-4A99-8045-5A25E81E00AC}">
    <sortState xmlns:xlrd2="http://schemas.microsoft.com/office/spreadsheetml/2017/richdata2" ref="A26:C36">
      <sortCondition descending="1" ref="B25:B36"/>
    </sortState>
  </autoFilter>
  <mergeCells count="10">
    <mergeCell ref="A76:A77"/>
    <mergeCell ref="D76:D77"/>
    <mergeCell ref="F58:F59"/>
    <mergeCell ref="F62:F63"/>
    <mergeCell ref="F69:G69"/>
    <mergeCell ref="N58:N59"/>
    <mergeCell ref="N62:N63"/>
    <mergeCell ref="N69:O69"/>
    <mergeCell ref="A57:A58"/>
    <mergeCell ref="D57:D5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773F-0AA9-4E4C-B27D-CF0C323A55DC}">
  <sheetPr codeName="Feuil79"/>
  <dimension ref="A3:E11"/>
  <sheetViews>
    <sheetView zoomScaleNormal="100" workbookViewId="0">
      <selection activeCell="E10" sqref="E10"/>
    </sheetView>
  </sheetViews>
  <sheetFormatPr baseColWidth="10" defaultColWidth="11.453125" defaultRowHeight="14.5"/>
  <cols>
    <col min="1" max="1" width="11.453125" style="194"/>
    <col min="2" max="2" width="42.7265625" style="194" bestFit="1" customWidth="1"/>
    <col min="3" max="4" width="21.54296875" style="194" customWidth="1"/>
    <col min="5" max="5" width="11.453125" style="194"/>
    <col min="6" max="6" width="21.54296875" style="194" bestFit="1" customWidth="1"/>
    <col min="7" max="9" width="11.453125" style="194"/>
    <col min="10" max="10" width="12.54296875" style="194" bestFit="1" customWidth="1"/>
    <col min="11" max="16384" width="11.453125" style="194"/>
  </cols>
  <sheetData>
    <row r="3" spans="1:5" ht="15.5">
      <c r="B3" s="609" t="s">
        <v>789</v>
      </c>
    </row>
    <row r="5" spans="1:5" ht="23.5" thickBot="1">
      <c r="B5" s="521" t="s">
        <v>78</v>
      </c>
      <c r="C5" s="476" t="s">
        <v>253</v>
      </c>
      <c r="D5" s="476" t="s">
        <v>254</v>
      </c>
      <c r="E5" s="476" t="s">
        <v>255</v>
      </c>
    </row>
    <row r="6" spans="1:5" ht="15" thickTop="1">
      <c r="A6" s="5" t="s">
        <v>145</v>
      </c>
      <c r="B6" s="523" t="s">
        <v>249</v>
      </c>
      <c r="C6" s="524">
        <f>SUMIF('Reporting by Comp'!L:L,'Tableau-(51)'!A6,'Reporting by Comp'!I:I)/1000000</f>
        <v>847.182456</v>
      </c>
      <c r="D6" s="524">
        <f>+'Tableau (1)'!B16</f>
        <v>5504.3518483676253</v>
      </c>
      <c r="E6" s="525">
        <f>+C6/D6</f>
        <v>0.15391139217440125</v>
      </c>
    </row>
    <row r="7" spans="1:5">
      <c r="A7" s="5" t="s">
        <v>79</v>
      </c>
      <c r="B7" s="526" t="s">
        <v>250</v>
      </c>
      <c r="C7" s="527">
        <f>SUMIF('Reporting by Comp'!L:L,'Tableau-(51)'!A7,'Reporting by Comp'!I:I)/1000000</f>
        <v>421.28697922500004</v>
      </c>
      <c r="D7" s="527">
        <f>+'Tableau (1)'!B17</f>
        <v>1998.1761285049997</v>
      </c>
      <c r="E7" s="528">
        <f t="shared" ref="E7:E8" si="0">+C7/D7</f>
        <v>0.2108357582773244</v>
      </c>
    </row>
    <row r="8" spans="1:5">
      <c r="A8" s="5" t="s">
        <v>163</v>
      </c>
      <c r="B8" s="523" t="s">
        <v>251</v>
      </c>
      <c r="C8" s="524">
        <f>SUMIF('Reporting by Comp'!L:L,'Tableau-(51)'!A8,'Reporting by Comp'!I:I)/1000000</f>
        <v>0</v>
      </c>
      <c r="D8" s="524">
        <f>+'Tableau (1)'!B18</f>
        <v>161.57451900000001</v>
      </c>
      <c r="E8" s="525">
        <f t="shared" si="0"/>
        <v>0</v>
      </c>
    </row>
    <row r="9" spans="1:5">
      <c r="B9" s="529" t="s">
        <v>252</v>
      </c>
      <c r="C9" s="530">
        <f>SUM(C6:C8)</f>
        <v>1268.4694352250001</v>
      </c>
      <c r="D9" s="530">
        <f>SUM(D6:D8)</f>
        <v>7664.1024958726248</v>
      </c>
      <c r="E9" s="534">
        <f>+C9/D9</f>
        <v>0.16550789031176361</v>
      </c>
    </row>
    <row r="11" spans="1:5">
      <c r="C11" s="499"/>
      <c r="D11" s="2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FF0C-6FEB-4D25-97CF-6154D83905B2}">
  <sheetPr codeName="Feuil86">
    <tabColor rgb="FF7030A0"/>
  </sheetPr>
  <dimension ref="A1:BR42"/>
  <sheetViews>
    <sheetView tabSelected="1" zoomScale="115" zoomScaleNormal="115" workbookViewId="0">
      <pane xSplit="1" topLeftCell="B1" activePane="topRight" state="frozen"/>
      <selection pane="topRight"/>
    </sheetView>
  </sheetViews>
  <sheetFormatPr baseColWidth="10" defaultRowHeight="12.5"/>
  <cols>
    <col min="1" max="1" width="53" customWidth="1"/>
    <col min="2" max="36" width="16.54296875" style="376" customWidth="1"/>
    <col min="37" max="37" width="19.26953125" style="376" customWidth="1"/>
    <col min="38" max="44" width="16.54296875" style="376" customWidth="1"/>
    <col min="45" max="45" width="17.26953125" style="376" customWidth="1"/>
    <col min="46" max="65" width="16.54296875" style="376" customWidth="1"/>
    <col min="66" max="67" width="16.54296875" style="376" bestFit="1" customWidth="1"/>
    <col min="68" max="68" width="16.7265625" style="376" bestFit="1" customWidth="1"/>
    <col min="69" max="69" width="17.1796875" bestFit="1" customWidth="1"/>
    <col min="70" max="70" width="15.81640625" bestFit="1" customWidth="1"/>
  </cols>
  <sheetData>
    <row r="1" spans="1:69">
      <c r="B1" s="784">
        <v>334703047.315</v>
      </c>
      <c r="C1" s="784"/>
      <c r="D1" s="784"/>
      <c r="E1" s="784"/>
      <c r="F1" s="784"/>
      <c r="G1" s="784"/>
      <c r="H1" s="784"/>
      <c r="I1" s="784"/>
      <c r="J1" s="784"/>
      <c r="K1" s="784">
        <v>37040260.225000001</v>
      </c>
      <c r="L1" s="784"/>
      <c r="M1" s="784">
        <v>28708606.557499997</v>
      </c>
      <c r="N1" s="784"/>
      <c r="O1" s="784"/>
      <c r="P1" s="784" t="s">
        <v>823</v>
      </c>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784"/>
      <c r="AT1" s="784"/>
      <c r="AU1" s="784"/>
      <c r="AV1" s="784"/>
      <c r="AW1" s="785">
        <v>400451914.09750003</v>
      </c>
      <c r="AX1" s="784"/>
      <c r="AY1" s="784"/>
      <c r="AZ1" s="784"/>
      <c r="BA1" s="784">
        <v>397672685.65347195</v>
      </c>
      <c r="BB1" s="784"/>
      <c r="BC1" s="784">
        <v>533643384.54518974</v>
      </c>
      <c r="BD1" s="784"/>
      <c r="BE1" s="784"/>
      <c r="BF1" s="784"/>
      <c r="BG1" s="784"/>
      <c r="BH1" s="784"/>
      <c r="BI1" s="784"/>
      <c r="BJ1" s="784"/>
      <c r="BK1" s="784"/>
      <c r="BL1" s="784"/>
      <c r="BM1" s="785">
        <v>931316070.19866168</v>
      </c>
      <c r="BN1" s="784"/>
      <c r="BO1" s="784"/>
      <c r="BP1" s="785">
        <v>0</v>
      </c>
      <c r="BQ1" s="785">
        <v>1331767984.2961617</v>
      </c>
    </row>
    <row r="2" spans="1:69" ht="12.75" customHeight="1">
      <c r="A2" s="849" t="s">
        <v>241</v>
      </c>
      <c r="B2" s="845" t="s">
        <v>117</v>
      </c>
      <c r="C2" s="845" t="s">
        <v>119</v>
      </c>
      <c r="D2" s="845" t="s">
        <v>121</v>
      </c>
      <c r="E2" s="845" t="s">
        <v>123</v>
      </c>
      <c r="F2" s="845" t="s">
        <v>124</v>
      </c>
      <c r="G2" s="845" t="s">
        <v>126</v>
      </c>
      <c r="H2" s="845" t="s">
        <v>127</v>
      </c>
      <c r="I2" s="845" t="s">
        <v>129</v>
      </c>
      <c r="J2" s="845" t="s">
        <v>130</v>
      </c>
      <c r="K2" s="845" t="s">
        <v>132</v>
      </c>
      <c r="L2" s="845" t="s">
        <v>134</v>
      </c>
      <c r="M2" s="845" t="s">
        <v>136</v>
      </c>
      <c r="N2" s="845" t="s">
        <v>138</v>
      </c>
      <c r="O2" s="845" t="s">
        <v>139</v>
      </c>
      <c r="P2" s="845" t="s">
        <v>140</v>
      </c>
      <c r="Q2" s="845" t="s">
        <v>142</v>
      </c>
      <c r="R2" s="845" t="s">
        <v>624</v>
      </c>
      <c r="S2" s="845" t="s">
        <v>625</v>
      </c>
      <c r="T2" s="845" t="s">
        <v>626</v>
      </c>
      <c r="U2" s="845" t="s">
        <v>627</v>
      </c>
      <c r="V2" s="845" t="s">
        <v>628</v>
      </c>
      <c r="W2" s="845" t="s">
        <v>629</v>
      </c>
      <c r="X2" s="845" t="s">
        <v>630</v>
      </c>
      <c r="Y2" s="845" t="s">
        <v>631</v>
      </c>
      <c r="Z2" s="845" t="s">
        <v>632</v>
      </c>
      <c r="AA2" s="845" t="s">
        <v>633</v>
      </c>
      <c r="AB2" s="845" t="s">
        <v>634</v>
      </c>
      <c r="AC2" s="845" t="s">
        <v>635</v>
      </c>
      <c r="AD2" s="845" t="s">
        <v>636</v>
      </c>
      <c r="AE2" s="845" t="s">
        <v>637</v>
      </c>
      <c r="AF2" s="845" t="s">
        <v>638</v>
      </c>
      <c r="AG2" s="845" t="s">
        <v>375</v>
      </c>
      <c r="AH2" s="845" t="s">
        <v>641</v>
      </c>
      <c r="AI2" s="845" t="s">
        <v>380</v>
      </c>
      <c r="AJ2" s="845" t="s">
        <v>381</v>
      </c>
      <c r="AK2" s="845" t="s">
        <v>642</v>
      </c>
      <c r="AL2" s="845" t="s">
        <v>359</v>
      </c>
      <c r="AM2" s="845" t="s">
        <v>358</v>
      </c>
      <c r="AN2" s="845" t="s">
        <v>643</v>
      </c>
      <c r="AO2" s="845" t="s">
        <v>644</v>
      </c>
      <c r="AP2" s="845" t="s">
        <v>645</v>
      </c>
      <c r="AQ2" s="845" t="s">
        <v>646</v>
      </c>
      <c r="AR2" s="845" t="s">
        <v>647</v>
      </c>
      <c r="AS2" s="845" t="s">
        <v>553</v>
      </c>
      <c r="AT2" s="845" t="s">
        <v>648</v>
      </c>
      <c r="AU2" s="845" t="s">
        <v>649</v>
      </c>
      <c r="AV2" s="845" t="s">
        <v>748</v>
      </c>
      <c r="AW2" s="847" t="s">
        <v>617</v>
      </c>
      <c r="AX2" s="845" t="s">
        <v>143</v>
      </c>
      <c r="AY2" s="845" t="s">
        <v>639</v>
      </c>
      <c r="AZ2" s="845" t="s">
        <v>147</v>
      </c>
      <c r="BA2" s="845" t="s">
        <v>149</v>
      </c>
      <c r="BB2" s="845" t="s">
        <v>151</v>
      </c>
      <c r="BC2" s="845" t="s">
        <v>153</v>
      </c>
      <c r="BD2" s="845" t="s">
        <v>155</v>
      </c>
      <c r="BE2" s="845" t="s">
        <v>157</v>
      </c>
      <c r="BF2" s="845" t="s">
        <v>159</v>
      </c>
      <c r="BG2" s="845" t="s">
        <v>395</v>
      </c>
      <c r="BH2" s="845" t="s">
        <v>622</v>
      </c>
      <c r="BI2" s="845" t="s">
        <v>623</v>
      </c>
      <c r="BJ2" s="845" t="s">
        <v>370</v>
      </c>
      <c r="BK2" s="845" t="s">
        <v>394</v>
      </c>
      <c r="BL2" s="845" t="s">
        <v>368</v>
      </c>
      <c r="BM2" s="847" t="s">
        <v>620</v>
      </c>
      <c r="BN2" s="845" t="s">
        <v>161</v>
      </c>
      <c r="BO2" s="845" t="s">
        <v>340</v>
      </c>
      <c r="BP2" s="847" t="s">
        <v>621</v>
      </c>
      <c r="BQ2" s="847" t="s">
        <v>650</v>
      </c>
    </row>
    <row r="3" spans="1:69" ht="12.75" customHeight="1">
      <c r="A3" s="849"/>
      <c r="B3" s="845"/>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7"/>
      <c r="AX3" s="845"/>
      <c r="AY3" s="845"/>
      <c r="AZ3" s="845"/>
      <c r="BA3" s="845"/>
      <c r="BB3" s="845"/>
      <c r="BC3" s="845"/>
      <c r="BD3" s="845"/>
      <c r="BE3" s="845"/>
      <c r="BF3" s="845"/>
      <c r="BG3" s="845"/>
      <c r="BH3" s="845"/>
      <c r="BI3" s="845"/>
      <c r="BJ3" s="845"/>
      <c r="BK3" s="845"/>
      <c r="BL3" s="845"/>
      <c r="BM3" s="847"/>
      <c r="BN3" s="845"/>
      <c r="BO3" s="845"/>
      <c r="BP3" s="847"/>
      <c r="BQ3" s="847"/>
    </row>
    <row r="4" spans="1:69" ht="13" thickBot="1">
      <c r="A4" s="850"/>
      <c r="B4" s="846"/>
      <c r="C4" s="846"/>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8"/>
      <c r="AX4" s="846"/>
      <c r="AY4" s="846"/>
      <c r="AZ4" s="846"/>
      <c r="BA4" s="846"/>
      <c r="BB4" s="846"/>
      <c r="BC4" s="846"/>
      <c r="BD4" s="846"/>
      <c r="BE4" s="846"/>
      <c r="BF4" s="846"/>
      <c r="BG4" s="846"/>
      <c r="BH4" s="846"/>
      <c r="BI4" s="846"/>
      <c r="BJ4" s="846"/>
      <c r="BK4" s="846"/>
      <c r="BL4" s="846"/>
      <c r="BM4" s="848"/>
      <c r="BN4" s="846"/>
      <c r="BO4" s="846"/>
      <c r="BP4" s="848"/>
      <c r="BQ4" s="848"/>
    </row>
    <row r="5" spans="1:69" s="482" customFormat="1" ht="14" thickTop="1">
      <c r="A5" s="480" t="s">
        <v>81</v>
      </c>
      <c r="B5" s="481">
        <v>138909783</v>
      </c>
      <c r="C5" s="481">
        <v>12560753</v>
      </c>
      <c r="D5" s="481">
        <v>10226536</v>
      </c>
      <c r="E5" s="481">
        <v>2460000</v>
      </c>
      <c r="F5" s="481">
        <v>4860225</v>
      </c>
      <c r="G5" s="481">
        <v>0</v>
      </c>
      <c r="H5" s="481">
        <v>983250</v>
      </c>
      <c r="I5" s="481">
        <v>0</v>
      </c>
      <c r="J5" s="481">
        <v>3360000</v>
      </c>
      <c r="K5" s="481">
        <v>27354989</v>
      </c>
      <c r="L5" s="481">
        <v>4415026</v>
      </c>
      <c r="M5" s="481">
        <v>20946905</v>
      </c>
      <c r="N5" s="481">
        <v>0</v>
      </c>
      <c r="O5" s="481">
        <v>0</v>
      </c>
      <c r="P5" s="481">
        <v>2778116</v>
      </c>
      <c r="Q5" s="481">
        <v>0</v>
      </c>
      <c r="R5" s="481">
        <v>3067500</v>
      </c>
      <c r="S5" s="481">
        <v>1612844</v>
      </c>
      <c r="T5" s="481">
        <v>1827890</v>
      </c>
      <c r="U5" s="481">
        <v>225000</v>
      </c>
      <c r="V5" s="481">
        <v>1956000</v>
      </c>
      <c r="W5" s="481">
        <v>2160000</v>
      </c>
      <c r="X5" s="481">
        <v>990000</v>
      </c>
      <c r="Y5" s="481">
        <v>11960597</v>
      </c>
      <c r="Z5" s="481">
        <v>339000</v>
      </c>
      <c r="AA5" s="481">
        <v>930000</v>
      </c>
      <c r="AB5" s="481">
        <v>660000</v>
      </c>
      <c r="AC5" s="481">
        <v>9458409</v>
      </c>
      <c r="AD5" s="481">
        <v>930000</v>
      </c>
      <c r="AE5" s="481">
        <v>256250</v>
      </c>
      <c r="AF5" s="481">
        <v>225000</v>
      </c>
      <c r="AG5" s="481">
        <v>0</v>
      </c>
      <c r="AH5" s="481">
        <v>0</v>
      </c>
      <c r="AI5" s="481">
        <v>0</v>
      </c>
      <c r="AJ5" s="481">
        <v>0</v>
      </c>
      <c r="AK5" s="481">
        <v>0</v>
      </c>
      <c r="AL5" s="481">
        <v>0</v>
      </c>
      <c r="AM5" s="481">
        <v>0</v>
      </c>
      <c r="AN5" s="481">
        <v>0</v>
      </c>
      <c r="AO5" s="481">
        <v>0</v>
      </c>
      <c r="AP5" s="481">
        <v>0</v>
      </c>
      <c r="AQ5" s="481">
        <v>0</v>
      </c>
      <c r="AR5" s="481">
        <v>0</v>
      </c>
      <c r="AS5" s="481">
        <v>0</v>
      </c>
      <c r="AT5" s="481">
        <v>0</v>
      </c>
      <c r="AU5" s="481">
        <v>0</v>
      </c>
      <c r="AV5" s="481"/>
      <c r="AW5" s="481">
        <v>265454073</v>
      </c>
      <c r="AX5" s="481">
        <v>704359045.85714293</v>
      </c>
      <c r="AY5" s="481">
        <v>446644063.14285713</v>
      </c>
      <c r="AZ5" s="481">
        <v>328330372.14285713</v>
      </c>
      <c r="BA5" s="481">
        <v>227378867.42857143</v>
      </c>
      <c r="BB5" s="481">
        <v>209575851</v>
      </c>
      <c r="BC5" s="481">
        <v>197782837.71428573</v>
      </c>
      <c r="BD5" s="481">
        <v>228841667</v>
      </c>
      <c r="BE5" s="481">
        <v>167413682.14285713</v>
      </c>
      <c r="BF5" s="481">
        <v>6922555</v>
      </c>
      <c r="BG5" s="481">
        <v>62515311</v>
      </c>
      <c r="BH5" s="481">
        <v>111742000</v>
      </c>
      <c r="BI5" s="481">
        <v>3229508</v>
      </c>
      <c r="BJ5" s="481">
        <v>140529.64799999999</v>
      </c>
      <c r="BK5" s="481">
        <v>834427.05637499993</v>
      </c>
      <c r="BL5" s="481">
        <v>1145591.228475</v>
      </c>
      <c r="BM5" s="481">
        <v>2696856308.3614211</v>
      </c>
      <c r="BN5" s="481">
        <v>0</v>
      </c>
      <c r="BO5" s="481">
        <v>0</v>
      </c>
      <c r="BP5" s="481">
        <v>0</v>
      </c>
      <c r="BQ5" s="481">
        <v>2962310381.3614211</v>
      </c>
    </row>
    <row r="6" spans="1:69" s="482" customFormat="1" ht="13.5">
      <c r="A6" s="483" t="s">
        <v>243</v>
      </c>
      <c r="B6" s="484">
        <v>0</v>
      </c>
      <c r="C6" s="484">
        <v>0</v>
      </c>
      <c r="D6" s="484">
        <v>0</v>
      </c>
      <c r="E6" s="484">
        <v>0</v>
      </c>
      <c r="F6" s="484">
        <v>0</v>
      </c>
      <c r="G6" s="484">
        <v>0</v>
      </c>
      <c r="H6" s="484">
        <v>0</v>
      </c>
      <c r="I6" s="484">
        <v>0</v>
      </c>
      <c r="J6" s="484">
        <v>0</v>
      </c>
      <c r="K6" s="484">
        <v>0</v>
      </c>
      <c r="L6" s="484">
        <v>0</v>
      </c>
      <c r="M6" s="484">
        <v>0</v>
      </c>
      <c r="N6" s="484">
        <v>0</v>
      </c>
      <c r="O6" s="484">
        <v>0</v>
      </c>
      <c r="P6" s="484">
        <v>0</v>
      </c>
      <c r="Q6" s="484">
        <v>0</v>
      </c>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484"/>
      <c r="AT6" s="484"/>
      <c r="AU6" s="484"/>
      <c r="AV6" s="484"/>
      <c r="AW6" s="484">
        <v>0</v>
      </c>
      <c r="AX6" s="484">
        <v>217610186</v>
      </c>
      <c r="AY6" s="484">
        <v>213737947</v>
      </c>
      <c r="AZ6" s="484">
        <v>74046690</v>
      </c>
      <c r="BA6" s="484">
        <v>46129256</v>
      </c>
      <c r="BB6" s="484">
        <v>36559791</v>
      </c>
      <c r="BC6" s="484">
        <v>73448408</v>
      </c>
      <c r="BD6" s="484">
        <v>53077667</v>
      </c>
      <c r="BE6" s="484">
        <v>17284886</v>
      </c>
      <c r="BF6" s="484">
        <v>6135635</v>
      </c>
      <c r="BG6" s="484"/>
      <c r="BH6" s="484"/>
      <c r="BI6" s="484"/>
      <c r="BJ6" s="484">
        <v>140529.64799999999</v>
      </c>
      <c r="BK6" s="484"/>
      <c r="BL6" s="484">
        <v>668049.48</v>
      </c>
      <c r="BM6" s="484">
        <v>738839045.12800002</v>
      </c>
      <c r="BN6" s="484">
        <v>0</v>
      </c>
      <c r="BO6" s="484">
        <v>0</v>
      </c>
      <c r="BP6" s="484">
        <v>0</v>
      </c>
      <c r="BQ6" s="484">
        <v>738839045.12800002</v>
      </c>
    </row>
    <row r="7" spans="1:69" s="482" customFormat="1" ht="13.5">
      <c r="A7" s="485" t="s">
        <v>265</v>
      </c>
      <c r="B7" s="486">
        <v>12000000</v>
      </c>
      <c r="C7" s="486">
        <v>0</v>
      </c>
      <c r="D7" s="486">
        <v>0</v>
      </c>
      <c r="E7" s="486">
        <v>0</v>
      </c>
      <c r="F7" s="486">
        <v>0</v>
      </c>
      <c r="G7" s="486">
        <v>0</v>
      </c>
      <c r="H7" s="486">
        <v>0</v>
      </c>
      <c r="I7" s="486">
        <v>0</v>
      </c>
      <c r="J7" s="486">
        <v>0</v>
      </c>
      <c r="K7" s="486">
        <v>0</v>
      </c>
      <c r="L7" s="486">
        <v>0</v>
      </c>
      <c r="M7" s="486">
        <v>14400000</v>
      </c>
      <c r="N7" s="486">
        <v>0</v>
      </c>
      <c r="O7" s="486">
        <v>0</v>
      </c>
      <c r="P7" s="486">
        <v>0</v>
      </c>
      <c r="Q7" s="486">
        <v>0</v>
      </c>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v>26400000</v>
      </c>
      <c r="AX7" s="486">
        <v>325402842.85714287</v>
      </c>
      <c r="AY7" s="486">
        <v>112713557.14285713</v>
      </c>
      <c r="AZ7" s="486">
        <v>203968157.14285713</v>
      </c>
      <c r="BA7" s="486">
        <v>90843621.428571433</v>
      </c>
      <c r="BB7" s="486">
        <v>104338800</v>
      </c>
      <c r="BC7" s="486">
        <v>35482795.714285716</v>
      </c>
      <c r="BD7" s="486">
        <v>173169000</v>
      </c>
      <c r="BE7" s="486">
        <v>123059957.14285713</v>
      </c>
      <c r="BF7" s="486">
        <v>0</v>
      </c>
      <c r="BG7" s="486">
        <v>50234200</v>
      </c>
      <c r="BH7" s="486">
        <v>110817000</v>
      </c>
      <c r="BI7" s="486"/>
      <c r="BJ7" s="486"/>
      <c r="BK7" s="486"/>
      <c r="BL7" s="486"/>
      <c r="BM7" s="486">
        <v>1330029931.4285715</v>
      </c>
      <c r="BN7" s="486">
        <v>0</v>
      </c>
      <c r="BO7" s="486">
        <v>0</v>
      </c>
      <c r="BP7" s="486">
        <v>0</v>
      </c>
      <c r="BQ7" s="486">
        <v>1356429931.4285715</v>
      </c>
    </row>
    <row r="8" spans="1:69" s="482" customFormat="1" ht="13.5">
      <c r="A8" s="483" t="s">
        <v>246</v>
      </c>
      <c r="B8" s="484">
        <v>0</v>
      </c>
      <c r="C8" s="484">
        <v>0</v>
      </c>
      <c r="D8" s="484">
        <v>0</v>
      </c>
      <c r="E8" s="484">
        <v>0</v>
      </c>
      <c r="F8" s="484">
        <v>0</v>
      </c>
      <c r="G8" s="484">
        <v>0</v>
      </c>
      <c r="H8" s="484">
        <v>0</v>
      </c>
      <c r="I8" s="484">
        <v>0</v>
      </c>
      <c r="J8" s="484">
        <v>0</v>
      </c>
      <c r="K8" s="484">
        <v>0</v>
      </c>
      <c r="L8" s="484">
        <v>0</v>
      </c>
      <c r="M8" s="484">
        <v>0</v>
      </c>
      <c r="N8" s="484">
        <v>0</v>
      </c>
      <c r="O8" s="484">
        <v>0</v>
      </c>
      <c r="P8" s="484">
        <v>0</v>
      </c>
      <c r="Q8" s="484">
        <v>0</v>
      </c>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c r="AR8" s="484"/>
      <c r="AS8" s="484"/>
      <c r="AT8" s="484"/>
      <c r="AU8" s="484"/>
      <c r="AV8" s="484"/>
      <c r="AW8" s="484">
        <v>0</v>
      </c>
      <c r="AX8" s="484">
        <v>142993897</v>
      </c>
      <c r="AY8" s="484">
        <v>80352245</v>
      </c>
      <c r="AZ8" s="484">
        <v>34504842</v>
      </c>
      <c r="BA8" s="484">
        <v>17840355</v>
      </c>
      <c r="BB8" s="484">
        <v>25466715</v>
      </c>
      <c r="BC8" s="484">
        <v>62651795</v>
      </c>
      <c r="BD8" s="484">
        <v>0</v>
      </c>
      <c r="BE8" s="484">
        <v>11766691</v>
      </c>
      <c r="BF8" s="484">
        <v>0</v>
      </c>
      <c r="BG8" s="484">
        <v>1850991</v>
      </c>
      <c r="BH8" s="484"/>
      <c r="BI8" s="484"/>
      <c r="BJ8" s="484"/>
      <c r="BK8" s="484">
        <v>834427.05637499993</v>
      </c>
      <c r="BL8" s="484">
        <v>477541.74847500003</v>
      </c>
      <c r="BM8" s="484">
        <v>378739499.80485004</v>
      </c>
      <c r="BN8" s="484">
        <v>0</v>
      </c>
      <c r="BO8" s="484">
        <v>0</v>
      </c>
      <c r="BP8" s="484">
        <v>0</v>
      </c>
      <c r="BQ8" s="484">
        <v>378739499.80485004</v>
      </c>
    </row>
    <row r="9" spans="1:69" s="482" customFormat="1" ht="13.5">
      <c r="A9" s="485" t="s">
        <v>244</v>
      </c>
      <c r="B9" s="486">
        <v>88996939</v>
      </c>
      <c r="C9" s="486">
        <v>0</v>
      </c>
      <c r="D9" s="486">
        <v>0</v>
      </c>
      <c r="E9" s="486">
        <v>0</v>
      </c>
      <c r="F9" s="486">
        <v>0</v>
      </c>
      <c r="G9" s="486">
        <v>0</v>
      </c>
      <c r="H9" s="486">
        <v>551250</v>
      </c>
      <c r="I9" s="486">
        <v>0</v>
      </c>
      <c r="J9" s="486">
        <v>0</v>
      </c>
      <c r="K9" s="486">
        <v>0</v>
      </c>
      <c r="L9" s="486">
        <v>4415026</v>
      </c>
      <c r="M9" s="486">
        <v>3894905</v>
      </c>
      <c r="N9" s="486">
        <v>0</v>
      </c>
      <c r="O9" s="486">
        <v>0</v>
      </c>
      <c r="P9" s="486">
        <v>2778116</v>
      </c>
      <c r="Q9" s="486">
        <v>0</v>
      </c>
      <c r="R9" s="486"/>
      <c r="S9" s="486"/>
      <c r="T9" s="486"/>
      <c r="U9" s="486"/>
      <c r="V9" s="486"/>
      <c r="W9" s="486"/>
      <c r="X9" s="486"/>
      <c r="Y9" s="486"/>
      <c r="Z9" s="486"/>
      <c r="AA9" s="486"/>
      <c r="AB9" s="486"/>
      <c r="AC9" s="486">
        <v>3112753</v>
      </c>
      <c r="AD9" s="486"/>
      <c r="AE9" s="486">
        <v>256250</v>
      </c>
      <c r="AF9" s="486"/>
      <c r="AG9" s="486"/>
      <c r="AH9" s="486"/>
      <c r="AI9" s="486"/>
      <c r="AJ9" s="486"/>
      <c r="AK9" s="486"/>
      <c r="AL9" s="486"/>
      <c r="AM9" s="486"/>
      <c r="AN9" s="486"/>
      <c r="AO9" s="486"/>
      <c r="AP9" s="486"/>
      <c r="AQ9" s="486"/>
      <c r="AR9" s="486"/>
      <c r="AS9" s="486"/>
      <c r="AT9" s="486"/>
      <c r="AU9" s="486"/>
      <c r="AV9" s="486"/>
      <c r="AW9" s="486">
        <v>104005239</v>
      </c>
      <c r="AX9" s="486">
        <v>2740574</v>
      </c>
      <c r="AY9" s="486">
        <v>0</v>
      </c>
      <c r="AZ9" s="486">
        <v>0</v>
      </c>
      <c r="BA9" s="486">
        <v>5162826</v>
      </c>
      <c r="BB9" s="486">
        <v>9763695</v>
      </c>
      <c r="BC9" s="486">
        <v>0</v>
      </c>
      <c r="BD9" s="486">
        <v>0</v>
      </c>
      <c r="BE9" s="486">
        <v>6805890</v>
      </c>
      <c r="BF9" s="486">
        <v>0</v>
      </c>
      <c r="BG9" s="486">
        <v>7488670</v>
      </c>
      <c r="BH9" s="486"/>
      <c r="BI9" s="486"/>
      <c r="BJ9" s="486"/>
      <c r="BK9" s="486"/>
      <c r="BL9" s="486"/>
      <c r="BM9" s="486">
        <v>31961655</v>
      </c>
      <c r="BN9" s="486">
        <v>0</v>
      </c>
      <c r="BO9" s="486">
        <v>0</v>
      </c>
      <c r="BP9" s="486">
        <v>0</v>
      </c>
      <c r="BQ9" s="486">
        <v>135966894</v>
      </c>
    </row>
    <row r="10" spans="1:69" s="482" customFormat="1" ht="13.5">
      <c r="A10" s="487" t="s">
        <v>80</v>
      </c>
      <c r="B10" s="484">
        <v>25861360</v>
      </c>
      <c r="C10" s="484">
        <v>8629800</v>
      </c>
      <c r="D10" s="484">
        <v>8363250</v>
      </c>
      <c r="E10" s="484">
        <v>660000</v>
      </c>
      <c r="F10" s="484">
        <v>4500225</v>
      </c>
      <c r="G10" s="484">
        <v>0</v>
      </c>
      <c r="H10" s="484">
        <v>360000</v>
      </c>
      <c r="I10" s="484">
        <v>0</v>
      </c>
      <c r="J10" s="484">
        <v>3180000</v>
      </c>
      <c r="K10" s="484">
        <v>1000000</v>
      </c>
      <c r="L10" s="484">
        <v>0</v>
      </c>
      <c r="M10" s="484">
        <v>0</v>
      </c>
      <c r="N10" s="484">
        <v>0</v>
      </c>
      <c r="O10" s="484">
        <v>0</v>
      </c>
      <c r="P10" s="484">
        <v>0</v>
      </c>
      <c r="Q10" s="484">
        <v>0</v>
      </c>
      <c r="R10" s="484">
        <v>630000</v>
      </c>
      <c r="S10" s="484">
        <v>660000</v>
      </c>
      <c r="T10" s="484">
        <v>750000</v>
      </c>
      <c r="U10" s="484">
        <v>157500</v>
      </c>
      <c r="V10" s="484">
        <v>660000</v>
      </c>
      <c r="W10" s="484"/>
      <c r="X10" s="484">
        <v>630000</v>
      </c>
      <c r="Y10" s="484">
        <v>1053021</v>
      </c>
      <c r="Z10" s="484">
        <v>315000</v>
      </c>
      <c r="AA10" s="484">
        <v>660000</v>
      </c>
      <c r="AB10" s="484">
        <v>660000</v>
      </c>
      <c r="AC10" s="484">
        <v>4482000</v>
      </c>
      <c r="AD10" s="484">
        <v>660000</v>
      </c>
      <c r="AE10" s="484"/>
      <c r="AF10" s="484">
        <v>157500</v>
      </c>
      <c r="AG10" s="484"/>
      <c r="AH10" s="484"/>
      <c r="AI10" s="484"/>
      <c r="AJ10" s="484"/>
      <c r="AK10" s="484"/>
      <c r="AL10" s="484"/>
      <c r="AM10" s="484"/>
      <c r="AN10" s="484"/>
      <c r="AO10" s="484"/>
      <c r="AP10" s="484"/>
      <c r="AQ10" s="484"/>
      <c r="AR10" s="484"/>
      <c r="AS10" s="484"/>
      <c r="AT10" s="484"/>
      <c r="AU10" s="484"/>
      <c r="AV10" s="484"/>
      <c r="AW10" s="484">
        <v>64029656</v>
      </c>
      <c r="AX10" s="484">
        <v>0</v>
      </c>
      <c r="AY10" s="484">
        <v>8641152</v>
      </c>
      <c r="AZ10" s="484">
        <v>0</v>
      </c>
      <c r="BA10" s="484">
        <v>7487109</v>
      </c>
      <c r="BB10" s="484">
        <v>0</v>
      </c>
      <c r="BC10" s="484">
        <v>0</v>
      </c>
      <c r="BD10" s="484">
        <v>0</v>
      </c>
      <c r="BE10" s="484">
        <v>2483232</v>
      </c>
      <c r="BF10" s="484">
        <v>0</v>
      </c>
      <c r="BG10" s="484">
        <v>2428761</v>
      </c>
      <c r="BH10" s="484"/>
      <c r="BI10" s="484"/>
      <c r="BJ10" s="484"/>
      <c r="BK10" s="484"/>
      <c r="BL10" s="484"/>
      <c r="BM10" s="484">
        <v>21040254</v>
      </c>
      <c r="BN10" s="484">
        <v>0</v>
      </c>
      <c r="BO10" s="484">
        <v>0</v>
      </c>
      <c r="BP10" s="484">
        <v>0</v>
      </c>
      <c r="BQ10" s="484">
        <v>85069910</v>
      </c>
    </row>
    <row r="11" spans="1:69" s="482" customFormat="1" ht="13.5">
      <c r="A11" s="485" t="s">
        <v>174</v>
      </c>
      <c r="B11" s="486">
        <v>3987816</v>
      </c>
      <c r="C11" s="486">
        <v>247450</v>
      </c>
      <c r="D11" s="486">
        <v>205944</v>
      </c>
      <c r="E11" s="486">
        <v>0</v>
      </c>
      <c r="F11" s="486">
        <v>0</v>
      </c>
      <c r="G11" s="486">
        <v>0</v>
      </c>
      <c r="H11" s="486">
        <v>0</v>
      </c>
      <c r="I11" s="486">
        <v>0</v>
      </c>
      <c r="J11" s="486">
        <v>0</v>
      </c>
      <c r="K11" s="486">
        <v>18009793</v>
      </c>
      <c r="L11" s="486">
        <v>0</v>
      </c>
      <c r="M11" s="486">
        <v>0</v>
      </c>
      <c r="N11" s="486">
        <v>0</v>
      </c>
      <c r="O11" s="486">
        <v>0</v>
      </c>
      <c r="P11" s="486">
        <v>0</v>
      </c>
      <c r="Q11" s="486">
        <v>0</v>
      </c>
      <c r="R11" s="486">
        <v>45000</v>
      </c>
      <c r="S11" s="486">
        <v>8844</v>
      </c>
      <c r="T11" s="486"/>
      <c r="U11" s="486"/>
      <c r="V11" s="486"/>
      <c r="W11" s="486"/>
      <c r="X11" s="486"/>
      <c r="Y11" s="486">
        <v>567621</v>
      </c>
      <c r="Z11" s="486"/>
      <c r="AA11" s="486"/>
      <c r="AB11" s="486"/>
      <c r="AC11" s="486">
        <v>298406</v>
      </c>
      <c r="AD11" s="486"/>
      <c r="AE11" s="486"/>
      <c r="AF11" s="486"/>
      <c r="AG11" s="486"/>
      <c r="AH11" s="486"/>
      <c r="AI11" s="486"/>
      <c r="AJ11" s="486"/>
      <c r="AK11" s="486"/>
      <c r="AL11" s="486"/>
      <c r="AM11" s="486"/>
      <c r="AN11" s="486"/>
      <c r="AO11" s="486"/>
      <c r="AP11" s="486"/>
      <c r="AQ11" s="486"/>
      <c r="AR11" s="486"/>
      <c r="AS11" s="486"/>
      <c r="AT11" s="486"/>
      <c r="AU11" s="486"/>
      <c r="AV11" s="486"/>
      <c r="AW11" s="486">
        <v>23370874</v>
      </c>
      <c r="AX11" s="486">
        <v>9266264</v>
      </c>
      <c r="AY11" s="486">
        <v>19307435</v>
      </c>
      <c r="AZ11" s="486">
        <v>5823566</v>
      </c>
      <c r="BA11" s="486">
        <v>14417449</v>
      </c>
      <c r="BB11" s="486">
        <v>0</v>
      </c>
      <c r="BC11" s="486">
        <v>0</v>
      </c>
      <c r="BD11" s="486">
        <v>0</v>
      </c>
      <c r="BE11" s="486">
        <v>0</v>
      </c>
      <c r="BF11" s="486">
        <v>390920</v>
      </c>
      <c r="BG11" s="486"/>
      <c r="BH11" s="486"/>
      <c r="BI11" s="486">
        <v>460450</v>
      </c>
      <c r="BJ11" s="486"/>
      <c r="BK11" s="486"/>
      <c r="BL11" s="486"/>
      <c r="BM11" s="486">
        <v>49666084</v>
      </c>
      <c r="BN11" s="486">
        <v>0</v>
      </c>
      <c r="BO11" s="486">
        <v>0</v>
      </c>
      <c r="BP11" s="486">
        <v>0</v>
      </c>
      <c r="BQ11" s="486">
        <v>73036958</v>
      </c>
    </row>
    <row r="12" spans="1:69" s="482" customFormat="1" ht="13.5">
      <c r="A12" s="483" t="s">
        <v>180</v>
      </c>
      <c r="B12" s="484">
        <v>0</v>
      </c>
      <c r="C12" s="484">
        <v>0</v>
      </c>
      <c r="D12" s="484">
        <v>0</v>
      </c>
      <c r="E12" s="484">
        <v>0</v>
      </c>
      <c r="F12" s="484">
        <v>0</v>
      </c>
      <c r="G12" s="484">
        <v>0</v>
      </c>
      <c r="H12" s="484">
        <v>0</v>
      </c>
      <c r="I12" s="484">
        <v>0</v>
      </c>
      <c r="J12" s="484">
        <v>0</v>
      </c>
      <c r="K12" s="484">
        <v>1850000</v>
      </c>
      <c r="L12" s="484">
        <v>0</v>
      </c>
      <c r="M12" s="484">
        <v>2220000</v>
      </c>
      <c r="N12" s="484">
        <v>0</v>
      </c>
      <c r="O12" s="484">
        <v>0</v>
      </c>
      <c r="P12" s="484">
        <v>0</v>
      </c>
      <c r="Q12" s="484">
        <v>0</v>
      </c>
      <c r="R12" s="484">
        <v>1942500</v>
      </c>
      <c r="S12" s="484"/>
      <c r="T12" s="484"/>
      <c r="U12" s="484"/>
      <c r="V12" s="484"/>
      <c r="W12" s="484"/>
      <c r="X12" s="484"/>
      <c r="Y12" s="484">
        <v>3966300</v>
      </c>
      <c r="Z12" s="484"/>
      <c r="AA12" s="484"/>
      <c r="AB12" s="484"/>
      <c r="AC12" s="484"/>
      <c r="AD12" s="484"/>
      <c r="AE12" s="484"/>
      <c r="AF12" s="484"/>
      <c r="AG12" s="484"/>
      <c r="AH12" s="484"/>
      <c r="AI12" s="484"/>
      <c r="AJ12" s="484"/>
      <c r="AK12" s="484"/>
      <c r="AL12" s="484"/>
      <c r="AM12" s="484"/>
      <c r="AN12" s="484"/>
      <c r="AO12" s="484"/>
      <c r="AP12" s="484"/>
      <c r="AQ12" s="484"/>
      <c r="AR12" s="484"/>
      <c r="AS12" s="484"/>
      <c r="AT12" s="484"/>
      <c r="AU12" s="484"/>
      <c r="AV12" s="484"/>
      <c r="AW12" s="484">
        <v>9978800</v>
      </c>
      <c r="AX12" s="484">
        <v>0</v>
      </c>
      <c r="AY12" s="484">
        <v>9763695</v>
      </c>
      <c r="AZ12" s="484">
        <v>0</v>
      </c>
      <c r="BA12" s="484">
        <v>30780337</v>
      </c>
      <c r="BB12" s="484">
        <v>0</v>
      </c>
      <c r="BC12" s="484">
        <v>0</v>
      </c>
      <c r="BD12" s="484">
        <v>0</v>
      </c>
      <c r="BE12" s="484">
        <v>3006513</v>
      </c>
      <c r="BF12" s="484">
        <v>0</v>
      </c>
      <c r="BG12" s="484"/>
      <c r="BH12" s="484"/>
      <c r="BI12" s="484"/>
      <c r="BJ12" s="484"/>
      <c r="BK12" s="484"/>
      <c r="BL12" s="484"/>
      <c r="BM12" s="484">
        <v>43550545</v>
      </c>
      <c r="BN12" s="484">
        <v>0</v>
      </c>
      <c r="BO12" s="484">
        <v>0</v>
      </c>
      <c r="BP12" s="484">
        <v>0</v>
      </c>
      <c r="BQ12" s="484">
        <v>53529345</v>
      </c>
    </row>
    <row r="13" spans="1:69" s="482" customFormat="1" ht="13.5">
      <c r="A13" s="485" t="s">
        <v>172</v>
      </c>
      <c r="B13" s="486">
        <v>2993932</v>
      </c>
      <c r="C13" s="486">
        <v>1414453</v>
      </c>
      <c r="D13" s="486">
        <v>556832</v>
      </c>
      <c r="E13" s="486">
        <v>0</v>
      </c>
      <c r="F13" s="486">
        <v>0</v>
      </c>
      <c r="G13" s="486">
        <v>0</v>
      </c>
      <c r="H13" s="486">
        <v>0</v>
      </c>
      <c r="I13" s="486">
        <v>0</v>
      </c>
      <c r="J13" s="486">
        <v>0</v>
      </c>
      <c r="K13" s="486">
        <v>4335196</v>
      </c>
      <c r="L13" s="486">
        <v>0</v>
      </c>
      <c r="M13" s="486">
        <v>0</v>
      </c>
      <c r="N13" s="486">
        <v>0</v>
      </c>
      <c r="O13" s="486">
        <v>0</v>
      </c>
      <c r="P13" s="486">
        <v>0</v>
      </c>
      <c r="Q13" s="486">
        <v>0</v>
      </c>
      <c r="R13" s="486">
        <v>90000</v>
      </c>
      <c r="S13" s="486">
        <v>44000</v>
      </c>
      <c r="T13" s="486"/>
      <c r="U13" s="486"/>
      <c r="V13" s="486"/>
      <c r="W13" s="486"/>
      <c r="X13" s="486"/>
      <c r="Y13" s="486">
        <v>3057005</v>
      </c>
      <c r="Z13" s="486"/>
      <c r="AA13" s="486"/>
      <c r="AB13" s="486"/>
      <c r="AC13" s="486">
        <v>665250</v>
      </c>
      <c r="AD13" s="486"/>
      <c r="AE13" s="486"/>
      <c r="AF13" s="486"/>
      <c r="AG13" s="486"/>
      <c r="AH13" s="486"/>
      <c r="AI13" s="486"/>
      <c r="AJ13" s="486"/>
      <c r="AK13" s="486"/>
      <c r="AL13" s="486"/>
      <c r="AM13" s="486"/>
      <c r="AN13" s="486"/>
      <c r="AO13" s="486"/>
      <c r="AP13" s="486"/>
      <c r="AQ13" s="486"/>
      <c r="AR13" s="486"/>
      <c r="AS13" s="486"/>
      <c r="AT13" s="486"/>
      <c r="AU13" s="486"/>
      <c r="AV13" s="486"/>
      <c r="AW13" s="486">
        <v>13156668</v>
      </c>
      <c r="AX13" s="486">
        <v>3037382</v>
      </c>
      <c r="AY13" s="486">
        <v>0</v>
      </c>
      <c r="AZ13" s="486">
        <v>9640804</v>
      </c>
      <c r="BA13" s="486">
        <v>3775237</v>
      </c>
      <c r="BB13" s="486">
        <v>0</v>
      </c>
      <c r="BC13" s="486">
        <v>21467503</v>
      </c>
      <c r="BD13" s="486">
        <v>0</v>
      </c>
      <c r="BE13" s="486">
        <v>0</v>
      </c>
      <c r="BF13" s="486">
        <v>396000</v>
      </c>
      <c r="BG13" s="486"/>
      <c r="BH13" s="486"/>
      <c r="BI13" s="486">
        <v>369987</v>
      </c>
      <c r="BJ13" s="486"/>
      <c r="BK13" s="486"/>
      <c r="BL13" s="486"/>
      <c r="BM13" s="486">
        <v>38686913</v>
      </c>
      <c r="BN13" s="486">
        <v>0</v>
      </c>
      <c r="BO13" s="486">
        <v>0</v>
      </c>
      <c r="BP13" s="486">
        <v>0</v>
      </c>
      <c r="BQ13" s="486">
        <v>51843581</v>
      </c>
    </row>
    <row r="14" spans="1:69" s="482" customFormat="1" ht="13.5">
      <c r="A14" s="483" t="s">
        <v>182</v>
      </c>
      <c r="B14" s="484">
        <v>3269736</v>
      </c>
      <c r="C14" s="484">
        <v>0</v>
      </c>
      <c r="D14" s="484">
        <v>0</v>
      </c>
      <c r="E14" s="484">
        <v>0</v>
      </c>
      <c r="F14" s="484">
        <v>0</v>
      </c>
      <c r="G14" s="484">
        <v>0</v>
      </c>
      <c r="H14" s="484">
        <v>0</v>
      </c>
      <c r="I14" s="484">
        <v>0</v>
      </c>
      <c r="J14" s="484">
        <v>0</v>
      </c>
      <c r="K14" s="484">
        <v>0</v>
      </c>
      <c r="L14" s="484">
        <v>0</v>
      </c>
      <c r="M14" s="484">
        <v>0</v>
      </c>
      <c r="N14" s="484">
        <v>0</v>
      </c>
      <c r="O14" s="484">
        <v>0</v>
      </c>
      <c r="P14" s="484">
        <v>0</v>
      </c>
      <c r="Q14" s="484">
        <v>0</v>
      </c>
      <c r="R14" s="484"/>
      <c r="S14" s="484"/>
      <c r="T14" s="484"/>
      <c r="U14" s="484"/>
      <c r="V14" s="484"/>
      <c r="W14" s="484"/>
      <c r="X14" s="484"/>
      <c r="Y14" s="484">
        <v>150840</v>
      </c>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v>3420576</v>
      </c>
      <c r="AX14" s="484">
        <v>3307900</v>
      </c>
      <c r="AY14" s="484">
        <v>1907292</v>
      </c>
      <c r="AZ14" s="484">
        <v>346313</v>
      </c>
      <c r="BA14" s="484">
        <v>5038677</v>
      </c>
      <c r="BB14" s="484">
        <v>9763695</v>
      </c>
      <c r="BC14" s="484">
        <v>90000</v>
      </c>
      <c r="BD14" s="484">
        <v>0</v>
      </c>
      <c r="BE14" s="484">
        <v>3006513</v>
      </c>
      <c r="BF14" s="484">
        <v>0</v>
      </c>
      <c r="BG14" s="484"/>
      <c r="BH14" s="484">
        <v>925000</v>
      </c>
      <c r="BI14" s="484">
        <v>217571</v>
      </c>
      <c r="BJ14" s="484"/>
      <c r="BK14" s="484"/>
      <c r="BL14" s="484"/>
      <c r="BM14" s="484">
        <v>24602961</v>
      </c>
      <c r="BN14" s="484">
        <v>0</v>
      </c>
      <c r="BO14" s="484">
        <v>0</v>
      </c>
      <c r="BP14" s="484">
        <v>0</v>
      </c>
      <c r="BQ14" s="484">
        <v>28023537</v>
      </c>
    </row>
    <row r="15" spans="1:69" s="482" customFormat="1" ht="13.5">
      <c r="A15" s="485" t="s">
        <v>175</v>
      </c>
      <c r="B15" s="486">
        <v>0</v>
      </c>
      <c r="C15" s="486">
        <v>0</v>
      </c>
      <c r="D15" s="486">
        <v>0</v>
      </c>
      <c r="E15" s="486">
        <v>0</v>
      </c>
      <c r="F15" s="486">
        <v>0</v>
      </c>
      <c r="G15" s="486">
        <v>0</v>
      </c>
      <c r="H15" s="486">
        <v>0</v>
      </c>
      <c r="I15" s="486">
        <v>0</v>
      </c>
      <c r="J15" s="486">
        <v>0</v>
      </c>
      <c r="K15" s="486">
        <v>0</v>
      </c>
      <c r="L15" s="486">
        <v>0</v>
      </c>
      <c r="M15" s="486">
        <v>0</v>
      </c>
      <c r="N15" s="486">
        <v>0</v>
      </c>
      <c r="O15" s="486">
        <v>0</v>
      </c>
      <c r="P15" s="486">
        <v>0</v>
      </c>
      <c r="Q15" s="486">
        <v>0</v>
      </c>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6"/>
      <c r="AW15" s="486">
        <v>0</v>
      </c>
      <c r="AX15" s="486">
        <v>0</v>
      </c>
      <c r="AY15" s="486">
        <v>220740</v>
      </c>
      <c r="AZ15" s="486">
        <v>0</v>
      </c>
      <c r="BA15" s="486">
        <v>0</v>
      </c>
      <c r="BB15" s="486">
        <v>23683155</v>
      </c>
      <c r="BC15" s="486">
        <v>0</v>
      </c>
      <c r="BD15" s="486">
        <v>0</v>
      </c>
      <c r="BE15" s="486">
        <v>0</v>
      </c>
      <c r="BF15" s="486">
        <v>0</v>
      </c>
      <c r="BG15" s="486">
        <v>512689</v>
      </c>
      <c r="BH15" s="486"/>
      <c r="BI15" s="486"/>
      <c r="BJ15" s="486"/>
      <c r="BK15" s="486"/>
      <c r="BL15" s="486"/>
      <c r="BM15" s="486">
        <v>24416584</v>
      </c>
      <c r="BN15" s="486">
        <v>0</v>
      </c>
      <c r="BO15" s="486">
        <v>0</v>
      </c>
      <c r="BP15" s="486">
        <v>0</v>
      </c>
      <c r="BQ15" s="486">
        <v>24416584</v>
      </c>
    </row>
    <row r="16" spans="1:69" s="482" customFormat="1" ht="13.5">
      <c r="A16" s="483" t="s">
        <v>245</v>
      </c>
      <c r="B16" s="484">
        <v>1440000</v>
      </c>
      <c r="C16" s="484">
        <v>172800</v>
      </c>
      <c r="D16" s="484">
        <v>864000</v>
      </c>
      <c r="E16" s="484">
        <v>1440000</v>
      </c>
      <c r="F16" s="484">
        <v>288000</v>
      </c>
      <c r="G16" s="484">
        <v>0</v>
      </c>
      <c r="H16" s="484">
        <v>0</v>
      </c>
      <c r="I16" s="484">
        <v>0</v>
      </c>
      <c r="J16" s="484">
        <v>144000</v>
      </c>
      <c r="K16" s="484">
        <v>1728000</v>
      </c>
      <c r="L16" s="484">
        <v>0</v>
      </c>
      <c r="M16" s="484">
        <v>0</v>
      </c>
      <c r="N16" s="484">
        <v>0</v>
      </c>
      <c r="O16" s="484">
        <v>0</v>
      </c>
      <c r="P16" s="484">
        <v>0</v>
      </c>
      <c r="Q16" s="484">
        <v>0</v>
      </c>
      <c r="R16" s="484">
        <v>288000</v>
      </c>
      <c r="S16" s="484">
        <v>720000</v>
      </c>
      <c r="T16" s="484">
        <v>1059890</v>
      </c>
      <c r="U16" s="484">
        <v>54000</v>
      </c>
      <c r="V16" s="484">
        <v>1152000</v>
      </c>
      <c r="W16" s="484">
        <v>1728000</v>
      </c>
      <c r="X16" s="484">
        <v>288000</v>
      </c>
      <c r="Y16" s="484">
        <v>1745400</v>
      </c>
      <c r="Z16" s="484">
        <v>24000</v>
      </c>
      <c r="AA16" s="484">
        <v>216000</v>
      </c>
      <c r="AB16" s="484"/>
      <c r="AC16" s="484">
        <v>720000</v>
      </c>
      <c r="AD16" s="484">
        <v>216000</v>
      </c>
      <c r="AE16" s="484"/>
      <c r="AF16" s="484">
        <v>54000</v>
      </c>
      <c r="AG16" s="484"/>
      <c r="AH16" s="484"/>
      <c r="AI16" s="484"/>
      <c r="AJ16" s="484"/>
      <c r="AK16" s="484"/>
      <c r="AL16" s="484"/>
      <c r="AM16" s="484"/>
      <c r="AN16" s="484"/>
      <c r="AO16" s="484"/>
      <c r="AP16" s="484"/>
      <c r="AQ16" s="484"/>
      <c r="AR16" s="484"/>
      <c r="AS16" s="484"/>
      <c r="AT16" s="484"/>
      <c r="AU16" s="484"/>
      <c r="AV16" s="484"/>
      <c r="AW16" s="484">
        <v>14342090</v>
      </c>
      <c r="AX16" s="484">
        <v>0</v>
      </c>
      <c r="AY16" s="484">
        <v>0</v>
      </c>
      <c r="AZ16" s="484">
        <v>0</v>
      </c>
      <c r="BA16" s="484">
        <v>5904000</v>
      </c>
      <c r="BB16" s="484">
        <v>0</v>
      </c>
      <c r="BC16" s="484">
        <v>360000</v>
      </c>
      <c r="BD16" s="484">
        <v>360000</v>
      </c>
      <c r="BE16" s="484">
        <v>0</v>
      </c>
      <c r="BF16" s="484">
        <v>0</v>
      </c>
      <c r="BG16" s="484"/>
      <c r="BH16" s="484"/>
      <c r="BI16" s="484">
        <v>36000</v>
      </c>
      <c r="BJ16" s="484"/>
      <c r="BK16" s="484"/>
      <c r="BL16" s="484"/>
      <c r="BM16" s="484">
        <v>6660000</v>
      </c>
      <c r="BN16" s="484">
        <v>0</v>
      </c>
      <c r="BO16" s="484">
        <v>0</v>
      </c>
      <c r="BP16" s="484">
        <v>0</v>
      </c>
      <c r="BQ16" s="484">
        <v>21002090</v>
      </c>
    </row>
    <row r="17" spans="1:70" s="482" customFormat="1" ht="13.5">
      <c r="A17" s="485" t="s">
        <v>179</v>
      </c>
      <c r="B17" s="486">
        <v>0</v>
      </c>
      <c r="C17" s="486">
        <v>0</v>
      </c>
      <c r="D17" s="486">
        <v>0</v>
      </c>
      <c r="E17" s="486">
        <v>0</v>
      </c>
      <c r="F17" s="486">
        <v>0</v>
      </c>
      <c r="G17" s="486">
        <v>0</v>
      </c>
      <c r="H17" s="486">
        <v>0</v>
      </c>
      <c r="I17" s="486">
        <v>0</v>
      </c>
      <c r="J17" s="486">
        <v>0</v>
      </c>
      <c r="K17" s="486">
        <v>0</v>
      </c>
      <c r="L17" s="486">
        <v>0</v>
      </c>
      <c r="M17" s="486">
        <v>0</v>
      </c>
      <c r="N17" s="486">
        <v>0</v>
      </c>
      <c r="O17" s="486">
        <v>0</v>
      </c>
      <c r="P17" s="486">
        <v>0</v>
      </c>
      <c r="Q17" s="486">
        <v>0</v>
      </c>
      <c r="R17" s="486"/>
      <c r="S17" s="486"/>
      <c r="T17" s="486"/>
      <c r="U17" s="486"/>
      <c r="V17" s="486"/>
      <c r="W17" s="486"/>
      <c r="X17" s="486"/>
      <c r="Y17" s="486">
        <v>1420410</v>
      </c>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v>1420410</v>
      </c>
      <c r="AX17" s="486">
        <v>0</v>
      </c>
      <c r="AY17" s="486">
        <v>0</v>
      </c>
      <c r="AZ17" s="486">
        <v>0</v>
      </c>
      <c r="BA17" s="486">
        <v>0</v>
      </c>
      <c r="BB17" s="486">
        <v>0</v>
      </c>
      <c r="BC17" s="486">
        <v>2145500</v>
      </c>
      <c r="BD17" s="486">
        <v>2145000</v>
      </c>
      <c r="BE17" s="486">
        <v>0</v>
      </c>
      <c r="BF17" s="486">
        <v>0</v>
      </c>
      <c r="BG17" s="486"/>
      <c r="BH17" s="486"/>
      <c r="BI17" s="486">
        <v>2145500</v>
      </c>
      <c r="BJ17" s="486"/>
      <c r="BK17" s="486"/>
      <c r="BL17" s="486"/>
      <c r="BM17" s="486">
        <v>6436000</v>
      </c>
      <c r="BN17" s="486">
        <v>0</v>
      </c>
      <c r="BO17" s="486">
        <v>0</v>
      </c>
      <c r="BP17" s="486">
        <v>0</v>
      </c>
      <c r="BQ17" s="486">
        <v>7856410</v>
      </c>
    </row>
    <row r="18" spans="1:70" s="482" customFormat="1" ht="13.5">
      <c r="A18" s="487" t="s">
        <v>183</v>
      </c>
      <c r="B18" s="484">
        <v>0</v>
      </c>
      <c r="C18" s="484">
        <v>2053050</v>
      </c>
      <c r="D18" s="484">
        <v>20510</v>
      </c>
      <c r="E18" s="484">
        <v>0</v>
      </c>
      <c r="F18" s="484">
        <v>0</v>
      </c>
      <c r="G18" s="484">
        <v>0</v>
      </c>
      <c r="H18" s="484">
        <v>0</v>
      </c>
      <c r="I18" s="484">
        <v>0</v>
      </c>
      <c r="J18" s="484">
        <v>0</v>
      </c>
      <c r="K18" s="484">
        <v>0</v>
      </c>
      <c r="L18" s="484">
        <v>0</v>
      </c>
      <c r="M18" s="484">
        <v>0</v>
      </c>
      <c r="N18" s="484">
        <v>0</v>
      </c>
      <c r="O18" s="484">
        <v>0</v>
      </c>
      <c r="P18" s="484">
        <v>0</v>
      </c>
      <c r="Q18" s="484">
        <v>0</v>
      </c>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v>2073560</v>
      </c>
      <c r="AX18" s="484">
        <v>0</v>
      </c>
      <c r="AY18" s="484">
        <v>0</v>
      </c>
      <c r="AZ18" s="484">
        <v>0</v>
      </c>
      <c r="BA18" s="484">
        <v>0</v>
      </c>
      <c r="BB18" s="484">
        <v>0</v>
      </c>
      <c r="BC18" s="484">
        <v>2136836</v>
      </c>
      <c r="BD18" s="484">
        <v>0</v>
      </c>
      <c r="BE18" s="484">
        <v>0</v>
      </c>
      <c r="BF18" s="484">
        <v>0</v>
      </c>
      <c r="BG18" s="484"/>
      <c r="BH18" s="484"/>
      <c r="BI18" s="484"/>
      <c r="BJ18" s="484"/>
      <c r="BK18" s="484"/>
      <c r="BL18" s="484"/>
      <c r="BM18" s="484">
        <v>2136836</v>
      </c>
      <c r="BN18" s="484">
        <v>0</v>
      </c>
      <c r="BO18" s="484">
        <v>0</v>
      </c>
      <c r="BP18" s="484">
        <v>0</v>
      </c>
      <c r="BQ18" s="484">
        <v>4210396</v>
      </c>
    </row>
    <row r="19" spans="1:70" s="482" customFormat="1" ht="13.5">
      <c r="A19" s="485" t="s">
        <v>184</v>
      </c>
      <c r="B19" s="486">
        <v>360000</v>
      </c>
      <c r="C19" s="486">
        <v>43200</v>
      </c>
      <c r="D19" s="486">
        <v>216000</v>
      </c>
      <c r="E19" s="486">
        <v>360000</v>
      </c>
      <c r="F19" s="486">
        <v>72000</v>
      </c>
      <c r="G19" s="486">
        <v>0</v>
      </c>
      <c r="H19" s="486">
        <v>72000</v>
      </c>
      <c r="I19" s="486">
        <v>0</v>
      </c>
      <c r="J19" s="486">
        <v>36000</v>
      </c>
      <c r="K19" s="486">
        <v>432000</v>
      </c>
      <c r="L19" s="486">
        <v>0</v>
      </c>
      <c r="M19" s="486">
        <v>432000</v>
      </c>
      <c r="N19" s="486">
        <v>0</v>
      </c>
      <c r="O19" s="486">
        <v>0</v>
      </c>
      <c r="P19" s="486">
        <v>0</v>
      </c>
      <c r="Q19" s="486">
        <v>0</v>
      </c>
      <c r="R19" s="486">
        <v>72000</v>
      </c>
      <c r="S19" s="486">
        <v>180000</v>
      </c>
      <c r="T19" s="486">
        <v>18000</v>
      </c>
      <c r="U19" s="486">
        <v>13500</v>
      </c>
      <c r="V19" s="486">
        <v>144000</v>
      </c>
      <c r="W19" s="486">
        <v>432000</v>
      </c>
      <c r="X19" s="486">
        <v>72000</v>
      </c>
      <c r="Y19" s="486"/>
      <c r="Z19" s="486"/>
      <c r="AA19" s="486">
        <v>54000</v>
      </c>
      <c r="AB19" s="486"/>
      <c r="AC19" s="486">
        <v>180000</v>
      </c>
      <c r="AD19" s="486">
        <v>54000</v>
      </c>
      <c r="AE19" s="486"/>
      <c r="AF19" s="486">
        <v>13500</v>
      </c>
      <c r="AG19" s="486"/>
      <c r="AH19" s="486"/>
      <c r="AI19" s="486"/>
      <c r="AJ19" s="486"/>
      <c r="AK19" s="486"/>
      <c r="AL19" s="486"/>
      <c r="AM19" s="486"/>
      <c r="AN19" s="486"/>
      <c r="AO19" s="486"/>
      <c r="AP19" s="486"/>
      <c r="AQ19" s="486"/>
      <c r="AR19" s="486"/>
      <c r="AS19" s="486"/>
      <c r="AT19" s="486"/>
      <c r="AU19" s="486"/>
      <c r="AV19" s="486"/>
      <c r="AW19" s="486">
        <v>3256200</v>
      </c>
      <c r="AX19" s="486">
        <v>0</v>
      </c>
      <c r="AY19" s="486">
        <v>0</v>
      </c>
      <c r="AZ19" s="486">
        <v>0</v>
      </c>
      <c r="BA19" s="486">
        <v>0</v>
      </c>
      <c r="BB19" s="486">
        <v>0</v>
      </c>
      <c r="BC19" s="486">
        <v>0</v>
      </c>
      <c r="BD19" s="486">
        <v>90000</v>
      </c>
      <c r="BE19" s="486">
        <v>0</v>
      </c>
      <c r="BF19" s="486">
        <v>0</v>
      </c>
      <c r="BG19" s="486"/>
      <c r="BH19" s="486"/>
      <c r="BI19" s="486"/>
      <c r="BJ19" s="486"/>
      <c r="BK19" s="486"/>
      <c r="BL19" s="486"/>
      <c r="BM19" s="486">
        <v>90000</v>
      </c>
      <c r="BN19" s="486">
        <v>0</v>
      </c>
      <c r="BO19" s="486">
        <v>0</v>
      </c>
      <c r="BP19" s="486">
        <v>0</v>
      </c>
      <c r="BQ19" s="486">
        <v>3346200</v>
      </c>
    </row>
    <row r="20" spans="1:70" s="482" customFormat="1" ht="13.5">
      <c r="A20" s="480" t="s">
        <v>166</v>
      </c>
      <c r="B20" s="481">
        <v>124595713.655</v>
      </c>
      <c r="C20" s="481">
        <v>71588841.099999994</v>
      </c>
      <c r="D20" s="481">
        <v>79938965.924999997</v>
      </c>
      <c r="E20" s="481">
        <v>97192150.982500002</v>
      </c>
      <c r="F20" s="481">
        <v>175200186.08750001</v>
      </c>
      <c r="G20" s="481">
        <v>19598553.274999999</v>
      </c>
      <c r="H20" s="481">
        <v>1224790</v>
      </c>
      <c r="I20" s="481">
        <v>0</v>
      </c>
      <c r="J20" s="481">
        <v>31595210.850000001</v>
      </c>
      <c r="K20" s="481">
        <v>4577433.1749999998</v>
      </c>
      <c r="L20" s="481">
        <v>3090517.8850000002</v>
      </c>
      <c r="M20" s="481">
        <v>4939264.6274999995</v>
      </c>
      <c r="N20" s="481">
        <v>0</v>
      </c>
      <c r="O20" s="481">
        <v>0</v>
      </c>
      <c r="P20" s="481">
        <v>5849292</v>
      </c>
      <c r="Q20" s="481">
        <v>0</v>
      </c>
      <c r="R20" s="481">
        <v>2956118.55</v>
      </c>
      <c r="S20" s="481">
        <v>1292386.8999999999</v>
      </c>
      <c r="T20" s="481">
        <v>1483846.5775000001</v>
      </c>
      <c r="U20" s="481">
        <v>0</v>
      </c>
      <c r="V20" s="481">
        <v>0</v>
      </c>
      <c r="W20" s="481">
        <v>0</v>
      </c>
      <c r="X20" s="481">
        <v>0</v>
      </c>
      <c r="Y20" s="481">
        <v>0</v>
      </c>
      <c r="Z20" s="481">
        <v>3444056.875</v>
      </c>
      <c r="AA20" s="481">
        <v>5098601.62</v>
      </c>
      <c r="AB20" s="481">
        <v>0</v>
      </c>
      <c r="AC20" s="481">
        <v>4357851.8375000004</v>
      </c>
      <c r="AD20" s="481">
        <v>7858506.25</v>
      </c>
      <c r="AE20" s="481">
        <v>658823</v>
      </c>
      <c r="AF20" s="481">
        <v>0</v>
      </c>
      <c r="AG20" s="481">
        <v>11434370.1675</v>
      </c>
      <c r="AH20" s="481">
        <v>350000</v>
      </c>
      <c r="AI20" s="481">
        <v>350000</v>
      </c>
      <c r="AJ20" s="481">
        <v>350000</v>
      </c>
      <c r="AK20" s="481">
        <v>149499</v>
      </c>
      <c r="AL20" s="481">
        <v>3165310.75</v>
      </c>
      <c r="AM20" s="481">
        <v>3348228.625</v>
      </c>
      <c r="AN20" s="481">
        <v>350000</v>
      </c>
      <c r="AO20" s="481">
        <v>1400000</v>
      </c>
      <c r="AP20" s="481">
        <v>3495351.3</v>
      </c>
      <c r="AQ20" s="481">
        <v>350000</v>
      </c>
      <c r="AR20" s="481">
        <v>5393871.3499999996</v>
      </c>
      <c r="AS20" s="481">
        <v>1575284.375</v>
      </c>
      <c r="AT20" s="481">
        <v>1568126.875</v>
      </c>
      <c r="AU20" s="481">
        <v>26978612.5</v>
      </c>
      <c r="AV20" s="481"/>
      <c r="AW20" s="481">
        <v>706799766.11499989</v>
      </c>
      <c r="AX20" s="481">
        <v>199529516</v>
      </c>
      <c r="AY20" s="481">
        <v>112060225</v>
      </c>
      <c r="AZ20" s="481">
        <v>27021831</v>
      </c>
      <c r="BA20" s="481">
        <v>21692677</v>
      </c>
      <c r="BB20" s="481">
        <v>15531769</v>
      </c>
      <c r="BC20" s="481">
        <v>35922994</v>
      </c>
      <c r="BD20" s="481">
        <v>10886977</v>
      </c>
      <c r="BE20" s="481">
        <v>3880259</v>
      </c>
      <c r="BF20" s="481">
        <v>10619842</v>
      </c>
      <c r="BG20" s="481">
        <v>0</v>
      </c>
      <c r="BH20" s="481">
        <v>0</v>
      </c>
      <c r="BI20" s="481">
        <v>0</v>
      </c>
      <c r="BJ20" s="481">
        <v>0</v>
      </c>
      <c r="BK20" s="481">
        <v>0</v>
      </c>
      <c r="BL20" s="481">
        <v>0</v>
      </c>
      <c r="BM20" s="481">
        <v>437146090</v>
      </c>
      <c r="BN20" s="481">
        <v>0</v>
      </c>
      <c r="BO20" s="481">
        <v>0</v>
      </c>
      <c r="BP20" s="481">
        <v>0</v>
      </c>
      <c r="BQ20" s="481">
        <v>1143945856.1149998</v>
      </c>
    </row>
    <row r="21" spans="1:70" s="482" customFormat="1" ht="13.5">
      <c r="A21" s="485" t="s">
        <v>165</v>
      </c>
      <c r="B21" s="486">
        <v>17799387.664999999</v>
      </c>
      <c r="C21" s="486">
        <v>20453954.600000001</v>
      </c>
      <c r="D21" s="486">
        <v>22839704.550000001</v>
      </c>
      <c r="E21" s="486">
        <v>27769185.995000001</v>
      </c>
      <c r="F21" s="486">
        <v>50057196.024999999</v>
      </c>
      <c r="G21" s="486">
        <v>5599586.6500000004</v>
      </c>
      <c r="H21" s="486">
        <v>239690</v>
      </c>
      <c r="I21" s="486">
        <v>0</v>
      </c>
      <c r="J21" s="486">
        <v>9027203.0999999996</v>
      </c>
      <c r="K21" s="486">
        <v>1307838.05</v>
      </c>
      <c r="L21" s="486">
        <v>441502.55499999999</v>
      </c>
      <c r="M21" s="486">
        <v>705609.23250000004</v>
      </c>
      <c r="N21" s="486">
        <v>0</v>
      </c>
      <c r="O21" s="486">
        <v>0</v>
      </c>
      <c r="P21" s="486">
        <v>1115603</v>
      </c>
      <c r="Q21" s="486">
        <v>0</v>
      </c>
      <c r="R21" s="486">
        <v>844605.3</v>
      </c>
      <c r="S21" s="486">
        <v>369253.4</v>
      </c>
      <c r="T21" s="486">
        <v>211978.08249999999</v>
      </c>
      <c r="U21" s="486"/>
      <c r="V21" s="486"/>
      <c r="W21" s="486"/>
      <c r="X21" s="486"/>
      <c r="Y21" s="486"/>
      <c r="Z21" s="486">
        <v>984016.25</v>
      </c>
      <c r="AA21" s="486">
        <v>1456743.32</v>
      </c>
      <c r="AB21" s="486"/>
      <c r="AC21" s="486">
        <v>622550.26249999995</v>
      </c>
      <c r="AD21" s="486">
        <v>2245287.5</v>
      </c>
      <c r="AE21" s="486">
        <v>94118</v>
      </c>
      <c r="AF21" s="486"/>
      <c r="AG21" s="486">
        <v>1633481.4524999999</v>
      </c>
      <c r="AH21" s="486">
        <v>50000</v>
      </c>
      <c r="AI21" s="486">
        <v>50000</v>
      </c>
      <c r="AJ21" s="486">
        <v>50000</v>
      </c>
      <c r="AK21" s="486">
        <v>42714</v>
      </c>
      <c r="AL21" s="486">
        <v>904374.5</v>
      </c>
      <c r="AM21" s="486">
        <v>956636.75</v>
      </c>
      <c r="AN21" s="486">
        <v>100000</v>
      </c>
      <c r="AO21" s="486">
        <v>400000</v>
      </c>
      <c r="AP21" s="486">
        <v>998671.8</v>
      </c>
      <c r="AQ21" s="486">
        <v>100000</v>
      </c>
      <c r="AR21" s="486">
        <v>1541106.1</v>
      </c>
      <c r="AS21" s="486">
        <v>450081.25</v>
      </c>
      <c r="AT21" s="486">
        <v>448036.25</v>
      </c>
      <c r="AU21" s="486">
        <v>7708175</v>
      </c>
      <c r="AV21" s="486"/>
      <c r="AW21" s="486">
        <v>179618290.64000002</v>
      </c>
      <c r="AX21" s="486">
        <v>11558011</v>
      </c>
      <c r="AY21" s="486">
        <v>5843764</v>
      </c>
      <c r="AZ21" s="486">
        <v>1210901</v>
      </c>
      <c r="BA21" s="486">
        <v>1235918</v>
      </c>
      <c r="BB21" s="486">
        <v>575250</v>
      </c>
      <c r="BC21" s="486">
        <v>1849836</v>
      </c>
      <c r="BD21" s="486">
        <v>472764</v>
      </c>
      <c r="BE21" s="486">
        <v>143713</v>
      </c>
      <c r="BF21" s="486">
        <v>707992</v>
      </c>
      <c r="BG21" s="486"/>
      <c r="BH21" s="486"/>
      <c r="BI21" s="486"/>
      <c r="BJ21" s="486"/>
      <c r="BK21" s="486"/>
      <c r="BL21" s="486"/>
      <c r="BM21" s="486">
        <v>23598149</v>
      </c>
      <c r="BN21" s="486">
        <v>0</v>
      </c>
      <c r="BO21" s="486">
        <v>0</v>
      </c>
      <c r="BP21" s="486">
        <v>0</v>
      </c>
      <c r="BQ21" s="486">
        <v>203216439.64000002</v>
      </c>
    </row>
    <row r="22" spans="1:70" s="482" customFormat="1" ht="13.5">
      <c r="A22" s="487" t="s">
        <v>167</v>
      </c>
      <c r="B22" s="484">
        <v>106796325.98999999</v>
      </c>
      <c r="C22" s="484">
        <v>51134886.5</v>
      </c>
      <c r="D22" s="484">
        <v>57099261.375</v>
      </c>
      <c r="E22" s="484">
        <v>69422964.987499997</v>
      </c>
      <c r="F22" s="484">
        <v>125142990.0625</v>
      </c>
      <c r="G22" s="484">
        <v>13998966.625</v>
      </c>
      <c r="H22" s="484">
        <v>985100</v>
      </c>
      <c r="I22" s="484">
        <v>0</v>
      </c>
      <c r="J22" s="484">
        <v>22568007.75</v>
      </c>
      <c r="K22" s="484">
        <v>3269595.125</v>
      </c>
      <c r="L22" s="484">
        <v>2649015.33</v>
      </c>
      <c r="M22" s="484">
        <v>4233655.3949999996</v>
      </c>
      <c r="N22" s="484">
        <v>0</v>
      </c>
      <c r="O22" s="484">
        <v>0</v>
      </c>
      <c r="P22" s="484">
        <v>4733689</v>
      </c>
      <c r="Q22" s="484">
        <v>0</v>
      </c>
      <c r="R22" s="484">
        <v>2111513.25</v>
      </c>
      <c r="S22" s="484">
        <v>923133.5</v>
      </c>
      <c r="T22" s="484">
        <v>1271868.4950000001</v>
      </c>
      <c r="U22" s="484"/>
      <c r="V22" s="484"/>
      <c r="W22" s="484"/>
      <c r="X22" s="484"/>
      <c r="Y22" s="484"/>
      <c r="Z22" s="484">
        <v>2460040.625</v>
      </c>
      <c r="AA22" s="484">
        <v>3641858.3</v>
      </c>
      <c r="AB22" s="484"/>
      <c r="AC22" s="484">
        <v>3735301.5750000002</v>
      </c>
      <c r="AD22" s="484">
        <v>5613218.75</v>
      </c>
      <c r="AE22" s="484">
        <v>564705</v>
      </c>
      <c r="AF22" s="484"/>
      <c r="AG22" s="484">
        <v>9800888.7149999999</v>
      </c>
      <c r="AH22" s="484">
        <v>300000</v>
      </c>
      <c r="AI22" s="484">
        <v>300000</v>
      </c>
      <c r="AJ22" s="484">
        <v>300000</v>
      </c>
      <c r="AK22" s="484">
        <v>106785</v>
      </c>
      <c r="AL22" s="484">
        <v>2260936.25</v>
      </c>
      <c r="AM22" s="484">
        <v>2391591.875</v>
      </c>
      <c r="AN22" s="484">
        <v>250000</v>
      </c>
      <c r="AO22" s="484">
        <v>1000000</v>
      </c>
      <c r="AP22" s="484">
        <v>2496679.5</v>
      </c>
      <c r="AQ22" s="484">
        <v>250000</v>
      </c>
      <c r="AR22" s="484">
        <v>3852765.25</v>
      </c>
      <c r="AS22" s="484">
        <v>1125203.125</v>
      </c>
      <c r="AT22" s="484">
        <v>1120090.625</v>
      </c>
      <c r="AU22" s="484">
        <v>19270437.5</v>
      </c>
      <c r="AV22" s="484"/>
      <c r="AW22" s="484">
        <v>527181475.47499996</v>
      </c>
      <c r="AX22" s="484">
        <v>187971505</v>
      </c>
      <c r="AY22" s="484">
        <v>106216461</v>
      </c>
      <c r="AZ22" s="484">
        <v>25810930</v>
      </c>
      <c r="BA22" s="484">
        <v>20456759</v>
      </c>
      <c r="BB22" s="484">
        <v>14956519</v>
      </c>
      <c r="BC22" s="484">
        <v>34073158</v>
      </c>
      <c r="BD22" s="484">
        <v>10414213</v>
      </c>
      <c r="BE22" s="484">
        <v>3736546</v>
      </c>
      <c r="BF22" s="484">
        <v>9911850</v>
      </c>
      <c r="BG22" s="484"/>
      <c r="BH22" s="484"/>
      <c r="BI22" s="484"/>
      <c r="BJ22" s="484"/>
      <c r="BK22" s="484"/>
      <c r="BL22" s="484"/>
      <c r="BM22" s="484">
        <v>413547941</v>
      </c>
      <c r="BN22" s="484">
        <v>0</v>
      </c>
      <c r="BO22" s="484">
        <v>0</v>
      </c>
      <c r="BP22" s="484">
        <v>0</v>
      </c>
      <c r="BQ22" s="484">
        <v>940729416.4749999</v>
      </c>
    </row>
    <row r="23" spans="1:70" s="482" customFormat="1" ht="13.5">
      <c r="A23" s="480" t="s">
        <v>170</v>
      </c>
      <c r="B23" s="481">
        <v>0</v>
      </c>
      <c r="C23" s="481">
        <v>0</v>
      </c>
      <c r="D23" s="481">
        <v>0</v>
      </c>
      <c r="E23" s="481">
        <v>0</v>
      </c>
      <c r="F23" s="481">
        <v>0</v>
      </c>
      <c r="G23" s="481">
        <v>0</v>
      </c>
      <c r="H23" s="481">
        <v>0</v>
      </c>
      <c r="I23" s="481">
        <v>0</v>
      </c>
      <c r="J23" s="481">
        <v>0</v>
      </c>
      <c r="K23" s="481">
        <v>0</v>
      </c>
      <c r="L23" s="481">
        <v>0</v>
      </c>
      <c r="M23" s="481">
        <v>0</v>
      </c>
      <c r="N23" s="481">
        <v>0</v>
      </c>
      <c r="O23" s="481">
        <v>0</v>
      </c>
      <c r="P23" s="481">
        <v>0</v>
      </c>
      <c r="Q23" s="481">
        <v>0</v>
      </c>
      <c r="R23" s="481">
        <v>0</v>
      </c>
      <c r="S23" s="481">
        <v>0</v>
      </c>
      <c r="T23" s="481">
        <v>0</v>
      </c>
      <c r="U23" s="481">
        <v>0</v>
      </c>
      <c r="V23" s="481">
        <v>0</v>
      </c>
      <c r="W23" s="481">
        <v>0</v>
      </c>
      <c r="X23" s="481">
        <v>0</v>
      </c>
      <c r="Y23" s="481">
        <v>0</v>
      </c>
      <c r="Z23" s="481">
        <v>0</v>
      </c>
      <c r="AA23" s="481">
        <v>0</v>
      </c>
      <c r="AB23" s="481">
        <v>0</v>
      </c>
      <c r="AC23" s="481">
        <v>0</v>
      </c>
      <c r="AD23" s="481">
        <v>0</v>
      </c>
      <c r="AE23" s="481">
        <v>0</v>
      </c>
      <c r="AF23" s="481">
        <v>0</v>
      </c>
      <c r="AG23" s="481">
        <v>0</v>
      </c>
      <c r="AH23" s="481">
        <v>0</v>
      </c>
      <c r="AI23" s="481">
        <v>0</v>
      </c>
      <c r="AJ23" s="481">
        <v>0</v>
      </c>
      <c r="AK23" s="481">
        <v>0</v>
      </c>
      <c r="AL23" s="481">
        <v>0</v>
      </c>
      <c r="AM23" s="481">
        <v>0</v>
      </c>
      <c r="AN23" s="481">
        <v>0</v>
      </c>
      <c r="AO23" s="481">
        <v>0</v>
      </c>
      <c r="AP23" s="481">
        <v>0</v>
      </c>
      <c r="AQ23" s="481">
        <v>0</v>
      </c>
      <c r="AR23" s="481">
        <v>0</v>
      </c>
      <c r="AS23" s="481">
        <v>0</v>
      </c>
      <c r="AT23" s="481">
        <v>0</v>
      </c>
      <c r="AU23" s="481">
        <v>0</v>
      </c>
      <c r="AV23" s="481"/>
      <c r="AW23" s="481">
        <v>0</v>
      </c>
      <c r="AX23" s="481">
        <v>755378708.47842979</v>
      </c>
      <c r="AY23" s="481">
        <v>548159893.10877252</v>
      </c>
      <c r="AZ23" s="481">
        <v>197556688.96140301</v>
      </c>
      <c r="BA23" s="481">
        <v>148601141.22490051</v>
      </c>
      <c r="BB23" s="481">
        <v>129897673.48472102</v>
      </c>
      <c r="BC23" s="481">
        <v>299937552.83090401</v>
      </c>
      <c r="BD23" s="481">
        <v>188037061.18944299</v>
      </c>
      <c r="BE23" s="481">
        <v>62901012.398280002</v>
      </c>
      <c r="BF23" s="481">
        <v>24493579.880000003</v>
      </c>
      <c r="BG23" s="481">
        <v>10237363.342799999</v>
      </c>
      <c r="BH23" s="481">
        <v>0</v>
      </c>
      <c r="BI23" s="481">
        <v>0</v>
      </c>
      <c r="BJ23" s="481">
        <v>210794.47200000004</v>
      </c>
      <c r="BK23" s="481">
        <v>2503281.169125</v>
      </c>
      <c r="BL23" s="481">
        <v>2434699.4654250001</v>
      </c>
      <c r="BM23" s="481">
        <v>2370349450.0062046</v>
      </c>
      <c r="BN23" s="481">
        <v>0</v>
      </c>
      <c r="BO23" s="481">
        <v>0</v>
      </c>
      <c r="BP23" s="481">
        <v>0</v>
      </c>
      <c r="BQ23" s="481">
        <v>2370349450.0062046</v>
      </c>
      <c r="BR23" s="757">
        <v>3557046258.3962045</v>
      </c>
    </row>
    <row r="24" spans="1:70" s="482" customFormat="1" ht="13.5">
      <c r="A24" s="485" t="s">
        <v>714</v>
      </c>
      <c r="B24" s="486">
        <v>0</v>
      </c>
      <c r="C24" s="486">
        <v>0</v>
      </c>
      <c r="D24" s="486">
        <v>0</v>
      </c>
      <c r="E24" s="486">
        <v>0</v>
      </c>
      <c r="F24" s="486">
        <v>0</v>
      </c>
      <c r="G24" s="486">
        <v>0</v>
      </c>
      <c r="H24" s="486">
        <v>0</v>
      </c>
      <c r="I24" s="486">
        <v>0</v>
      </c>
      <c r="J24" s="486">
        <v>0</v>
      </c>
      <c r="K24" s="486">
        <v>0</v>
      </c>
      <c r="L24" s="486">
        <v>0</v>
      </c>
      <c r="M24" s="486">
        <v>0</v>
      </c>
      <c r="N24" s="486">
        <v>0</v>
      </c>
      <c r="O24" s="486">
        <v>0</v>
      </c>
      <c r="P24" s="486">
        <v>0</v>
      </c>
      <c r="Q24" s="486">
        <v>0</v>
      </c>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6"/>
      <c r="AQ24" s="486"/>
      <c r="AR24" s="486"/>
      <c r="AS24" s="486"/>
      <c r="AT24" s="486"/>
      <c r="AU24" s="486"/>
      <c r="AV24" s="486"/>
      <c r="AW24" s="486">
        <v>0</v>
      </c>
      <c r="AX24" s="486">
        <v>285987797.47842973</v>
      </c>
      <c r="AY24" s="486">
        <v>154602698.07251498</v>
      </c>
      <c r="AZ24" s="486">
        <v>60127479.626569986</v>
      </c>
      <c r="BA24" s="486">
        <v>38919034.921635002</v>
      </c>
      <c r="BB24" s="486">
        <v>49143399.812290005</v>
      </c>
      <c r="BC24" s="486">
        <v>122509967.1356</v>
      </c>
      <c r="BD24" s="486">
        <v>60876946.573850006</v>
      </c>
      <c r="BE24" s="486">
        <v>25764864.392959997</v>
      </c>
      <c r="BF24" s="486">
        <v>0</v>
      </c>
      <c r="BG24" s="486">
        <v>7678022.5070999991</v>
      </c>
      <c r="BH24" s="486"/>
      <c r="BI24" s="486"/>
      <c r="BJ24" s="486"/>
      <c r="BK24" s="486">
        <v>1668854.1127500001</v>
      </c>
      <c r="BL24" s="486">
        <v>955083.49695000006</v>
      </c>
      <c r="BM24" s="486">
        <v>808234148.13064969</v>
      </c>
      <c r="BN24" s="486">
        <v>0</v>
      </c>
      <c r="BO24" s="486">
        <v>0</v>
      </c>
      <c r="BP24" s="486">
        <v>0</v>
      </c>
      <c r="BQ24" s="486">
        <v>808234148.13064969</v>
      </c>
      <c r="BR24" s="758">
        <v>0.46411778291219258</v>
      </c>
    </row>
    <row r="25" spans="1:70" s="482" customFormat="1" ht="13.5">
      <c r="A25" s="487" t="s">
        <v>715</v>
      </c>
      <c r="B25" s="484">
        <v>0</v>
      </c>
      <c r="C25" s="484">
        <v>0</v>
      </c>
      <c r="D25" s="484">
        <v>0</v>
      </c>
      <c r="E25" s="484">
        <v>0</v>
      </c>
      <c r="F25" s="484">
        <v>0</v>
      </c>
      <c r="G25" s="484">
        <v>0</v>
      </c>
      <c r="H25" s="484">
        <v>0</v>
      </c>
      <c r="I25" s="484">
        <v>0</v>
      </c>
      <c r="J25" s="484">
        <v>0</v>
      </c>
      <c r="K25" s="484">
        <v>0</v>
      </c>
      <c r="L25" s="484">
        <v>0</v>
      </c>
      <c r="M25" s="484">
        <v>0</v>
      </c>
      <c r="N25" s="484">
        <v>0</v>
      </c>
      <c r="O25" s="484">
        <v>0</v>
      </c>
      <c r="P25" s="484">
        <v>0</v>
      </c>
      <c r="Q25" s="484">
        <v>0</v>
      </c>
      <c r="R25" s="484"/>
      <c r="S25" s="484"/>
      <c r="T25" s="484"/>
      <c r="U25" s="484"/>
      <c r="V25" s="484"/>
      <c r="W25" s="484"/>
      <c r="X25" s="484"/>
      <c r="Y25" s="484"/>
      <c r="Z25" s="484"/>
      <c r="AA25" s="484"/>
      <c r="AB25" s="484"/>
      <c r="AC25" s="484"/>
      <c r="AD25" s="484"/>
      <c r="AE25" s="484"/>
      <c r="AF25" s="484"/>
      <c r="AG25" s="484"/>
      <c r="AH25" s="484"/>
      <c r="AI25" s="484"/>
      <c r="AJ25" s="484"/>
      <c r="AK25" s="484"/>
      <c r="AL25" s="484"/>
      <c r="AM25" s="484"/>
      <c r="AN25" s="484"/>
      <c r="AO25" s="484"/>
      <c r="AP25" s="484"/>
      <c r="AQ25" s="484"/>
      <c r="AR25" s="484"/>
      <c r="AS25" s="484"/>
      <c r="AT25" s="484"/>
      <c r="AU25" s="484"/>
      <c r="AV25" s="484"/>
      <c r="AW25" s="484">
        <v>0</v>
      </c>
      <c r="AX25" s="484">
        <v>163198506</v>
      </c>
      <c r="AY25" s="484">
        <v>155127923</v>
      </c>
      <c r="AZ25" s="484">
        <v>53682734.760774001</v>
      </c>
      <c r="BA25" s="484">
        <v>42111294.421224006</v>
      </c>
      <c r="BB25" s="484">
        <v>28091286.883143004</v>
      </c>
      <c r="BC25" s="484">
        <v>55086301.063751996</v>
      </c>
      <c r="BD25" s="484">
        <v>45360820.664333999</v>
      </c>
      <c r="BE25" s="484">
        <v>12126857.904420001</v>
      </c>
      <c r="BF25" s="484">
        <v>17145506</v>
      </c>
      <c r="BG25" s="484"/>
      <c r="BH25" s="484"/>
      <c r="BI25" s="484"/>
      <c r="BJ25" s="484">
        <v>105397.23600000002</v>
      </c>
      <c r="BK25" s="484"/>
      <c r="BL25" s="484">
        <v>501037.11000000004</v>
      </c>
      <c r="BM25" s="484">
        <v>572537665.04364693</v>
      </c>
      <c r="BN25" s="484">
        <v>0</v>
      </c>
      <c r="BO25" s="484">
        <v>0</v>
      </c>
      <c r="BP25" s="484">
        <v>0</v>
      </c>
      <c r="BQ25" s="484">
        <v>572537665.04364693</v>
      </c>
    </row>
    <row r="26" spans="1:70" s="482" customFormat="1" ht="13.5">
      <c r="A26" s="485" t="s">
        <v>618</v>
      </c>
      <c r="B26" s="486">
        <v>0</v>
      </c>
      <c r="C26" s="486">
        <v>0</v>
      </c>
      <c r="D26" s="486">
        <v>0</v>
      </c>
      <c r="E26" s="486">
        <v>0</v>
      </c>
      <c r="F26" s="486">
        <v>0</v>
      </c>
      <c r="G26" s="486">
        <v>0</v>
      </c>
      <c r="H26" s="486">
        <v>0</v>
      </c>
      <c r="I26" s="486">
        <v>0</v>
      </c>
      <c r="J26" s="486">
        <v>0</v>
      </c>
      <c r="K26" s="486">
        <v>0</v>
      </c>
      <c r="L26" s="486">
        <v>0</v>
      </c>
      <c r="M26" s="486">
        <v>0</v>
      </c>
      <c r="N26" s="486">
        <v>0</v>
      </c>
      <c r="O26" s="486">
        <v>0</v>
      </c>
      <c r="P26" s="486">
        <v>0</v>
      </c>
      <c r="Q26" s="486">
        <v>0</v>
      </c>
      <c r="R26" s="486"/>
      <c r="S26" s="486"/>
      <c r="T26" s="486"/>
      <c r="U26" s="486"/>
      <c r="V26" s="486"/>
      <c r="W26" s="486"/>
      <c r="X26" s="486"/>
      <c r="Y26" s="486"/>
      <c r="Z26" s="486"/>
      <c r="AA26" s="486"/>
      <c r="AB26" s="486"/>
      <c r="AC26" s="486"/>
      <c r="AD26" s="486"/>
      <c r="AE26" s="486"/>
      <c r="AF26" s="486"/>
      <c r="AG26" s="486"/>
      <c r="AH26" s="486"/>
      <c r="AI26" s="486"/>
      <c r="AJ26" s="486"/>
      <c r="AK26" s="486"/>
      <c r="AL26" s="486"/>
      <c r="AM26" s="486"/>
      <c r="AN26" s="486"/>
      <c r="AO26" s="486"/>
      <c r="AP26" s="486"/>
      <c r="AQ26" s="486"/>
      <c r="AR26" s="486"/>
      <c r="AS26" s="486"/>
      <c r="AT26" s="486"/>
      <c r="AU26" s="486"/>
      <c r="AV26" s="486"/>
      <c r="AW26" s="486">
        <v>0</v>
      </c>
      <c r="AX26" s="486">
        <v>142993899</v>
      </c>
      <c r="AY26" s="486">
        <v>77301349.036257491</v>
      </c>
      <c r="AZ26" s="486">
        <v>30063739.813284993</v>
      </c>
      <c r="BA26" s="486">
        <v>19459517.460817501</v>
      </c>
      <c r="BB26" s="486">
        <v>24571699.906145003</v>
      </c>
      <c r="BC26" s="486">
        <v>61254983.5678</v>
      </c>
      <c r="BD26" s="486">
        <v>30438473.286925003</v>
      </c>
      <c r="BE26" s="486">
        <v>12882432.196479999</v>
      </c>
      <c r="BF26" s="486">
        <v>0</v>
      </c>
      <c r="BG26" s="486">
        <v>2559340.8356999997</v>
      </c>
      <c r="BH26" s="486"/>
      <c r="BI26" s="486"/>
      <c r="BJ26" s="486"/>
      <c r="BK26" s="486">
        <v>834427.05637499993</v>
      </c>
      <c r="BL26" s="486">
        <v>477541.74847500003</v>
      </c>
      <c r="BM26" s="486">
        <v>402837403.90825999</v>
      </c>
      <c r="BN26" s="486">
        <v>0</v>
      </c>
      <c r="BO26" s="486">
        <v>0</v>
      </c>
      <c r="BP26" s="486">
        <v>0</v>
      </c>
      <c r="BQ26" s="486">
        <v>402837403.90825999</v>
      </c>
    </row>
    <row r="27" spans="1:70" s="482" customFormat="1" ht="13.5">
      <c r="A27" s="487" t="s">
        <v>619</v>
      </c>
      <c r="B27" s="484">
        <v>0</v>
      </c>
      <c r="C27" s="484">
        <v>0</v>
      </c>
      <c r="D27" s="484">
        <v>0</v>
      </c>
      <c r="E27" s="484">
        <v>0</v>
      </c>
      <c r="F27" s="484">
        <v>0</v>
      </c>
      <c r="G27" s="484">
        <v>0</v>
      </c>
      <c r="H27" s="484">
        <v>0</v>
      </c>
      <c r="I27" s="484">
        <v>0</v>
      </c>
      <c r="J27" s="484">
        <v>0</v>
      </c>
      <c r="K27" s="484">
        <v>0</v>
      </c>
      <c r="L27" s="484">
        <v>0</v>
      </c>
      <c r="M27" s="484">
        <v>0</v>
      </c>
      <c r="N27" s="484">
        <v>0</v>
      </c>
      <c r="O27" s="484">
        <v>0</v>
      </c>
      <c r="P27" s="484">
        <v>0</v>
      </c>
      <c r="Q27" s="484">
        <v>0</v>
      </c>
      <c r="R27" s="484"/>
      <c r="S27" s="484"/>
      <c r="T27" s="484"/>
      <c r="U27" s="484"/>
      <c r="V27" s="484"/>
      <c r="W27" s="484"/>
      <c r="X27" s="484"/>
      <c r="Y27" s="484"/>
      <c r="Z27" s="484"/>
      <c r="AA27" s="484"/>
      <c r="AB27" s="484"/>
      <c r="AC27" s="484"/>
      <c r="AD27" s="484"/>
      <c r="AE27" s="484"/>
      <c r="AF27" s="484"/>
      <c r="AG27" s="484"/>
      <c r="AH27" s="484"/>
      <c r="AI27" s="484"/>
      <c r="AJ27" s="484"/>
      <c r="AK27" s="484"/>
      <c r="AL27" s="484"/>
      <c r="AM27" s="484"/>
      <c r="AN27" s="484"/>
      <c r="AO27" s="484"/>
      <c r="AP27" s="484"/>
      <c r="AQ27" s="484"/>
      <c r="AR27" s="484"/>
      <c r="AS27" s="484"/>
      <c r="AT27" s="484"/>
      <c r="AU27" s="484"/>
      <c r="AV27" s="484"/>
      <c r="AW27" s="484">
        <v>0</v>
      </c>
      <c r="AX27" s="484">
        <v>163198506</v>
      </c>
      <c r="AY27" s="484">
        <v>155127923</v>
      </c>
      <c r="AZ27" s="484">
        <v>53682734.760774001</v>
      </c>
      <c r="BA27" s="484">
        <v>42111294.421224006</v>
      </c>
      <c r="BB27" s="484">
        <v>28091286.883143004</v>
      </c>
      <c r="BC27" s="484">
        <v>55086301.063751996</v>
      </c>
      <c r="BD27" s="484">
        <v>45360820.664333999</v>
      </c>
      <c r="BE27" s="484">
        <v>12126857.904420001</v>
      </c>
      <c r="BF27" s="484">
        <v>7348073.8800000008</v>
      </c>
      <c r="BG27" s="484"/>
      <c r="BH27" s="484"/>
      <c r="BI27" s="484"/>
      <c r="BJ27" s="484">
        <v>105397.23600000002</v>
      </c>
      <c r="BK27" s="484"/>
      <c r="BL27" s="484">
        <v>501037.11000000004</v>
      </c>
      <c r="BM27" s="484">
        <v>562740232.92364693</v>
      </c>
      <c r="BN27" s="484">
        <v>0</v>
      </c>
      <c r="BO27" s="484">
        <v>0</v>
      </c>
      <c r="BP27" s="484">
        <v>0</v>
      </c>
      <c r="BQ27" s="484">
        <v>562740232.92364693</v>
      </c>
    </row>
    <row r="28" spans="1:70" s="482" customFormat="1" ht="13.5">
      <c r="A28" s="485" t="s">
        <v>266</v>
      </c>
      <c r="B28" s="486">
        <v>0</v>
      </c>
      <c r="C28" s="486">
        <v>0</v>
      </c>
      <c r="D28" s="486">
        <v>0</v>
      </c>
      <c r="E28" s="486">
        <v>0</v>
      </c>
      <c r="F28" s="486">
        <v>0</v>
      </c>
      <c r="G28" s="486">
        <v>0</v>
      </c>
      <c r="H28" s="486">
        <v>0</v>
      </c>
      <c r="I28" s="486">
        <v>0</v>
      </c>
      <c r="J28" s="486">
        <v>0</v>
      </c>
      <c r="K28" s="486">
        <v>0</v>
      </c>
      <c r="L28" s="486">
        <v>0</v>
      </c>
      <c r="M28" s="486">
        <v>0</v>
      </c>
      <c r="N28" s="486">
        <v>0</v>
      </c>
      <c r="O28" s="486">
        <v>0</v>
      </c>
      <c r="P28" s="486">
        <v>0</v>
      </c>
      <c r="Q28" s="486">
        <v>0</v>
      </c>
      <c r="R28" s="486"/>
      <c r="S28" s="486"/>
      <c r="T28" s="486"/>
      <c r="U28" s="486"/>
      <c r="V28" s="486"/>
      <c r="W28" s="486"/>
      <c r="X28" s="486"/>
      <c r="Y28" s="486"/>
      <c r="Z28" s="486"/>
      <c r="AA28" s="486"/>
      <c r="AB28" s="486"/>
      <c r="AC28" s="486"/>
      <c r="AD28" s="486"/>
      <c r="AE28" s="486"/>
      <c r="AF28" s="486"/>
      <c r="AG28" s="486"/>
      <c r="AH28" s="486"/>
      <c r="AI28" s="486"/>
      <c r="AJ28" s="486"/>
      <c r="AK28" s="486"/>
      <c r="AL28" s="486"/>
      <c r="AM28" s="486"/>
      <c r="AN28" s="486"/>
      <c r="AO28" s="486"/>
      <c r="AP28" s="486"/>
      <c r="AQ28" s="486"/>
      <c r="AR28" s="486"/>
      <c r="AS28" s="486"/>
      <c r="AT28" s="486"/>
      <c r="AU28" s="486"/>
      <c r="AV28" s="486"/>
      <c r="AW28" s="486">
        <v>0</v>
      </c>
      <c r="AX28" s="486">
        <v>0</v>
      </c>
      <c r="AY28" s="486">
        <v>6000000</v>
      </c>
      <c r="AZ28" s="486">
        <v>0</v>
      </c>
      <c r="BA28" s="486">
        <v>6000000</v>
      </c>
      <c r="BB28" s="486">
        <v>0</v>
      </c>
      <c r="BC28" s="486">
        <v>6000000</v>
      </c>
      <c r="BD28" s="486">
        <v>6000000</v>
      </c>
      <c r="BE28" s="486">
        <v>0</v>
      </c>
      <c r="BF28" s="486">
        <v>0</v>
      </c>
      <c r="BG28" s="486"/>
      <c r="BH28" s="486"/>
      <c r="BI28" s="486"/>
      <c r="BJ28" s="486"/>
      <c r="BK28" s="486"/>
      <c r="BL28" s="486"/>
      <c r="BM28" s="486">
        <v>24000000</v>
      </c>
      <c r="BN28" s="486">
        <v>0</v>
      </c>
      <c r="BO28" s="486">
        <v>0</v>
      </c>
      <c r="BP28" s="486">
        <v>0</v>
      </c>
      <c r="BQ28" s="486">
        <v>24000000</v>
      </c>
    </row>
    <row r="29" spans="1:70" s="482" customFormat="1" ht="13.5" hidden="1" customHeight="1">
      <c r="A29" s="487" t="s">
        <v>263</v>
      </c>
      <c r="B29" s="484"/>
      <c r="C29" s="484"/>
      <c r="D29" s="484"/>
      <c r="E29" s="484"/>
      <c r="F29" s="484"/>
      <c r="G29" s="484"/>
      <c r="H29" s="484"/>
      <c r="I29" s="484"/>
      <c r="J29" s="484"/>
      <c r="K29" s="484"/>
      <c r="L29" s="484"/>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c r="AR29" s="484"/>
      <c r="AS29" s="484"/>
      <c r="AT29" s="484"/>
      <c r="AU29" s="484"/>
      <c r="AV29" s="484"/>
      <c r="AW29" s="484">
        <v>0</v>
      </c>
      <c r="AX29" s="484"/>
      <c r="AY29" s="484"/>
      <c r="AZ29" s="484"/>
      <c r="BA29" s="484"/>
      <c r="BB29" s="484"/>
      <c r="BC29" s="484"/>
      <c r="BD29" s="484"/>
      <c r="BE29" s="484"/>
      <c r="BF29" s="484"/>
      <c r="BG29" s="484"/>
      <c r="BH29" s="484"/>
      <c r="BI29" s="484"/>
      <c r="BJ29" s="484"/>
      <c r="BK29" s="484"/>
      <c r="BL29" s="484"/>
      <c r="BM29" s="484">
        <v>0</v>
      </c>
      <c r="BN29" s="484"/>
      <c r="BO29" s="484"/>
      <c r="BP29" s="484">
        <v>0</v>
      </c>
      <c r="BQ29" s="484">
        <v>0</v>
      </c>
    </row>
    <row r="30" spans="1:70" s="482" customFormat="1" ht="13.5">
      <c r="A30" s="480" t="s">
        <v>515</v>
      </c>
      <c r="B30" s="481">
        <v>35598775.329999998</v>
      </c>
      <c r="C30" s="481">
        <v>20453954.600000001</v>
      </c>
      <c r="D30" s="481">
        <v>22839704.550000001</v>
      </c>
      <c r="E30" s="481">
        <v>27769185.995000001</v>
      </c>
      <c r="F30" s="481">
        <v>50057196.024999999</v>
      </c>
      <c r="G30" s="481">
        <v>5599586.6500000004</v>
      </c>
      <c r="H30" s="481">
        <v>349940</v>
      </c>
      <c r="I30" s="481">
        <v>0</v>
      </c>
      <c r="J30" s="481">
        <v>9027203.0999999996</v>
      </c>
      <c r="K30" s="481">
        <v>1307838.05</v>
      </c>
      <c r="L30" s="481">
        <v>883005.11</v>
      </c>
      <c r="M30" s="481">
        <v>1411218.4650000001</v>
      </c>
      <c r="N30" s="481">
        <v>0</v>
      </c>
      <c r="O30" s="481">
        <v>0</v>
      </c>
      <c r="P30" s="481">
        <v>1671226</v>
      </c>
      <c r="Q30" s="481">
        <v>0</v>
      </c>
      <c r="R30" s="481">
        <v>844605.3</v>
      </c>
      <c r="S30" s="481">
        <v>369253.4</v>
      </c>
      <c r="T30" s="481">
        <v>423956.16499999998</v>
      </c>
      <c r="U30" s="481">
        <v>0</v>
      </c>
      <c r="V30" s="481">
        <v>0</v>
      </c>
      <c r="W30" s="481">
        <v>0</v>
      </c>
      <c r="X30" s="481">
        <v>0</v>
      </c>
      <c r="Y30" s="481">
        <v>0</v>
      </c>
      <c r="Z30" s="481">
        <v>984016.25</v>
      </c>
      <c r="AA30" s="481">
        <v>1456743.32</v>
      </c>
      <c r="AB30" s="481">
        <v>0</v>
      </c>
      <c r="AC30" s="481">
        <v>1245100.5249999999</v>
      </c>
      <c r="AD30" s="481">
        <v>2245287.5</v>
      </c>
      <c r="AE30" s="481">
        <v>188235</v>
      </c>
      <c r="AF30" s="481">
        <v>0</v>
      </c>
      <c r="AG30" s="481">
        <v>3266962.9049999998</v>
      </c>
      <c r="AH30" s="481">
        <v>100000</v>
      </c>
      <c r="AI30" s="481">
        <v>100000</v>
      </c>
      <c r="AJ30" s="481">
        <v>100000</v>
      </c>
      <c r="AK30" s="481">
        <v>42714</v>
      </c>
      <c r="AL30" s="481">
        <v>904374.5</v>
      </c>
      <c r="AM30" s="481">
        <v>956636.75</v>
      </c>
      <c r="AN30" s="481">
        <v>100000</v>
      </c>
      <c r="AO30" s="481">
        <v>400000</v>
      </c>
      <c r="AP30" s="481">
        <v>998671.8</v>
      </c>
      <c r="AQ30" s="481">
        <v>100000</v>
      </c>
      <c r="AR30" s="481">
        <v>1541106.1</v>
      </c>
      <c r="AS30" s="481">
        <v>450081.25</v>
      </c>
      <c r="AT30" s="481">
        <v>448036.25</v>
      </c>
      <c r="AU30" s="481">
        <v>7708175</v>
      </c>
      <c r="AV30" s="481">
        <v>0</v>
      </c>
      <c r="AW30" s="481">
        <v>201942789.89000005</v>
      </c>
      <c r="AX30" s="481">
        <v>0</v>
      </c>
      <c r="AY30" s="481">
        <v>0</v>
      </c>
      <c r="AZ30" s="481">
        <v>0</v>
      </c>
      <c r="BA30" s="481">
        <v>0</v>
      </c>
      <c r="BB30" s="481">
        <v>0</v>
      </c>
      <c r="BC30" s="481">
        <v>0</v>
      </c>
      <c r="BD30" s="481">
        <v>0</v>
      </c>
      <c r="BE30" s="481">
        <v>0</v>
      </c>
      <c r="BF30" s="481">
        <v>0</v>
      </c>
      <c r="BG30" s="481">
        <v>0</v>
      </c>
      <c r="BH30" s="481">
        <v>0</v>
      </c>
      <c r="BI30" s="481">
        <v>0</v>
      </c>
      <c r="BJ30" s="481">
        <v>0</v>
      </c>
      <c r="BK30" s="481">
        <v>0</v>
      </c>
      <c r="BL30" s="481">
        <v>0</v>
      </c>
      <c r="BM30" s="481">
        <v>0</v>
      </c>
      <c r="BN30" s="481">
        <v>0</v>
      </c>
      <c r="BO30" s="481">
        <v>0</v>
      </c>
      <c r="BP30" s="481">
        <v>0</v>
      </c>
      <c r="BQ30" s="481">
        <v>201942789.89000005</v>
      </c>
    </row>
    <row r="31" spans="1:70" s="482" customFormat="1" ht="13.5">
      <c r="A31" s="485" t="s">
        <v>262</v>
      </c>
      <c r="B31" s="486">
        <v>35598775.329999998</v>
      </c>
      <c r="C31" s="486">
        <v>20453954.600000001</v>
      </c>
      <c r="D31" s="486">
        <v>22839704.550000001</v>
      </c>
      <c r="E31" s="486">
        <v>27769185.995000001</v>
      </c>
      <c r="F31" s="486">
        <v>50057196.024999999</v>
      </c>
      <c r="G31" s="486">
        <v>5599586.6500000004</v>
      </c>
      <c r="H31" s="486">
        <v>349940</v>
      </c>
      <c r="I31" s="486">
        <v>0</v>
      </c>
      <c r="J31" s="486">
        <v>9027203.0999999996</v>
      </c>
      <c r="K31" s="486">
        <v>1307838.05</v>
      </c>
      <c r="L31" s="486">
        <v>883005.11</v>
      </c>
      <c r="M31" s="486">
        <v>1411218.4650000001</v>
      </c>
      <c r="N31" s="486">
        <v>0</v>
      </c>
      <c r="O31" s="486">
        <v>0</v>
      </c>
      <c r="P31" s="486">
        <v>1671226</v>
      </c>
      <c r="Q31" s="486">
        <v>0</v>
      </c>
      <c r="R31" s="486">
        <v>844605.3</v>
      </c>
      <c r="S31" s="486">
        <v>369253.4</v>
      </c>
      <c r="T31" s="486">
        <v>423956.16499999998</v>
      </c>
      <c r="U31" s="486"/>
      <c r="V31" s="486"/>
      <c r="W31" s="486"/>
      <c r="X31" s="486"/>
      <c r="Y31" s="486"/>
      <c r="Z31" s="486">
        <v>984016.25</v>
      </c>
      <c r="AA31" s="486">
        <v>1456743.32</v>
      </c>
      <c r="AB31" s="486"/>
      <c r="AC31" s="486">
        <v>1245100.5249999999</v>
      </c>
      <c r="AD31" s="486">
        <v>2245287.5</v>
      </c>
      <c r="AE31" s="486">
        <v>188235</v>
      </c>
      <c r="AF31" s="486"/>
      <c r="AG31" s="486">
        <v>3266962.9049999998</v>
      </c>
      <c r="AH31" s="486">
        <v>100000</v>
      </c>
      <c r="AI31" s="486">
        <v>100000</v>
      </c>
      <c r="AJ31" s="486">
        <v>100000</v>
      </c>
      <c r="AK31" s="486">
        <v>42714</v>
      </c>
      <c r="AL31" s="486">
        <v>904374.5</v>
      </c>
      <c r="AM31" s="486">
        <v>956636.75</v>
      </c>
      <c r="AN31" s="486">
        <v>100000</v>
      </c>
      <c r="AO31" s="486">
        <v>400000</v>
      </c>
      <c r="AP31" s="486">
        <v>998671.8</v>
      </c>
      <c r="AQ31" s="486">
        <v>100000</v>
      </c>
      <c r="AR31" s="486">
        <v>1541106.1</v>
      </c>
      <c r="AS31" s="486">
        <v>450081.25</v>
      </c>
      <c r="AT31" s="486">
        <v>448036.25</v>
      </c>
      <c r="AU31" s="486">
        <v>7708175</v>
      </c>
      <c r="AV31" s="486"/>
      <c r="AW31" s="486">
        <v>201942789.89000005</v>
      </c>
      <c r="AX31" s="486">
        <v>0</v>
      </c>
      <c r="AY31" s="486">
        <v>0</v>
      </c>
      <c r="AZ31" s="486">
        <v>0</v>
      </c>
      <c r="BA31" s="486">
        <v>0</v>
      </c>
      <c r="BB31" s="486">
        <v>0</v>
      </c>
      <c r="BC31" s="486">
        <v>0</v>
      </c>
      <c r="BD31" s="486">
        <v>0</v>
      </c>
      <c r="BE31" s="486">
        <v>0</v>
      </c>
      <c r="BF31" s="486">
        <v>0</v>
      </c>
      <c r="BG31" s="486"/>
      <c r="BH31" s="486"/>
      <c r="BI31" s="486"/>
      <c r="BJ31" s="486"/>
      <c r="BK31" s="486"/>
      <c r="BL31" s="486"/>
      <c r="BM31" s="486">
        <v>0</v>
      </c>
      <c r="BN31" s="486">
        <v>0</v>
      </c>
      <c r="BO31" s="486">
        <v>0</v>
      </c>
      <c r="BP31" s="486">
        <v>0</v>
      </c>
      <c r="BQ31" s="486">
        <v>201942789.89000005</v>
      </c>
    </row>
    <row r="32" spans="1:70" s="482" customFormat="1" ht="13.5">
      <c r="A32" s="480" t="s">
        <v>275</v>
      </c>
      <c r="B32" s="481">
        <v>0</v>
      </c>
      <c r="C32" s="481">
        <v>0</v>
      </c>
      <c r="D32" s="481">
        <v>0</v>
      </c>
      <c r="E32" s="481">
        <v>0</v>
      </c>
      <c r="F32" s="481">
        <v>0</v>
      </c>
      <c r="G32" s="481">
        <v>0</v>
      </c>
      <c r="H32" s="481">
        <v>0</v>
      </c>
      <c r="I32" s="481">
        <v>0</v>
      </c>
      <c r="J32" s="481">
        <v>0</v>
      </c>
      <c r="K32" s="481">
        <v>800000</v>
      </c>
      <c r="L32" s="481">
        <v>0</v>
      </c>
      <c r="M32" s="481">
        <v>0</v>
      </c>
      <c r="N32" s="481">
        <v>0</v>
      </c>
      <c r="O32" s="481">
        <v>0</v>
      </c>
      <c r="P32" s="481">
        <v>0</v>
      </c>
      <c r="Q32" s="481">
        <v>0</v>
      </c>
      <c r="R32" s="481">
        <v>0</v>
      </c>
      <c r="S32" s="481">
        <v>0</v>
      </c>
      <c r="T32" s="481">
        <v>0</v>
      </c>
      <c r="U32" s="481">
        <v>0</v>
      </c>
      <c r="V32" s="481">
        <v>0</v>
      </c>
      <c r="W32" s="481">
        <v>0</v>
      </c>
      <c r="X32" s="481">
        <v>0</v>
      </c>
      <c r="Y32" s="481">
        <v>0</v>
      </c>
      <c r="Z32" s="481">
        <v>0</v>
      </c>
      <c r="AA32" s="481">
        <v>0</v>
      </c>
      <c r="AB32" s="481">
        <v>0</v>
      </c>
      <c r="AC32" s="481">
        <v>0</v>
      </c>
      <c r="AD32" s="481">
        <v>0</v>
      </c>
      <c r="AE32" s="481">
        <v>0</v>
      </c>
      <c r="AF32" s="481">
        <v>0</v>
      </c>
      <c r="AG32" s="481">
        <v>0</v>
      </c>
      <c r="AH32" s="481">
        <v>0</v>
      </c>
      <c r="AI32" s="481">
        <v>0</v>
      </c>
      <c r="AJ32" s="481">
        <v>0</v>
      </c>
      <c r="AK32" s="481">
        <v>0</v>
      </c>
      <c r="AL32" s="481">
        <v>0</v>
      </c>
      <c r="AM32" s="481">
        <v>0</v>
      </c>
      <c r="AN32" s="481">
        <v>0</v>
      </c>
      <c r="AO32" s="481">
        <v>0</v>
      </c>
      <c r="AP32" s="481">
        <v>0</v>
      </c>
      <c r="AQ32" s="481">
        <v>0</v>
      </c>
      <c r="AR32" s="481">
        <v>0</v>
      </c>
      <c r="AS32" s="481">
        <v>0</v>
      </c>
      <c r="AT32" s="481">
        <v>0</v>
      </c>
      <c r="AU32" s="481">
        <v>0</v>
      </c>
      <c r="AV32" s="481">
        <v>0</v>
      </c>
      <c r="AW32" s="481">
        <v>800000</v>
      </c>
      <c r="AX32" s="481">
        <v>0</v>
      </c>
      <c r="AY32" s="481">
        <v>0</v>
      </c>
      <c r="AZ32" s="481">
        <v>0</v>
      </c>
      <c r="BA32" s="481">
        <v>0</v>
      </c>
      <c r="BB32" s="481">
        <v>0</v>
      </c>
      <c r="BC32" s="481">
        <v>0</v>
      </c>
      <c r="BD32" s="481">
        <v>0</v>
      </c>
      <c r="BE32" s="481">
        <v>0</v>
      </c>
      <c r="BF32" s="481">
        <v>0</v>
      </c>
      <c r="BG32" s="481">
        <v>0</v>
      </c>
      <c r="BH32" s="481">
        <v>0</v>
      </c>
      <c r="BI32" s="481">
        <v>0</v>
      </c>
      <c r="BJ32" s="481">
        <v>0</v>
      </c>
      <c r="BK32" s="481">
        <v>0</v>
      </c>
      <c r="BL32" s="481">
        <v>0</v>
      </c>
      <c r="BM32" s="481">
        <v>0</v>
      </c>
      <c r="BN32" s="481">
        <v>0</v>
      </c>
      <c r="BO32" s="481">
        <v>0</v>
      </c>
      <c r="BP32" s="481">
        <v>0</v>
      </c>
      <c r="BQ32" s="481">
        <v>800000</v>
      </c>
    </row>
    <row r="33" spans="1:69" s="482" customFormat="1" ht="13.5">
      <c r="A33" s="202" t="s">
        <v>200</v>
      </c>
      <c r="B33" s="488">
        <v>0</v>
      </c>
      <c r="C33" s="488">
        <v>0</v>
      </c>
      <c r="D33" s="488">
        <v>0</v>
      </c>
      <c r="E33" s="488">
        <v>0</v>
      </c>
      <c r="F33" s="488">
        <v>0</v>
      </c>
      <c r="G33" s="488">
        <v>0</v>
      </c>
      <c r="H33" s="488">
        <v>0</v>
      </c>
      <c r="I33" s="488">
        <v>0</v>
      </c>
      <c r="J33" s="488">
        <v>0</v>
      </c>
      <c r="K33" s="488">
        <v>800000</v>
      </c>
      <c r="L33" s="488">
        <v>0</v>
      </c>
      <c r="M33" s="488">
        <v>0</v>
      </c>
      <c r="N33" s="488">
        <v>0</v>
      </c>
      <c r="O33" s="488">
        <v>0</v>
      </c>
      <c r="P33" s="488">
        <v>0</v>
      </c>
      <c r="Q33" s="488">
        <v>0</v>
      </c>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8"/>
      <c r="AO33" s="488"/>
      <c r="AP33" s="488"/>
      <c r="AQ33" s="488"/>
      <c r="AR33" s="488"/>
      <c r="AS33" s="488"/>
      <c r="AT33" s="488"/>
      <c r="AU33" s="488"/>
      <c r="AV33" s="488"/>
      <c r="AW33" s="488">
        <v>800000</v>
      </c>
      <c r="AX33" s="488">
        <v>0</v>
      </c>
      <c r="AY33" s="488">
        <v>0</v>
      </c>
      <c r="AZ33" s="488">
        <v>0</v>
      </c>
      <c r="BA33" s="488">
        <v>0</v>
      </c>
      <c r="BB33" s="488">
        <v>0</v>
      </c>
      <c r="BC33" s="488">
        <v>0</v>
      </c>
      <c r="BD33" s="488">
        <v>0</v>
      </c>
      <c r="BE33" s="488">
        <v>0</v>
      </c>
      <c r="BF33" s="488">
        <v>0</v>
      </c>
      <c r="BG33" s="488"/>
      <c r="BH33" s="488"/>
      <c r="BI33" s="488"/>
      <c r="BJ33" s="488"/>
      <c r="BK33" s="488"/>
      <c r="BL33" s="488"/>
      <c r="BM33" s="488">
        <v>0</v>
      </c>
      <c r="BN33" s="488">
        <v>0</v>
      </c>
      <c r="BO33" s="488">
        <v>0</v>
      </c>
      <c r="BP33" s="488">
        <v>0</v>
      </c>
      <c r="BQ33" s="488">
        <v>800000</v>
      </c>
    </row>
    <row r="34" spans="1:69" s="482" customFormat="1" ht="13.5">
      <c r="A34" s="480" t="s">
        <v>515</v>
      </c>
      <c r="B34" s="489">
        <v>0</v>
      </c>
      <c r="C34" s="489">
        <v>0</v>
      </c>
      <c r="D34" s="489">
        <v>0</v>
      </c>
      <c r="E34" s="489">
        <v>0</v>
      </c>
      <c r="F34" s="489">
        <v>0</v>
      </c>
      <c r="G34" s="489">
        <v>0</v>
      </c>
      <c r="H34" s="489">
        <v>0</v>
      </c>
      <c r="I34" s="489">
        <v>33000000</v>
      </c>
      <c r="J34" s="489">
        <v>0</v>
      </c>
      <c r="K34" s="489">
        <v>3000000</v>
      </c>
      <c r="L34" s="489">
        <v>22500000</v>
      </c>
      <c r="M34" s="489">
        <v>0</v>
      </c>
      <c r="N34" s="489">
        <v>22500000</v>
      </c>
      <c r="O34" s="489">
        <v>22113000</v>
      </c>
      <c r="P34" s="489">
        <v>0</v>
      </c>
      <c r="Q34" s="489">
        <v>0</v>
      </c>
      <c r="R34" s="489">
        <v>0</v>
      </c>
      <c r="S34" s="489">
        <v>0</v>
      </c>
      <c r="T34" s="489">
        <v>0</v>
      </c>
      <c r="U34" s="489">
        <v>0</v>
      </c>
      <c r="V34" s="489">
        <v>0</v>
      </c>
      <c r="W34" s="489">
        <v>0</v>
      </c>
      <c r="X34" s="489">
        <v>0</v>
      </c>
      <c r="Y34" s="489">
        <v>0</v>
      </c>
      <c r="Z34" s="489">
        <v>0</v>
      </c>
      <c r="AA34" s="489">
        <v>0</v>
      </c>
      <c r="AB34" s="489">
        <v>0</v>
      </c>
      <c r="AC34" s="489">
        <v>0</v>
      </c>
      <c r="AD34" s="489">
        <v>0</v>
      </c>
      <c r="AE34" s="489">
        <v>0</v>
      </c>
      <c r="AF34" s="489">
        <v>0</v>
      </c>
      <c r="AG34" s="489">
        <v>0</v>
      </c>
      <c r="AH34" s="489">
        <v>0</v>
      </c>
      <c r="AI34" s="489">
        <v>0</v>
      </c>
      <c r="AJ34" s="489">
        <v>0</v>
      </c>
      <c r="AK34" s="489">
        <v>0</v>
      </c>
      <c r="AL34" s="489">
        <v>0</v>
      </c>
      <c r="AM34" s="489">
        <v>0</v>
      </c>
      <c r="AN34" s="489">
        <v>0</v>
      </c>
      <c r="AO34" s="489">
        <v>0</v>
      </c>
      <c r="AP34" s="489">
        <v>0</v>
      </c>
      <c r="AQ34" s="489">
        <v>0</v>
      </c>
      <c r="AR34" s="489">
        <v>0</v>
      </c>
      <c r="AS34" s="489">
        <v>0</v>
      </c>
      <c r="AT34" s="489">
        <v>0</v>
      </c>
      <c r="AU34" s="489">
        <v>0</v>
      </c>
      <c r="AV34" s="489">
        <v>675417500</v>
      </c>
      <c r="AW34" s="659">
        <v>778530500</v>
      </c>
      <c r="AX34" s="489">
        <v>0</v>
      </c>
      <c r="AY34" s="489">
        <v>0</v>
      </c>
      <c r="AZ34" s="489">
        <v>0</v>
      </c>
      <c r="BA34" s="489">
        <v>0</v>
      </c>
      <c r="BB34" s="489">
        <v>0</v>
      </c>
      <c r="BC34" s="489">
        <v>0</v>
      </c>
      <c r="BD34" s="489">
        <v>0</v>
      </c>
      <c r="BE34" s="489">
        <v>0</v>
      </c>
      <c r="BF34" s="489">
        <v>0</v>
      </c>
      <c r="BG34" s="489">
        <v>0</v>
      </c>
      <c r="BH34" s="489">
        <v>0</v>
      </c>
      <c r="BI34" s="489">
        <v>0</v>
      </c>
      <c r="BJ34" s="489">
        <v>0</v>
      </c>
      <c r="BK34" s="489">
        <v>0</v>
      </c>
      <c r="BL34" s="489">
        <v>0</v>
      </c>
      <c r="BM34" s="489">
        <v>0</v>
      </c>
      <c r="BN34" s="659">
        <v>112095000</v>
      </c>
      <c r="BO34" s="489">
        <v>49479519</v>
      </c>
      <c r="BP34" s="489">
        <v>161574519</v>
      </c>
      <c r="BQ34" s="659">
        <v>940105019</v>
      </c>
    </row>
    <row r="35" spans="1:69" s="482" customFormat="1" ht="13.5">
      <c r="A35" s="202" t="s">
        <v>749</v>
      </c>
      <c r="B35" s="488"/>
      <c r="C35" s="488"/>
      <c r="D35" s="488"/>
      <c r="E35" s="488"/>
      <c r="F35" s="488"/>
      <c r="G35" s="488"/>
      <c r="H35" s="488"/>
      <c r="I35" s="488">
        <v>3000000</v>
      </c>
      <c r="J35" s="488"/>
      <c r="K35" s="488">
        <v>3000000</v>
      </c>
      <c r="L35" s="488">
        <v>15000000</v>
      </c>
      <c r="M35" s="488"/>
      <c r="N35" s="488">
        <v>15000000</v>
      </c>
      <c r="O35" s="488">
        <v>15000000</v>
      </c>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8"/>
      <c r="AO35" s="488"/>
      <c r="AP35" s="488"/>
      <c r="AQ35" s="488"/>
      <c r="AR35" s="488"/>
      <c r="AS35" s="488"/>
      <c r="AT35" s="488"/>
      <c r="AU35" s="488"/>
      <c r="AV35" s="488">
        <v>450700000</v>
      </c>
      <c r="AW35" s="488">
        <v>501700000</v>
      </c>
      <c r="AX35" s="488"/>
      <c r="AY35" s="488"/>
      <c r="AZ35" s="488"/>
      <c r="BA35" s="488"/>
      <c r="BB35" s="488"/>
      <c r="BC35" s="488"/>
      <c r="BD35" s="488"/>
      <c r="BE35" s="488"/>
      <c r="BF35" s="488"/>
      <c r="BG35" s="488"/>
      <c r="BH35" s="488"/>
      <c r="BI35" s="488"/>
      <c r="BJ35" s="488"/>
      <c r="BK35" s="488"/>
      <c r="BL35" s="488"/>
      <c r="BM35" s="488"/>
      <c r="BN35" s="488"/>
      <c r="BO35" s="488"/>
      <c r="BP35" s="488"/>
      <c r="BQ35" s="488">
        <v>501700000</v>
      </c>
    </row>
    <row r="36" spans="1:69" s="482" customFormat="1" ht="13.5">
      <c r="A36" s="485" t="s">
        <v>267</v>
      </c>
      <c r="B36" s="486">
        <v>0</v>
      </c>
      <c r="C36" s="486">
        <v>0</v>
      </c>
      <c r="D36" s="486">
        <v>0</v>
      </c>
      <c r="E36" s="486">
        <v>0</v>
      </c>
      <c r="F36" s="486">
        <v>0</v>
      </c>
      <c r="G36" s="486">
        <v>0</v>
      </c>
      <c r="H36" s="486">
        <v>0</v>
      </c>
      <c r="I36" s="486">
        <v>30000000</v>
      </c>
      <c r="J36" s="486">
        <v>0</v>
      </c>
      <c r="K36" s="486">
        <v>0</v>
      </c>
      <c r="L36" s="486">
        <v>7500000</v>
      </c>
      <c r="M36" s="486">
        <v>0</v>
      </c>
      <c r="N36" s="486">
        <v>7500000</v>
      </c>
      <c r="O36" s="486">
        <v>7113000</v>
      </c>
      <c r="P36" s="486">
        <v>0</v>
      </c>
      <c r="Q36" s="486">
        <v>0</v>
      </c>
      <c r="R36" s="486"/>
      <c r="S36" s="486"/>
      <c r="T36" s="486"/>
      <c r="U36" s="486"/>
      <c r="V36" s="486"/>
      <c r="W36" s="486"/>
      <c r="X36" s="486"/>
      <c r="Y36" s="486"/>
      <c r="Z36" s="486"/>
      <c r="AA36" s="486"/>
      <c r="AB36" s="486"/>
      <c r="AC36" s="486"/>
      <c r="AD36" s="486"/>
      <c r="AE36" s="486"/>
      <c r="AF36" s="486"/>
      <c r="AG36" s="486"/>
      <c r="AH36" s="486"/>
      <c r="AI36" s="486"/>
      <c r="AJ36" s="486"/>
      <c r="AK36" s="486"/>
      <c r="AL36" s="486"/>
      <c r="AM36" s="486"/>
      <c r="AN36" s="486"/>
      <c r="AO36" s="486"/>
      <c r="AP36" s="486"/>
      <c r="AQ36" s="486"/>
      <c r="AR36" s="486"/>
      <c r="AS36" s="486"/>
      <c r="AT36" s="486"/>
      <c r="AU36" s="486"/>
      <c r="AV36" s="486">
        <v>224717500</v>
      </c>
      <c r="AW36" s="486">
        <v>276830500</v>
      </c>
      <c r="AX36" s="486">
        <v>0</v>
      </c>
      <c r="AY36" s="486">
        <v>0</v>
      </c>
      <c r="AZ36" s="486">
        <v>0</v>
      </c>
      <c r="BA36" s="486">
        <v>0</v>
      </c>
      <c r="BB36" s="486">
        <v>0</v>
      </c>
      <c r="BC36" s="486">
        <v>0</v>
      </c>
      <c r="BD36" s="486">
        <v>0</v>
      </c>
      <c r="BE36" s="486">
        <v>0</v>
      </c>
      <c r="BF36" s="486">
        <v>0</v>
      </c>
      <c r="BG36" s="486"/>
      <c r="BH36" s="486"/>
      <c r="BI36" s="486"/>
      <c r="BJ36" s="486"/>
      <c r="BK36" s="486"/>
      <c r="BL36" s="486"/>
      <c r="BM36" s="486">
        <v>0</v>
      </c>
      <c r="BN36" s="486">
        <v>112095000</v>
      </c>
      <c r="BO36" s="486">
        <v>49479519</v>
      </c>
      <c r="BP36" s="486">
        <v>161574519</v>
      </c>
      <c r="BQ36" s="486">
        <v>438405019</v>
      </c>
    </row>
    <row r="37" spans="1:69" s="482" customFormat="1" ht="13.5">
      <c r="A37" s="480" t="s">
        <v>827</v>
      </c>
      <c r="B37" s="481">
        <v>35598775.329999998</v>
      </c>
      <c r="C37" s="481">
        <v>0</v>
      </c>
      <c r="D37" s="481">
        <v>0</v>
      </c>
      <c r="E37" s="481">
        <v>0</v>
      </c>
      <c r="F37" s="481">
        <v>0</v>
      </c>
      <c r="G37" s="481">
        <v>0</v>
      </c>
      <c r="H37" s="481">
        <v>220500</v>
      </c>
      <c r="I37" s="481">
        <v>0</v>
      </c>
      <c r="J37" s="481">
        <v>0</v>
      </c>
      <c r="K37" s="481">
        <v>0</v>
      </c>
      <c r="L37" s="481">
        <v>883005.11</v>
      </c>
      <c r="M37" s="481">
        <v>1411218.4650000001</v>
      </c>
      <c r="N37" s="481">
        <v>0</v>
      </c>
      <c r="O37" s="481">
        <v>0</v>
      </c>
      <c r="P37" s="481">
        <v>1111246</v>
      </c>
      <c r="Q37" s="481">
        <v>0</v>
      </c>
      <c r="R37" s="481">
        <v>0</v>
      </c>
      <c r="S37" s="481">
        <v>0</v>
      </c>
      <c r="T37" s="481">
        <v>423956.16499999998</v>
      </c>
      <c r="U37" s="481">
        <v>0</v>
      </c>
      <c r="V37" s="481">
        <v>0</v>
      </c>
      <c r="W37" s="481">
        <v>0</v>
      </c>
      <c r="X37" s="481">
        <v>0</v>
      </c>
      <c r="Y37" s="481">
        <v>0</v>
      </c>
      <c r="Z37" s="481">
        <v>0</v>
      </c>
      <c r="AA37" s="481">
        <v>0</v>
      </c>
      <c r="AB37" s="481">
        <v>0</v>
      </c>
      <c r="AC37" s="481">
        <v>1245100.5249999999</v>
      </c>
      <c r="AD37" s="481">
        <v>0</v>
      </c>
      <c r="AE37" s="481">
        <v>188235</v>
      </c>
      <c r="AF37" s="481">
        <v>0</v>
      </c>
      <c r="AG37" s="481">
        <v>3266962.9049999998</v>
      </c>
      <c r="AH37" s="481">
        <v>100000</v>
      </c>
      <c r="AI37" s="481">
        <v>100000</v>
      </c>
      <c r="AJ37" s="481">
        <v>100000</v>
      </c>
      <c r="AK37" s="481">
        <v>0</v>
      </c>
      <c r="AL37" s="481">
        <v>0</v>
      </c>
      <c r="AM37" s="481">
        <v>0</v>
      </c>
      <c r="AN37" s="481">
        <v>0</v>
      </c>
      <c r="AO37" s="481">
        <v>0</v>
      </c>
      <c r="AP37" s="481">
        <v>0</v>
      </c>
      <c r="AQ37" s="481">
        <v>0</v>
      </c>
      <c r="AR37" s="481">
        <v>0</v>
      </c>
      <c r="AS37" s="481">
        <v>0</v>
      </c>
      <c r="AT37" s="481">
        <v>0</v>
      </c>
      <c r="AU37" s="481">
        <v>0</v>
      </c>
      <c r="AV37" s="481">
        <v>0</v>
      </c>
      <c r="AW37" s="481">
        <v>44648999.5</v>
      </c>
      <c r="AX37" s="481">
        <v>0</v>
      </c>
      <c r="AY37" s="481">
        <v>0</v>
      </c>
      <c r="AZ37" s="481">
        <v>0</v>
      </c>
      <c r="BA37" s="481">
        <v>0</v>
      </c>
      <c r="BB37" s="481">
        <v>0</v>
      </c>
      <c r="BC37" s="481">
        <v>0</v>
      </c>
      <c r="BD37" s="481">
        <v>0</v>
      </c>
      <c r="BE37" s="481">
        <v>0</v>
      </c>
      <c r="BF37" s="481">
        <v>0</v>
      </c>
      <c r="BG37" s="481">
        <v>0</v>
      </c>
      <c r="BH37" s="481">
        <v>0</v>
      </c>
      <c r="BI37" s="481">
        <v>0</v>
      </c>
      <c r="BJ37" s="481">
        <v>0</v>
      </c>
      <c r="BK37" s="481">
        <v>0</v>
      </c>
      <c r="BL37" s="481">
        <v>0</v>
      </c>
      <c r="BM37" s="481">
        <v>0</v>
      </c>
      <c r="BN37" s="481">
        <v>0</v>
      </c>
      <c r="BO37" s="481">
        <v>0</v>
      </c>
      <c r="BP37" s="481">
        <v>0</v>
      </c>
      <c r="BQ37" s="481">
        <v>44648999.5</v>
      </c>
    </row>
    <row r="38" spans="1:69" s="482" customFormat="1" ht="13.5">
      <c r="A38" s="202" t="s">
        <v>828</v>
      </c>
      <c r="B38" s="488">
        <v>35598775.329999998</v>
      </c>
      <c r="C38" s="488">
        <v>0</v>
      </c>
      <c r="D38" s="488">
        <v>0</v>
      </c>
      <c r="E38" s="488">
        <v>0</v>
      </c>
      <c r="F38" s="488">
        <v>0</v>
      </c>
      <c r="G38" s="488">
        <v>0</v>
      </c>
      <c r="H38" s="488">
        <v>220500</v>
      </c>
      <c r="I38" s="488">
        <v>0</v>
      </c>
      <c r="J38" s="488">
        <v>0</v>
      </c>
      <c r="K38" s="488">
        <v>0</v>
      </c>
      <c r="L38" s="488">
        <v>883005.11</v>
      </c>
      <c r="M38" s="488">
        <v>1411218.4650000001</v>
      </c>
      <c r="N38" s="488">
        <v>0</v>
      </c>
      <c r="O38" s="488">
        <v>0</v>
      </c>
      <c r="P38" s="488">
        <v>1111246</v>
      </c>
      <c r="Q38" s="488">
        <v>0</v>
      </c>
      <c r="R38" s="488"/>
      <c r="S38" s="488"/>
      <c r="T38" s="488">
        <v>423956.16499999998</v>
      </c>
      <c r="U38" s="488"/>
      <c r="V38" s="488"/>
      <c r="W38" s="488"/>
      <c r="X38" s="488"/>
      <c r="Y38" s="488"/>
      <c r="Z38" s="488"/>
      <c r="AA38" s="488"/>
      <c r="AB38" s="488"/>
      <c r="AC38" s="488">
        <v>1245100.5249999999</v>
      </c>
      <c r="AD38" s="488"/>
      <c r="AE38" s="488">
        <v>188235</v>
      </c>
      <c r="AF38" s="488"/>
      <c r="AG38" s="488">
        <v>3266962.9049999998</v>
      </c>
      <c r="AH38" s="488">
        <v>100000</v>
      </c>
      <c r="AI38" s="488">
        <v>100000</v>
      </c>
      <c r="AJ38" s="488">
        <v>100000</v>
      </c>
      <c r="AK38" s="488"/>
      <c r="AL38" s="488"/>
      <c r="AM38" s="488"/>
      <c r="AN38" s="488"/>
      <c r="AO38" s="488"/>
      <c r="AP38" s="488"/>
      <c r="AQ38" s="488"/>
      <c r="AR38" s="488"/>
      <c r="AS38" s="488"/>
      <c r="AT38" s="488"/>
      <c r="AU38" s="488"/>
      <c r="AV38" s="488"/>
      <c r="AW38" s="488">
        <v>44648999.5</v>
      </c>
      <c r="AX38" s="488">
        <v>0</v>
      </c>
      <c r="AY38" s="488">
        <v>0</v>
      </c>
      <c r="AZ38" s="488">
        <v>0</v>
      </c>
      <c r="BA38" s="488">
        <v>0</v>
      </c>
      <c r="BB38" s="488">
        <v>0</v>
      </c>
      <c r="BC38" s="488">
        <v>0</v>
      </c>
      <c r="BD38" s="488">
        <v>0</v>
      </c>
      <c r="BE38" s="488">
        <v>0</v>
      </c>
      <c r="BF38" s="488">
        <v>0</v>
      </c>
      <c r="BG38" s="488"/>
      <c r="BH38" s="488"/>
      <c r="BI38" s="488"/>
      <c r="BJ38" s="488"/>
      <c r="BK38" s="488"/>
      <c r="BL38" s="488"/>
      <c r="BM38" s="488">
        <v>0</v>
      </c>
      <c r="BN38" s="488">
        <v>0</v>
      </c>
      <c r="BO38" s="488">
        <v>0</v>
      </c>
      <c r="BP38" s="488">
        <v>0</v>
      </c>
      <c r="BQ38" s="488">
        <v>44648999.5</v>
      </c>
    </row>
    <row r="39" spans="1:69">
      <c r="A39" s="210" t="s">
        <v>1</v>
      </c>
      <c r="B39" s="205">
        <v>334703047.315</v>
      </c>
      <c r="C39" s="205">
        <v>104603548.69999999</v>
      </c>
      <c r="D39" s="205">
        <v>113005206.47499999</v>
      </c>
      <c r="E39" s="205">
        <v>127421336.97750001</v>
      </c>
      <c r="F39" s="205">
        <v>230117607.11250001</v>
      </c>
      <c r="G39" s="205">
        <v>25198139.924999997</v>
      </c>
      <c r="H39" s="205">
        <v>2778480</v>
      </c>
      <c r="I39" s="205">
        <v>33000000</v>
      </c>
      <c r="J39" s="205">
        <v>43982413.950000003</v>
      </c>
      <c r="K39" s="205">
        <v>37040260.225000001</v>
      </c>
      <c r="L39" s="205">
        <v>31771554.105</v>
      </c>
      <c r="M39" s="205">
        <v>28708606.557499997</v>
      </c>
      <c r="N39" s="205">
        <v>22500000</v>
      </c>
      <c r="O39" s="205">
        <v>22113000</v>
      </c>
      <c r="P39" s="205">
        <v>11409880</v>
      </c>
      <c r="Q39" s="205">
        <v>0</v>
      </c>
      <c r="R39" s="205">
        <v>6868223.8499999996</v>
      </c>
      <c r="S39" s="205">
        <v>3274484.3</v>
      </c>
      <c r="T39" s="205">
        <v>4159648.9075000002</v>
      </c>
      <c r="U39" s="205">
        <v>225000</v>
      </c>
      <c r="V39" s="205">
        <v>1956000</v>
      </c>
      <c r="W39" s="205">
        <v>2160000</v>
      </c>
      <c r="X39" s="205">
        <v>990000</v>
      </c>
      <c r="Y39" s="205">
        <v>11960597</v>
      </c>
      <c r="Z39" s="205">
        <v>4767073.125</v>
      </c>
      <c r="AA39" s="205">
        <v>7485344.9400000004</v>
      </c>
      <c r="AB39" s="205">
        <v>660000</v>
      </c>
      <c r="AC39" s="205">
        <v>16306461.887499999</v>
      </c>
      <c r="AD39" s="205">
        <v>11033793.75</v>
      </c>
      <c r="AE39" s="205">
        <v>1291543</v>
      </c>
      <c r="AF39" s="205">
        <v>225000</v>
      </c>
      <c r="AG39" s="205">
        <v>17968295.977499999</v>
      </c>
      <c r="AH39" s="205">
        <v>550000</v>
      </c>
      <c r="AI39" s="205">
        <v>550000</v>
      </c>
      <c r="AJ39" s="205">
        <v>550000</v>
      </c>
      <c r="AK39" s="205">
        <v>192213</v>
      </c>
      <c r="AL39" s="205">
        <v>4069685.25</v>
      </c>
      <c r="AM39" s="205">
        <v>4304865.375</v>
      </c>
      <c r="AN39" s="205">
        <v>450000</v>
      </c>
      <c r="AO39" s="205">
        <v>1800000</v>
      </c>
      <c r="AP39" s="205">
        <v>4494023.0999999996</v>
      </c>
      <c r="AQ39" s="205">
        <v>450000</v>
      </c>
      <c r="AR39" s="205">
        <v>6934977.4499999993</v>
      </c>
      <c r="AS39" s="205">
        <v>2025365.625</v>
      </c>
      <c r="AT39" s="205">
        <v>2016163.125</v>
      </c>
      <c r="AU39" s="205">
        <v>34686787.5</v>
      </c>
      <c r="AV39" s="205">
        <v>675417500</v>
      </c>
      <c r="AW39" s="205">
        <v>1998176128.5049996</v>
      </c>
      <c r="AX39" s="205">
        <v>1659267270.3355727</v>
      </c>
      <c r="AY39" s="205">
        <v>1106864181.2516296</v>
      </c>
      <c r="AZ39" s="205">
        <v>552908892.10426021</v>
      </c>
      <c r="BA39" s="205">
        <v>397672685.65347195</v>
      </c>
      <c r="BB39" s="205">
        <v>355005293.484721</v>
      </c>
      <c r="BC39" s="205">
        <v>533643384.54518974</v>
      </c>
      <c r="BD39" s="205">
        <v>427765705.18944299</v>
      </c>
      <c r="BE39" s="205">
        <v>234194953.54113713</v>
      </c>
      <c r="BF39" s="205">
        <v>42035976.880000003</v>
      </c>
      <c r="BG39" s="205">
        <v>72752674.342799991</v>
      </c>
      <c r="BH39" s="205">
        <v>111742000</v>
      </c>
      <c r="BI39" s="205">
        <v>3229508</v>
      </c>
      <c r="BJ39" s="205">
        <v>351324.12</v>
      </c>
      <c r="BK39" s="205">
        <v>3337708.2254999997</v>
      </c>
      <c r="BL39" s="205">
        <v>3580290.6939000003</v>
      </c>
      <c r="BM39" s="205">
        <v>5504351848.3676252</v>
      </c>
      <c r="BN39" s="205">
        <v>112095000</v>
      </c>
      <c r="BO39" s="205">
        <v>49479519</v>
      </c>
      <c r="BP39" s="205">
        <v>161574519</v>
      </c>
      <c r="BQ39" s="205">
        <v>7664102495.8726254</v>
      </c>
    </row>
    <row r="40" spans="1:69">
      <c r="BK40" s="599"/>
    </row>
    <row r="41" spans="1:69">
      <c r="Q41" s="376" t="s">
        <v>236</v>
      </c>
      <c r="AV41" s="376" t="s">
        <v>236</v>
      </c>
      <c r="AW41" s="376">
        <v>0</v>
      </c>
      <c r="BJ41" s="599"/>
      <c r="BM41" s="376">
        <v>0</v>
      </c>
    </row>
    <row r="42" spans="1:69">
      <c r="BK42" s="599"/>
    </row>
  </sheetData>
  <autoFilter ref="A1:BR39" xr:uid="{AD62FF0C-6FEB-4D25-97CF-6154D83905B2}"/>
  <mergeCells count="69">
    <mergeCell ref="BQ2:BQ4"/>
    <mergeCell ref="A2:A4"/>
    <mergeCell ref="B2:B4"/>
    <mergeCell ref="C2:C4"/>
    <mergeCell ref="D2:D4"/>
    <mergeCell ref="E2:E4"/>
    <mergeCell ref="Q2:Q4"/>
    <mergeCell ref="F2:F4"/>
    <mergeCell ref="G2:G4"/>
    <mergeCell ref="H2:H4"/>
    <mergeCell ref="I2:I4"/>
    <mergeCell ref="J2:J4"/>
    <mergeCell ref="K2:K4"/>
    <mergeCell ref="L2:L4"/>
    <mergeCell ref="M2:M4"/>
    <mergeCell ref="N2:N4"/>
    <mergeCell ref="BG2:BG4"/>
    <mergeCell ref="BJ2:BJ4"/>
    <mergeCell ref="BL2:BL4"/>
    <mergeCell ref="BD2:BD4"/>
    <mergeCell ref="BE2:BE4"/>
    <mergeCell ref="BF2:BF4"/>
    <mergeCell ref="AY2:AY4"/>
    <mergeCell ref="AZ2:AZ4"/>
    <mergeCell ref="BA2:BA4"/>
    <mergeCell ref="BB2:BB4"/>
    <mergeCell ref="O2:O4"/>
    <mergeCell ref="P2:P4"/>
    <mergeCell ref="AW2:AW4"/>
    <mergeCell ref="AE2:AE4"/>
    <mergeCell ref="AF2:AF4"/>
    <mergeCell ref="AD2:AD4"/>
    <mergeCell ref="AX2:AX4"/>
    <mergeCell ref="AU2:AU4"/>
    <mergeCell ref="AO2:AO4"/>
    <mergeCell ref="AP2:AP4"/>
    <mergeCell ref="AQ2:AQ4"/>
    <mergeCell ref="AR2:AR4"/>
    <mergeCell ref="BN2:BN4"/>
    <mergeCell ref="BO2:BO4"/>
    <mergeCell ref="BP2:BP4"/>
    <mergeCell ref="BH2:BH4"/>
    <mergeCell ref="BI2:BI4"/>
    <mergeCell ref="BK2:BK4"/>
    <mergeCell ref="BM2:BM4"/>
    <mergeCell ref="BC2:BC4"/>
    <mergeCell ref="T2:T4"/>
    <mergeCell ref="R2:R4"/>
    <mergeCell ref="S2:S4"/>
    <mergeCell ref="U2:U4"/>
    <mergeCell ref="V2:V4"/>
    <mergeCell ref="W2:W4"/>
    <mergeCell ref="X2:X4"/>
    <mergeCell ref="Y2:Y4"/>
    <mergeCell ref="Z2:Z4"/>
    <mergeCell ref="AA2:AA4"/>
    <mergeCell ref="AB2:AB4"/>
    <mergeCell ref="AN2:AN4"/>
    <mergeCell ref="AC2:AC4"/>
    <mergeCell ref="AH2:AH4"/>
    <mergeCell ref="AI2:AI4"/>
    <mergeCell ref="AG2:AG4"/>
    <mergeCell ref="AK2:AK4"/>
    <mergeCell ref="AV2:AV4"/>
    <mergeCell ref="AS2:AS4"/>
    <mergeCell ref="AT2:AT4"/>
    <mergeCell ref="AL2:AL4"/>
    <mergeCell ref="AM2:AM4"/>
    <mergeCell ref="AJ2:AJ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4B627-53CA-4098-841C-746A2A0D8A05}">
  <sheetPr codeName="Feuil84"/>
  <dimension ref="B2:W49"/>
  <sheetViews>
    <sheetView topLeftCell="B2" workbookViewId="0">
      <selection activeCell="B39" sqref="B39"/>
    </sheetView>
  </sheetViews>
  <sheetFormatPr baseColWidth="10" defaultColWidth="11.453125" defaultRowHeight="12"/>
  <cols>
    <col min="1" max="1" width="11.453125" style="21"/>
    <col min="2" max="2" width="5" style="21" bestFit="1" customWidth="1"/>
    <col min="3" max="3" width="5" style="21" customWidth="1"/>
    <col min="4" max="4" width="43" style="21" bestFit="1" customWidth="1"/>
    <col min="5" max="5" width="16.7265625" style="21" bestFit="1" customWidth="1"/>
    <col min="6" max="6" width="13.453125" style="20" bestFit="1" customWidth="1"/>
    <col min="7" max="7" width="16.7265625" style="21" customWidth="1"/>
    <col min="8" max="8" width="8.26953125" style="21" customWidth="1"/>
    <col min="9" max="9" width="24.54296875" style="21" customWidth="1"/>
    <col min="10" max="10" width="20.7265625" style="21" bestFit="1" customWidth="1"/>
    <col min="11" max="11" width="19.1796875" style="21" bestFit="1" customWidth="1"/>
    <col min="12" max="12" width="13.54296875" style="21" bestFit="1" customWidth="1"/>
    <col min="13" max="13" width="13.7265625" style="21" bestFit="1" customWidth="1"/>
    <col min="14" max="14" width="13.54296875" style="21" bestFit="1" customWidth="1"/>
    <col min="15" max="15" width="12.54296875" style="21" hidden="1" customWidth="1"/>
    <col min="16" max="16" width="11.7265625" style="21" hidden="1" customWidth="1"/>
    <col min="17" max="17" width="13.453125" style="21" hidden="1" customWidth="1"/>
    <col min="18" max="18" width="10.7265625" style="21" bestFit="1" customWidth="1"/>
    <col min="19" max="19" width="13.26953125" style="21" bestFit="1" customWidth="1"/>
    <col min="20" max="20" width="12" style="21" bestFit="1" customWidth="1"/>
    <col min="21" max="16384" width="11.453125" style="21"/>
  </cols>
  <sheetData>
    <row r="2" spans="2:23" ht="15.5">
      <c r="B2" s="609" t="s">
        <v>845</v>
      </c>
      <c r="C2" s="609"/>
    </row>
    <row r="3" spans="2:23" hidden="1"/>
    <row r="4" spans="2:23" ht="24" hidden="1">
      <c r="G4" s="207" t="s">
        <v>268</v>
      </c>
      <c r="H4" s="20"/>
      <c r="I4" s="20"/>
    </row>
    <row r="5" spans="2:23" ht="69.5" hidden="1" thickBot="1">
      <c r="B5" s="470" t="s">
        <v>116</v>
      </c>
      <c r="C5" s="470"/>
      <c r="D5" s="470" t="s">
        <v>71</v>
      </c>
      <c r="E5" s="470" t="s">
        <v>235</v>
      </c>
      <c r="F5" s="467"/>
      <c r="G5" s="470" t="s">
        <v>230</v>
      </c>
      <c r="H5" s="470" t="s">
        <v>231</v>
      </c>
      <c r="I5" s="470" t="s">
        <v>87</v>
      </c>
      <c r="J5" s="470" t="s">
        <v>240</v>
      </c>
      <c r="K5" s="470" t="s">
        <v>85</v>
      </c>
      <c r="L5" s="470" t="s">
        <v>232</v>
      </c>
      <c r="M5" s="470" t="s">
        <v>53</v>
      </c>
      <c r="N5" s="470" t="s">
        <v>54</v>
      </c>
      <c r="O5" s="470" t="s">
        <v>86</v>
      </c>
      <c r="P5" s="470" t="s">
        <v>233</v>
      </c>
      <c r="Q5" s="470" t="s">
        <v>88</v>
      </c>
      <c r="R5" s="470" t="s">
        <v>234</v>
      </c>
    </row>
    <row r="6" spans="2:23" ht="13" hidden="1" thickTop="1">
      <c r="B6" s="444">
        <v>1</v>
      </c>
      <c r="C6" s="444"/>
      <c r="D6" s="443" t="s">
        <v>117</v>
      </c>
      <c r="E6" s="444">
        <f ca="1">+'1'!M8</f>
        <v>-421395.31499999017</v>
      </c>
      <c r="F6" s="467"/>
      <c r="G6" s="444">
        <f>+'1'!V3</f>
        <v>0</v>
      </c>
      <c r="H6" s="444">
        <f>+'1'!V4</f>
        <v>0</v>
      </c>
      <c r="I6" s="444">
        <f>+'1'!V5</f>
        <v>0</v>
      </c>
      <c r="J6" s="444">
        <f>+'1'!V6</f>
        <v>0</v>
      </c>
      <c r="K6" s="444">
        <f ca="1">+'1'!V7</f>
        <v>-1236846</v>
      </c>
      <c r="L6" s="444">
        <f>+'1'!V8</f>
        <v>0</v>
      </c>
      <c r="M6" s="444">
        <f>+'1'!$V$9</f>
        <v>0</v>
      </c>
      <c r="N6" s="444">
        <f>+'1'!$V$10</f>
        <v>0</v>
      </c>
      <c r="O6" s="444">
        <f>+'1'!$V$11</f>
        <v>0</v>
      </c>
      <c r="P6" s="444">
        <f>+'1'!$V$12</f>
        <v>0</v>
      </c>
      <c r="Q6" s="444">
        <f>+'1'!$V$13</f>
        <v>0</v>
      </c>
      <c r="R6" s="444">
        <f ca="1">+'1'!$V$14</f>
        <v>815450.68500000983</v>
      </c>
      <c r="S6" s="190">
        <f ca="1">SUM(G6:R6)</f>
        <v>-421395.31499999017</v>
      </c>
      <c r="T6" s="190">
        <f ca="1">S6-E6</f>
        <v>0</v>
      </c>
      <c r="W6"/>
    </row>
    <row r="7" spans="2:23" ht="12.5" hidden="1">
      <c r="B7" s="471">
        <v>2</v>
      </c>
      <c r="C7" s="471"/>
      <c r="D7" s="540" t="s">
        <v>119</v>
      </c>
      <c r="E7" s="471">
        <f ca="1">+'2'!M8</f>
        <v>-104603548.69999999</v>
      </c>
      <c r="F7" s="467"/>
      <c r="G7" s="471">
        <f ca="1">IF(SUM(H7:R7)=0,E7,+'2'!V3)</f>
        <v>-104603548.69999999</v>
      </c>
      <c r="H7" s="471">
        <f>+'2'!V4</f>
        <v>0</v>
      </c>
      <c r="I7" s="471">
        <f>+'2'!V5</f>
        <v>0</v>
      </c>
      <c r="J7" s="471">
        <f>+'2'!V6</f>
        <v>0</v>
      </c>
      <c r="K7" s="471">
        <f>+'2'!V7</f>
        <v>0</v>
      </c>
      <c r="L7" s="471">
        <f>+'2'!V8</f>
        <v>0</v>
      </c>
      <c r="M7" s="471">
        <f>+'2'!$V$9</f>
        <v>0</v>
      </c>
      <c r="N7" s="471">
        <f>+'2'!$V$10</f>
        <v>0</v>
      </c>
      <c r="O7" s="471">
        <f>+'2'!$V$11</f>
        <v>0</v>
      </c>
      <c r="P7" s="471">
        <f>+'2'!$V$12</f>
        <v>0</v>
      </c>
      <c r="Q7" s="471">
        <f>+'2'!$V$13</f>
        <v>0</v>
      </c>
      <c r="R7" s="471">
        <f>+'2'!$V$14</f>
        <v>0</v>
      </c>
      <c r="S7" s="190">
        <f t="shared" ref="S7:S32" ca="1" si="0">SUM(G7:R7)</f>
        <v>-104603548.69999999</v>
      </c>
      <c r="T7" s="190">
        <f t="shared" ref="T7:T32" ca="1" si="1">S7-E7</f>
        <v>0</v>
      </c>
      <c r="W7"/>
    </row>
    <row r="8" spans="2:23" ht="12.5" hidden="1">
      <c r="B8" s="444">
        <v>3</v>
      </c>
      <c r="C8" s="444"/>
      <c r="D8" s="443" t="s">
        <v>121</v>
      </c>
      <c r="E8" s="444">
        <f ca="1">+'3'!M8</f>
        <v>-113005206.47499999</v>
      </c>
      <c r="F8" s="467"/>
      <c r="G8" s="444">
        <f ca="1">IF(SUM(H8:R8)=0,E8,+'2'!V4)</f>
        <v>-113005206.47499999</v>
      </c>
      <c r="H8" s="444">
        <f>+'3'!V4</f>
        <v>0</v>
      </c>
      <c r="I8" s="444">
        <f>+'3'!V5</f>
        <v>0</v>
      </c>
      <c r="J8" s="444">
        <f>+'3'!V6</f>
        <v>0</v>
      </c>
      <c r="K8" s="444">
        <f>+'3'!V7</f>
        <v>0</v>
      </c>
      <c r="L8" s="444">
        <f>+'3'!V8</f>
        <v>0</v>
      </c>
      <c r="M8" s="444">
        <f>+'3'!$V$9</f>
        <v>0</v>
      </c>
      <c r="N8" s="444">
        <f>+'3'!$V$10</f>
        <v>0</v>
      </c>
      <c r="O8" s="444">
        <f>+'3'!$V$11</f>
        <v>0</v>
      </c>
      <c r="P8" s="444">
        <f>+'3'!$V$12</f>
        <v>0</v>
      </c>
      <c r="Q8" s="444">
        <f>+'3'!$V$13</f>
        <v>0</v>
      </c>
      <c r="R8" s="444">
        <f>+'3'!$V$14</f>
        <v>0</v>
      </c>
      <c r="S8" s="190">
        <f t="shared" ca="1" si="0"/>
        <v>-113005206.47499999</v>
      </c>
      <c r="T8" s="190">
        <f t="shared" ca="1" si="1"/>
        <v>0</v>
      </c>
      <c r="W8"/>
    </row>
    <row r="9" spans="2:23" ht="12.5" hidden="1">
      <c r="B9" s="471">
        <v>4</v>
      </c>
      <c r="C9" s="471"/>
      <c r="D9" s="540" t="s">
        <v>123</v>
      </c>
      <c r="E9" s="471">
        <f ca="1">+'4'!M8</f>
        <v>-127421336.97750001</v>
      </c>
      <c r="F9" s="467"/>
      <c r="G9" s="471">
        <f ca="1">IF(SUM(H9:R9)=0,E9,+'2'!V5)</f>
        <v>-127421336.97750001</v>
      </c>
      <c r="H9" s="471">
        <f>+'4'!V4</f>
        <v>0</v>
      </c>
      <c r="I9" s="471">
        <f>+'4'!V5</f>
        <v>0</v>
      </c>
      <c r="J9" s="471">
        <f>+'4'!V6</f>
        <v>0</v>
      </c>
      <c r="K9" s="471">
        <f>+'4'!V7</f>
        <v>0</v>
      </c>
      <c r="L9" s="471">
        <f>+'4'!V8</f>
        <v>0</v>
      </c>
      <c r="M9" s="471">
        <f>+'4'!$V$9</f>
        <v>0</v>
      </c>
      <c r="N9" s="471">
        <f>+'4'!$V$10</f>
        <v>0</v>
      </c>
      <c r="O9" s="471">
        <f>+'4'!$V$11</f>
        <v>0</v>
      </c>
      <c r="P9" s="471">
        <f>+'4'!$V$12</f>
        <v>0</v>
      </c>
      <c r="Q9" s="471">
        <f>+'4'!$V$13</f>
        <v>0</v>
      </c>
      <c r="R9" s="471">
        <f>+'4'!$V$14</f>
        <v>0</v>
      </c>
      <c r="S9" s="190">
        <f t="shared" ca="1" si="0"/>
        <v>-127421336.97750001</v>
      </c>
      <c r="T9" s="190">
        <f t="shared" ca="1" si="1"/>
        <v>0</v>
      </c>
      <c r="W9"/>
    </row>
    <row r="10" spans="2:23" ht="12.5" hidden="1">
      <c r="B10" s="444">
        <v>5</v>
      </c>
      <c r="C10" s="444"/>
      <c r="D10" s="443" t="s">
        <v>124</v>
      </c>
      <c r="E10" s="444">
        <f ca="1">+'5'!M8</f>
        <v>-230117607.11250001</v>
      </c>
      <c r="F10" s="467"/>
      <c r="G10" s="444">
        <f ca="1">IF(SUM(H10:R10)=0,E10,+'2'!V6)</f>
        <v>-230117607.11250001</v>
      </c>
      <c r="H10" s="444">
        <f>+'5'!V4</f>
        <v>0</v>
      </c>
      <c r="I10" s="444">
        <f>+'5'!V5</f>
        <v>0</v>
      </c>
      <c r="J10" s="444">
        <f>+'5'!V6</f>
        <v>0</v>
      </c>
      <c r="K10" s="444">
        <f>+'5'!V7</f>
        <v>0</v>
      </c>
      <c r="L10" s="444">
        <f>+'5'!V8</f>
        <v>0</v>
      </c>
      <c r="M10" s="444">
        <f>+'5'!$V$9</f>
        <v>0</v>
      </c>
      <c r="N10" s="444">
        <f>+'5'!$V$10</f>
        <v>0</v>
      </c>
      <c r="O10" s="444">
        <f>+'5'!$V$11</f>
        <v>0</v>
      </c>
      <c r="P10" s="444">
        <f>+'5'!$V$12</f>
        <v>0</v>
      </c>
      <c r="Q10" s="444">
        <f>+'5'!$V$13</f>
        <v>0</v>
      </c>
      <c r="R10" s="444">
        <f>+'5'!$V$14</f>
        <v>0</v>
      </c>
      <c r="S10" s="190">
        <f t="shared" ca="1" si="0"/>
        <v>-230117607.11250001</v>
      </c>
      <c r="T10" s="190">
        <f t="shared" ca="1" si="1"/>
        <v>0</v>
      </c>
      <c r="W10"/>
    </row>
    <row r="11" spans="2:23" ht="12.5" hidden="1">
      <c r="B11" s="471">
        <v>6</v>
      </c>
      <c r="C11" s="471"/>
      <c r="D11" s="540" t="s">
        <v>126</v>
      </c>
      <c r="E11" s="471">
        <f ca="1">+'6'!M8</f>
        <v>-25198139.924999997</v>
      </c>
      <c r="F11" s="467"/>
      <c r="G11" s="471">
        <f ca="1">IF(SUM(H11:R11)=0,E11,+'2'!V7)</f>
        <v>-25198139.924999997</v>
      </c>
      <c r="H11" s="471">
        <f>+'6'!V4</f>
        <v>0</v>
      </c>
      <c r="I11" s="471">
        <f>+'6'!V5</f>
        <v>0</v>
      </c>
      <c r="J11" s="471">
        <f>+'6'!V6</f>
        <v>0</v>
      </c>
      <c r="K11" s="471">
        <f>+'6'!V7</f>
        <v>0</v>
      </c>
      <c r="L11" s="471">
        <f>+'6'!V8</f>
        <v>0</v>
      </c>
      <c r="M11" s="471">
        <f>+'6'!$V$9</f>
        <v>0</v>
      </c>
      <c r="N11" s="471">
        <f>+'6'!$V$10</f>
        <v>0</v>
      </c>
      <c r="O11" s="471">
        <f>+'6'!$V$11</f>
        <v>0</v>
      </c>
      <c r="P11" s="471">
        <f>+'6'!$V$12</f>
        <v>0</v>
      </c>
      <c r="Q11" s="471">
        <f>+'6'!$V$13</f>
        <v>0</v>
      </c>
      <c r="R11" s="471">
        <f>+'6'!$V$14</f>
        <v>0</v>
      </c>
      <c r="S11" s="190">
        <f t="shared" ca="1" si="0"/>
        <v>-25198139.924999997</v>
      </c>
      <c r="T11" s="190">
        <f t="shared" ca="1" si="1"/>
        <v>0</v>
      </c>
      <c r="W11"/>
    </row>
    <row r="12" spans="2:23" ht="12.5" hidden="1">
      <c r="B12" s="444">
        <v>7</v>
      </c>
      <c r="C12" s="444"/>
      <c r="D12" s="443" t="s">
        <v>127</v>
      </c>
      <c r="E12" s="444">
        <f ca="1">+'7'!M8</f>
        <v>-2778480</v>
      </c>
      <c r="F12" s="467"/>
      <c r="G12" s="444">
        <f ca="1">IF(SUM(H12:R12)=0,E12,+'2'!V8)</f>
        <v>-2778480</v>
      </c>
      <c r="H12" s="444">
        <f>+'7'!V4</f>
        <v>0</v>
      </c>
      <c r="I12" s="444">
        <f>+'7'!V5</f>
        <v>0</v>
      </c>
      <c r="J12" s="444">
        <f>+'7'!V6</f>
        <v>0</v>
      </c>
      <c r="K12" s="444">
        <f>+'7'!V7</f>
        <v>0</v>
      </c>
      <c r="L12" s="444">
        <f>+'7'!V8</f>
        <v>0</v>
      </c>
      <c r="M12" s="444">
        <f>+'7'!$V$9</f>
        <v>0</v>
      </c>
      <c r="N12" s="444">
        <f>+'7'!$V$10</f>
        <v>0</v>
      </c>
      <c r="O12" s="444">
        <f>+'7'!$V$11</f>
        <v>0</v>
      </c>
      <c r="P12" s="444">
        <f>+'7'!$V$12</f>
        <v>0</v>
      </c>
      <c r="Q12" s="444">
        <f>+'7'!$V$13</f>
        <v>0</v>
      </c>
      <c r="R12" s="444">
        <f>+'7'!$V$14</f>
        <v>0</v>
      </c>
      <c r="S12" s="190">
        <f t="shared" ca="1" si="0"/>
        <v>-2778480</v>
      </c>
      <c r="T12" s="190">
        <f t="shared" ca="1" si="1"/>
        <v>0</v>
      </c>
      <c r="W12"/>
    </row>
    <row r="13" spans="2:23" ht="12.5" hidden="1">
      <c r="B13" s="471">
        <v>8</v>
      </c>
      <c r="C13" s="471"/>
      <c r="D13" s="540" t="s">
        <v>129</v>
      </c>
      <c r="E13" s="471">
        <f ca="1">+'8'!M8</f>
        <v>-33000000</v>
      </c>
      <c r="F13" s="467"/>
      <c r="G13" s="471">
        <f ca="1">IF(SUM(H13:R13)=0,E13,+'2'!V9)</f>
        <v>-33000000</v>
      </c>
      <c r="H13" s="471">
        <f>+'8'!V4</f>
        <v>0</v>
      </c>
      <c r="I13" s="471">
        <f>+'8'!V5</f>
        <v>0</v>
      </c>
      <c r="J13" s="471">
        <f>+'8'!V6</f>
        <v>0</v>
      </c>
      <c r="K13" s="471">
        <f>+'8'!V7</f>
        <v>0</v>
      </c>
      <c r="L13" s="471">
        <f>+'8'!V8</f>
        <v>0</v>
      </c>
      <c r="M13" s="471">
        <f>+'8'!$V$9</f>
        <v>0</v>
      </c>
      <c r="N13" s="471">
        <f>+'8'!$V$10</f>
        <v>0</v>
      </c>
      <c r="O13" s="471">
        <f>+'8'!$V$11</f>
        <v>0</v>
      </c>
      <c r="P13" s="471">
        <f>+'8'!$V$12</f>
        <v>0</v>
      </c>
      <c r="Q13" s="471">
        <f>+'8'!$V$13</f>
        <v>0</v>
      </c>
      <c r="R13" s="471">
        <f>+'8'!$V$14</f>
        <v>0</v>
      </c>
      <c r="S13" s="190">
        <f t="shared" ca="1" si="0"/>
        <v>-33000000</v>
      </c>
      <c r="T13" s="190">
        <f t="shared" ca="1" si="1"/>
        <v>0</v>
      </c>
      <c r="W13"/>
    </row>
    <row r="14" spans="2:23" ht="12.5" hidden="1">
      <c r="B14" s="444">
        <v>9</v>
      </c>
      <c r="C14" s="444"/>
      <c r="D14" s="443" t="s">
        <v>130</v>
      </c>
      <c r="E14" s="444">
        <f ca="1">+'9'!M8</f>
        <v>-43982413.950000003</v>
      </c>
      <c r="F14" s="467"/>
      <c r="G14" s="444">
        <f ca="1">IF(SUM(H14:R14)=0,E14,+'2'!V10)</f>
        <v>-43982413.950000003</v>
      </c>
      <c r="H14" s="444">
        <f>+'9'!V4</f>
        <v>0</v>
      </c>
      <c r="I14" s="444">
        <f>+'9'!V5</f>
        <v>0</v>
      </c>
      <c r="J14" s="444">
        <f>+'9'!V6</f>
        <v>0</v>
      </c>
      <c r="K14" s="444">
        <f>+'9'!V7</f>
        <v>0</v>
      </c>
      <c r="L14" s="444">
        <f>+'9'!V8</f>
        <v>0</v>
      </c>
      <c r="M14" s="444">
        <f>+'9'!$V$9</f>
        <v>0</v>
      </c>
      <c r="N14" s="444">
        <f>+'9'!$V$10</f>
        <v>0</v>
      </c>
      <c r="O14" s="444">
        <f>+'9'!$V$11</f>
        <v>0</v>
      </c>
      <c r="P14" s="444">
        <f>+'9'!$V$12</f>
        <v>0</v>
      </c>
      <c r="Q14" s="444">
        <f>+'9'!$V$13</f>
        <v>0</v>
      </c>
      <c r="R14" s="444">
        <f>+'9'!$V$14</f>
        <v>0</v>
      </c>
      <c r="S14" s="190">
        <f t="shared" ca="1" si="0"/>
        <v>-43982413.950000003</v>
      </c>
      <c r="T14" s="190">
        <f t="shared" ca="1" si="1"/>
        <v>0</v>
      </c>
      <c r="W14"/>
    </row>
    <row r="15" spans="2:23" ht="12.5" hidden="1">
      <c r="B15" s="471">
        <v>10</v>
      </c>
      <c r="C15" s="471"/>
      <c r="D15" s="540" t="s">
        <v>132</v>
      </c>
      <c r="E15" s="471">
        <f ca="1">+'10'!M8</f>
        <v>18045715</v>
      </c>
      <c r="F15" s="467"/>
      <c r="G15" s="471">
        <f ca="1">IF(SUM(H15:R15)=0,E15,+'2'!V11)</f>
        <v>0</v>
      </c>
      <c r="H15" s="471">
        <f>+'10'!V4</f>
        <v>0</v>
      </c>
      <c r="I15" s="471">
        <f>+'10'!V5</f>
        <v>0</v>
      </c>
      <c r="J15" s="471">
        <f>+'10'!V6</f>
        <v>0</v>
      </c>
      <c r="K15" s="471">
        <f>+'10'!V7</f>
        <v>0</v>
      </c>
      <c r="L15" s="471">
        <f>+'10'!V8</f>
        <v>0</v>
      </c>
      <c r="M15" s="471">
        <f>+'10'!$V$9</f>
        <v>0</v>
      </c>
      <c r="N15" s="471">
        <f ca="1">+'10'!$V$10</f>
        <v>18800000</v>
      </c>
      <c r="O15" s="471">
        <f>+'10'!$V$11</f>
        <v>0</v>
      </c>
      <c r="P15" s="471">
        <f>+'10'!$V$12</f>
        <v>0</v>
      </c>
      <c r="Q15" s="471">
        <f>+'10'!$V$13</f>
        <v>0</v>
      </c>
      <c r="R15" s="471">
        <f ca="1">+'10'!$V$14</f>
        <v>-754285</v>
      </c>
      <c r="S15" s="190">
        <f t="shared" ca="1" si="0"/>
        <v>18045715</v>
      </c>
      <c r="T15" s="190">
        <f t="shared" ca="1" si="1"/>
        <v>0</v>
      </c>
      <c r="W15"/>
    </row>
    <row r="16" spans="2:23" ht="12.5" hidden="1">
      <c r="B16" s="444">
        <v>11</v>
      </c>
      <c r="C16" s="444"/>
      <c r="D16" s="443" t="s">
        <v>134</v>
      </c>
      <c r="E16" s="444">
        <f ca="1">+'11'!M8</f>
        <v>-31771554.104999997</v>
      </c>
      <c r="F16" s="467"/>
      <c r="G16" s="444">
        <f ca="1">IF(SUM(H16:R16)=0,E16,+'2'!V12)</f>
        <v>-31771554.104999997</v>
      </c>
      <c r="H16" s="444">
        <f>+'11'!V4</f>
        <v>0</v>
      </c>
      <c r="I16" s="444">
        <f>+'11'!V5</f>
        <v>0</v>
      </c>
      <c r="J16" s="444">
        <f>+'11'!V6</f>
        <v>0</v>
      </c>
      <c r="K16" s="444">
        <f>+'11'!V7</f>
        <v>0</v>
      </c>
      <c r="L16" s="444">
        <f>+'11'!V8</f>
        <v>0</v>
      </c>
      <c r="M16" s="444">
        <f>+'11'!$V$9</f>
        <v>0</v>
      </c>
      <c r="N16" s="444">
        <f>+'11'!$V$10</f>
        <v>0</v>
      </c>
      <c r="O16" s="444">
        <f>+'11'!$V$11</f>
        <v>0</v>
      </c>
      <c r="P16" s="444">
        <f>+'11'!$V$12</f>
        <v>0</v>
      </c>
      <c r="Q16" s="444">
        <f>+'11'!$V$13</f>
        <v>0</v>
      </c>
      <c r="R16" s="444">
        <f>+'11'!$V$14</f>
        <v>0</v>
      </c>
      <c r="S16" s="190">
        <f t="shared" ca="1" si="0"/>
        <v>-31771554.104999997</v>
      </c>
      <c r="T16" s="190">
        <f t="shared" ca="1" si="1"/>
        <v>0</v>
      </c>
      <c r="W16"/>
    </row>
    <row r="17" spans="2:23" ht="12.5" hidden="1">
      <c r="B17" s="444">
        <v>12</v>
      </c>
      <c r="C17" s="444"/>
      <c r="D17" s="443" t="s">
        <v>136</v>
      </c>
      <c r="E17" s="444">
        <f ca="1">+'12'!M8</f>
        <v>3210745.4425000008</v>
      </c>
      <c r="F17" s="467"/>
      <c r="G17" s="444">
        <f ca="1">IF(SUM(H17:R17)=0,E17,+'2'!V13)</f>
        <v>0</v>
      </c>
      <c r="H17" s="444">
        <f>+'12'!V4</f>
        <v>0</v>
      </c>
      <c r="I17" s="444">
        <f>+'12'!V5</f>
        <v>0</v>
      </c>
      <c r="J17" s="444">
        <f>+'12'!V6</f>
        <v>0</v>
      </c>
      <c r="K17" s="444">
        <f>+'12'!V7</f>
        <v>0</v>
      </c>
      <c r="L17" s="444">
        <f>+'12'!V8</f>
        <v>0</v>
      </c>
      <c r="M17" s="444">
        <f>+'12'!$V$9</f>
        <v>0</v>
      </c>
      <c r="N17" s="444">
        <f ca="1">+'12'!$V$10</f>
        <v>1728000</v>
      </c>
      <c r="O17" s="444">
        <f>+'12'!$V$11</f>
        <v>0</v>
      </c>
      <c r="P17" s="444">
        <f>+'12'!$V$12</f>
        <v>0</v>
      </c>
      <c r="Q17" s="444">
        <f>+'12'!$V$13</f>
        <v>0</v>
      </c>
      <c r="R17" s="444">
        <f ca="1">+'12'!$V$14</f>
        <v>1482745.9075000004</v>
      </c>
      <c r="S17" s="190">
        <f t="shared" ca="1" si="0"/>
        <v>3210745.9075000007</v>
      </c>
      <c r="T17" s="190">
        <f t="shared" ca="1" si="1"/>
        <v>0.46499999985098839</v>
      </c>
      <c r="W17"/>
    </row>
    <row r="18" spans="2:23" ht="12.5" hidden="1">
      <c r="B18" s="444">
        <v>13</v>
      </c>
      <c r="C18" s="444"/>
      <c r="D18" s="443" t="s">
        <v>138</v>
      </c>
      <c r="E18" s="444">
        <f ca="1">+'13'!M8</f>
        <v>-22500000</v>
      </c>
      <c r="F18" s="467"/>
      <c r="G18" s="444">
        <f ca="1">IF(SUM(H18:R18)=0,E18,+'2'!V14)</f>
        <v>-22500000</v>
      </c>
      <c r="H18" s="444">
        <f>+'13'!V4</f>
        <v>0</v>
      </c>
      <c r="I18" s="444">
        <f>+'13'!V5</f>
        <v>0</v>
      </c>
      <c r="J18" s="444">
        <f>+'13'!V6</f>
        <v>0</v>
      </c>
      <c r="K18" s="444">
        <f>+'13'!V7</f>
        <v>0</v>
      </c>
      <c r="L18" s="444">
        <f>+'13'!V8</f>
        <v>0</v>
      </c>
      <c r="M18" s="444">
        <f>+'13'!$V$9</f>
        <v>0</v>
      </c>
      <c r="N18" s="444">
        <f>+'13'!$V$10</f>
        <v>0</v>
      </c>
      <c r="O18" s="444">
        <f>+'13'!$V$11</f>
        <v>0</v>
      </c>
      <c r="P18" s="444">
        <f>+'13'!$V$12</f>
        <v>0</v>
      </c>
      <c r="Q18" s="444">
        <f>+'13'!$V$13</f>
        <v>0</v>
      </c>
      <c r="R18" s="444">
        <f>+'13'!$V$14</f>
        <v>0</v>
      </c>
      <c r="S18" s="190">
        <f t="shared" ca="1" si="0"/>
        <v>-22500000</v>
      </c>
      <c r="T18" s="190">
        <f t="shared" ca="1" si="1"/>
        <v>0</v>
      </c>
      <c r="W18"/>
    </row>
    <row r="19" spans="2:23" ht="12.5" hidden="1">
      <c r="B19" s="471">
        <v>14</v>
      </c>
      <c r="C19" s="471"/>
      <c r="D19" s="540" t="s">
        <v>139</v>
      </c>
      <c r="E19" s="471">
        <f ca="1">+'14'!M8</f>
        <v>-22113000</v>
      </c>
      <c r="F19" s="467"/>
      <c r="G19" s="471">
        <f ca="1">IF(SUM(H19:R19)=0,E19,+'2'!V15)</f>
        <v>-22113000</v>
      </c>
      <c r="H19" s="471">
        <f>+'14'!V4</f>
        <v>0</v>
      </c>
      <c r="I19" s="471">
        <f>+'14'!V5</f>
        <v>0</v>
      </c>
      <c r="J19" s="471">
        <f>+'14'!V6</f>
        <v>0</v>
      </c>
      <c r="K19" s="471">
        <f>+'14'!V7</f>
        <v>0</v>
      </c>
      <c r="L19" s="471">
        <f>+'14'!V8</f>
        <v>0</v>
      </c>
      <c r="M19" s="471">
        <f>+'14'!$V$9</f>
        <v>0</v>
      </c>
      <c r="N19" s="471">
        <f>+'14'!$V$10</f>
        <v>0</v>
      </c>
      <c r="O19" s="471">
        <f>+'14'!$V$11</f>
        <v>0</v>
      </c>
      <c r="P19" s="471">
        <f>+'14'!$V$12</f>
        <v>0</v>
      </c>
      <c r="Q19" s="471">
        <f>+'14'!$V$13</f>
        <v>0</v>
      </c>
      <c r="R19" s="471">
        <f>+'14'!$V$14</f>
        <v>0</v>
      </c>
      <c r="S19" s="190">
        <f t="shared" ca="1" si="0"/>
        <v>-22113000</v>
      </c>
      <c r="T19" s="190">
        <f t="shared" ca="1" si="1"/>
        <v>0</v>
      </c>
      <c r="W19"/>
    </row>
    <row r="20" spans="2:23" ht="12.5" hidden="1">
      <c r="B20" s="444">
        <v>15</v>
      </c>
      <c r="C20" s="444"/>
      <c r="D20" s="443" t="s">
        <v>140</v>
      </c>
      <c r="E20" s="444">
        <f ca="1">+'15'!M8</f>
        <v>-11409880</v>
      </c>
      <c r="F20" s="467"/>
      <c r="G20" s="444">
        <f ca="1">IF(SUM(H20:R20)=0,E20,+'2'!V16)</f>
        <v>-11409880</v>
      </c>
      <c r="H20" s="444">
        <f>+'15'!V4</f>
        <v>0</v>
      </c>
      <c r="I20" s="444">
        <f>+'15'!V5</f>
        <v>0</v>
      </c>
      <c r="J20" s="444">
        <f>+'15'!V6</f>
        <v>0</v>
      </c>
      <c r="K20" s="444">
        <f>+'15'!V7</f>
        <v>0</v>
      </c>
      <c r="L20" s="444">
        <f>+'15'!V8</f>
        <v>0</v>
      </c>
      <c r="M20" s="444">
        <f>+'15'!$V$9</f>
        <v>0</v>
      </c>
      <c r="N20" s="444">
        <f>+'15'!$V$10</f>
        <v>0</v>
      </c>
      <c r="O20" s="444">
        <f>+'15'!$V$11</f>
        <v>0</v>
      </c>
      <c r="P20" s="444">
        <f>+'15'!$V$12</f>
        <v>0</v>
      </c>
      <c r="Q20" s="444">
        <f>+'15'!$V$13</f>
        <v>0</v>
      </c>
      <c r="R20" s="444">
        <f>+'15'!$V$14</f>
        <v>0</v>
      </c>
      <c r="S20" s="190">
        <f t="shared" ca="1" si="0"/>
        <v>-11409880</v>
      </c>
      <c r="T20" s="190">
        <f t="shared" ca="1" si="1"/>
        <v>0</v>
      </c>
      <c r="W20"/>
    </row>
    <row r="21" spans="2:23" ht="12.5" hidden="1">
      <c r="B21" s="471">
        <v>16</v>
      </c>
      <c r="C21" s="471"/>
      <c r="D21" s="540" t="s">
        <v>142</v>
      </c>
      <c r="E21" s="471">
        <f ca="1">+'16'!M8</f>
        <v>0</v>
      </c>
      <c r="F21" s="467"/>
      <c r="G21" s="471">
        <f ca="1">IF(SUM(H21:R21)=0,E21,+'2'!V17)</f>
        <v>0</v>
      </c>
      <c r="H21" s="471">
        <f>+'16'!V4</f>
        <v>0</v>
      </c>
      <c r="I21" s="471">
        <f>+'16'!V5</f>
        <v>0</v>
      </c>
      <c r="J21" s="471">
        <f>+'16'!V6</f>
        <v>0</v>
      </c>
      <c r="K21" s="471">
        <f>+'16'!V7</f>
        <v>0</v>
      </c>
      <c r="L21" s="471">
        <f>+'16'!V8</f>
        <v>0</v>
      </c>
      <c r="M21" s="471">
        <f>+'16'!$V$9</f>
        <v>0</v>
      </c>
      <c r="N21" s="471">
        <f>+'16'!$V$10</f>
        <v>0</v>
      </c>
      <c r="O21" s="471">
        <f>+'16'!$V$11</f>
        <v>0</v>
      </c>
      <c r="P21" s="471">
        <f>+'16'!$V$12</f>
        <v>0</v>
      </c>
      <c r="Q21" s="471">
        <f>+'16'!$V$13</f>
        <v>0</v>
      </c>
      <c r="R21" s="471">
        <f>+'16'!$V$14</f>
        <v>0</v>
      </c>
      <c r="S21" s="190">
        <f t="shared" ca="1" si="0"/>
        <v>0</v>
      </c>
      <c r="T21" s="190">
        <f t="shared" ca="1" si="1"/>
        <v>0</v>
      </c>
      <c r="W21"/>
    </row>
    <row r="22" spans="2:23" ht="12.5" hidden="1">
      <c r="B22" s="444">
        <v>17</v>
      </c>
      <c r="C22" s="444"/>
      <c r="D22" s="443" t="s">
        <v>143</v>
      </c>
      <c r="E22" s="444">
        <f ca="1">+'17'!M8</f>
        <v>-1659267270.3355727</v>
      </c>
      <c r="F22" s="467"/>
      <c r="G22" s="444">
        <f ca="1">IF(SUM(H22:R22)=0,E22,+'2'!V18)</f>
        <v>-1659267270.3355727</v>
      </c>
      <c r="H22" s="444">
        <f>+'17'!V4</f>
        <v>0</v>
      </c>
      <c r="I22" s="444">
        <f>+'17'!V5</f>
        <v>0</v>
      </c>
      <c r="J22" s="444">
        <f>+'17'!V6</f>
        <v>0</v>
      </c>
      <c r="K22" s="444">
        <f>+'17'!V7</f>
        <v>0</v>
      </c>
      <c r="L22" s="444">
        <f>+'17'!V8</f>
        <v>0</v>
      </c>
      <c r="M22" s="444">
        <f>+'17'!$V$9</f>
        <v>0</v>
      </c>
      <c r="N22" s="444">
        <f>+'17'!$V$10</f>
        <v>0</v>
      </c>
      <c r="O22" s="444">
        <f>+'17'!$V$11</f>
        <v>0</v>
      </c>
      <c r="P22" s="444">
        <f>+'17'!$V$12</f>
        <v>0</v>
      </c>
      <c r="Q22" s="444">
        <f>+'17'!$V$13</f>
        <v>0</v>
      </c>
      <c r="R22" s="444">
        <f>+'17'!$V$14</f>
        <v>0</v>
      </c>
      <c r="S22" s="190">
        <f t="shared" ca="1" si="0"/>
        <v>-1659267270.3355727</v>
      </c>
      <c r="T22" s="190">
        <f t="shared" ca="1" si="1"/>
        <v>0</v>
      </c>
      <c r="W22"/>
    </row>
    <row r="23" spans="2:23" ht="12.5" hidden="1">
      <c r="B23" s="471">
        <v>18</v>
      </c>
      <c r="C23" s="471"/>
      <c r="D23" s="540" t="s">
        <v>639</v>
      </c>
      <c r="E23" s="471">
        <f ca="1">+'18'!M8</f>
        <v>-1106864181.2516296</v>
      </c>
      <c r="F23" s="467"/>
      <c r="G23" s="471">
        <f ca="1">IF(SUM(H23:R23)=0,E23,+'2'!V19)</f>
        <v>-1106864181.2516296</v>
      </c>
      <c r="H23" s="471">
        <f>+'18'!V4</f>
        <v>0</v>
      </c>
      <c r="I23" s="471">
        <f>+'18'!V5</f>
        <v>0</v>
      </c>
      <c r="J23" s="471">
        <f>+'18'!V6</f>
        <v>0</v>
      </c>
      <c r="K23" s="471">
        <f>+'18'!V7</f>
        <v>0</v>
      </c>
      <c r="L23" s="471">
        <f>+'18'!V8</f>
        <v>0</v>
      </c>
      <c r="M23" s="471">
        <f>+'18'!$V$9</f>
        <v>0</v>
      </c>
      <c r="N23" s="471">
        <f>+'18'!$V$10</f>
        <v>0</v>
      </c>
      <c r="O23" s="471">
        <f>+'18'!$V$11</f>
        <v>0</v>
      </c>
      <c r="P23" s="471">
        <f>+'18'!$V$12</f>
        <v>0</v>
      </c>
      <c r="Q23" s="471">
        <f>+'18'!$V$13</f>
        <v>0</v>
      </c>
      <c r="R23" s="471">
        <f>+'18'!$V$14</f>
        <v>0</v>
      </c>
      <c r="S23" s="190">
        <f t="shared" ca="1" si="0"/>
        <v>-1106864181.2516296</v>
      </c>
      <c r="T23" s="190">
        <f t="shared" ca="1" si="1"/>
        <v>0</v>
      </c>
      <c r="W23"/>
    </row>
    <row r="24" spans="2:23" hidden="1">
      <c r="B24" s="444">
        <v>19</v>
      </c>
      <c r="C24" s="444"/>
      <c r="D24" s="443" t="s">
        <v>147</v>
      </c>
      <c r="E24" s="444">
        <f ca="1">+'19'!M8</f>
        <v>-552908892.10426009</v>
      </c>
      <c r="F24" s="467"/>
      <c r="G24" s="444">
        <f ca="1">IF(SUM(H24:R24)=0,E24,+'2'!V20)</f>
        <v>-552908892.10426009</v>
      </c>
      <c r="H24" s="444">
        <f>+'19'!V4</f>
        <v>0</v>
      </c>
      <c r="I24" s="444">
        <f>+'19'!V5</f>
        <v>0</v>
      </c>
      <c r="J24" s="444">
        <f>+'19'!V6</f>
        <v>0</v>
      </c>
      <c r="K24" s="444">
        <f>+'19'!V7</f>
        <v>0</v>
      </c>
      <c r="L24" s="444">
        <f>+'19'!V8</f>
        <v>0</v>
      </c>
      <c r="M24" s="444">
        <f>+'19'!$V$9</f>
        <v>0</v>
      </c>
      <c r="N24" s="444">
        <f>+'19'!$V$10</f>
        <v>0</v>
      </c>
      <c r="O24" s="444">
        <f>+'19'!$V$11</f>
        <v>0</v>
      </c>
      <c r="P24" s="444">
        <f>+'19'!$V$12</f>
        <v>0</v>
      </c>
      <c r="Q24" s="444">
        <f>+'19'!$V$13</f>
        <v>0</v>
      </c>
      <c r="R24" s="444">
        <f>+'19'!$V$14</f>
        <v>0</v>
      </c>
      <c r="S24" s="190">
        <f t="shared" ca="1" si="0"/>
        <v>-552908892.10426009</v>
      </c>
      <c r="T24" s="190">
        <f t="shared" ca="1" si="1"/>
        <v>0</v>
      </c>
    </row>
    <row r="25" spans="2:23" hidden="1">
      <c r="B25" s="471">
        <v>20</v>
      </c>
      <c r="C25" s="471"/>
      <c r="D25" s="540" t="s">
        <v>149</v>
      </c>
      <c r="E25" s="471">
        <f ca="1">+'20'!M8</f>
        <v>8283512.3465280533</v>
      </c>
      <c r="F25" s="467"/>
      <c r="G25" s="471">
        <f ca="1">IF(SUM(H25:R25)=0,E25,+'2'!V21)</f>
        <v>0</v>
      </c>
      <c r="H25" s="471">
        <f>+'20'!V4</f>
        <v>0</v>
      </c>
      <c r="I25" s="471">
        <f>+'20'!V5</f>
        <v>0</v>
      </c>
      <c r="J25" s="471">
        <f>+'20'!V6</f>
        <v>0</v>
      </c>
      <c r="K25" s="471">
        <f ca="1">+'20'!V7</f>
        <v>-13454927.882041506</v>
      </c>
      <c r="L25" s="471">
        <f ca="1">+'20'!V8</f>
        <v>20709169.390000001</v>
      </c>
      <c r="M25" s="471">
        <f ca="1">+'20'!$V$9</f>
        <v>-13655929.732859008</v>
      </c>
      <c r="N25" s="471">
        <f ca="1">+'20'!$V$10</f>
        <v>15427409</v>
      </c>
      <c r="O25" s="471">
        <f>+'20'!$V$11</f>
        <v>0</v>
      </c>
      <c r="P25" s="471">
        <f>+'20'!$V$12</f>
        <v>0</v>
      </c>
      <c r="Q25" s="471">
        <f>+'20'!$V$13</f>
        <v>0</v>
      </c>
      <c r="R25" s="471">
        <f ca="1">+'20'!$V$14</f>
        <v>-742208.42857143283</v>
      </c>
      <c r="S25" s="190">
        <f t="shared" ca="1" si="0"/>
        <v>8283512.3465280533</v>
      </c>
      <c r="T25" s="190">
        <f t="shared" ca="1" si="1"/>
        <v>0</v>
      </c>
    </row>
    <row r="26" spans="2:23" hidden="1">
      <c r="B26" s="444">
        <v>21</v>
      </c>
      <c r="C26" s="444"/>
      <c r="D26" s="443" t="s">
        <v>151</v>
      </c>
      <c r="E26" s="444">
        <f ca="1">+'21'!M8</f>
        <v>-355005293.484721</v>
      </c>
      <c r="F26" s="467"/>
      <c r="G26" s="444">
        <f ca="1">IF(SUM(H26:R26)=0,E26,+'2'!V22)</f>
        <v>-355005293.484721</v>
      </c>
      <c r="H26" s="444">
        <f>+'21'!V4</f>
        <v>0</v>
      </c>
      <c r="I26" s="444">
        <f>+'21'!V5</f>
        <v>0</v>
      </c>
      <c r="J26" s="444">
        <f>+'21'!V6</f>
        <v>0</v>
      </c>
      <c r="K26" s="444">
        <f>+'21'!V7</f>
        <v>0</v>
      </c>
      <c r="L26" s="444">
        <f>+'21'!V8</f>
        <v>0</v>
      </c>
      <c r="M26" s="444">
        <f>+'21'!$V$9</f>
        <v>0</v>
      </c>
      <c r="N26" s="444">
        <f>+'21'!$V$10</f>
        <v>0</v>
      </c>
      <c r="O26" s="444">
        <f>+'21'!$V$11</f>
        <v>0</v>
      </c>
      <c r="P26" s="444">
        <f>+'21'!$V$12</f>
        <v>0</v>
      </c>
      <c r="Q26" s="444">
        <f>+'21'!$V$13</f>
        <v>0</v>
      </c>
      <c r="R26" s="444">
        <f>+'21'!$V$14</f>
        <v>0</v>
      </c>
      <c r="S26" s="190">
        <f t="shared" ca="1" si="0"/>
        <v>-355005293.484721</v>
      </c>
      <c r="T26" s="190">
        <f t="shared" ca="1" si="1"/>
        <v>0</v>
      </c>
    </row>
    <row r="27" spans="2:23" hidden="1">
      <c r="B27" s="444">
        <v>22</v>
      </c>
      <c r="C27" s="444"/>
      <c r="D27" s="443" t="s">
        <v>153</v>
      </c>
      <c r="E27" s="444">
        <f ca="1">+'22'!M8</f>
        <v>-92417126.545189708</v>
      </c>
      <c r="F27" s="467"/>
      <c r="G27" s="444">
        <f ca="1">IF(SUM(H27:R27)=0,E27,+'2'!V23)</f>
        <v>0</v>
      </c>
      <c r="H27" s="444">
        <f>+'22'!V4</f>
        <v>0</v>
      </c>
      <c r="I27" s="444">
        <f>+'22'!V5</f>
        <v>0</v>
      </c>
      <c r="J27" s="444">
        <f>+'22'!V6</f>
        <v>0</v>
      </c>
      <c r="K27" s="444">
        <f ca="1">+'22'!V7</f>
        <v>-105335332.83090401</v>
      </c>
      <c r="L27" s="444">
        <f>+'22'!V8</f>
        <v>0</v>
      </c>
      <c r="M27" s="444">
        <f ca="1">+'22'!$V$9</f>
        <v>-2145500</v>
      </c>
      <c r="N27" s="444">
        <f ca="1">+'22'!$V$10</f>
        <v>15566650</v>
      </c>
      <c r="O27" s="444">
        <f>+'22'!$V$11</f>
        <v>0</v>
      </c>
      <c r="P27" s="444">
        <f>+'22'!$V$12</f>
        <v>0</v>
      </c>
      <c r="Q27" s="444">
        <f>+'22'!$V$13</f>
        <v>0</v>
      </c>
      <c r="R27" s="444">
        <f ca="1">+'22'!$V$14</f>
        <v>-502943.71428571641</v>
      </c>
      <c r="S27" s="190">
        <f t="shared" ca="1" si="0"/>
        <v>-92417126.545189723</v>
      </c>
      <c r="T27" s="190">
        <f t="shared" ca="1" si="1"/>
        <v>0</v>
      </c>
    </row>
    <row r="28" spans="2:23" hidden="1">
      <c r="B28" s="444">
        <v>23</v>
      </c>
      <c r="C28" s="444"/>
      <c r="D28" s="443" t="s">
        <v>155</v>
      </c>
      <c r="E28" s="444">
        <f ca="1">+'23'!M8</f>
        <v>-427765705.18944299</v>
      </c>
      <c r="F28" s="467"/>
      <c r="G28" s="444">
        <f ca="1">IF(SUM(H28:R28)=0,E28,+'2'!V24)</f>
        <v>-427765705.18944299</v>
      </c>
      <c r="H28" s="444">
        <f>+'23'!V4</f>
        <v>0</v>
      </c>
      <c r="I28" s="444">
        <f>+'23'!V5</f>
        <v>0</v>
      </c>
      <c r="J28" s="444">
        <f>+'23'!V6</f>
        <v>0</v>
      </c>
      <c r="K28" s="444">
        <f>+'23'!V7</f>
        <v>0</v>
      </c>
      <c r="L28" s="444">
        <f>+'23'!V8</f>
        <v>0</v>
      </c>
      <c r="M28" s="444">
        <f>+'23'!$V$9</f>
        <v>0</v>
      </c>
      <c r="N28" s="444">
        <f>+'23'!$V$10</f>
        <v>0</v>
      </c>
      <c r="O28" s="444">
        <f>+'23'!$V$11</f>
        <v>0</v>
      </c>
      <c r="P28" s="444">
        <f>+'23'!$V$12</f>
        <v>0</v>
      </c>
      <c r="Q28" s="444">
        <f>+'23'!$V$13</f>
        <v>0</v>
      </c>
      <c r="R28" s="444">
        <f>+'23'!$V$14</f>
        <v>0</v>
      </c>
      <c r="S28" s="190">
        <f t="shared" ca="1" si="0"/>
        <v>-427765705.18944299</v>
      </c>
      <c r="T28" s="190">
        <f t="shared" ca="1" si="1"/>
        <v>0</v>
      </c>
    </row>
    <row r="29" spans="2:23" hidden="1">
      <c r="B29" s="471">
        <v>24</v>
      </c>
      <c r="C29" s="471"/>
      <c r="D29" s="540" t="s">
        <v>157</v>
      </c>
      <c r="E29" s="471">
        <f ca="1">+'24'!M8</f>
        <v>-234194953.54113713</v>
      </c>
      <c r="F29" s="467"/>
      <c r="G29" s="471">
        <f ca="1">IF(SUM(H29:R29)=0,E29,+'2'!V25)</f>
        <v>-234194953.54113713</v>
      </c>
      <c r="H29" s="471">
        <f>+'24'!V4</f>
        <v>0</v>
      </c>
      <c r="I29" s="471">
        <f>+'24'!V5</f>
        <v>0</v>
      </c>
      <c r="J29" s="471">
        <f>+'24'!V6</f>
        <v>0</v>
      </c>
      <c r="K29" s="471">
        <f>+'24'!V7</f>
        <v>0</v>
      </c>
      <c r="L29" s="471">
        <f>+'24'!V8</f>
        <v>0</v>
      </c>
      <c r="M29" s="471">
        <f>+'24'!$V$9</f>
        <v>0</v>
      </c>
      <c r="N29" s="471">
        <f>+'24'!$V$10</f>
        <v>0</v>
      </c>
      <c r="O29" s="471">
        <f>+'24'!$V$11</f>
        <v>0</v>
      </c>
      <c r="P29" s="471">
        <f>+'24'!$V$12</f>
        <v>0</v>
      </c>
      <c r="Q29" s="471">
        <f>+'24'!$V$13</f>
        <v>0</v>
      </c>
      <c r="R29" s="471">
        <f>+'24'!$V$14</f>
        <v>0</v>
      </c>
      <c r="S29" s="190">
        <f t="shared" ca="1" si="0"/>
        <v>-234194953.54113713</v>
      </c>
      <c r="T29" s="190">
        <f t="shared" ca="1" si="1"/>
        <v>0</v>
      </c>
    </row>
    <row r="30" spans="2:23" hidden="1">
      <c r="B30" s="444">
        <v>25</v>
      </c>
      <c r="C30" s="444"/>
      <c r="D30" s="443" t="s">
        <v>159</v>
      </c>
      <c r="E30" s="444">
        <f ca="1">+'25'!M8</f>
        <v>-42035976.880000003</v>
      </c>
      <c r="F30" s="467"/>
      <c r="G30" s="444">
        <f ca="1">IF(SUM(H30:R30)=0,E30,+'2'!V26)</f>
        <v>-42035976.880000003</v>
      </c>
      <c r="H30" s="444">
        <f>+'25'!V4</f>
        <v>0</v>
      </c>
      <c r="I30" s="444">
        <f>+'25'!V5</f>
        <v>0</v>
      </c>
      <c r="J30" s="444">
        <f>+'25'!V6</f>
        <v>0</v>
      </c>
      <c r="K30" s="444">
        <f>+'25'!V7</f>
        <v>0</v>
      </c>
      <c r="L30" s="444">
        <f>+'25'!V8</f>
        <v>0</v>
      </c>
      <c r="M30" s="444">
        <f>+'25'!$V$9</f>
        <v>0</v>
      </c>
      <c r="N30" s="444">
        <f>+'25'!$V$10</f>
        <v>0</v>
      </c>
      <c r="O30" s="444">
        <f>+'25'!$V$11</f>
        <v>0</v>
      </c>
      <c r="P30" s="444">
        <f>+'25'!$V$12</f>
        <v>0</v>
      </c>
      <c r="Q30" s="444">
        <f>+'25'!$V$13</f>
        <v>0</v>
      </c>
      <c r="R30" s="444">
        <f>+'25'!$V$14</f>
        <v>0</v>
      </c>
      <c r="S30" s="190">
        <f t="shared" ca="1" si="0"/>
        <v>-42035976.880000003</v>
      </c>
      <c r="T30" s="190">
        <f t="shared" ca="1" si="1"/>
        <v>0</v>
      </c>
    </row>
    <row r="31" spans="2:23" hidden="1">
      <c r="B31" s="471">
        <v>26</v>
      </c>
      <c r="C31" s="471"/>
      <c r="D31" s="540" t="s">
        <v>161</v>
      </c>
      <c r="E31" s="471">
        <f ca="1">+'26'!M8</f>
        <v>-112095000</v>
      </c>
      <c r="F31" s="467"/>
      <c r="G31" s="471">
        <f ca="1">IF(SUM(H31:R31)=0,E31,+'2'!V27)</f>
        <v>-112095000</v>
      </c>
      <c r="H31" s="471">
        <f>+'26'!V4</f>
        <v>0</v>
      </c>
      <c r="I31" s="471">
        <f>+'26'!V5</f>
        <v>0</v>
      </c>
      <c r="J31" s="471">
        <f>+'26'!V6</f>
        <v>0</v>
      </c>
      <c r="K31" s="471">
        <f>+'26'!V7</f>
        <v>0</v>
      </c>
      <c r="L31" s="471">
        <f>+'26'!V8</f>
        <v>0</v>
      </c>
      <c r="M31" s="471">
        <f>+'26'!$V$9</f>
        <v>0</v>
      </c>
      <c r="N31" s="471">
        <f>+'26'!$V$10</f>
        <v>0</v>
      </c>
      <c r="O31" s="471">
        <f>+'26'!$V$11</f>
        <v>0</v>
      </c>
      <c r="P31" s="471">
        <f>+'26'!$V$12</f>
        <v>0</v>
      </c>
      <c r="Q31" s="471">
        <f>+'26'!$V$13</f>
        <v>0</v>
      </c>
      <c r="R31" s="471">
        <f>+'26'!$V$14</f>
        <v>0</v>
      </c>
      <c r="S31" s="190">
        <f t="shared" ca="1" si="0"/>
        <v>-112095000</v>
      </c>
      <c r="T31" s="190">
        <f t="shared" ca="1" si="1"/>
        <v>0</v>
      </c>
    </row>
    <row r="32" spans="2:23" hidden="1">
      <c r="B32" s="444">
        <v>27</v>
      </c>
      <c r="C32" s="444"/>
      <c r="D32" s="443" t="s">
        <v>340</v>
      </c>
      <c r="E32" s="444">
        <f ca="1">+'27'!M8</f>
        <v>-49479519</v>
      </c>
      <c r="F32" s="467"/>
      <c r="G32" s="444">
        <f ca="1">IF(SUM(H32:R32)=0,E32,+'2'!V28)</f>
        <v>-49479519</v>
      </c>
      <c r="H32" s="444">
        <f>+'27'!V4</f>
        <v>0</v>
      </c>
      <c r="I32" s="444">
        <f>+'27'!V5</f>
        <v>0</v>
      </c>
      <c r="J32" s="444">
        <f>+'27'!V6</f>
        <v>0</v>
      </c>
      <c r="K32" s="444">
        <f>+'27'!V7</f>
        <v>0</v>
      </c>
      <c r="L32" s="444">
        <f>+'27'!V8</f>
        <v>0</v>
      </c>
      <c r="M32" s="444">
        <f>+'27'!$V$9</f>
        <v>0</v>
      </c>
      <c r="N32" s="444">
        <f>+'27'!$V$10</f>
        <v>0</v>
      </c>
      <c r="O32" s="444">
        <f>+'27'!$V$11</f>
        <v>0</v>
      </c>
      <c r="P32" s="444">
        <f>+'27'!$V$12</f>
        <v>0</v>
      </c>
      <c r="Q32" s="444">
        <f>+'27'!$V$13</f>
        <v>0</v>
      </c>
      <c r="R32" s="444">
        <f>+'27'!$V$14</f>
        <v>0</v>
      </c>
      <c r="S32" s="190">
        <f t="shared" ca="1" si="0"/>
        <v>-49479519</v>
      </c>
      <c r="T32" s="190">
        <f t="shared" ca="1" si="1"/>
        <v>0</v>
      </c>
    </row>
    <row r="33" spans="2:18" hidden="1">
      <c r="B33" s="452"/>
      <c r="C33" s="452"/>
      <c r="D33" s="452" t="s">
        <v>77</v>
      </c>
      <c r="E33" s="452">
        <f ca="1">+E27+E25+E17+E15+E6</f>
        <v>-63298549.07116165</v>
      </c>
      <c r="F33" s="467"/>
      <c r="G33" s="452">
        <f t="shared" ref="G33:R33" ca="1" si="2">SUM(G6:G32)</f>
        <v>-5307517959.0317621</v>
      </c>
      <c r="H33" s="452">
        <f t="shared" si="2"/>
        <v>0</v>
      </c>
      <c r="I33" s="452">
        <f t="shared" si="2"/>
        <v>0</v>
      </c>
      <c r="J33" s="452">
        <f t="shared" si="2"/>
        <v>0</v>
      </c>
      <c r="K33" s="452">
        <f t="shared" ca="1" si="2"/>
        <v>-120027106.71294552</v>
      </c>
      <c r="L33" s="452">
        <f t="shared" ca="1" si="2"/>
        <v>20709169.390000001</v>
      </c>
      <c r="M33" s="452">
        <f t="shared" ca="1" si="2"/>
        <v>-15801429.732859008</v>
      </c>
      <c r="N33" s="452">
        <f t="shared" ca="1" si="2"/>
        <v>51522059</v>
      </c>
      <c r="O33" s="452">
        <f t="shared" si="2"/>
        <v>0</v>
      </c>
      <c r="P33" s="452">
        <f t="shared" si="2"/>
        <v>0</v>
      </c>
      <c r="Q33" s="452">
        <f t="shared" si="2"/>
        <v>0</v>
      </c>
      <c r="R33" s="452">
        <f t="shared" ca="1" si="2"/>
        <v>298759.44964286103</v>
      </c>
    </row>
    <row r="34" spans="2:18" hidden="1">
      <c r="E34" s="375">
        <f ca="1">+(+E33/('Tableau-(51)'!D9*1000000))</f>
        <v>-8.2590948001086927E-3</v>
      </c>
    </row>
    <row r="35" spans="2:18" hidden="1">
      <c r="B35" s="199"/>
      <c r="C35" s="199"/>
      <c r="D35" s="200"/>
      <c r="E35" s="204"/>
      <c r="F35" s="204"/>
      <c r="G35" s="21" t="s">
        <v>236</v>
      </c>
      <c r="K35" s="190">
        <f ca="1">+K33+L33+M33+N33+R33</f>
        <v>-63298548.606161661</v>
      </c>
    </row>
    <row r="36" spans="2:18" hidden="1">
      <c r="D36" s="114">
        <f>'Tableau Général'!BC1+'Tableau Général'!BA1+'Tableau Général'!M1+'Tableau Général'!K1+'Tableau Général'!B1</f>
        <v>1331767984.2961617</v>
      </c>
      <c r="H36" s="185" t="s">
        <v>236</v>
      </c>
      <c r="I36" s="186">
        <f ca="1">SUM(G33:R33)-E33</f>
        <v>-5307517958.566762</v>
      </c>
      <c r="J36" s="187" t="s">
        <v>237</v>
      </c>
      <c r="K36" s="190">
        <f ca="1">+K35-'Tableau (44)'!F49</f>
        <v>0.46500001847743988</v>
      </c>
    </row>
    <row r="37" spans="2:18" hidden="1">
      <c r="D37" s="195">
        <f ca="1">E33/D36</f>
        <v>-4.752971224534646E-2</v>
      </c>
      <c r="E37" s="375">
        <f ca="1">+G33/'Tableau (1)'!B10/1000000</f>
        <v>-0.79941096141001311</v>
      </c>
    </row>
    <row r="38" spans="2:18" hidden="1">
      <c r="E38" s="226">
        <f ca="1">100%+E37</f>
        <v>0.20058903858998689</v>
      </c>
    </row>
    <row r="40" spans="2:18">
      <c r="H40" s="114"/>
    </row>
    <row r="41" spans="2:18" ht="25.5" customHeight="1" thickBot="1">
      <c r="C41" s="760" t="s">
        <v>6</v>
      </c>
      <c r="D41" s="760" t="s">
        <v>256</v>
      </c>
      <c r="E41" s="342" t="s">
        <v>829</v>
      </c>
      <c r="F41" s="342" t="s">
        <v>830</v>
      </c>
      <c r="G41" s="342" t="s">
        <v>831</v>
      </c>
      <c r="H41" s="342" t="s">
        <v>651</v>
      </c>
    </row>
    <row r="42" spans="2:18" ht="12.5" thickTop="1">
      <c r="C42" s="761"/>
      <c r="D42" s="761" t="s">
        <v>79</v>
      </c>
      <c r="E42" s="762">
        <f>+E43+E44+E45</f>
        <v>421286979</v>
      </c>
      <c r="F42" s="762">
        <f>+F43+F44+F45</f>
        <v>400451914.09750003</v>
      </c>
      <c r="G42" s="762">
        <f>+G43+G44+G45</f>
        <v>20835065.217500001</v>
      </c>
      <c r="H42" s="763">
        <f>+G42/F42</f>
        <v>5.2028881581090869E-2</v>
      </c>
    </row>
    <row r="43" spans="2:18">
      <c r="C43" s="764">
        <v>1</v>
      </c>
      <c r="D43" s="764" t="s">
        <v>117</v>
      </c>
      <c r="E43" s="765">
        <v>334281652</v>
      </c>
      <c r="F43" s="765">
        <f>+'Tableau Général'!B1</f>
        <v>334703047.315</v>
      </c>
      <c r="G43" s="765">
        <v>-421395</v>
      </c>
      <c r="H43" s="766">
        <f>+G43/F43</f>
        <v>-1.2590115428599948E-3</v>
      </c>
    </row>
    <row r="44" spans="2:18">
      <c r="C44" s="572">
        <v>2</v>
      </c>
      <c r="D44" s="572" t="s">
        <v>132</v>
      </c>
      <c r="E44" s="767">
        <v>55085975</v>
      </c>
      <c r="F44" s="767">
        <f>+'Tableau Général'!K1</f>
        <v>37040260.225000001</v>
      </c>
      <c r="G44" s="767">
        <f>+E44-F44</f>
        <v>18045714.774999999</v>
      </c>
      <c r="H44" s="773">
        <f>+G44/F44</f>
        <v>0.48719190052612538</v>
      </c>
    </row>
    <row r="45" spans="2:18" ht="12.5" thickBot="1">
      <c r="C45" s="764">
        <v>3</v>
      </c>
      <c r="D45" s="764" t="s">
        <v>136</v>
      </c>
      <c r="E45" s="765">
        <v>31919352</v>
      </c>
      <c r="F45" s="765">
        <f>+'Tableau Général'!M1</f>
        <v>28708606.557499997</v>
      </c>
      <c r="G45" s="765">
        <f>+E45-F45</f>
        <v>3210745.4425000027</v>
      </c>
      <c r="H45" s="766">
        <f>+G45/F45</f>
        <v>0.11183912517903832</v>
      </c>
    </row>
    <row r="46" spans="2:18" ht="12.5" thickTop="1">
      <c r="C46" s="768"/>
      <c r="D46" s="768" t="s">
        <v>145</v>
      </c>
      <c r="E46" s="769">
        <f>+E47+E48</f>
        <v>847182456</v>
      </c>
      <c r="F46" s="769">
        <f>+F47+F48</f>
        <v>931316071</v>
      </c>
      <c r="G46" s="769">
        <f>+G47+G48</f>
        <v>-84133615</v>
      </c>
      <c r="H46" s="770">
        <v>0.09</v>
      </c>
    </row>
    <row r="47" spans="2:18">
      <c r="C47" s="572">
        <v>4</v>
      </c>
      <c r="D47" s="572" t="s">
        <v>832</v>
      </c>
      <c r="E47" s="767">
        <v>405956198</v>
      </c>
      <c r="F47" s="767">
        <v>397672686</v>
      </c>
      <c r="G47" s="767">
        <v>8283512</v>
      </c>
      <c r="H47" s="773">
        <f>+G47/F47</f>
        <v>2.0829974729519141E-2</v>
      </c>
    </row>
    <row r="48" spans="2:18">
      <c r="C48" s="764">
        <v>5</v>
      </c>
      <c r="D48" s="764" t="s">
        <v>153</v>
      </c>
      <c r="E48" s="765">
        <v>441226258</v>
      </c>
      <c r="F48" s="765">
        <v>533643385</v>
      </c>
      <c r="G48" s="765">
        <v>-92417127</v>
      </c>
      <c r="H48" s="766">
        <f>+G48/F48</f>
        <v>-0.17318143463916449</v>
      </c>
    </row>
    <row r="49" spans="3:8">
      <c r="C49" s="547"/>
      <c r="D49" s="547" t="s">
        <v>1</v>
      </c>
      <c r="E49" s="771">
        <f>+E46+E42</f>
        <v>1268469435</v>
      </c>
      <c r="F49" s="771">
        <f>+F46+F42</f>
        <v>1331767985.0975001</v>
      </c>
      <c r="G49" s="771">
        <f>+G46+G42</f>
        <v>-63298549.782499999</v>
      </c>
      <c r="H49" s="772">
        <f>+G49/F49</f>
        <v>-4.7529712750878188E-2</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29384-A237-4FB3-AE5F-548EAD2553B3}">
  <sheetPr codeName="Feuil81"/>
  <dimension ref="A3:O704"/>
  <sheetViews>
    <sheetView showGridLines="0" topLeftCell="A93" zoomScaleNormal="100" workbookViewId="0">
      <selection activeCell="A95" sqref="A95"/>
    </sheetView>
  </sheetViews>
  <sheetFormatPr baseColWidth="10" defaultColWidth="11.54296875" defaultRowHeight="12"/>
  <cols>
    <col min="1" max="1" width="56" style="30" customWidth="1"/>
    <col min="2" max="2" width="12.453125" style="30" customWidth="1"/>
    <col min="3" max="3" width="14.7265625" style="21" bestFit="1" customWidth="1"/>
    <col min="4" max="4" width="18.453125" style="21" bestFit="1" customWidth="1"/>
    <col min="5" max="5" width="14.81640625" style="21" bestFit="1" customWidth="1"/>
    <col min="6" max="7" width="11.54296875" style="21"/>
    <col min="8" max="8" width="56" style="30" customWidth="1"/>
    <col min="9" max="9" width="12.453125" style="30" customWidth="1"/>
    <col min="10" max="10" width="14.7265625" style="21" bestFit="1" customWidth="1"/>
    <col min="11" max="11" width="18.453125" style="21" bestFit="1" customWidth="1"/>
    <col min="12" max="12" width="14.81640625" style="21" bestFit="1" customWidth="1"/>
    <col min="13" max="16384" width="11.54296875" style="21"/>
  </cols>
  <sheetData>
    <row r="3" spans="1:15" hidden="1"/>
    <row r="4" spans="1:15" ht="13.5" hidden="1" customHeight="1">
      <c r="A4" s="844" t="s">
        <v>258</v>
      </c>
      <c r="B4" s="844" t="s">
        <v>259</v>
      </c>
      <c r="C4" s="844" t="s">
        <v>73</v>
      </c>
      <c r="D4" s="844"/>
      <c r="E4" s="844"/>
      <c r="J4" s="30"/>
      <c r="K4" s="30"/>
      <c r="L4" s="30"/>
      <c r="M4" s="30"/>
      <c r="N4" s="30"/>
      <c r="O4" s="30"/>
    </row>
    <row r="5" spans="1:15" ht="12.5" hidden="1" thickBot="1">
      <c r="A5" s="801"/>
      <c r="B5" s="801"/>
      <c r="C5" s="453" t="s">
        <v>71</v>
      </c>
      <c r="D5" s="453" t="s">
        <v>30</v>
      </c>
      <c r="E5" s="454" t="s">
        <v>70</v>
      </c>
      <c r="J5" s="30"/>
      <c r="K5" s="30"/>
      <c r="L5" s="30"/>
      <c r="M5" s="30"/>
      <c r="N5" s="30"/>
      <c r="O5" s="30"/>
    </row>
    <row r="6" spans="1:15" ht="12.5" hidden="1" thickTop="1">
      <c r="A6" s="443" t="str">
        <f>+'Taxes RCA 2022'!B3</f>
        <v>Redevance équipement, informatique et finances (REIF)</v>
      </c>
      <c r="B6" s="455" t="s">
        <v>166</v>
      </c>
      <c r="C6" s="456">
        <f>+'1'!G10+'2'!G10+'3'!G10+'4'!G10+'5'!G10+'6'!G10+'7'!G10+'8'!G10+'9'!G10+'10'!G10+'11'!G10+'12'!G10+'13'!G10+'14'!G10+'15'!G10+'16'!G10</f>
        <v>19812835.050000001</v>
      </c>
      <c r="D6" s="456">
        <f>+'1'!K10+'2'!K10+'3'!K10+'4'!K10+'5'!K10+'6'!K10+'7'!K10+'8'!K10+'9'!K10+'10'!K10+'11'!K10+'12'!K10+'13'!K10+'14'!K10+'15'!K10+'16'!K10</f>
        <v>157356461.42250001</v>
      </c>
      <c r="E6" s="456">
        <f>C6-D6</f>
        <v>-137543626.3725</v>
      </c>
      <c r="J6" s="30"/>
      <c r="K6" s="30"/>
      <c r="L6" s="30"/>
      <c r="M6" s="30"/>
      <c r="N6" s="30"/>
      <c r="O6" s="30"/>
    </row>
    <row r="7" spans="1:15" hidden="1">
      <c r="A7" s="445" t="str">
        <f>+'Taxes RCA 2022'!B4</f>
        <v>Droit de sortie (DS)</v>
      </c>
      <c r="B7" s="457" t="s">
        <v>166</v>
      </c>
      <c r="C7" s="458">
        <f>+'1'!G11+'2'!G11+'3'!G11+'4'!G11+'5'!G11+'6'!G11+'7'!G11+'8'!G11+'9'!G11+'10'!G11+'11'!G11+'12'!G11+'13'!G11+'14'!G11+'15'!G11+'16'!G11</f>
        <v>114666435.125</v>
      </c>
      <c r="D7" s="458">
        <f>+'1'!K11+'2'!K11+'3'!K11+'4'!K11+'5'!K11+'6'!K11+'7'!K11+'8'!K11+'9'!K11+'10'!K11+'11'!K11+'12'!K11+'13'!K11+'14'!K11+'15'!K11+'16'!K11</f>
        <v>462034458.13999999</v>
      </c>
      <c r="E7" s="458">
        <f t="shared" ref="E7:E59" si="0">C7-D7</f>
        <v>-347368023.01499999</v>
      </c>
      <c r="J7" s="30"/>
      <c r="K7" s="30"/>
      <c r="L7" s="30"/>
      <c r="M7" s="30"/>
      <c r="N7" s="30"/>
      <c r="O7" s="30"/>
    </row>
    <row r="8" spans="1:15" ht="13.5" hidden="1" customHeight="1">
      <c r="A8" s="459" t="str">
        <f>+'Taxes RCA 2022'!B5</f>
        <v>Amendes et pénalités payées à la DGDDI (+)</v>
      </c>
      <c r="B8" s="459"/>
      <c r="C8" s="460">
        <f>+'1'!G12+'2'!G12+'3'!G12+'4'!G12+'5'!G12+'6'!G12+'7'!G12+'8'!G12+'9'!G12+'10'!G12+'11'!G12+'12'!G12+'13'!G12+'14'!G12+'15'!G12+'16'!G12</f>
        <v>0</v>
      </c>
      <c r="D8" s="460">
        <f ca="1">+'1'!K12+'2'!K12+'3'!K12+'4'!K12+'5'!K12+'6'!K12+'7'!K12+'8'!K12+'9'!K12+'10'!K12+'11'!K12+'12'!K12+'13'!K12+'14'!K12+'15'!K12+'16'!K12</f>
        <v>0</v>
      </c>
      <c r="E8" s="460">
        <f t="shared" ca="1" si="0"/>
        <v>0</v>
      </c>
      <c r="J8" s="30"/>
      <c r="K8" s="30"/>
      <c r="L8" s="30"/>
      <c r="M8" s="30"/>
      <c r="N8" s="30"/>
      <c r="O8" s="30"/>
    </row>
    <row r="9" spans="1:15" ht="13.5" hidden="1" customHeight="1">
      <c r="A9" s="461" t="str">
        <f>+'Taxes RCA 2022'!B7</f>
        <v>Dividendes sur participation de l'Etat (+)</v>
      </c>
      <c r="B9" s="461"/>
      <c r="C9" s="460">
        <f>+'1'!G14+'2'!G14+'3'!G14+'4'!G14+'5'!G14+'6'!G14+'7'!G14+'8'!G14+'9'!G14+'10'!G14+'11'!G14+'12'!G14+'13'!G14+'14'!G14+'15'!G14+'16'!G14</f>
        <v>0</v>
      </c>
      <c r="D9" s="460">
        <f ca="1">+'1'!K14+'2'!K14+'3'!K14+'4'!K14+'5'!K14+'6'!K14+'7'!K14+'8'!K14+'9'!K14+'10'!K14+'11'!K14+'12'!K14+'13'!K14+'14'!K14+'15'!K14+'16'!K14</f>
        <v>0</v>
      </c>
      <c r="E9" s="460">
        <f t="shared" ca="1" si="0"/>
        <v>0</v>
      </c>
      <c r="J9" s="30"/>
      <c r="K9" s="30"/>
      <c r="L9" s="30"/>
      <c r="M9" s="30"/>
      <c r="N9" s="30"/>
      <c r="O9" s="30"/>
    </row>
    <row r="10" spans="1:15" ht="13.5" hidden="1" customHeight="1">
      <c r="A10" s="462" t="str">
        <f>+'Taxes RCA 2022'!B9</f>
        <v>Bonus de signature versés par les investisseurs miniers (+) (DGTCP (FDM))</v>
      </c>
      <c r="B10" s="462"/>
      <c r="C10" s="460">
        <f>+'1'!G16+'2'!G16+'3'!G16+'4'!G16+'5'!G16+'6'!G16+'7'!G16+'8'!G16+'9'!G16+'10'!G16+'11'!G16+'12'!G16+'13'!G16+'14'!G16+'15'!G16+'16'!G16</f>
        <v>0</v>
      </c>
      <c r="D10" s="460">
        <f ca="1">+'1'!K16+'2'!K16+'3'!K16+'4'!K16+'5'!K16+'6'!K16+'7'!K16+'8'!K16+'9'!K16+'10'!K16+'11'!K16+'12'!K16+'13'!K16+'14'!K16+'15'!K16+'16'!K16</f>
        <v>0</v>
      </c>
      <c r="E10" s="460">
        <f t="shared" ca="1" si="0"/>
        <v>0</v>
      </c>
      <c r="J10" s="30"/>
      <c r="K10" s="30"/>
      <c r="L10" s="30"/>
      <c r="M10" s="30"/>
      <c r="N10" s="30"/>
      <c r="O10" s="30"/>
    </row>
    <row r="11" spans="1:15" ht="13.5" hidden="1" customHeight="1">
      <c r="A11" s="461" t="str">
        <f>+'Taxes RCA 2022'!B11</f>
        <v>Redevance à la production (+)</v>
      </c>
      <c r="B11" s="461"/>
      <c r="C11" s="460">
        <f>+'1'!G18+'2'!G18+'3'!G18+'4'!G18+'5'!G18+'6'!G18+'7'!G18+'8'!G18+'9'!G18+'10'!G18+'11'!G18+'12'!G18+'13'!G18+'14'!G18+'15'!G18+'16'!G18</f>
        <v>0</v>
      </c>
      <c r="D11" s="460">
        <f ca="1">+'1'!K18+'2'!K18+'3'!K18+'4'!K18+'5'!K18+'6'!K18+'7'!K18+'8'!K18+'9'!K18+'10'!K18+'11'!K18+'12'!K18+'13'!K18+'14'!K18+'15'!K18+'16'!K18</f>
        <v>0</v>
      </c>
      <c r="E11" s="460">
        <f t="shared" ca="1" si="0"/>
        <v>0</v>
      </c>
      <c r="J11" s="30"/>
      <c r="K11" s="30"/>
      <c r="L11" s="30"/>
      <c r="M11" s="30"/>
      <c r="N11" s="30"/>
      <c r="O11" s="30"/>
    </row>
    <row r="12" spans="1:15" hidden="1">
      <c r="A12" s="443" t="str">
        <f>+'Taxes RCA 2022'!B12</f>
        <v>Contribution au développement social (CDS)</v>
      </c>
      <c r="B12" s="455" t="s">
        <v>81</v>
      </c>
      <c r="C12" s="456">
        <f>+'1'!G19+'2'!G19+'3'!G19+'4'!G19+'5'!G19+'6'!G19+'7'!G19+'8'!G19+'9'!G19+'10'!G19+'11'!G19+'12'!G19+'13'!G19+'14'!G19+'15'!G19+'16'!G19</f>
        <v>7840948</v>
      </c>
      <c r="D12" s="456">
        <f ca="1">+'1'!K19+'2'!K19+'3'!K19+'4'!K19+'5'!K19+'6'!K19+'7'!K19+'8'!K19+'9'!K19+'10'!K19+'11'!K19+'12'!K19+'13'!K19+'14'!K19+'15'!K19+'16'!K19</f>
        <v>9300413</v>
      </c>
      <c r="E12" s="456">
        <f t="shared" ca="1" si="0"/>
        <v>-1459465</v>
      </c>
      <c r="J12" s="30"/>
      <c r="K12" s="30"/>
      <c r="L12" s="30"/>
      <c r="M12" s="30"/>
      <c r="N12" s="30"/>
      <c r="O12" s="30"/>
    </row>
    <row r="13" spans="1:15" hidden="1">
      <c r="A13" s="445" t="str">
        <f>+'Taxes RCA 2022'!B13</f>
        <v>Droit d'enregistrement (DE)</v>
      </c>
      <c r="B13" s="457" t="s">
        <v>81</v>
      </c>
      <c r="C13" s="458">
        <f>+'1'!G20+'2'!G20+'3'!G20+'4'!G20+'5'!G20+'6'!G20+'7'!G20+'8'!G20+'9'!G20+'10'!G20+'11'!G20+'12'!G20+'13'!G20+'14'!G20+'15'!G20+'16'!G20</f>
        <v>4896000</v>
      </c>
      <c r="D13" s="458">
        <f ca="1">+'1'!K20+'2'!K20+'3'!K20+'4'!K20+'5'!K20+'6'!K20+'7'!K20+'8'!K20+'9'!K20+'10'!K20+'11'!K20+'12'!K20+'13'!K20+'14'!K20+'15'!K20+'16'!K20</f>
        <v>6076800</v>
      </c>
      <c r="E13" s="458">
        <f t="shared" ca="1" si="0"/>
        <v>-1180800</v>
      </c>
      <c r="J13" s="30"/>
      <c r="K13" s="30"/>
      <c r="L13" s="30"/>
      <c r="M13" s="30"/>
      <c r="N13" s="30"/>
      <c r="O13" s="30"/>
    </row>
    <row r="14" spans="1:15" hidden="1">
      <c r="A14" s="443" t="str">
        <f>+'Taxes RCA 2022'!B14</f>
        <v>Impôt sur les revenus des personnes physiques (IRPP)</v>
      </c>
      <c r="B14" s="455" t="s">
        <v>81</v>
      </c>
      <c r="C14" s="456">
        <f>+'1'!G21+'2'!G21+'3'!G21+'4'!G21+'5'!G21+'6'!G21+'7'!G21+'8'!G21+'9'!G21+'10'!G21+'11'!G21+'12'!G21+'13'!G21+'14'!G21+'15'!G21+'16'!G21</f>
        <v>21942844</v>
      </c>
      <c r="D14" s="456">
        <f ca="1">+'1'!K21+'2'!K21+'3'!K21+'4'!K21+'5'!K21+'6'!K21+'7'!K21+'8'!K21+'9'!K21+'10'!K21+'11'!K21+'12'!K21+'13'!K21+'14'!K21+'15'!K21+'16'!K21</f>
        <v>22451003</v>
      </c>
      <c r="E14" s="456">
        <f t="shared" ca="1" si="0"/>
        <v>-508159</v>
      </c>
      <c r="J14" s="30"/>
      <c r="K14" s="30"/>
      <c r="L14" s="30"/>
      <c r="M14" s="30"/>
      <c r="N14" s="30"/>
      <c r="O14" s="30"/>
    </row>
    <row r="15" spans="1:15" ht="13.5" hidden="1" customHeight="1">
      <c r="A15" s="461" t="str">
        <f>+'Taxes RCA 2022'!B15</f>
        <v>Impôt sur les sociétés (IS)</v>
      </c>
      <c r="B15" s="461" t="s">
        <v>81</v>
      </c>
      <c r="C15" s="460">
        <f>+'1'!G22+'2'!G22+'3'!G22+'4'!G22+'5'!G22+'6'!G22+'7'!G22+'8'!G22+'9'!G22+'10'!G22+'11'!G22+'12'!G22+'13'!G22+'14'!G22+'15'!G22+'16'!G22</f>
        <v>0</v>
      </c>
      <c r="D15" s="460">
        <f ca="1">+'1'!K22+'2'!K22+'3'!K22+'4'!K22+'5'!K22+'6'!K22+'7'!K22+'8'!K22+'9'!K22+'10'!K22+'11'!K22+'12'!K22+'13'!K22+'14'!K22+'15'!K22+'16'!K22</f>
        <v>0</v>
      </c>
      <c r="E15" s="460">
        <f t="shared" ca="1" si="0"/>
        <v>0</v>
      </c>
      <c r="J15" s="30"/>
      <c r="K15" s="30"/>
      <c r="L15" s="30"/>
      <c r="M15" s="30"/>
      <c r="N15" s="30"/>
      <c r="O15" s="30"/>
    </row>
    <row r="16" spans="1:15" hidden="1">
      <c r="A16" s="445" t="str">
        <f>+'Taxes RCA 2022'!B16</f>
        <v>Loyer annuel</v>
      </c>
      <c r="B16" s="457" t="s">
        <v>81</v>
      </c>
      <c r="C16" s="458">
        <f>+'1'!G23+'2'!G23+'3'!G23+'4'!G23+'5'!G23+'6'!G23+'7'!G23+'8'!G23+'9'!G23+'10'!G23+'11'!G23+'12'!G23+'13'!G23+'14'!G23+'15'!G23+'16'!G23</f>
        <v>26400000</v>
      </c>
      <c r="D16" s="458">
        <f ca="1">+'1'!K23+'2'!K23+'3'!K23+'4'!K23+'5'!K23+'6'!K23+'7'!K23+'8'!K23+'9'!K23+'10'!K23+'11'!K23+'12'!K23+'13'!K23+'14'!K23+'15'!K23+'16'!K23</f>
        <v>26400000</v>
      </c>
      <c r="E16" s="458">
        <f t="shared" ca="1" si="0"/>
        <v>0</v>
      </c>
      <c r="J16" s="30"/>
      <c r="K16" s="30"/>
      <c r="L16" s="30"/>
      <c r="M16" s="30"/>
      <c r="N16" s="30"/>
      <c r="O16" s="30"/>
    </row>
    <row r="17" spans="1:15" hidden="1">
      <c r="A17" s="443" t="str">
        <f>+'Taxes RCA 2022'!B17</f>
        <v>Patente</v>
      </c>
      <c r="B17" s="455" t="s">
        <v>81</v>
      </c>
      <c r="C17" s="456">
        <f>+'1'!G24+'2'!G24+'3'!G24+'4'!G24+'5'!G24+'6'!G24+'7'!G24+'8'!G24+'9'!G24+'10'!G24+'11'!G24+'12'!G24+'13'!G24+'14'!G24+'15'!G24+'16'!G24</f>
        <v>27581360</v>
      </c>
      <c r="D17" s="456">
        <f ca="1">+'1'!K24+'2'!K24+'3'!K24+'4'!K24+'5'!K24+'6'!K24+'7'!K24+'8'!K24+'9'!K24+'10'!K24+'11'!K24+'12'!K24+'13'!K24+'14'!K24+'15'!K24+'16'!K24</f>
        <v>52554635</v>
      </c>
      <c r="E17" s="456">
        <f t="shared" ca="1" si="0"/>
        <v>-24973275</v>
      </c>
      <c r="J17" s="30"/>
      <c r="K17" s="30"/>
      <c r="L17" s="30"/>
      <c r="M17" s="30"/>
      <c r="N17" s="30"/>
      <c r="O17" s="30"/>
    </row>
    <row r="18" spans="1:15" ht="13.5" hidden="1" customHeight="1">
      <c r="A18" s="459" t="str">
        <f>+'Taxes RCA 2022'!B18</f>
        <v xml:space="preserve">Taxe d'abattage  </v>
      </c>
      <c r="B18" s="459" t="s">
        <v>81</v>
      </c>
      <c r="C18" s="460">
        <f>+'1'!G25+'2'!G25+'3'!G25+'4'!G25+'5'!G25+'6'!G25+'7'!G25+'8'!G25+'9'!G25+'10'!G25+'11'!G25+'12'!G25+'13'!G25+'14'!G25+'15'!G25+'16'!G25</f>
        <v>0</v>
      </c>
      <c r="D18" s="460">
        <f ca="1">+'1'!K25+'2'!K25+'3'!K25+'4'!K25+'5'!K25+'6'!K25+'7'!K25+'8'!K25+'9'!K25+'10'!K25+'11'!K25+'12'!K25+'13'!K25+'14'!K25+'15'!K25+'16'!K25</f>
        <v>0</v>
      </c>
      <c r="E18" s="460">
        <f t="shared" ca="1" si="0"/>
        <v>0</v>
      </c>
      <c r="J18" s="30"/>
      <c r="K18" s="30"/>
      <c r="L18" s="30"/>
      <c r="M18" s="30"/>
      <c r="N18" s="30"/>
      <c r="O18" s="30"/>
    </row>
    <row r="19" spans="1:15" ht="13.5" hidden="1" customHeight="1">
      <c r="A19" s="461" t="str">
        <f>+'Taxes RCA 2022'!B19</f>
        <v xml:space="preserve">Taxe de reboisement  </v>
      </c>
      <c r="B19" s="461" t="s">
        <v>81</v>
      </c>
      <c r="C19" s="460">
        <f>+'1'!G26+'2'!G26+'3'!G26+'4'!G26+'5'!G26+'6'!G26+'7'!G26+'8'!G26+'9'!G26+'10'!G26+'11'!G26+'12'!G26+'13'!G26+'14'!G26+'15'!G26+'16'!G26</f>
        <v>0</v>
      </c>
      <c r="D19" s="460">
        <f ca="1">+'1'!K26+'2'!K26+'3'!K26+'4'!K26+'5'!K26+'6'!K26+'7'!K26+'8'!K26+'9'!K26+'10'!K26+'11'!K26+'12'!K26+'13'!K26+'14'!K26+'15'!K26+'16'!K26</f>
        <v>0</v>
      </c>
      <c r="E19" s="460">
        <f t="shared" ca="1" si="0"/>
        <v>0</v>
      </c>
      <c r="J19" s="30"/>
      <c r="K19" s="30"/>
      <c r="L19" s="30"/>
      <c r="M19" s="30"/>
      <c r="N19" s="30"/>
      <c r="O19" s="30"/>
    </row>
    <row r="20" spans="1:15" ht="13.5" hidden="1" customHeight="1">
      <c r="A20" s="459" t="str">
        <f>+'Taxes RCA 2022'!B20</f>
        <v>Impôt sur les fonciers bâtis (IFB)</v>
      </c>
      <c r="B20" s="459" t="s">
        <v>81</v>
      </c>
      <c r="C20" s="460">
        <f>+'1'!G27+'2'!G27+'3'!G27+'4'!G27+'5'!G27+'6'!G27+'7'!G27+'8'!G27+'9'!G27+'10'!G27+'11'!G27+'12'!G27+'13'!G27+'14'!G27+'15'!G27+'16'!G27</f>
        <v>0</v>
      </c>
      <c r="D20" s="460">
        <f ca="1">+'1'!K27+'2'!K27+'3'!K27+'4'!K27+'5'!K27+'6'!K27+'7'!K27+'8'!K27+'9'!K27+'10'!K27+'11'!K27+'12'!K27+'13'!K27+'14'!K27+'15'!K27+'16'!K27</f>
        <v>0</v>
      </c>
      <c r="E20" s="460">
        <f t="shared" ca="1" si="0"/>
        <v>0</v>
      </c>
      <c r="J20" s="30"/>
      <c r="K20" s="30"/>
      <c r="L20" s="30"/>
      <c r="M20" s="30"/>
      <c r="N20" s="30"/>
      <c r="O20" s="30"/>
    </row>
    <row r="21" spans="1:15" hidden="1">
      <c r="A21" s="445" t="str">
        <f>+'Taxes RCA 2022'!B21</f>
        <v>Minimum impôt sur les sociétés (MIS)</v>
      </c>
      <c r="B21" s="457" t="s">
        <v>81</v>
      </c>
      <c r="C21" s="458">
        <f>+'1'!G28+'2'!G28+'3'!G28+'4'!G28+'5'!G28+'6'!G28+'7'!G28+'8'!G28+'9'!G28+'10'!G28+'11'!G28+'12'!G28+'13'!G28+'14'!G28+'15'!G28+'16'!G28</f>
        <v>4070000</v>
      </c>
      <c r="D21" s="458">
        <f ca="1">+'1'!K28+'2'!K28+'3'!K28+'4'!K28+'5'!K28+'6'!K28+'7'!K28+'8'!K28+'9'!K28+'10'!K28+'11'!K28+'12'!K28+'13'!K28+'14'!K28+'15'!K28+'16'!K28</f>
        <v>4070000</v>
      </c>
      <c r="E21" s="458">
        <f t="shared" ca="1" si="0"/>
        <v>0</v>
      </c>
      <c r="J21" s="30"/>
      <c r="K21" s="30"/>
      <c r="L21" s="30"/>
      <c r="M21" s="30"/>
      <c r="N21" s="30"/>
      <c r="O21" s="30"/>
    </row>
    <row r="22" spans="1:15" hidden="1">
      <c r="A22" s="443" t="str">
        <f>+'Taxes RCA 2022'!B22</f>
        <v xml:space="preserve">Impôt minimum forfaitaire (IMF) </v>
      </c>
      <c r="B22" s="455" t="s">
        <v>81</v>
      </c>
      <c r="C22" s="456">
        <f>+'1'!G29+'2'!G29+'3'!G29+'4'!G29+'5'!G29+'6'!G29+'7'!G29+'8'!G29+'9'!G29+'10'!G29+'11'!G29+'12'!G29+'13'!G29+'14'!G29+'15'!G29+'16'!G29</f>
        <v>92891843</v>
      </c>
      <c r="D22" s="456">
        <f ca="1">+'1'!K29+'2'!K29+'3'!K29+'4'!K29+'5'!K29+'6'!K29+'7'!K29+'8'!K29+'9'!K29+'10'!K29+'11'!K29+'12'!K29+'13'!K29+'14'!K29+'15'!K29+'16'!K29</f>
        <v>100636236</v>
      </c>
      <c r="E22" s="456">
        <f t="shared" ca="1" si="0"/>
        <v>-7744393</v>
      </c>
      <c r="J22" s="30"/>
      <c r="K22" s="30"/>
      <c r="L22" s="30"/>
      <c r="M22" s="30"/>
      <c r="N22" s="30"/>
      <c r="O22" s="30"/>
    </row>
    <row r="23" spans="1:15" hidden="1">
      <c r="A23" s="445" t="str">
        <f>+'Taxes RCA 2022'!B23</f>
        <v>Précompte</v>
      </c>
      <c r="B23" s="457" t="s">
        <v>81</v>
      </c>
      <c r="C23" s="458">
        <f>+'1'!G30+'2'!G30+'3'!G30+'4'!G30+'5'!G30+'6'!G30+'7'!G30+'8'!G30+'9'!G30+'10'!G30+'11'!G30+'12'!G30+'13'!G30+'14'!G30+'15'!G30+'16'!G30</f>
        <v>2032890</v>
      </c>
      <c r="D23" s="458">
        <f ca="1">+'1'!K30+'2'!K30+'3'!K30+'4'!K30+'5'!K30+'6'!K30+'7'!K30+'8'!K30+'9'!K30+'10'!K30+'11'!K30+'12'!K30+'13'!K30+'14'!K30+'15'!K30+'16'!K30</f>
        <v>3269736</v>
      </c>
      <c r="E23" s="458">
        <f t="shared" ca="1" si="0"/>
        <v>-1236846</v>
      </c>
      <c r="J23" s="30"/>
      <c r="K23" s="30"/>
      <c r="L23" s="30"/>
      <c r="M23" s="30"/>
      <c r="N23" s="30"/>
      <c r="O23" s="30"/>
    </row>
    <row r="24" spans="1:15" hidden="1">
      <c r="A24" s="443" t="str">
        <f>+'Taxes RCA 2022'!B24</f>
        <v>Taxe sur la valeur ajoutée (TVA)</v>
      </c>
      <c r="B24" s="455" t="s">
        <v>81</v>
      </c>
      <c r="C24" s="456">
        <f>+'1'!G31+'2'!G31+'3'!G31+'4'!G31+'5'!G31+'6'!G31+'7'!G31+'8'!G31+'9'!G31+'10'!G31+'11'!G31+'12'!G31+'13'!G31+'14'!G31+'15'!G31+'16'!G31</f>
        <v>0</v>
      </c>
      <c r="D24" s="456">
        <f ca="1">+'1'!K31+'2'!K31+'3'!K31+'4'!K31+'5'!K31+'6'!K31+'7'!K31+'8'!K31+'9'!K31+'10'!K31+'11'!K31+'12'!K31+'13'!K31+'14'!K31+'15'!K31+'16'!K31</f>
        <v>2073560</v>
      </c>
      <c r="E24" s="456">
        <f t="shared" ca="1" si="0"/>
        <v>-2073560</v>
      </c>
      <c r="J24" s="30"/>
      <c r="K24" s="30"/>
      <c r="L24" s="30"/>
      <c r="M24" s="30"/>
      <c r="N24" s="30"/>
      <c r="O24" s="30"/>
    </row>
    <row r="25" spans="1:15" hidden="1">
      <c r="A25" s="445" t="str">
        <f>+'Taxes RCA 2022'!B25</f>
        <v>Impôt sur les revenus des loyers (IRL)</v>
      </c>
      <c r="B25" s="457" t="s">
        <v>81</v>
      </c>
      <c r="C25" s="458">
        <f>+'1'!G32+'2'!G32+'3'!G32+'4'!G32+'5'!G32+'6'!G32+'7'!G32+'8'!G32+'9'!G32+'10'!G32+'11'!G32+'12'!G32+'13'!G32+'14'!G32+'15'!G32+'16'!G32</f>
        <v>1224000</v>
      </c>
      <c r="D25" s="458">
        <f ca="1">+'1'!K32+'2'!K32+'3'!K32+'4'!K32+'5'!K32+'6'!K32+'7'!K32+'8'!K32+'9'!K32+'10'!K32+'11'!K32+'12'!K32+'13'!K32+'14'!K32+'15'!K32+'16'!K32</f>
        <v>2023200</v>
      </c>
      <c r="E25" s="458">
        <f t="shared" ca="1" si="0"/>
        <v>-799200</v>
      </c>
      <c r="J25" s="30"/>
      <c r="K25" s="30"/>
      <c r="L25" s="30"/>
      <c r="M25" s="30"/>
      <c r="N25" s="30"/>
      <c r="O25" s="30"/>
    </row>
    <row r="26" spans="1:15" ht="13.5" hidden="1" customHeight="1">
      <c r="A26" s="459" t="str">
        <f>+'Taxes RCA 2022'!B26</f>
        <v>Droits fixes (sur l'octroi, renouvellement, transfert) (+)</v>
      </c>
      <c r="B26" s="459" t="s">
        <v>81</v>
      </c>
      <c r="C26" s="460">
        <f>+'1'!G33+'2'!G33+'3'!G33+'4'!G33+'5'!G33+'6'!G33+'7'!G33+'8'!G33+'9'!G33+'10'!G33+'11'!G33+'12'!G33+'13'!G33+'14'!G33+'15'!G33+'16'!G33</f>
        <v>0</v>
      </c>
      <c r="D26" s="460">
        <f ca="1">+'1'!K33+'2'!K33+'3'!K33+'4'!K33+'5'!K33+'6'!K33+'7'!K33+'8'!K33+'9'!K33+'10'!K33+'11'!K33+'12'!K33+'13'!K33+'14'!K33+'15'!K33+'16'!K33</f>
        <v>0</v>
      </c>
      <c r="E26" s="460">
        <f t="shared" ca="1" si="0"/>
        <v>0</v>
      </c>
      <c r="J26" s="30"/>
      <c r="K26" s="30"/>
      <c r="L26" s="30"/>
      <c r="M26" s="30"/>
      <c r="N26" s="30"/>
      <c r="O26" s="30"/>
    </row>
    <row r="27" spans="1:15" s="20" customFormat="1" ht="27" hidden="1" customHeight="1">
      <c r="A27" s="463" t="str">
        <f>+'Taxes RCA 2022'!B27</f>
        <v>Les redevances proportionnelles ou royalties sur les autorisations d'exploitation de carrière et les exploitations des mines (+)</v>
      </c>
      <c r="B27" s="463" t="s">
        <v>81</v>
      </c>
      <c r="C27" s="460">
        <f>+'1'!G34+'2'!G34+'3'!G34+'4'!G34+'5'!G34+'6'!G34+'7'!G34+'8'!G34+'9'!G34+'10'!G34+'11'!G34+'12'!G34+'13'!G34+'14'!G34+'15'!G34+'16'!G34</f>
        <v>0</v>
      </c>
      <c r="D27" s="460">
        <f ca="1">+'1'!K34+'2'!K34+'3'!K34+'4'!K34+'5'!K34+'6'!K34+'7'!K34+'8'!K34+'9'!K34+'10'!K34+'11'!K34+'12'!K34+'13'!K34+'14'!K34+'15'!K34+'16'!K34</f>
        <v>0</v>
      </c>
      <c r="E27" s="460">
        <f t="shared" ca="1" si="0"/>
        <v>0</v>
      </c>
      <c r="H27" s="30"/>
      <c r="I27" s="30"/>
      <c r="J27" s="30"/>
      <c r="K27" s="30"/>
      <c r="L27" s="30"/>
      <c r="M27" s="30"/>
      <c r="N27" s="30"/>
      <c r="O27" s="30"/>
    </row>
    <row r="28" spans="1:15" ht="13.5" hidden="1" customHeight="1">
      <c r="A28" s="459" t="str">
        <f>+'Taxes RCA 2022'!B28</f>
        <v>Impôt sur les revenus des capitaux mobiliers (RCM) (+)</v>
      </c>
      <c r="B28" s="459" t="s">
        <v>81</v>
      </c>
      <c r="C28" s="460">
        <f>+'1'!G35+'2'!G35+'3'!G35+'4'!G35+'5'!G35+'6'!G35+'7'!G35+'8'!G35+'9'!G35+'10'!G35+'11'!G35+'12'!G35+'13'!G35+'14'!G35+'15'!G35+'16'!G35</f>
        <v>0</v>
      </c>
      <c r="D28" s="460">
        <f ca="1">+'1'!K35+'2'!K35+'3'!K35+'4'!K35+'5'!K35+'6'!K35+'7'!K35+'8'!K35+'9'!K35+'10'!K35+'11'!K35+'12'!K35+'13'!K35+'14'!K35+'15'!K35+'16'!K35</f>
        <v>0</v>
      </c>
      <c r="E28" s="460">
        <f t="shared" ca="1" si="0"/>
        <v>0</v>
      </c>
      <c r="J28" s="30"/>
      <c r="K28" s="30"/>
      <c r="L28" s="30"/>
      <c r="M28" s="30"/>
      <c r="N28" s="30"/>
      <c r="O28" s="30"/>
    </row>
    <row r="29" spans="1:15" ht="13.5" hidden="1" customHeight="1">
      <c r="A29" s="461" t="str">
        <f>+'Taxes RCA 2022'!B29</f>
        <v>Taxe de Développement Artisanal (TDA) (+)</v>
      </c>
      <c r="B29" s="461" t="s">
        <v>81</v>
      </c>
      <c r="C29" s="460">
        <f>+'1'!G36+'2'!G36+'3'!G36+'4'!G36+'5'!G36+'6'!G36+'7'!G36+'8'!G36+'9'!G36+'10'!G36+'11'!G36+'12'!G36+'13'!G36+'14'!G36+'15'!G36+'16'!G36</f>
        <v>0</v>
      </c>
      <c r="D29" s="460">
        <f ca="1">+'1'!K36+'2'!K36+'3'!K36+'4'!K36+'5'!K36+'6'!K36+'7'!K36+'8'!K36+'9'!K36+'10'!K36+'11'!K36+'12'!K36+'13'!K36+'14'!K36+'15'!K36+'16'!K36</f>
        <v>0</v>
      </c>
      <c r="E29" s="460">
        <f t="shared" ca="1" si="0"/>
        <v>0</v>
      </c>
      <c r="J29" s="30"/>
      <c r="K29" s="30"/>
      <c r="L29" s="30"/>
      <c r="M29" s="30"/>
      <c r="N29" s="30"/>
      <c r="O29" s="30"/>
    </row>
    <row r="30" spans="1:15" ht="13.5" hidden="1" customHeight="1">
      <c r="A30" s="459" t="str">
        <f>+'Taxes RCA 2022'!B30</f>
        <v>Amendes et pénalités payées à la DGID (+)</v>
      </c>
      <c r="B30" s="459" t="s">
        <v>81</v>
      </c>
      <c r="C30" s="460">
        <f>+'1'!G37+'2'!G37+'3'!G37+'4'!G37+'5'!G37+'6'!G37+'7'!G37+'8'!G37+'9'!G37+'10'!G37+'11'!G37+'12'!G37+'13'!G37+'14'!G37+'15'!G37+'16'!G37</f>
        <v>0</v>
      </c>
      <c r="D30" s="460">
        <f ca="1">+'1'!K37+'2'!K37+'3'!K37+'4'!K37+'5'!K37+'6'!K37+'7'!K37+'8'!K37+'9'!K37+'10'!K37+'11'!K37+'12'!K37+'13'!K37+'14'!K37+'15'!K37+'16'!K37</f>
        <v>0</v>
      </c>
      <c r="E30" s="460">
        <f t="shared" ca="1" si="0"/>
        <v>0</v>
      </c>
      <c r="J30" s="30"/>
      <c r="K30" s="30"/>
      <c r="L30" s="30"/>
      <c r="M30" s="30"/>
      <c r="N30" s="30"/>
      <c r="O30" s="30"/>
    </row>
    <row r="31" spans="1:15" ht="13.5" hidden="1" customHeight="1">
      <c r="A31" s="461" t="str">
        <f>+'Taxes RCA 2022'!B31</f>
        <v>Redevance de déboisement (+)</v>
      </c>
      <c r="B31" s="461" t="s">
        <v>81</v>
      </c>
      <c r="C31" s="460">
        <f>+'1'!G38+'2'!G38+'3'!G38+'4'!G38+'5'!G38+'6'!G38+'7'!G38+'8'!G38+'9'!G38+'10'!G38+'11'!G38+'12'!G38+'13'!G38+'14'!G38+'15'!G38+'16'!G38</f>
        <v>0</v>
      </c>
      <c r="D31" s="460">
        <f ca="1">+'1'!K38+'2'!K38+'3'!K38+'4'!K38+'5'!K38+'6'!K38+'7'!K38+'8'!K38+'9'!K38+'10'!K38+'11'!K38+'12'!K38+'13'!K38+'14'!K38+'15'!K38+'16'!K38</f>
        <v>0</v>
      </c>
      <c r="E31" s="460">
        <f t="shared" ca="1" si="0"/>
        <v>0</v>
      </c>
      <c r="J31" s="30"/>
      <c r="K31" s="30"/>
      <c r="L31" s="30"/>
      <c r="M31" s="30"/>
      <c r="N31" s="30"/>
      <c r="O31" s="30"/>
    </row>
    <row r="32" spans="1:15" ht="13.5" hidden="1" customHeight="1">
      <c r="A32" s="459" t="str">
        <f>+'Taxes RCA 2022'!B32</f>
        <v>Redevance de pré reconnaissance (+)</v>
      </c>
      <c r="B32" s="459" t="s">
        <v>81</v>
      </c>
      <c r="C32" s="460">
        <f>+'1'!G39+'2'!G39+'3'!G39+'4'!G39+'5'!G39+'6'!G39+'7'!G39+'8'!G39+'9'!G39+'10'!G39+'11'!G39+'12'!G39+'13'!G39+'14'!G39+'15'!G39+'16'!G39</f>
        <v>0</v>
      </c>
      <c r="D32" s="460">
        <f ca="1">+'1'!K39+'2'!K39+'3'!K39+'4'!K39+'5'!K39+'6'!K39+'7'!K39+'8'!K39+'9'!K39+'10'!K39+'11'!K39+'12'!K39+'13'!K39+'14'!K39+'15'!K39+'16'!K39</f>
        <v>0</v>
      </c>
      <c r="E32" s="460">
        <f t="shared" ca="1" si="0"/>
        <v>0</v>
      </c>
      <c r="J32" s="30"/>
      <c r="K32" s="30"/>
      <c r="L32" s="30"/>
      <c r="M32" s="30"/>
      <c r="N32" s="30"/>
      <c r="O32" s="30"/>
    </row>
    <row r="33" spans="1:15" ht="27" hidden="1" customHeight="1">
      <c r="A33" s="463" t="str">
        <f>+'Taxes RCA 2022'!B34</f>
        <v>Contribution à la formation professionnelle et à la formation des cadres de l'Administration des Mines (+)</v>
      </c>
      <c r="B33" s="463" t="s">
        <v>81</v>
      </c>
      <c r="C33" s="460">
        <f>+'1'!G41+'2'!G41+'3'!G41+'4'!G41+'5'!G41+'6'!G41+'7'!G41+'8'!G41+'9'!G41+'10'!G41+'11'!G41+'12'!G41+'13'!G41+'14'!G41+'15'!G41+'16'!G41</f>
        <v>0</v>
      </c>
      <c r="D33" s="460">
        <f ca="1">+'1'!K41+'2'!K41+'3'!K41+'4'!K41+'5'!K41+'6'!K41+'7'!K41+'8'!K41+'9'!K41+'10'!K41+'11'!K41+'12'!K41+'13'!K41+'14'!K41+'15'!K41+'16'!K41</f>
        <v>0</v>
      </c>
      <c r="E33" s="460">
        <f t="shared" ca="1" si="0"/>
        <v>0</v>
      </c>
      <c r="J33" s="30"/>
      <c r="K33" s="30"/>
      <c r="L33" s="30"/>
      <c r="M33" s="30"/>
      <c r="N33" s="30"/>
      <c r="O33" s="30"/>
    </row>
    <row r="34" spans="1:15" hidden="1">
      <c r="A34" s="443" t="str">
        <f>+'Taxes RCA 2022'!B35</f>
        <v>Droits d'attributions</v>
      </c>
      <c r="B34" s="455" t="s">
        <v>515</v>
      </c>
      <c r="C34" s="456">
        <f>+'1'!G42+'2'!G42+'3'!G42+'4'!G42+'5'!G42+'6'!G42+'7'!G42+'8'!G42+'9'!G42+'10'!G42+'11'!G42+'12'!G42+'13'!G42+'14'!G42+'15'!G42+'16'!G42</f>
        <v>5600000</v>
      </c>
      <c r="D34" s="456">
        <f ca="1">+'1'!K42+'2'!K42+'3'!K42+'4'!K42+'5'!K42+'6'!K42+'7'!K42+'8'!K42+'9'!K42+'10'!K42+'11'!K42+'12'!K42+'13'!K42+'14'!K42+'15'!K42+'16'!K42</f>
        <v>51000000</v>
      </c>
      <c r="E34" s="456">
        <f t="shared" ca="1" si="0"/>
        <v>-45400000</v>
      </c>
      <c r="J34" s="30"/>
      <c r="K34" s="30"/>
      <c r="L34" s="30"/>
      <c r="M34" s="30"/>
      <c r="N34" s="30"/>
      <c r="O34" s="30"/>
    </row>
    <row r="35" spans="1:15" hidden="1">
      <c r="A35" s="445" t="str">
        <f>+'Taxes RCA 2022'!B36</f>
        <v xml:space="preserve">Redevance superficiaire   </v>
      </c>
      <c r="B35" s="457" t="s">
        <v>515</v>
      </c>
      <c r="C35" s="458">
        <f>+'1'!G43+'2'!G43+'3'!G43+'4'!G43+'5'!G43+'6'!G43+'7'!G43+'8'!G43+'9'!G43+'10'!G43+'11'!G43+'12'!G43+'13'!G43+'14'!G43+'15'!G43+'16'!G43</f>
        <v>16200000</v>
      </c>
      <c r="D35" s="458">
        <f ca="1">+'1'!K43+'2'!K43+'3'!K43+'4'!K43+'5'!K43+'6'!K43+'7'!K43+'8'!K43+'9'!K43+'10'!K43+'11'!K43+'12'!K43+'13'!K43+'14'!K43+'15'!K43+'16'!K43</f>
        <v>52113000</v>
      </c>
      <c r="E35" s="458">
        <f t="shared" ca="1" si="0"/>
        <v>-35913000</v>
      </c>
      <c r="J35" s="30"/>
      <c r="K35" s="30"/>
      <c r="L35" s="30"/>
      <c r="M35" s="30"/>
      <c r="N35" s="30"/>
      <c r="O35" s="30"/>
    </row>
    <row r="36" spans="1:15" hidden="1">
      <c r="A36" s="443" t="str">
        <f>+'Taxes RCA 2022'!B37</f>
        <v>Projet de développement du secteur minier (PDSM)</v>
      </c>
      <c r="B36" s="455" t="s">
        <v>515</v>
      </c>
      <c r="C36" s="456">
        <f>+'1'!G44+'2'!G44+'3'!G44+'4'!G44+'5'!G44+'6'!G44+'7'!G44+'8'!G44+'9'!G44+'10'!G44+'11'!G44+'12'!G44+'13'!G44+'14'!G44+'15'!G44+'16'!G44</f>
        <v>38317831.049999997</v>
      </c>
      <c r="D36" s="456">
        <f ca="1">+'1'!K44+'2'!K44+'3'!K44+'4'!K44+'5'!K44+'6'!K44+'7'!K44+'8'!K44+'9'!K44+'10'!K44+'11'!K44+'12'!K44+'13'!K44+'14'!K44+'15'!K44+'16'!K44</f>
        <v>176968833.87500003</v>
      </c>
      <c r="E36" s="456">
        <f t="shared" ca="1" si="0"/>
        <v>-138651002.82500005</v>
      </c>
      <c r="J36" s="30"/>
      <c r="K36" s="30"/>
      <c r="L36" s="30"/>
      <c r="M36" s="30"/>
      <c r="N36" s="30"/>
      <c r="O36" s="30"/>
    </row>
    <row r="37" spans="1:15" hidden="1">
      <c r="A37" s="445" t="str">
        <f>+'Taxes RCA 2022'!B39</f>
        <v>Taxes superficiaires (+)</v>
      </c>
      <c r="B37" s="457" t="s">
        <v>275</v>
      </c>
      <c r="C37" s="458">
        <f>+'1'!G46+'2'!G46+'3'!G46+'4'!G46+'5'!G46+'6'!G46+'7'!G46+'8'!G46+'9'!G46+'10'!G46+'11'!G46+'12'!G46+'13'!G46+'14'!G46+'15'!G46+'16'!G46</f>
        <v>800000</v>
      </c>
      <c r="D37" s="458">
        <f ca="1">+'1'!K46+'2'!K46+'3'!K46+'4'!K46+'5'!K46+'6'!K46+'7'!K46+'8'!K46+'9'!K46+'10'!K46+'11'!K46+'12'!K46+'13'!K46+'14'!K46+'15'!K46+'16'!K46</f>
        <v>800000</v>
      </c>
      <c r="E37" s="458">
        <f t="shared" ca="1" si="0"/>
        <v>0</v>
      </c>
      <c r="J37" s="30"/>
      <c r="K37" s="30"/>
      <c r="L37" s="30"/>
      <c r="M37" s="30"/>
      <c r="N37" s="30"/>
      <c r="O37" s="30"/>
    </row>
    <row r="38" spans="1:15" ht="13.5" hidden="1" customHeight="1">
      <c r="A38" s="461" t="str">
        <f>+'Taxes RCA 2022'!B41</f>
        <v>Taxe d’abattage  (+)</v>
      </c>
      <c r="B38" s="461" t="s">
        <v>81</v>
      </c>
      <c r="C38" s="460">
        <f>+'1'!G48+'2'!G48+'3'!G48+'4'!G48+'5'!G48+'6'!G48+'7'!G48+'8'!G48+'9'!G48+'10'!G48+'11'!G48+'12'!G48+'13'!G48+'14'!G48+'15'!G48+'16'!G48</f>
        <v>0</v>
      </c>
      <c r="D38" s="460">
        <f ca="1">+'1'!K48+'2'!K48+'3'!K48+'4'!K48+'5'!K48+'6'!K48+'7'!K48+'8'!K48+'9'!K48+'10'!K48+'11'!K48+'12'!K48+'13'!K48+'14'!K48+'15'!K48+'16'!K48</f>
        <v>0</v>
      </c>
      <c r="E38" s="460">
        <f t="shared" ca="1" si="0"/>
        <v>0</v>
      </c>
      <c r="J38" s="30"/>
      <c r="K38" s="30"/>
      <c r="L38" s="30"/>
      <c r="M38" s="30"/>
      <c r="N38" s="30"/>
      <c r="O38" s="30"/>
    </row>
    <row r="39" spans="1:15" ht="13.5" hidden="1" customHeight="1">
      <c r="A39" s="459" t="str">
        <f>+'Taxes RCA 2022'!B42</f>
        <v>Taxe de reboisement (+)</v>
      </c>
      <c r="B39" s="459" t="s">
        <v>81</v>
      </c>
      <c r="C39" s="460">
        <f>+'1'!G49+'2'!G49+'3'!G49+'4'!G49+'5'!G49+'6'!G49+'7'!G49+'8'!G49+'9'!G49+'10'!G49+'11'!G49+'12'!G49+'13'!G49+'14'!G49+'15'!G49+'16'!G49</f>
        <v>0</v>
      </c>
      <c r="D39" s="460">
        <f ca="1">+'1'!K49+'2'!K49+'3'!K49+'4'!K49+'5'!K49+'6'!K49+'7'!K49+'8'!K49+'9'!K49+'10'!K49+'11'!K49+'12'!K49+'13'!K49+'14'!K49+'15'!K49+'16'!K49</f>
        <v>0</v>
      </c>
      <c r="E39" s="460">
        <f t="shared" ca="1" si="0"/>
        <v>0</v>
      </c>
      <c r="J39" s="30"/>
      <c r="K39" s="30"/>
      <c r="L39" s="30"/>
      <c r="M39" s="30"/>
      <c r="N39" s="30"/>
      <c r="O39" s="30"/>
    </row>
    <row r="40" spans="1:15" ht="13.5" hidden="1" customHeight="1">
      <c r="A40" s="461" t="str">
        <f>+'Taxes RCA 2022'!B43</f>
        <v>Droit de sortie (DS)/Taxe Export (+)</v>
      </c>
      <c r="B40" s="461" t="s">
        <v>81</v>
      </c>
      <c r="C40" s="460">
        <f>+'1'!G50+'2'!G50+'3'!G50+'4'!G50+'5'!G50+'6'!G50+'7'!G50+'8'!G50+'9'!G50+'10'!G50+'11'!G50+'12'!G50+'13'!G50+'14'!G50+'15'!G50+'16'!G50</f>
        <v>0</v>
      </c>
      <c r="D40" s="460">
        <f ca="1">+'1'!K50+'2'!K50+'3'!K50+'4'!K50+'5'!K50+'6'!K50+'7'!K50+'8'!K50+'9'!K50+'10'!K50+'11'!K50+'12'!K50+'13'!K50+'14'!K50+'15'!K50+'16'!K50</f>
        <v>0</v>
      </c>
      <c r="E40" s="460">
        <f t="shared" ca="1" si="0"/>
        <v>0</v>
      </c>
      <c r="J40" s="30"/>
      <c r="K40" s="30"/>
      <c r="L40" s="30"/>
      <c r="M40" s="30"/>
      <c r="N40" s="30"/>
      <c r="O40" s="30"/>
    </row>
    <row r="41" spans="1:15" ht="13.5" hidden="1" customHeight="1">
      <c r="A41" s="459" t="str">
        <f>+'Taxes RCA 2022'!B44</f>
        <v>Taxes environnementales sur les Stes forestières et Minières (+)</v>
      </c>
      <c r="B41" s="459" t="s">
        <v>81</v>
      </c>
      <c r="C41" s="460">
        <f>+'1'!G51+'2'!G51+'3'!G51+'4'!G51+'5'!G51+'6'!G51+'7'!G51+'8'!G51+'9'!G51+'10'!G51+'11'!G51+'12'!G51+'13'!G51+'14'!G51+'15'!G51+'16'!G51</f>
        <v>0</v>
      </c>
      <c r="D41" s="460">
        <f ca="1">+'1'!K51+'2'!K51+'3'!K51+'4'!K51+'5'!K51+'6'!K51+'7'!K51+'8'!K51+'9'!K51+'10'!K51+'11'!K51+'12'!K51+'13'!K51+'14'!K51+'15'!K51+'16'!K51</f>
        <v>0</v>
      </c>
      <c r="E41" s="460">
        <f t="shared" ca="1" si="0"/>
        <v>0</v>
      </c>
      <c r="J41" s="30"/>
      <c r="K41" s="30"/>
      <c r="L41" s="30"/>
      <c r="M41" s="30"/>
      <c r="N41" s="30"/>
      <c r="O41" s="30"/>
    </row>
    <row r="42" spans="1:15" ht="13.5" hidden="1" customHeight="1">
      <c r="A42" s="461" t="str">
        <f>+'Taxes RCA 2022'!B46</f>
        <v>Affectation au titre la taxe de reboisement (+)</v>
      </c>
      <c r="B42" s="461" t="s">
        <v>81</v>
      </c>
      <c r="C42" s="460">
        <f>+'1'!G53+'2'!G53+'3'!G53+'4'!G53+'5'!G53+'6'!G53+'7'!G53+'8'!G53+'9'!G53+'10'!G53+'11'!G53+'12'!G53+'13'!G53+'14'!G53+'15'!G53+'16'!G53</f>
        <v>0</v>
      </c>
      <c r="D42" s="460">
        <f ca="1">+'1'!K53+'2'!K53+'3'!K53+'4'!K53+'5'!K53+'6'!K53+'7'!K53+'8'!K53+'9'!K53+'10'!K53+'11'!K53+'12'!K53+'13'!K53+'14'!K53+'15'!K53+'16'!K53</f>
        <v>0</v>
      </c>
      <c r="E42" s="460">
        <f t="shared" ca="1" si="0"/>
        <v>0</v>
      </c>
      <c r="J42" s="30"/>
      <c r="K42" s="30"/>
      <c r="L42" s="30"/>
      <c r="M42" s="30"/>
      <c r="N42" s="30"/>
      <c r="O42" s="30"/>
    </row>
    <row r="43" spans="1:15" ht="13.5" hidden="1" customHeight="1">
      <c r="A43" s="459" t="str">
        <f>+'Taxes RCA 2022'!B47</f>
        <v>Affectation au titre de taxe d’abattage (+)</v>
      </c>
      <c r="B43" s="459" t="s">
        <v>81</v>
      </c>
      <c r="C43" s="460">
        <f>+'1'!G54+'2'!G54+'3'!G54+'4'!G54+'5'!G54+'6'!G54+'7'!G54+'8'!G54+'9'!G54+'10'!G54+'11'!G54+'12'!G54+'13'!G54+'14'!G54+'15'!G54+'16'!G54</f>
        <v>0</v>
      </c>
      <c r="D43" s="460">
        <f ca="1">+'1'!K54+'2'!K54+'3'!K54+'4'!K54+'5'!K54+'6'!K54+'7'!K54+'8'!K54+'9'!K54+'10'!K54+'11'!K54+'12'!K54+'13'!K54+'14'!K54+'15'!K54+'16'!K54</f>
        <v>0</v>
      </c>
      <c r="E43" s="460">
        <f t="shared" ca="1" si="0"/>
        <v>0</v>
      </c>
      <c r="J43" s="30"/>
      <c r="K43" s="30"/>
      <c r="L43" s="30"/>
      <c r="M43" s="30"/>
      <c r="N43" s="30"/>
      <c r="O43" s="30"/>
    </row>
    <row r="44" spans="1:15" ht="13.5" hidden="1" customHeight="1">
      <c r="A44" s="461" t="str">
        <f>+'Taxes RCA 2022'!B49</f>
        <v>Transfert du trésor aux communes</v>
      </c>
      <c r="B44" s="461" t="s">
        <v>81</v>
      </c>
      <c r="C44" s="460">
        <f>+'1'!G56+'2'!G56+'3'!G56+'4'!G56+'5'!G56+'6'!G56+'7'!G56+'8'!G56+'9'!G56+'10'!G56+'11'!G56+'12'!G56+'13'!G56+'14'!G56+'15'!G56+'16'!G56</f>
        <v>0</v>
      </c>
      <c r="D44" s="460">
        <f ca="1">+'1'!K56+'2'!K56+'3'!K56+'4'!K56+'5'!K56+'6'!K56+'7'!K56+'8'!K56+'9'!K56+'10'!K56+'11'!K56+'12'!K56+'13'!K56+'14'!K56+'15'!K56+'16'!K56</f>
        <v>0</v>
      </c>
      <c r="E44" s="460">
        <f t="shared" ca="1" si="0"/>
        <v>0</v>
      </c>
      <c r="J44" s="30"/>
      <c r="K44" s="30"/>
      <c r="L44" s="30"/>
      <c r="M44" s="30"/>
      <c r="N44" s="30"/>
      <c r="O44" s="30"/>
    </row>
    <row r="45" spans="1:15" ht="13.5" hidden="1" customHeight="1">
      <c r="A45" s="459" t="str">
        <f>+'Taxes RCA 2022'!B50</f>
        <v>Transfert infranational au titre de la taxe d'abattage (+)</v>
      </c>
      <c r="B45" s="459" t="s">
        <v>81</v>
      </c>
      <c r="C45" s="460">
        <f>+'1'!G57+'2'!G57+'3'!G57+'4'!G57+'5'!G57+'6'!G57+'7'!G57+'8'!G57+'9'!G57+'10'!G57+'11'!G57+'12'!G57+'13'!G57+'14'!G57+'15'!G57+'16'!G57</f>
        <v>0</v>
      </c>
      <c r="D45" s="460">
        <f ca="1">+'1'!K57+'2'!K57+'3'!K57+'4'!K57+'5'!K57+'6'!K57+'7'!K57+'8'!K57+'9'!K57+'10'!K57+'11'!K57+'12'!K57+'13'!K57+'14'!K57+'15'!K57+'16'!K57</f>
        <v>0</v>
      </c>
      <c r="E45" s="460">
        <f t="shared" ca="1" si="0"/>
        <v>0</v>
      </c>
      <c r="J45" s="30"/>
      <c r="K45" s="30"/>
      <c r="L45" s="30"/>
      <c r="M45" s="30"/>
      <c r="N45" s="30"/>
      <c r="O45" s="30"/>
    </row>
    <row r="46" spans="1:15" ht="13.5" hidden="1" customHeight="1">
      <c r="A46" s="461" t="str">
        <f>+'Taxes RCA 2022'!B51</f>
        <v>Transfert infranational au titre de la taxe reboisement (+)</v>
      </c>
      <c r="B46" s="461" t="s">
        <v>81</v>
      </c>
      <c r="C46" s="460">
        <f>+'1'!G58+'2'!G58+'3'!G58+'4'!G58+'5'!G58+'6'!G58+'7'!G58+'8'!G58+'9'!G58+'10'!G58+'11'!G58+'12'!G58+'13'!G58+'14'!G58+'15'!G58+'16'!G58</f>
        <v>0</v>
      </c>
      <c r="D46" s="460">
        <f ca="1">+'1'!K58+'2'!K58+'3'!K58+'4'!K58+'5'!K58+'6'!K58+'7'!K58+'8'!K58+'9'!K58+'10'!K58+'11'!K58+'12'!K58+'13'!K58+'14'!K58+'15'!K58+'16'!K58</f>
        <v>0</v>
      </c>
      <c r="E46" s="460">
        <f t="shared" ca="1" si="0"/>
        <v>0</v>
      </c>
      <c r="J46" s="30"/>
      <c r="K46" s="30"/>
      <c r="L46" s="30"/>
      <c r="M46" s="30"/>
      <c r="N46" s="30"/>
      <c r="O46" s="30"/>
    </row>
    <row r="47" spans="1:15" ht="13.5" hidden="1" customHeight="1">
      <c r="A47" s="459" t="str">
        <f>+'Taxes RCA 2022'!B52</f>
        <v>Transfert infranational au titre de la taxe environnementale (+)</v>
      </c>
      <c r="B47" s="459" t="s">
        <v>81</v>
      </c>
      <c r="C47" s="460">
        <f>+'1'!G59+'2'!G59+'3'!G59+'4'!G59+'5'!G59+'6'!G59+'7'!G59+'8'!G59+'9'!G59+'10'!G59+'11'!G59+'12'!G59+'13'!G59+'14'!G59+'15'!G59+'16'!G59</f>
        <v>0</v>
      </c>
      <c r="D47" s="460">
        <f ca="1">+'1'!K59+'2'!K59+'3'!K59+'4'!K59+'5'!K59+'6'!K59+'7'!K59+'8'!K59+'9'!K59+'10'!K59+'11'!K59+'12'!K59+'13'!K59+'14'!K59+'15'!K59+'16'!K59</f>
        <v>0</v>
      </c>
      <c r="E47" s="460">
        <f t="shared" ca="1" si="0"/>
        <v>0</v>
      </c>
      <c r="J47" s="30"/>
      <c r="K47" s="30"/>
      <c r="L47" s="30"/>
      <c r="M47" s="30"/>
      <c r="N47" s="30"/>
      <c r="O47" s="30"/>
    </row>
    <row r="48" spans="1:15" ht="13.5" hidden="1" customHeight="1">
      <c r="A48" s="461" t="str">
        <f>+'Taxes RCA 2022'!B53</f>
        <v>Droit de sortie (DS)/Taxe Export (+)</v>
      </c>
      <c r="B48" s="461" t="s">
        <v>81</v>
      </c>
      <c r="C48" s="460">
        <f>+'1'!G60+'2'!G60+'3'!G60+'4'!G60+'5'!G60+'6'!G60+'7'!G60+'8'!G60+'9'!G60+'10'!G60+'11'!G60+'12'!G60+'13'!G60+'14'!G60+'15'!G60+'16'!G60</f>
        <v>0</v>
      </c>
      <c r="D48" s="460">
        <f ca="1">+'1'!K60+'2'!K60+'3'!K60+'4'!K60+'5'!K60+'6'!K60+'7'!K60+'8'!K60+'9'!K60+'10'!K60+'11'!K60+'12'!K60+'13'!K60+'14'!K60+'15'!K60+'16'!K60</f>
        <v>0</v>
      </c>
      <c r="E48" s="460">
        <f t="shared" ca="1" si="0"/>
        <v>0</v>
      </c>
      <c r="J48" s="30"/>
      <c r="K48" s="30"/>
      <c r="L48" s="30"/>
      <c r="M48" s="30"/>
      <c r="N48" s="30"/>
      <c r="O48" s="30"/>
    </row>
    <row r="49" spans="1:15" ht="13.5" hidden="1" customHeight="1">
      <c r="A49" s="459" t="str">
        <f>+'Taxes RCA 2022'!B54</f>
        <v xml:space="preserve">Autres transferts au profit des communes </v>
      </c>
      <c r="B49" s="459" t="s">
        <v>81</v>
      </c>
      <c r="C49" s="460">
        <f>+'1'!G61+'2'!G61+'3'!G61+'4'!G61+'5'!G61+'6'!G61+'7'!G61+'8'!G61+'9'!G61+'10'!G61+'11'!G61+'12'!G61+'13'!G61+'14'!G61+'15'!G61+'16'!G61</f>
        <v>0</v>
      </c>
      <c r="D49" s="460">
        <f ca="1">+'1'!K61+'2'!K61+'3'!K61+'4'!K61+'5'!K61+'6'!K61+'7'!K61+'8'!K61+'9'!K61+'10'!K61+'11'!K61+'12'!K61+'13'!K61+'14'!K61+'15'!K61+'16'!K61</f>
        <v>0</v>
      </c>
      <c r="E49" s="460">
        <f t="shared" ca="1" si="0"/>
        <v>0</v>
      </c>
      <c r="J49" s="30"/>
      <c r="K49" s="30"/>
      <c r="L49" s="30"/>
      <c r="M49" s="30"/>
      <c r="N49" s="30"/>
      <c r="O49" s="30"/>
    </row>
    <row r="50" spans="1:15" ht="13.5" hidden="1" customHeight="1">
      <c r="A50" s="461" t="str">
        <f>+'Taxes RCA 2022'!B56</f>
        <v xml:space="preserve">Fonds du soutien à la Promotion Pétrolière </v>
      </c>
      <c r="B50" s="461" t="s">
        <v>81</v>
      </c>
      <c r="C50" s="460">
        <f>+'1'!G63+'2'!G63+'3'!G63+'4'!G63+'5'!G63+'6'!G63+'7'!G63+'8'!G63+'9'!G63+'10'!G63+'11'!G63+'12'!G63+'13'!G63+'14'!G63+'15'!G63+'16'!G63</f>
        <v>0</v>
      </c>
      <c r="D50" s="460">
        <f ca="1">+'1'!K63+'2'!K63+'3'!K63+'4'!K63+'5'!K63+'6'!K63+'7'!K63+'8'!K63+'9'!K63+'10'!K63+'11'!K63+'12'!K63+'13'!K63+'14'!K63+'15'!K63+'16'!K63</f>
        <v>0</v>
      </c>
      <c r="E50" s="460">
        <f t="shared" ca="1" si="0"/>
        <v>0</v>
      </c>
      <c r="J50" s="30"/>
      <c r="K50" s="30"/>
      <c r="L50" s="30"/>
      <c r="M50" s="30"/>
      <c r="N50" s="30"/>
      <c r="O50" s="30"/>
    </row>
    <row r="51" spans="1:15" ht="13.5" hidden="1" customHeight="1">
      <c r="A51" s="459" t="str">
        <f>+'Taxes RCA 2022'!B57</f>
        <v>Fonds de Soutien aux projets de Développement Communautaire</v>
      </c>
      <c r="B51" s="459" t="s">
        <v>81</v>
      </c>
      <c r="C51" s="460">
        <f>+'1'!G64+'2'!G64+'3'!G64+'4'!G64+'5'!G64+'6'!G64+'7'!G64+'8'!G64+'9'!G64+'10'!G64+'11'!G64+'12'!G64+'13'!G64+'14'!G64+'15'!G64+'16'!G64</f>
        <v>0</v>
      </c>
      <c r="D51" s="460">
        <f ca="1">+'1'!K64+'2'!K64+'3'!K64+'4'!K64+'5'!K64+'6'!K64+'7'!K64+'8'!K64+'9'!K64+'10'!K64+'11'!K64+'12'!K64+'13'!K64+'14'!K64+'15'!K64+'16'!K64</f>
        <v>0</v>
      </c>
      <c r="E51" s="460">
        <f t="shared" ca="1" si="0"/>
        <v>0</v>
      </c>
      <c r="J51" s="30"/>
      <c r="K51" s="30"/>
      <c r="L51" s="30"/>
      <c r="M51" s="30"/>
      <c r="N51" s="30"/>
      <c r="O51" s="30"/>
    </row>
    <row r="52" spans="1:15" hidden="1">
      <c r="A52" s="445" t="str">
        <f>+'Taxes RCA 2022'!B59</f>
        <v>Paiements sociaux obligatoires</v>
      </c>
      <c r="B52" s="457" t="s">
        <v>92</v>
      </c>
      <c r="C52" s="458">
        <f>+'1'!G66+'2'!G66+'3'!G66+'4'!G66+'5'!G66+'6'!G66+'7'!G66+'8'!G66+'9'!G66+'10'!G66+'11'!G66+'12'!G66+'13'!G66+'14'!G66+'15'!G66+'16'!G66</f>
        <v>0</v>
      </c>
      <c r="D52" s="458">
        <f ca="1">+'1'!K66+'2'!K66+'3'!K66+'4'!K66+'5'!K66+'6'!K66+'7'!K66+'8'!K66+'9'!K66+'10'!K66+'11'!K66+'12'!K66+'13'!K66+'14'!K66+'15'!K66+'16'!K66</f>
        <v>0</v>
      </c>
      <c r="E52" s="458">
        <f t="shared" ca="1" si="0"/>
        <v>0</v>
      </c>
      <c r="J52" s="30"/>
      <c r="K52" s="30"/>
      <c r="L52" s="30"/>
      <c r="M52" s="30"/>
      <c r="N52" s="30"/>
      <c r="O52" s="30"/>
    </row>
    <row r="53" spans="1:15" ht="13.5" hidden="1" customHeight="1">
      <c r="A53" s="459" t="str">
        <f>+'Taxes RCA 2022'!B60</f>
        <v>Paiements sociaux volontaires</v>
      </c>
      <c r="B53" s="459"/>
      <c r="C53" s="460">
        <f>+'1'!G67+'2'!G67+'3'!G67+'4'!G67+'5'!G67+'6'!G67+'7'!G67+'8'!G67+'9'!G67+'10'!G67+'11'!G67+'12'!G67+'13'!G67+'14'!G67+'15'!G67+'16'!G67</f>
        <v>0</v>
      </c>
      <c r="D53" s="460">
        <f ca="1">+'1'!K67+'2'!K67+'3'!K67+'4'!K67+'5'!K67+'6'!K67+'7'!K67+'8'!K67+'9'!K67+'10'!K67+'11'!K67+'12'!K67+'13'!K67+'14'!K67+'15'!K67+'16'!K67</f>
        <v>0</v>
      </c>
      <c r="E53" s="460">
        <f t="shared" ca="1" si="0"/>
        <v>0</v>
      </c>
      <c r="J53" s="30"/>
      <c r="K53" s="30"/>
      <c r="L53" s="30"/>
      <c r="M53" s="30"/>
      <c r="N53" s="30"/>
      <c r="O53" s="30"/>
    </row>
    <row r="54" spans="1:15" ht="13.5" hidden="1" customHeight="1">
      <c r="A54" s="461" t="str">
        <f>+'Taxes RCA 2022'!B62</f>
        <v>Taxes sur les appareils à pression de vapeur et de gaz (+)</v>
      </c>
      <c r="B54" s="461"/>
      <c r="C54" s="460">
        <f>+'1'!G69+'2'!G69+'3'!G69+'4'!G69+'5'!G69+'6'!G69+'7'!G69+'8'!G69+'9'!G69+'10'!G69+'11'!G69+'12'!G69+'13'!G69+'14'!G69+'15'!G69+'16'!G69</f>
        <v>0</v>
      </c>
      <c r="D54" s="460">
        <f ca="1">+'1'!K69+'2'!K69+'3'!K69+'4'!K69+'5'!K69+'6'!K69+'7'!K69+'8'!K69+'9'!K69+'10'!K69+'11'!K69+'12'!K69+'13'!K69+'14'!K69+'15'!K69+'16'!K69</f>
        <v>0</v>
      </c>
      <c r="E54" s="460">
        <f t="shared" ca="1" si="0"/>
        <v>0</v>
      </c>
      <c r="J54" s="30"/>
      <c r="K54" s="30"/>
      <c r="L54" s="30"/>
      <c r="M54" s="30"/>
      <c r="N54" s="30"/>
      <c r="O54" s="30"/>
    </row>
    <row r="55" spans="1:15" ht="13.5" hidden="1" customHeight="1">
      <c r="A55" s="459" t="str">
        <f>+'Taxes RCA 2022'!B63</f>
        <v>Taxes à la pollution (+)</v>
      </c>
      <c r="B55" s="459"/>
      <c r="C55" s="460">
        <f>+'1'!G70+'2'!G70+'3'!G70+'4'!G70+'5'!G70+'6'!G70+'7'!G70+'8'!G70+'9'!G70+'10'!G70+'11'!G70+'12'!G70+'13'!G70+'14'!G70+'15'!G70+'16'!G70</f>
        <v>0</v>
      </c>
      <c r="D55" s="460">
        <f ca="1">+'1'!K70+'2'!K70+'3'!K70+'4'!K70+'5'!K70+'6'!K70+'7'!K70+'8'!K70+'9'!K70+'10'!K70+'11'!K70+'12'!K70+'13'!K70+'14'!K70+'15'!K70+'16'!K70</f>
        <v>0</v>
      </c>
      <c r="E55" s="460">
        <f t="shared" ca="1" si="0"/>
        <v>0</v>
      </c>
      <c r="J55" s="30"/>
      <c r="K55" s="30"/>
      <c r="L55" s="30"/>
      <c r="M55" s="30"/>
      <c r="N55" s="30"/>
      <c r="O55" s="30"/>
    </row>
    <row r="56" spans="1:15" ht="27" hidden="1" customHeight="1">
      <c r="A56" s="463" t="str">
        <f>+'Taxes RCA 2022'!B64</f>
        <v>Redevances annuelles résultant des inspections et contrôle des installations classées (+)</v>
      </c>
      <c r="B56" s="463"/>
      <c r="C56" s="460">
        <f>+'1'!G71+'2'!G71+'3'!G71+'4'!G71+'5'!G71+'6'!G71+'7'!G71+'8'!G71+'9'!G71+'10'!G71+'11'!G71+'12'!G71+'13'!G71+'14'!G71+'15'!G71+'16'!G71</f>
        <v>0</v>
      </c>
      <c r="D56" s="460">
        <f ca="1">+'1'!K71+'2'!K71+'3'!K71+'4'!K71+'5'!K71+'6'!K71+'7'!K71+'8'!K71+'9'!K71+'10'!K71+'11'!K71+'12'!K71+'13'!K71+'14'!K71+'15'!K71+'16'!K71</f>
        <v>0</v>
      </c>
      <c r="E56" s="460">
        <f t="shared" ca="1" si="0"/>
        <v>0</v>
      </c>
      <c r="J56" s="30"/>
      <c r="K56" s="30"/>
      <c r="L56" s="30"/>
      <c r="M56" s="30"/>
      <c r="N56" s="30"/>
      <c r="O56" s="30"/>
    </row>
    <row r="57" spans="1:15" ht="13.5" hidden="1" customHeight="1">
      <c r="A57" s="459" t="str">
        <f>+'Taxes RCA 2022'!B65</f>
        <v>Taxes superficiaires encaissées par le FNE (+)</v>
      </c>
      <c r="B57" s="459"/>
      <c r="C57" s="460">
        <f>+'1'!G72+'2'!G72+'3'!G72+'4'!G72+'5'!G72+'6'!G72+'7'!G72+'8'!G72+'9'!G72+'10'!G72+'11'!G72+'12'!G72+'13'!G72+'14'!G72+'15'!G72+'16'!G72</f>
        <v>0</v>
      </c>
      <c r="D57" s="460">
        <f ca="1">+'1'!K72+'2'!K72+'3'!K72+'4'!K72+'5'!K72+'6'!K72+'7'!K72+'8'!K72+'9'!K72+'10'!K72+'11'!K72+'12'!K72+'13'!K72+'14'!K72+'15'!K72+'16'!K72</f>
        <v>0</v>
      </c>
      <c r="E57" s="460">
        <f t="shared" ca="1" si="0"/>
        <v>0</v>
      </c>
      <c r="J57" s="30"/>
      <c r="K57" s="30"/>
      <c r="L57" s="30"/>
      <c r="M57" s="30"/>
      <c r="N57" s="30"/>
      <c r="O57" s="30"/>
    </row>
    <row r="58" spans="1:15" ht="13.5" hidden="1" customHeight="1">
      <c r="A58" s="461" t="str">
        <f>+'Taxes RCA 2022'!B66</f>
        <v>Taxes de remise en état (+)</v>
      </c>
      <c r="B58" s="461"/>
      <c r="C58" s="460">
        <f>+'1'!G73+'2'!G73+'3'!G73+'4'!G73+'5'!G73+'6'!G73+'7'!G73+'8'!G73+'9'!G73+'10'!G73+'11'!G73+'12'!G73+'13'!G73+'14'!G73+'15'!G73+'16'!G73</f>
        <v>0</v>
      </c>
      <c r="D58" s="460">
        <f ca="1">+'1'!K73+'2'!K73+'3'!K73+'4'!K73+'5'!K73+'6'!K73+'7'!K73+'8'!K73+'9'!K73+'10'!K73+'11'!K73+'12'!K73+'13'!K73+'14'!K73+'15'!K73+'16'!K73</f>
        <v>0</v>
      </c>
      <c r="E58" s="460">
        <f t="shared" ca="1" si="0"/>
        <v>0</v>
      </c>
      <c r="J58" s="30"/>
      <c r="K58" s="30"/>
      <c r="L58" s="30"/>
      <c r="M58" s="30"/>
      <c r="N58" s="30"/>
      <c r="O58" s="30"/>
    </row>
    <row r="59" spans="1:15" ht="13.5" hidden="1" customHeight="1">
      <c r="A59" s="459" t="str">
        <f>+'Taxes RCA 2022'!B67</f>
        <v>Taxes environnementales sur les Stes forestières et Minières (+)</v>
      </c>
      <c r="B59" s="459"/>
      <c r="C59" s="460">
        <f>+'1'!G74+'2'!G74+'3'!G74+'4'!G74+'5'!G74+'6'!G74+'7'!G74+'8'!G74+'9'!G74+'10'!G74+'11'!G74+'12'!G74+'13'!G74+'14'!G74+'15'!G74+'16'!G74</f>
        <v>0</v>
      </c>
      <c r="D59" s="460">
        <f ca="1">+'1'!K74+'2'!K74+'3'!K74+'4'!K74+'5'!K74+'6'!K74+'7'!K74+'8'!K74+'9'!K74+'10'!K74+'11'!K74+'12'!K74+'13'!K74+'14'!K74+'15'!K74+'16'!K74</f>
        <v>0</v>
      </c>
      <c r="E59" s="460">
        <f t="shared" ca="1" si="0"/>
        <v>0</v>
      </c>
      <c r="J59" s="30"/>
      <c r="K59" s="30"/>
      <c r="L59" s="30"/>
      <c r="M59" s="30"/>
      <c r="N59" s="30"/>
      <c r="O59" s="30"/>
    </row>
    <row r="60" spans="1:15" ht="13.5" hidden="1" customHeight="1">
      <c r="A60" s="461" t="str">
        <f>+'Taxes RCA 2022'!B68</f>
        <v xml:space="preserve">Amendes environnementales </v>
      </c>
      <c r="B60" s="461"/>
      <c r="C60" s="460">
        <f>+'1'!G75+'2'!G75+'3'!G75+'4'!G75+'5'!G75+'6'!G75+'7'!G75+'8'!G75+'9'!G75+'10'!G75+'11'!G75+'12'!G75+'13'!G75+'14'!G75+'15'!G75+'16'!G75</f>
        <v>0</v>
      </c>
      <c r="D60" s="460">
        <f ca="1">+'1'!K75+'2'!K75+'3'!K75+'4'!K75+'5'!K75+'6'!K75+'7'!K75+'8'!K75+'9'!K75+'10'!K75+'11'!K75+'12'!K75+'13'!K75+'14'!K75+'15'!K75+'16'!K75</f>
        <v>0</v>
      </c>
      <c r="E60" s="460">
        <f t="shared" ref="E60:E62" ca="1" si="1">C60-D60</f>
        <v>0</v>
      </c>
      <c r="J60" s="30"/>
      <c r="K60" s="30"/>
      <c r="L60" s="30"/>
      <c r="M60" s="30"/>
      <c r="N60" s="30"/>
      <c r="O60" s="30"/>
    </row>
    <row r="61" spans="1:15" ht="13.5" hidden="1" customHeight="1">
      <c r="A61" s="459" t="str">
        <f>+'Taxes RCA 2022'!B69</f>
        <v>Dépenses environnementales volontaires (+)</v>
      </c>
      <c r="B61" s="459"/>
      <c r="C61" s="460">
        <f>+'1'!G76+'2'!G76+'3'!G76+'4'!G76+'5'!G76+'6'!G76+'7'!G76+'8'!G76+'9'!G76+'10'!G76+'11'!G76+'12'!G76+'13'!G76+'14'!G76+'15'!G76+'16'!G76</f>
        <v>0</v>
      </c>
      <c r="D61" s="460">
        <f ca="1">+'1'!K76+'2'!K76+'3'!K76+'4'!K76+'5'!K76+'6'!K76+'7'!K76+'8'!K76+'9'!K76+'10'!K76+'11'!K76+'12'!K76+'13'!K76+'14'!K76+'15'!K76+'16'!K76</f>
        <v>0</v>
      </c>
      <c r="E61" s="460">
        <f t="shared" ca="1" si="1"/>
        <v>0</v>
      </c>
      <c r="J61" s="30"/>
      <c r="K61" s="30"/>
      <c r="L61" s="30"/>
      <c r="M61" s="30"/>
      <c r="N61" s="30"/>
      <c r="O61" s="30"/>
    </row>
    <row r="62" spans="1:15" ht="13.5" hidden="1" customHeight="1">
      <c r="A62" s="461" t="str">
        <f>+'Taxes RCA 2022'!B72</f>
        <v>Autres paiements significatifs versés aux entités gouvernementales (&gt;10 millions FCFA)</v>
      </c>
      <c r="B62" s="461"/>
      <c r="C62" s="460">
        <f>+'1'!G79+'2'!G79+'3'!G79+'4'!G79+'5'!G79+'6'!G79+'7'!G79+'8'!G79+'9'!G79+'10'!G79+'11'!G79+'12'!G79+'13'!G79+'14'!G79+'15'!G79+'16'!G79</f>
        <v>0</v>
      </c>
      <c r="D62" s="460">
        <f ca="1">+'1'!K79+'2'!K79+'3'!K79+'4'!K79+'5'!K79+'6'!K79+'7'!K79+'8'!K79+'9'!K79+'10'!K79+'11'!K79+'12'!K79+'13'!K79+'14'!K79+'15'!K79+'16'!K79</f>
        <v>0</v>
      </c>
      <c r="E62" s="460">
        <f t="shared" ca="1" si="1"/>
        <v>0</v>
      </c>
      <c r="J62" s="30"/>
      <c r="K62" s="30"/>
      <c r="L62" s="30"/>
      <c r="M62" s="30"/>
      <c r="N62" s="30"/>
      <c r="O62" s="30"/>
    </row>
    <row r="63" spans="1:15" hidden="1">
      <c r="A63" s="443" t="s">
        <v>828</v>
      </c>
      <c r="B63" s="455" t="s">
        <v>261</v>
      </c>
      <c r="C63" s="456">
        <f>+'1'!G78+'2'!G78+'3'!G78+'4'!G78+'5'!G78+'6'!G78+'7'!G78+'8'!G78+'9'!G78+'10'!G78+'11'!G78+'12'!G78+'13'!G78+'14'!G78+'15'!G78+'16'!G78</f>
        <v>37009993</v>
      </c>
      <c r="D63" s="456">
        <f ca="1">+'1'!K78+'2'!K78+'3'!K78+'4'!K78+'5'!K78+'6'!K78+'7'!K78+'8'!K78+'9'!K78+'10'!K78+'11'!K78+'12'!K78+'13'!K78+'14'!K78+'15'!K78+'16'!K78</f>
        <v>39224744.905000001</v>
      </c>
      <c r="E63" s="456">
        <f ca="1">C63-D63</f>
        <v>-2214751.9050000012</v>
      </c>
      <c r="J63" s="30"/>
      <c r="K63" s="30"/>
      <c r="L63" s="30"/>
      <c r="M63" s="30"/>
      <c r="N63" s="30"/>
      <c r="O63" s="30"/>
    </row>
    <row r="64" spans="1:15" hidden="1">
      <c r="A64" s="508" t="s">
        <v>1</v>
      </c>
      <c r="B64" s="509"/>
      <c r="C64" s="510">
        <f>SUM(C6:C63)</f>
        <v>421286979.22500002</v>
      </c>
      <c r="D64" s="510">
        <f ca="1">SUM(D6:D63)</f>
        <v>1168353081.3425</v>
      </c>
      <c r="E64" s="510">
        <f ca="1">SUM(E6:E63)</f>
        <v>-747066102.11750007</v>
      </c>
      <c r="J64" s="30"/>
      <c r="K64" s="30"/>
      <c r="L64" s="30"/>
      <c r="M64" s="30"/>
      <c r="N64" s="30"/>
      <c r="O64" s="30"/>
    </row>
    <row r="65" spans="1:12" hidden="1"/>
    <row r="66" spans="1:12" s="24" customFormat="1" hidden="1">
      <c r="A66" s="30"/>
      <c r="B66" s="24" t="s">
        <v>236</v>
      </c>
      <c r="C66" s="373">
        <f>+C64/1000000-'Tableau-(51)'!C7</f>
        <v>0</v>
      </c>
      <c r="H66" s="30"/>
      <c r="J66" s="373"/>
    </row>
    <row r="67" spans="1:12" s="24" customFormat="1" hidden="1">
      <c r="A67" s="30"/>
      <c r="B67" s="24" t="s">
        <v>236</v>
      </c>
      <c r="C67" s="374">
        <f ca="1">'Tableau-(51)'!D7-+D64/1000000+'Tableau (1)'!B8-'Tableau (1)'!B17</f>
        <v>0</v>
      </c>
      <c r="H67" s="30"/>
      <c r="J67" s="374"/>
    </row>
    <row r="68" spans="1:12" s="24" customFormat="1" hidden="1">
      <c r="A68" s="30"/>
      <c r="B68" s="202"/>
      <c r="H68" s="30"/>
      <c r="I68" s="202"/>
    </row>
    <row r="69" spans="1:12" s="24" customFormat="1" hidden="1">
      <c r="A69" s="202"/>
      <c r="B69" s="202"/>
      <c r="H69" s="202"/>
      <c r="I69" s="202"/>
    </row>
    <row r="70" spans="1:12" s="24" customFormat="1" ht="15.5" hidden="1">
      <c r="A70" s="609"/>
      <c r="B70" s="202"/>
      <c r="H70" s="609"/>
      <c r="I70" s="202"/>
    </row>
    <row r="71" spans="1:12" s="24" customFormat="1" hidden="1">
      <c r="A71" s="202"/>
      <c r="B71" s="202"/>
      <c r="H71" s="202"/>
      <c r="I71" s="202"/>
    </row>
    <row r="72" spans="1:12" s="24" customFormat="1" ht="13.5" hidden="1" customHeight="1">
      <c r="A72" s="844" t="s">
        <v>258</v>
      </c>
      <c r="B72" s="844" t="s">
        <v>259</v>
      </c>
      <c r="C72" s="844" t="s">
        <v>73</v>
      </c>
      <c r="D72" s="844"/>
      <c r="E72" s="844"/>
      <c r="H72" s="844" t="s">
        <v>258</v>
      </c>
      <c r="I72" s="844" t="s">
        <v>259</v>
      </c>
      <c r="J72" s="844" t="s">
        <v>73</v>
      </c>
      <c r="K72" s="844"/>
      <c r="L72" s="844"/>
    </row>
    <row r="73" spans="1:12" s="24" customFormat="1" ht="12.5" hidden="1" thickBot="1">
      <c r="A73" s="801"/>
      <c r="B73" s="801"/>
      <c r="C73" s="453" t="s">
        <v>71</v>
      </c>
      <c r="D73" s="453" t="s">
        <v>30</v>
      </c>
      <c r="E73" s="454" t="s">
        <v>70</v>
      </c>
      <c r="H73" s="801"/>
      <c r="I73" s="801"/>
      <c r="J73" s="453" t="s">
        <v>71</v>
      </c>
      <c r="K73" s="453" t="s">
        <v>30</v>
      </c>
      <c r="L73" s="454" t="s">
        <v>70</v>
      </c>
    </row>
    <row r="74" spans="1:12" s="24" customFormat="1" ht="12.5" hidden="1" thickTop="1">
      <c r="A74" s="443" t="s">
        <v>165</v>
      </c>
      <c r="B74" s="455" t="s">
        <v>166</v>
      </c>
      <c r="C74" s="456">
        <f>+'1'!G10+'2'!G10+'3'!G10+'4'!G10+'5'!G10+'6'!G10+'7'!G10+'8'!G10+'9'!G10+'10'!G10+'11'!G10+'12'!G10+'13'!G10+'14'!G10+'15'!G10+'16'!G10</f>
        <v>19812835.050000001</v>
      </c>
      <c r="D74" s="456">
        <f>+'1'!K10+'2'!K10+'3'!K10+'4'!K10+'5'!K10+'6'!K10+'7'!K10+'8'!K10+'9'!K10+'10'!K10+'11'!K10+'12'!K10+'13'!K10+'14'!K10+'15'!K10+'16'!K10</f>
        <v>157356461.42250001</v>
      </c>
      <c r="E74" s="456">
        <f>+C74-D74</f>
        <v>-137543626.3725</v>
      </c>
      <c r="H74" s="443" t="s">
        <v>165</v>
      </c>
      <c r="I74" s="455" t="s">
        <v>166</v>
      </c>
      <c r="J74" s="456">
        <f>+'1'!G10+'2'!G10+'3'!G10+'4'!G10+'5'!G10+'6'!G10+'7'!G10+'8'!G10+'9'!G10+'10'!G10+'11'!G10+'12'!G10+'13'!G10+'14'!G10+'15'!G10+'16'!G10</f>
        <v>19812835.050000001</v>
      </c>
      <c r="K74" s="456">
        <f>+'1'!K10+'10'!K10+'12'!K10</f>
        <v>19812834.947500002</v>
      </c>
      <c r="L74" s="456">
        <f>+J74-K74</f>
        <v>0.10249999910593033</v>
      </c>
    </row>
    <row r="75" spans="1:12" s="24" customFormat="1" hidden="1">
      <c r="A75" s="445" t="s">
        <v>167</v>
      </c>
      <c r="B75" s="457" t="s">
        <v>166</v>
      </c>
      <c r="C75" s="458">
        <f>+'1'!G11+'2'!G11+'3'!G11+'4'!G11+'5'!G11+'6'!G11+'7'!G11+'8'!G11+'9'!G11+'10'!G11+'11'!G11+'12'!G11+'13'!G11+'14'!G11+'15'!G11+'16'!G11</f>
        <v>114666435.125</v>
      </c>
      <c r="D75" s="458">
        <f>+'1'!K11+'2'!K11+'3'!K11+'4'!K11+'5'!K11+'6'!K11+'7'!K11+'8'!K11+'9'!K11+'10'!K11+'11'!K11+'12'!K11+'13'!K11+'14'!K11+'15'!K11+'16'!K11</f>
        <v>462034458.13999999</v>
      </c>
      <c r="E75" s="458">
        <f t="shared" ref="E75:E90" si="2">+C75-D75</f>
        <v>-347368023.01499999</v>
      </c>
      <c r="H75" s="445" t="s">
        <v>167</v>
      </c>
      <c r="I75" s="457" t="s">
        <v>166</v>
      </c>
      <c r="J75" s="458">
        <f>+'1'!G11+'2'!G11+'3'!G11+'4'!G11+'5'!G11+'6'!G11+'7'!G11+'8'!G11+'9'!G11+'10'!G11+'11'!G11+'12'!G11+'13'!G11+'14'!G11+'15'!G11+'16'!G11</f>
        <v>114666435.125</v>
      </c>
      <c r="K75" s="458">
        <f>+'1'!K11+'10'!K11+'12'!K11</f>
        <v>114299576.50999999</v>
      </c>
      <c r="L75" s="458">
        <f t="shared" ref="L75:L90" si="3">+J75-K75</f>
        <v>366858.61500000954</v>
      </c>
    </row>
    <row r="76" spans="1:12" s="24" customFormat="1" hidden="1">
      <c r="A76" s="443" t="s">
        <v>172</v>
      </c>
      <c r="B76" s="455" t="s">
        <v>81</v>
      </c>
      <c r="C76" s="456">
        <f>+'1'!G19+'2'!G19+'3'!G19+'4'!G19+'5'!G19+'6'!G19+'7'!G19+'8'!G19+'9'!G19+'10'!G19+'11'!G19+'12'!G19+'13'!G19+'14'!G19+'15'!G19+'16'!G19</f>
        <v>7840948</v>
      </c>
      <c r="D76" s="456">
        <f ca="1">+'1'!K19+'2'!K19+'3'!K19+'4'!K19+'5'!K19+'6'!K19+'7'!K19+'8'!K19+'9'!K19+'10'!K19+'11'!K19+'12'!K19+'13'!K19+'14'!K19+'15'!K19+'16'!K19</f>
        <v>9300413</v>
      </c>
      <c r="E76" s="456">
        <f t="shared" ca="1" si="2"/>
        <v>-1459465</v>
      </c>
      <c r="H76" s="443" t="s">
        <v>172</v>
      </c>
      <c r="I76" s="455" t="s">
        <v>81</v>
      </c>
      <c r="J76" s="456">
        <f>+'1'!G19+'2'!G19+'3'!G19+'4'!G19+'5'!G19+'6'!G19+'7'!G19+'8'!G19+'9'!G19+'10'!G19+'11'!G19+'12'!G19+'13'!G19+'14'!G19+'15'!G19+'16'!G19</f>
        <v>7840948</v>
      </c>
      <c r="K76" s="456">
        <f ca="1">+'1'!K19+'10'!K19+'12'!K19</f>
        <v>7329128</v>
      </c>
      <c r="L76" s="456">
        <f t="shared" ca="1" si="3"/>
        <v>511820</v>
      </c>
    </row>
    <row r="77" spans="1:12" s="24" customFormat="1" hidden="1">
      <c r="A77" s="445" t="s">
        <v>173</v>
      </c>
      <c r="B77" s="457" t="s">
        <v>81</v>
      </c>
      <c r="C77" s="458">
        <f>+'1'!G20+'2'!G20+'3'!G20+'4'!G20+'5'!G20+'6'!G20+'7'!G20+'8'!G20+'9'!G20+'10'!G20+'11'!G20+'12'!G20+'13'!G20+'14'!G20+'15'!G20+'16'!G20</f>
        <v>4896000</v>
      </c>
      <c r="D77" s="458">
        <f ca="1">+'1'!K20+'2'!K20+'3'!K20+'4'!K20+'5'!K20+'6'!K20+'7'!K20+'8'!K20+'9'!K20+'10'!K20+'11'!K20+'12'!K20+'13'!K20+'14'!K20+'15'!K20+'16'!K20</f>
        <v>6076800</v>
      </c>
      <c r="E77" s="458">
        <f t="shared" ca="1" si="2"/>
        <v>-1180800</v>
      </c>
      <c r="H77" s="445" t="s">
        <v>173</v>
      </c>
      <c r="I77" s="457" t="s">
        <v>81</v>
      </c>
      <c r="J77" s="458">
        <f>+'1'!G20+'2'!G20+'3'!G20+'4'!G20+'5'!G20+'6'!G20+'7'!G20+'8'!G20+'9'!G20+'10'!G20+'11'!G20+'12'!G20+'13'!G20+'14'!G20+'15'!G20+'16'!G20</f>
        <v>4896000</v>
      </c>
      <c r="K77" s="458">
        <f ca="1">+'1'!K20+'10'!K20+'12'!K20</f>
        <v>3168000</v>
      </c>
      <c r="L77" s="458">
        <f t="shared" ca="1" si="3"/>
        <v>1728000</v>
      </c>
    </row>
    <row r="78" spans="1:12" s="24" customFormat="1" hidden="1">
      <c r="A78" s="443" t="s">
        <v>174</v>
      </c>
      <c r="B78" s="455" t="s">
        <v>81</v>
      </c>
      <c r="C78" s="456">
        <f>+'1'!G21+'2'!G21+'3'!G21+'4'!G21+'5'!G21+'6'!G21+'7'!G21+'8'!G21+'9'!G21+'10'!G21+'11'!G21+'12'!G21+'13'!G21+'14'!G21+'15'!G21+'16'!G21</f>
        <v>21942844</v>
      </c>
      <c r="D78" s="456">
        <f ca="1">+'1'!K21+'2'!K21+'3'!K21+'4'!K21+'5'!K21+'6'!K21+'7'!K21+'8'!K21+'9'!K21+'10'!K21+'11'!K21+'12'!K21+'13'!K21+'14'!K21+'15'!K21+'16'!K21</f>
        <v>22451003</v>
      </c>
      <c r="E78" s="456">
        <f t="shared" ca="1" si="2"/>
        <v>-508159</v>
      </c>
      <c r="H78" s="443" t="s">
        <v>174</v>
      </c>
      <c r="I78" s="455" t="s">
        <v>81</v>
      </c>
      <c r="J78" s="456">
        <f>+'1'!G21+'2'!G21+'3'!G21+'4'!G21+'5'!G21+'6'!G21+'7'!G21+'8'!G21+'9'!G21+'10'!G21+'11'!G21+'12'!G21+'13'!G21+'14'!G21+'15'!G21+'16'!G21</f>
        <v>21942844</v>
      </c>
      <c r="K78" s="456">
        <f ca="1">+'1'!K21+'10'!K21+'12'!K21</f>
        <v>21997609</v>
      </c>
      <c r="L78" s="456">
        <f t="shared" ca="1" si="3"/>
        <v>-54765</v>
      </c>
    </row>
    <row r="79" spans="1:12" s="24" customFormat="1" hidden="1">
      <c r="A79" s="445" t="s">
        <v>176</v>
      </c>
      <c r="B79" s="457" t="s">
        <v>81</v>
      </c>
      <c r="C79" s="458">
        <f>+'1'!G23+'2'!G23+'3'!G23+'4'!G23+'5'!G23+'6'!G23+'7'!G23+'8'!G23+'9'!G23+'10'!G23+'11'!G23+'12'!G23+'13'!G23+'14'!G23+'15'!G23+'16'!G23</f>
        <v>26400000</v>
      </c>
      <c r="D79" s="458">
        <f ca="1">+'1'!K23+'2'!K23+'3'!K23+'4'!K23+'5'!K23+'6'!K23+'7'!K23+'8'!K23+'9'!K23+'10'!K23+'11'!K23+'12'!K23+'13'!K23+'14'!K23+'15'!K23+'16'!K23</f>
        <v>26400000</v>
      </c>
      <c r="E79" s="458">
        <f t="shared" ca="1" si="2"/>
        <v>0</v>
      </c>
      <c r="H79" s="445" t="s">
        <v>176</v>
      </c>
      <c r="I79" s="457" t="s">
        <v>81</v>
      </c>
      <c r="J79" s="458">
        <f>+'1'!G23+'2'!G23+'3'!G23+'4'!G23+'5'!G23+'6'!G23+'7'!G23+'8'!G23+'9'!G23+'10'!G23+'11'!G23+'12'!G23+'13'!G23+'14'!G23+'15'!G23+'16'!G23</f>
        <v>26400000</v>
      </c>
      <c r="K79" s="458">
        <f ca="1">+'1'!K23+'10'!K23+'12'!K23</f>
        <v>26400000</v>
      </c>
      <c r="L79" s="458">
        <f t="shared" ca="1" si="3"/>
        <v>0</v>
      </c>
    </row>
    <row r="80" spans="1:12" s="24" customFormat="1" hidden="1">
      <c r="A80" s="443" t="s">
        <v>80</v>
      </c>
      <c r="B80" s="455" t="s">
        <v>81</v>
      </c>
      <c r="C80" s="456">
        <f>+'1'!G24+'2'!G24+'3'!G24+'4'!G24+'5'!G24+'6'!G24+'7'!G24+'8'!G24+'9'!G24+'10'!G24+'11'!G24+'12'!G24+'13'!G24+'14'!G24+'15'!G24+'16'!G24</f>
        <v>27581360</v>
      </c>
      <c r="D80" s="456">
        <f ca="1">+'1'!K24+'2'!K24+'3'!K24+'4'!K24+'5'!K24+'6'!K24+'7'!K24+'8'!K24+'9'!K24+'10'!K24+'11'!K24+'12'!K24+'13'!K24+'14'!K24+'15'!K24+'16'!K24</f>
        <v>52554635</v>
      </c>
      <c r="E80" s="456">
        <f t="shared" ca="1" si="2"/>
        <v>-24973275</v>
      </c>
      <c r="H80" s="443" t="s">
        <v>80</v>
      </c>
      <c r="I80" s="455" t="s">
        <v>81</v>
      </c>
      <c r="J80" s="456">
        <f>+'1'!G24+'2'!G24+'3'!G24+'4'!G24+'5'!G24+'6'!G24+'7'!G24+'8'!G24+'9'!G24+'10'!G24+'11'!G24+'12'!G24+'13'!G24+'14'!G24+'15'!G24+'16'!G24</f>
        <v>27581360</v>
      </c>
      <c r="K80" s="456">
        <f ca="1">+'1'!K24+'10'!K24+'12'!K24</f>
        <v>26861360</v>
      </c>
      <c r="L80" s="456">
        <f t="shared" ca="1" si="3"/>
        <v>720000</v>
      </c>
    </row>
    <row r="81" spans="1:13" s="24" customFormat="1" hidden="1">
      <c r="A81" s="445" t="s">
        <v>180</v>
      </c>
      <c r="B81" s="457" t="s">
        <v>81</v>
      </c>
      <c r="C81" s="458">
        <f>+'1'!G28+'2'!G28+'3'!G28+'4'!G28+'5'!G28+'6'!G28+'7'!G28+'8'!G28+'9'!G28+'10'!G28+'11'!G28+'12'!G28+'13'!G28+'14'!G28+'15'!G28+'16'!G28</f>
        <v>4070000</v>
      </c>
      <c r="D81" s="458">
        <f ca="1">+'1'!K28+'2'!K28+'3'!K28+'4'!K28+'5'!K28+'6'!K28+'7'!K28+'8'!K28+'9'!K28+'10'!K28+'11'!K28+'12'!K28+'13'!K28+'14'!K28+'15'!K28+'16'!K28</f>
        <v>4070000</v>
      </c>
      <c r="E81" s="458">
        <f t="shared" ca="1" si="2"/>
        <v>0</v>
      </c>
      <c r="H81" s="445" t="s">
        <v>180</v>
      </c>
      <c r="I81" s="457" t="s">
        <v>81</v>
      </c>
      <c r="J81" s="458">
        <f>+'1'!G28+'2'!G28+'3'!G28+'4'!G28+'5'!G28+'6'!G28+'7'!G28+'8'!G28+'9'!G28+'10'!G28+'11'!G28+'12'!G28+'13'!G28+'14'!G28+'15'!G28+'16'!G28</f>
        <v>4070000</v>
      </c>
      <c r="K81" s="458">
        <f ca="1">+'1'!K28+'10'!K28+'12'!K28</f>
        <v>4070000</v>
      </c>
      <c r="L81" s="458">
        <f t="shared" ca="1" si="3"/>
        <v>0</v>
      </c>
    </row>
    <row r="82" spans="1:13" s="24" customFormat="1" hidden="1">
      <c r="A82" s="443" t="s">
        <v>181</v>
      </c>
      <c r="B82" s="455" t="s">
        <v>81</v>
      </c>
      <c r="C82" s="456">
        <f>+'1'!G29+'2'!G29+'3'!G29+'4'!G29+'5'!G29+'6'!G29+'7'!G29+'8'!G29+'9'!G29+'10'!G29+'11'!G29+'12'!G29+'13'!G29+'14'!G29+'15'!G29+'16'!G29</f>
        <v>92891843</v>
      </c>
      <c r="D82" s="456">
        <f ca="1">+'1'!K29+'2'!K29+'3'!K29+'4'!K29+'5'!K29+'6'!K29+'7'!K29+'8'!K29+'9'!K29+'10'!K29+'11'!K29+'12'!K29+'13'!K29+'14'!K29+'15'!K29+'16'!K29</f>
        <v>100636236</v>
      </c>
      <c r="E82" s="456">
        <f t="shared" ca="1" si="2"/>
        <v>-7744393</v>
      </c>
      <c r="H82" s="443" t="s">
        <v>181</v>
      </c>
      <c r="I82" s="455" t="s">
        <v>81</v>
      </c>
      <c r="J82" s="456">
        <f>+'1'!G29+'2'!G29+'3'!G29+'4'!G29+'5'!G29+'6'!G29+'7'!G29+'8'!G29+'9'!G29+'10'!G29+'11'!G29+'12'!G29+'13'!G29+'14'!G29+'15'!G29+'16'!G29</f>
        <v>92891843</v>
      </c>
      <c r="K82" s="456">
        <f ca="1">+'1'!K29+'10'!K29+'12'!K29</f>
        <v>92891844</v>
      </c>
      <c r="L82" s="456">
        <f t="shared" ca="1" si="3"/>
        <v>-1</v>
      </c>
    </row>
    <row r="83" spans="1:13" s="24" customFormat="1" hidden="1">
      <c r="A83" s="445" t="s">
        <v>182</v>
      </c>
      <c r="B83" s="457" t="s">
        <v>81</v>
      </c>
      <c r="C83" s="458">
        <f>+'1'!G30+'2'!G30+'3'!G30+'4'!G30+'5'!G30+'6'!G30+'7'!G30+'8'!G30+'9'!G30+'10'!G30+'11'!G30+'12'!G30+'13'!G30+'14'!G30+'15'!G30+'16'!G30</f>
        <v>2032890</v>
      </c>
      <c r="D83" s="458">
        <f ca="1">+'1'!K30+'2'!K30+'3'!K30+'4'!K30+'5'!K30+'6'!K30+'7'!K30+'8'!K30+'9'!K30+'10'!K30+'11'!K30+'12'!K30+'13'!K30+'14'!K30+'15'!K30+'16'!K30</f>
        <v>3269736</v>
      </c>
      <c r="E83" s="458">
        <f t="shared" ca="1" si="2"/>
        <v>-1236846</v>
      </c>
      <c r="H83" s="445" t="s">
        <v>182</v>
      </c>
      <c r="I83" s="457" t="s">
        <v>81</v>
      </c>
      <c r="J83" s="458">
        <f>+'1'!G30+'2'!G30+'3'!G30+'4'!G30+'5'!G30+'6'!G30+'7'!G30+'8'!G30+'9'!G30+'10'!G30+'11'!G30+'12'!G30+'13'!G30+'14'!G30+'15'!G30+'16'!G30</f>
        <v>2032890</v>
      </c>
      <c r="K83" s="458">
        <f ca="1">+'1'!K30+'10'!K30+'12'!K30</f>
        <v>3269736</v>
      </c>
      <c r="L83" s="458">
        <f t="shared" ca="1" si="3"/>
        <v>-1236846</v>
      </c>
    </row>
    <row r="84" spans="1:13" s="24" customFormat="1" hidden="1">
      <c r="A84" s="443" t="s">
        <v>183</v>
      </c>
      <c r="B84" s="455" t="s">
        <v>81</v>
      </c>
      <c r="C84" s="456">
        <f>+'1'!G31+'2'!G31+'3'!G31+'4'!G31+'5'!G31+'6'!G31+'7'!G31+'8'!G31+'9'!G31+'10'!G31+'11'!G31+'12'!G31+'13'!G31+'14'!G31+'15'!G31+'16'!G31</f>
        <v>0</v>
      </c>
      <c r="D84" s="456">
        <f ca="1">+'1'!K31+'2'!K31+'3'!K31+'4'!K31+'5'!K31+'6'!K31+'7'!K31+'8'!K31+'9'!K31+'10'!K31+'11'!K31+'12'!K31+'13'!K31+'14'!K31+'15'!K31+'16'!K31</f>
        <v>2073560</v>
      </c>
      <c r="E84" s="456">
        <f t="shared" ca="1" si="2"/>
        <v>-2073560</v>
      </c>
      <c r="H84" s="443" t="s">
        <v>183</v>
      </c>
      <c r="I84" s="455" t="s">
        <v>81</v>
      </c>
      <c r="J84" s="456">
        <f>+'1'!G31+'2'!G31+'3'!G31+'4'!G31+'5'!G31+'6'!G31+'7'!G31+'8'!G31+'9'!G31+'10'!G31+'11'!G31+'12'!G31+'13'!G31+'14'!G31+'15'!G31+'16'!G31</f>
        <v>0</v>
      </c>
      <c r="K84" s="456">
        <f ca="1">+'1'!K31+'10'!K31+'12'!K31</f>
        <v>0</v>
      </c>
      <c r="L84" s="456">
        <f t="shared" ca="1" si="3"/>
        <v>0</v>
      </c>
    </row>
    <row r="85" spans="1:13" s="24" customFormat="1" hidden="1">
      <c r="A85" s="445" t="s">
        <v>184</v>
      </c>
      <c r="B85" s="457" t="s">
        <v>81</v>
      </c>
      <c r="C85" s="458">
        <f>+'1'!G32+'2'!G32+'3'!G32+'4'!G32+'5'!G32+'6'!G32+'7'!G32+'8'!G32+'9'!G32+'10'!G32+'11'!G32+'12'!G32+'13'!G32+'14'!G32+'15'!G32+'16'!G32</f>
        <v>1224000</v>
      </c>
      <c r="D85" s="458">
        <f ca="1">+'1'!K32+'2'!K32+'3'!K32+'4'!K32+'5'!K32+'6'!K32+'7'!K32+'8'!K32+'9'!K32+'10'!K32+'11'!K32+'12'!K32+'13'!K32+'14'!K32+'15'!K32+'16'!K32</f>
        <v>2023200</v>
      </c>
      <c r="E85" s="458">
        <f t="shared" ca="1" si="2"/>
        <v>-799200</v>
      </c>
      <c r="H85" s="445" t="s">
        <v>184</v>
      </c>
      <c r="I85" s="457" t="s">
        <v>81</v>
      </c>
      <c r="J85" s="458">
        <f>+'1'!G32+'2'!G32+'3'!G32+'4'!G32+'5'!G32+'6'!G32+'7'!G32+'8'!G32+'9'!G32+'10'!G32+'11'!G32+'12'!G32+'13'!G32+'14'!G32+'15'!G32+'16'!G32</f>
        <v>1224000</v>
      </c>
      <c r="K85" s="458">
        <f ca="1">+'1'!K32+'10'!K32+'12'!K32</f>
        <v>1224000</v>
      </c>
      <c r="L85" s="458">
        <f t="shared" ca="1" si="3"/>
        <v>0</v>
      </c>
    </row>
    <row r="86" spans="1:13" s="24" customFormat="1" hidden="1">
      <c r="A86" s="443" t="s">
        <v>194</v>
      </c>
      <c r="B86" s="455" t="s">
        <v>515</v>
      </c>
      <c r="C86" s="456">
        <f>+'1'!G42+'2'!G42+'3'!G42+'4'!G42+'5'!G42+'6'!G42+'7'!G42+'8'!G42+'9'!G42+'10'!G42+'11'!G42+'12'!G42+'13'!G42+'14'!G42+'15'!G42+'16'!G42</f>
        <v>5600000</v>
      </c>
      <c r="D86" s="456">
        <f ca="1">+'1'!K42+'2'!K42+'3'!K42+'4'!K42+'5'!K42+'6'!K42+'7'!K42+'8'!K42+'9'!K42+'10'!K42+'11'!K42+'12'!K42+'13'!K42+'14'!K42+'15'!K42+'16'!K42</f>
        <v>51000000</v>
      </c>
      <c r="E86" s="456">
        <f t="shared" ca="1" si="2"/>
        <v>-45400000</v>
      </c>
      <c r="H86" s="443" t="s">
        <v>194</v>
      </c>
      <c r="I86" s="455" t="s">
        <v>515</v>
      </c>
      <c r="J86" s="456">
        <f>+'1'!G42+'2'!G42+'3'!G42+'4'!G42+'5'!G42+'6'!G42+'7'!G42+'8'!G42+'9'!G42+'10'!G42+'11'!G42+'12'!G42+'13'!G42+'14'!G42+'15'!G42+'16'!G42</f>
        <v>5600000</v>
      </c>
      <c r="K86" s="456">
        <f ca="1">+'1'!K42+'10'!K42+'12'!K42</f>
        <v>3000000</v>
      </c>
      <c r="L86" s="456">
        <f t="shared" ca="1" si="3"/>
        <v>2600000</v>
      </c>
    </row>
    <row r="87" spans="1:13" s="24" customFormat="1" hidden="1">
      <c r="A87" s="445" t="s">
        <v>196</v>
      </c>
      <c r="B87" s="457" t="s">
        <v>515</v>
      </c>
      <c r="C87" s="458">
        <f>+'1'!G43+'2'!G43+'3'!G43+'4'!G43+'5'!G43+'6'!G43+'7'!G43+'8'!G43+'9'!G43+'10'!G43+'11'!G43+'12'!G43+'13'!G43+'14'!G43+'15'!G43+'16'!G43</f>
        <v>16200000</v>
      </c>
      <c r="D87" s="458">
        <f ca="1">+'1'!K43+'2'!K43+'3'!K43+'4'!K43+'5'!K43+'6'!K43+'7'!K43+'8'!K43+'9'!K43+'10'!K43+'11'!K43+'12'!K43+'13'!K43+'14'!K43+'15'!K43+'16'!K43</f>
        <v>52113000</v>
      </c>
      <c r="E87" s="458">
        <f t="shared" ca="1" si="2"/>
        <v>-35913000</v>
      </c>
      <c r="H87" s="445" t="s">
        <v>196</v>
      </c>
      <c r="I87" s="457" t="s">
        <v>515</v>
      </c>
      <c r="J87" s="458">
        <f>+'1'!G43+'2'!G43+'3'!G43+'4'!G43+'5'!G43+'6'!G43+'7'!G43+'8'!G43+'9'!G43+'10'!G43+'11'!G43+'12'!G43+'13'!G43+'14'!G43+'15'!G43+'16'!G43</f>
        <v>16200000</v>
      </c>
      <c r="K87" s="458">
        <f ca="1">+'1'!K43+'10'!K43+'12'!K43</f>
        <v>0</v>
      </c>
      <c r="L87" s="458">
        <f t="shared" ca="1" si="3"/>
        <v>16200000</v>
      </c>
    </row>
    <row r="88" spans="1:13" s="24" customFormat="1" hidden="1">
      <c r="A88" s="443" t="s">
        <v>197</v>
      </c>
      <c r="B88" s="455" t="s">
        <v>515</v>
      </c>
      <c r="C88" s="456">
        <f>+'1'!G44+'2'!G44+'3'!G44+'4'!G44+'5'!G44+'6'!G44+'7'!G44+'8'!G44+'9'!G44+'10'!G44+'11'!G44+'12'!G44+'13'!G44+'14'!G44+'15'!G44+'16'!G44</f>
        <v>38317831.049999997</v>
      </c>
      <c r="D88" s="456">
        <f ca="1">+'1'!K44+'2'!K44+'3'!K44+'4'!K44+'5'!K44+'6'!K44+'7'!K44+'8'!K44+'9'!K44+'10'!K44+'11'!K44+'12'!K44+'13'!K44+'14'!K44+'15'!K44+'16'!K44</f>
        <v>176968833.87500003</v>
      </c>
      <c r="E88" s="456">
        <f t="shared" ca="1" si="2"/>
        <v>-138651002.82500005</v>
      </c>
      <c r="H88" s="443" t="s">
        <v>197</v>
      </c>
      <c r="I88" s="455" t="s">
        <v>515</v>
      </c>
      <c r="J88" s="456">
        <f>+'1'!G44+'2'!G44+'3'!G44+'4'!G44+'5'!G44+'6'!G44+'7'!G44+'8'!G44+'9'!G44+'10'!G44+'11'!G44+'12'!G44+'13'!G44+'14'!G44+'15'!G44+'16'!G44</f>
        <v>38317831.049999997</v>
      </c>
      <c r="K88" s="456">
        <f ca="1">+'1'!K44+'10'!K44+'12'!K44</f>
        <v>38317831.844999999</v>
      </c>
      <c r="L88" s="456">
        <f t="shared" ca="1" si="3"/>
        <v>-0.79500000178813934</v>
      </c>
    </row>
    <row r="89" spans="1:13" s="24" customFormat="1" hidden="1">
      <c r="A89" s="445" t="s">
        <v>200</v>
      </c>
      <c r="B89" s="457" t="s">
        <v>275</v>
      </c>
      <c r="C89" s="458">
        <f>+'1'!G46+'2'!G46+'3'!G46+'4'!G46+'5'!G46+'6'!G46+'7'!G46+'8'!G46+'9'!G46+'10'!G46+'11'!G46+'12'!G46+'13'!G46+'14'!G46+'15'!G46+'16'!G46</f>
        <v>800000</v>
      </c>
      <c r="D89" s="458">
        <f ca="1">+'1'!K46+'2'!K46+'3'!K46+'4'!K46+'5'!K46+'6'!K46+'7'!K46+'8'!K46+'9'!K46+'10'!K46+'11'!K46+'12'!K46+'13'!K46+'14'!K46+'15'!K46+'16'!K46</f>
        <v>800000</v>
      </c>
      <c r="E89" s="458">
        <f t="shared" ca="1" si="2"/>
        <v>0</v>
      </c>
      <c r="H89" s="445" t="s">
        <v>200</v>
      </c>
      <c r="I89" s="457" t="s">
        <v>275</v>
      </c>
      <c r="J89" s="458">
        <f>+'1'!G46+'2'!G46+'3'!G46+'4'!G46+'5'!G46+'6'!G46+'7'!G46+'8'!G46+'9'!G46+'10'!G46+'11'!G46+'12'!G46+'13'!G46+'14'!G46+'15'!G46+'16'!G46</f>
        <v>800000</v>
      </c>
      <c r="K89" s="458">
        <f ca="1">+'1'!K46+'10'!K46+'12'!K46</f>
        <v>800000</v>
      </c>
      <c r="L89" s="458">
        <f t="shared" ca="1" si="3"/>
        <v>0</v>
      </c>
    </row>
    <row r="90" spans="1:13" s="24" customFormat="1" hidden="1">
      <c r="A90" s="443" t="s">
        <v>195</v>
      </c>
      <c r="B90" s="455" t="s">
        <v>261</v>
      </c>
      <c r="C90" s="456">
        <f>+'1'!G78+'2'!G78+'3'!G78+'4'!G78+'5'!G78+'6'!G78+'7'!G78+'8'!G78+'9'!G78+'10'!G78+'11'!G78+'12'!G78+'13'!G78+'14'!G78+'15'!G78+'16'!G78</f>
        <v>37009993</v>
      </c>
      <c r="D90" s="456">
        <f ca="1">+'1'!K78+'2'!K78+'3'!K78+'4'!K78+'5'!K78+'6'!K78+'7'!K78+'8'!K78+'9'!K78+'10'!K78+'11'!K78+'12'!K78+'13'!K78+'14'!K78+'15'!K78+'16'!K78</f>
        <v>39224744.905000001</v>
      </c>
      <c r="E90" s="456">
        <f t="shared" ca="1" si="2"/>
        <v>-2214751.9050000012</v>
      </c>
      <c r="H90" s="443" t="s">
        <v>195</v>
      </c>
      <c r="I90" s="455" t="s">
        <v>261</v>
      </c>
      <c r="J90" s="456">
        <f>+'1'!G78+'2'!G78+'3'!G78+'4'!G78+'5'!G78+'6'!G78+'7'!G78+'8'!G78+'9'!G78+'10'!G78+'11'!G78+'12'!G78+'13'!G78+'14'!G78+'15'!G78+'16'!G78</f>
        <v>37009993</v>
      </c>
      <c r="K90" s="456">
        <f ca="1">+'1'!K78+'10'!K78+'12'!K78</f>
        <v>37009993.795000002</v>
      </c>
      <c r="L90" s="456">
        <f t="shared" ca="1" si="3"/>
        <v>-0.79500000178813934</v>
      </c>
    </row>
    <row r="91" spans="1:13" s="24" customFormat="1" hidden="1">
      <c r="A91" s="508" t="s">
        <v>1</v>
      </c>
      <c r="B91" s="509"/>
      <c r="C91" s="510">
        <f>SUM(C74:C90)</f>
        <v>421286979.22500002</v>
      </c>
      <c r="D91" s="510">
        <f ca="1">SUM(D74:D90)</f>
        <v>1168353081.3425</v>
      </c>
      <c r="E91" s="510">
        <f ca="1">SUM(E74:E90)</f>
        <v>-747066102.11750007</v>
      </c>
      <c r="H91" s="508" t="s">
        <v>1</v>
      </c>
      <c r="I91" s="509"/>
      <c r="J91" s="510">
        <f>SUM(J74:J90)</f>
        <v>421286979.22500002</v>
      </c>
      <c r="K91" s="510">
        <f ca="1">SUM(K74:K90)</f>
        <v>400451914.09750003</v>
      </c>
      <c r="L91" s="510">
        <f ca="1">SUM(L74:L90)</f>
        <v>20835065.127500005</v>
      </c>
    </row>
    <row r="92" spans="1:13" s="24" customFormat="1" hidden="1">
      <c r="A92" s="202"/>
      <c r="B92" s="24" t="s">
        <v>236</v>
      </c>
      <c r="C92" s="374">
        <f>+C91-C64</f>
        <v>0</v>
      </c>
      <c r="D92" s="374">
        <f ca="1">+D91-D64</f>
        <v>0</v>
      </c>
      <c r="E92" s="374">
        <f ca="1">+E91-E64</f>
        <v>0</v>
      </c>
      <c r="H92" s="202"/>
      <c r="J92" s="374"/>
      <c r="K92" s="374"/>
      <c r="L92" s="374"/>
    </row>
    <row r="93" spans="1:13" s="24" customFormat="1">
      <c r="A93" s="202"/>
      <c r="B93" s="202"/>
      <c r="H93" s="202"/>
      <c r="I93" s="202"/>
    </row>
    <row r="94" spans="1:13" s="24" customFormat="1" ht="15.5">
      <c r="A94" s="609" t="s">
        <v>844</v>
      </c>
      <c r="B94" s="202"/>
      <c r="H94" s="609"/>
      <c r="I94" s="202"/>
    </row>
    <row r="95" spans="1:13" s="24" customFormat="1">
      <c r="A95" s="202"/>
      <c r="B95" s="202"/>
      <c r="H95" s="202"/>
      <c r="I95" s="202"/>
    </row>
    <row r="96" spans="1:13" s="24" customFormat="1" ht="13.5" customHeight="1">
      <c r="A96" s="844" t="s">
        <v>258</v>
      </c>
      <c r="B96" s="844" t="s">
        <v>259</v>
      </c>
      <c r="C96" s="844" t="s">
        <v>73</v>
      </c>
      <c r="D96" s="844"/>
      <c r="E96" s="844"/>
      <c r="H96" s="202"/>
      <c r="I96" s="202"/>
      <c r="J96" s="202"/>
      <c r="K96" s="202"/>
      <c r="L96" s="202"/>
      <c r="M96" s="202"/>
    </row>
    <row r="97" spans="1:13" s="24" customFormat="1" ht="12.5" thickBot="1">
      <c r="A97" s="801"/>
      <c r="B97" s="801"/>
      <c r="C97" s="453" t="s">
        <v>71</v>
      </c>
      <c r="D97" s="453" t="s">
        <v>30</v>
      </c>
      <c r="E97" s="454" t="s">
        <v>70</v>
      </c>
      <c r="H97" s="202"/>
      <c r="I97" s="202"/>
      <c r="J97" s="202"/>
      <c r="K97" s="202"/>
      <c r="L97" s="202"/>
      <c r="M97" s="202"/>
    </row>
    <row r="98" spans="1:13" s="24" customFormat="1" ht="12.5" thickTop="1">
      <c r="A98" s="443" t="str">
        <f t="shared" ref="A98:A114" si="4">+H74</f>
        <v>Redevance équipement, informatique et finances (REIF)</v>
      </c>
      <c r="B98" s="455" t="s">
        <v>166</v>
      </c>
      <c r="C98" s="456">
        <f t="shared" ref="C98:C114" si="5">+J74</f>
        <v>19812835.050000001</v>
      </c>
      <c r="D98" s="456">
        <f t="shared" ref="D98:E98" si="6">+K74</f>
        <v>19812834.947500002</v>
      </c>
      <c r="E98" s="456">
        <f t="shared" si="6"/>
        <v>0.10249999910593033</v>
      </c>
      <c r="H98" s="202"/>
      <c r="I98" s="202"/>
      <c r="J98" s="202"/>
      <c r="K98" s="202"/>
      <c r="L98" s="202"/>
      <c r="M98" s="202"/>
    </row>
    <row r="99" spans="1:13" s="24" customFormat="1">
      <c r="A99" s="445" t="str">
        <f t="shared" si="4"/>
        <v>Droit de sortie (DS)</v>
      </c>
      <c r="B99" s="457" t="s">
        <v>515</v>
      </c>
      <c r="C99" s="458">
        <f t="shared" si="5"/>
        <v>114666435.125</v>
      </c>
      <c r="D99" s="458">
        <f t="shared" ref="D99:D114" si="7">+K75</f>
        <v>114299576.50999999</v>
      </c>
      <c r="E99" s="458">
        <f t="shared" ref="E99:E114" si="8">+L75</f>
        <v>366858.61500000954</v>
      </c>
      <c r="H99" s="202"/>
      <c r="I99" s="202"/>
      <c r="J99" s="202"/>
      <c r="K99" s="202"/>
      <c r="L99" s="202"/>
      <c r="M99" s="202"/>
    </row>
    <row r="100" spans="1:13" s="24" customFormat="1">
      <c r="A100" s="443" t="str">
        <f t="shared" si="4"/>
        <v>Contribution au développement social (CDS)</v>
      </c>
      <c r="B100" s="455" t="s">
        <v>166</v>
      </c>
      <c r="C100" s="456">
        <f t="shared" si="5"/>
        <v>7840948</v>
      </c>
      <c r="D100" s="456">
        <f t="shared" ca="1" si="7"/>
        <v>7329128</v>
      </c>
      <c r="E100" s="456">
        <f t="shared" ca="1" si="8"/>
        <v>511820</v>
      </c>
      <c r="H100" s="202"/>
      <c r="I100" s="202"/>
      <c r="J100" s="202"/>
      <c r="K100" s="202"/>
      <c r="L100" s="202"/>
      <c r="M100" s="202"/>
    </row>
    <row r="101" spans="1:13" s="24" customFormat="1">
      <c r="A101" s="445" t="str">
        <f t="shared" si="4"/>
        <v>Droit d'enregistrement (DE)</v>
      </c>
      <c r="B101" s="457" t="s">
        <v>81</v>
      </c>
      <c r="C101" s="458">
        <f t="shared" si="5"/>
        <v>4896000</v>
      </c>
      <c r="D101" s="458">
        <f t="shared" ca="1" si="7"/>
        <v>3168000</v>
      </c>
      <c r="E101" s="458">
        <f t="shared" ca="1" si="8"/>
        <v>1728000</v>
      </c>
      <c r="H101" s="202"/>
      <c r="I101" s="202"/>
      <c r="J101" s="202"/>
      <c r="K101" s="202"/>
      <c r="L101" s="202"/>
      <c r="M101" s="202"/>
    </row>
    <row r="102" spans="1:13" s="24" customFormat="1">
      <c r="A102" s="443" t="str">
        <f t="shared" si="4"/>
        <v>Impôt sur les revenus des personnes physiques (IRPP)</v>
      </c>
      <c r="B102" s="455" t="s">
        <v>81</v>
      </c>
      <c r="C102" s="456">
        <f t="shared" si="5"/>
        <v>21942844</v>
      </c>
      <c r="D102" s="456">
        <f t="shared" ca="1" si="7"/>
        <v>21997609</v>
      </c>
      <c r="E102" s="456">
        <f t="shared" ca="1" si="8"/>
        <v>-54765</v>
      </c>
      <c r="H102" s="202"/>
      <c r="I102" s="202"/>
      <c r="J102" s="202"/>
      <c r="K102" s="202"/>
      <c r="L102" s="202"/>
      <c r="M102" s="202"/>
    </row>
    <row r="103" spans="1:13" s="24" customFormat="1">
      <c r="A103" s="445" t="str">
        <f t="shared" si="4"/>
        <v>Loyer annuel</v>
      </c>
      <c r="B103" s="457" t="s">
        <v>261</v>
      </c>
      <c r="C103" s="458">
        <f t="shared" si="5"/>
        <v>26400000</v>
      </c>
      <c r="D103" s="458">
        <f t="shared" ca="1" si="7"/>
        <v>26400000</v>
      </c>
      <c r="E103" s="458">
        <f t="shared" ca="1" si="8"/>
        <v>0</v>
      </c>
      <c r="H103" s="202"/>
      <c r="I103" s="202"/>
      <c r="J103" s="202"/>
      <c r="K103" s="202"/>
      <c r="L103" s="202"/>
      <c r="M103" s="202"/>
    </row>
    <row r="104" spans="1:13" s="24" customFormat="1">
      <c r="A104" s="443" t="str">
        <f t="shared" si="4"/>
        <v>Patente</v>
      </c>
      <c r="B104" s="455" t="s">
        <v>81</v>
      </c>
      <c r="C104" s="456">
        <f t="shared" si="5"/>
        <v>27581360</v>
      </c>
      <c r="D104" s="456">
        <f t="shared" ca="1" si="7"/>
        <v>26861360</v>
      </c>
      <c r="E104" s="456">
        <f t="shared" ca="1" si="8"/>
        <v>720000</v>
      </c>
      <c r="H104" s="202"/>
      <c r="I104" s="202"/>
      <c r="J104" s="202"/>
      <c r="K104" s="202"/>
      <c r="L104" s="202"/>
      <c r="M104" s="202"/>
    </row>
    <row r="105" spans="1:13" s="24" customFormat="1">
      <c r="A105" s="445" t="str">
        <f t="shared" si="4"/>
        <v>Minimum impôt sur les sociétés (MIS)</v>
      </c>
      <c r="B105" s="457" t="s">
        <v>81</v>
      </c>
      <c r="C105" s="458">
        <f t="shared" si="5"/>
        <v>4070000</v>
      </c>
      <c r="D105" s="458">
        <f t="shared" ca="1" si="7"/>
        <v>4070000</v>
      </c>
      <c r="E105" s="458">
        <f t="shared" ca="1" si="8"/>
        <v>0</v>
      </c>
      <c r="H105" s="202"/>
      <c r="I105" s="202"/>
      <c r="J105" s="202"/>
      <c r="K105" s="202"/>
      <c r="L105" s="202"/>
      <c r="M105" s="202"/>
    </row>
    <row r="106" spans="1:13" s="24" customFormat="1">
      <c r="A106" s="443" t="str">
        <f t="shared" si="4"/>
        <v xml:space="preserve">Impôt minimum forfaitaire (IMF) </v>
      </c>
      <c r="B106" s="455" t="s">
        <v>81</v>
      </c>
      <c r="C106" s="456">
        <f t="shared" si="5"/>
        <v>92891843</v>
      </c>
      <c r="D106" s="456">
        <f t="shared" ca="1" si="7"/>
        <v>92891844</v>
      </c>
      <c r="E106" s="456">
        <f t="shared" ca="1" si="8"/>
        <v>-1</v>
      </c>
      <c r="H106" s="202"/>
      <c r="I106" s="202"/>
      <c r="J106" s="202"/>
      <c r="K106" s="202"/>
      <c r="L106" s="202"/>
      <c r="M106" s="202"/>
    </row>
    <row r="107" spans="1:13" s="24" customFormat="1">
      <c r="A107" s="445" t="str">
        <f t="shared" si="4"/>
        <v>Précompte</v>
      </c>
      <c r="B107" s="457" t="s">
        <v>81</v>
      </c>
      <c r="C107" s="458">
        <f t="shared" si="5"/>
        <v>2032890</v>
      </c>
      <c r="D107" s="458">
        <f t="shared" ca="1" si="7"/>
        <v>3269736</v>
      </c>
      <c r="E107" s="458">
        <f t="shared" ca="1" si="8"/>
        <v>-1236846</v>
      </c>
      <c r="H107" s="202"/>
      <c r="I107" s="202"/>
      <c r="J107" s="202"/>
      <c r="K107" s="202"/>
      <c r="L107" s="202"/>
      <c r="M107" s="202"/>
    </row>
    <row r="108" spans="1:13" s="24" customFormat="1">
      <c r="A108" s="443" t="str">
        <f t="shared" si="4"/>
        <v>Taxe sur la valeur ajoutée (TVA)</v>
      </c>
      <c r="B108" s="455" t="s">
        <v>81</v>
      </c>
      <c r="C108" s="456">
        <f t="shared" si="5"/>
        <v>0</v>
      </c>
      <c r="D108" s="456">
        <f t="shared" ca="1" si="7"/>
        <v>0</v>
      </c>
      <c r="E108" s="456">
        <f t="shared" ca="1" si="8"/>
        <v>0</v>
      </c>
      <c r="H108" s="202"/>
      <c r="I108" s="202"/>
      <c r="J108" s="202"/>
      <c r="K108" s="202"/>
      <c r="L108" s="202"/>
      <c r="M108" s="202"/>
    </row>
    <row r="109" spans="1:13" s="24" customFormat="1">
      <c r="A109" s="445" t="str">
        <f t="shared" si="4"/>
        <v>Impôt sur les revenus des loyers (IRL)</v>
      </c>
      <c r="B109" s="457" t="s">
        <v>81</v>
      </c>
      <c r="C109" s="458">
        <f t="shared" si="5"/>
        <v>1224000</v>
      </c>
      <c r="D109" s="458">
        <f t="shared" ca="1" si="7"/>
        <v>1224000</v>
      </c>
      <c r="E109" s="458">
        <f t="shared" ca="1" si="8"/>
        <v>0</v>
      </c>
      <c r="H109" s="202"/>
      <c r="I109" s="202"/>
      <c r="J109" s="202"/>
      <c r="K109" s="202"/>
      <c r="L109" s="202"/>
      <c r="M109" s="202"/>
    </row>
    <row r="110" spans="1:13" s="24" customFormat="1">
      <c r="A110" s="443" t="str">
        <f t="shared" si="4"/>
        <v>Droits d'attributions</v>
      </c>
      <c r="B110" s="455" t="s">
        <v>81</v>
      </c>
      <c r="C110" s="456">
        <f t="shared" si="5"/>
        <v>5600000</v>
      </c>
      <c r="D110" s="456">
        <f t="shared" ca="1" si="7"/>
        <v>3000000</v>
      </c>
      <c r="E110" s="456">
        <f t="shared" ca="1" si="8"/>
        <v>2600000</v>
      </c>
      <c r="H110" s="202"/>
      <c r="I110" s="202"/>
      <c r="J110" s="202"/>
      <c r="K110" s="202"/>
      <c r="L110" s="202"/>
      <c r="M110" s="202"/>
    </row>
    <row r="111" spans="1:13" s="24" customFormat="1">
      <c r="A111" s="445" t="str">
        <f t="shared" si="4"/>
        <v xml:space="preserve">Redevance superficiaire   </v>
      </c>
      <c r="B111" s="457" t="s">
        <v>81</v>
      </c>
      <c r="C111" s="458">
        <f t="shared" si="5"/>
        <v>16200000</v>
      </c>
      <c r="D111" s="458">
        <f t="shared" ca="1" si="7"/>
        <v>0</v>
      </c>
      <c r="E111" s="458">
        <f t="shared" ca="1" si="8"/>
        <v>16200000</v>
      </c>
      <c r="H111" s="202"/>
      <c r="I111" s="202"/>
      <c r="J111" s="202"/>
      <c r="K111" s="202"/>
      <c r="L111" s="202"/>
      <c r="M111" s="202"/>
    </row>
    <row r="112" spans="1:13" s="24" customFormat="1">
      <c r="A112" s="443" t="str">
        <f t="shared" si="4"/>
        <v>Projet de développement du secteur minier (PDSM)</v>
      </c>
      <c r="B112" s="455" t="s">
        <v>275</v>
      </c>
      <c r="C112" s="456">
        <f t="shared" si="5"/>
        <v>38317831.049999997</v>
      </c>
      <c r="D112" s="456">
        <f t="shared" ca="1" si="7"/>
        <v>38317831.844999999</v>
      </c>
      <c r="E112" s="456">
        <f t="shared" ca="1" si="8"/>
        <v>-0.79500000178813934</v>
      </c>
      <c r="H112" s="202"/>
      <c r="I112" s="202"/>
      <c r="J112" s="202"/>
      <c r="K112" s="202"/>
      <c r="L112" s="202"/>
      <c r="M112" s="202"/>
    </row>
    <row r="113" spans="1:13" s="24" customFormat="1">
      <c r="A113" s="445" t="str">
        <f t="shared" si="4"/>
        <v>Taxes superficiaires (+)</v>
      </c>
      <c r="B113" s="457" t="s">
        <v>515</v>
      </c>
      <c r="C113" s="458">
        <f t="shared" si="5"/>
        <v>800000</v>
      </c>
      <c r="D113" s="458">
        <f t="shared" ca="1" si="7"/>
        <v>800000</v>
      </c>
      <c r="E113" s="458">
        <f t="shared" ca="1" si="8"/>
        <v>0</v>
      </c>
      <c r="H113" s="202"/>
      <c r="I113" s="202"/>
      <c r="J113" s="202"/>
      <c r="K113" s="202"/>
      <c r="L113" s="202"/>
      <c r="M113" s="202"/>
    </row>
    <row r="114" spans="1:13" s="24" customFormat="1">
      <c r="A114" s="443" t="str">
        <f t="shared" si="4"/>
        <v xml:space="preserve">Secrétariat permanent du processus de Kimberley (SPPK)  </v>
      </c>
      <c r="B114" s="455" t="s">
        <v>515</v>
      </c>
      <c r="C114" s="456">
        <f t="shared" si="5"/>
        <v>37009993</v>
      </c>
      <c r="D114" s="456">
        <f t="shared" ca="1" si="7"/>
        <v>37009993.795000002</v>
      </c>
      <c r="E114" s="456">
        <f t="shared" ca="1" si="8"/>
        <v>-0.79500000178813934</v>
      </c>
      <c r="H114" s="202"/>
      <c r="I114" s="202"/>
      <c r="J114" s="202"/>
      <c r="K114" s="202"/>
      <c r="L114" s="202"/>
      <c r="M114" s="202"/>
    </row>
    <row r="115" spans="1:13" s="24" customFormat="1">
      <c r="A115" s="508" t="s">
        <v>1</v>
      </c>
      <c r="B115" s="509"/>
      <c r="C115" s="510">
        <f>SUM(C98:C114)</f>
        <v>421286979.22500002</v>
      </c>
      <c r="D115" s="510">
        <f t="shared" ref="D115:E115" ca="1" si="9">SUM(D98:D114)</f>
        <v>400451914.09750003</v>
      </c>
      <c r="E115" s="510">
        <f t="shared" ca="1" si="9"/>
        <v>20835065.127500005</v>
      </c>
      <c r="H115" s="202"/>
      <c r="I115" s="202"/>
      <c r="J115" s="202"/>
      <c r="K115" s="202"/>
      <c r="L115" s="202"/>
      <c r="M115" s="202"/>
    </row>
    <row r="116" spans="1:13" s="24" customFormat="1">
      <c r="A116" s="202"/>
      <c r="B116" s="202"/>
      <c r="H116" s="202"/>
      <c r="I116" s="202"/>
    </row>
    <row r="117" spans="1:13" s="24" customFormat="1">
      <c r="A117" s="202"/>
      <c r="C117" s="374"/>
      <c r="D117" s="374"/>
      <c r="E117" s="374"/>
      <c r="H117" s="202"/>
      <c r="I117" s="202"/>
    </row>
    <row r="118" spans="1:13" s="24" customFormat="1">
      <c r="A118" s="202"/>
      <c r="B118" s="202"/>
      <c r="H118" s="202"/>
      <c r="I118" s="202"/>
    </row>
    <row r="119" spans="1:13" s="24" customFormat="1">
      <c r="A119" s="202"/>
      <c r="B119" s="202"/>
      <c r="H119" s="202"/>
      <c r="I119" s="202"/>
    </row>
    <row r="120" spans="1:13" s="24" customFormat="1">
      <c r="A120" s="202"/>
      <c r="B120" s="202"/>
      <c r="H120" s="202"/>
      <c r="I120" s="202"/>
    </row>
    <row r="121" spans="1:13" s="24" customFormat="1">
      <c r="A121" s="202"/>
      <c r="B121" s="202"/>
      <c r="H121" s="202"/>
      <c r="I121" s="202"/>
    </row>
    <row r="122" spans="1:13" s="24" customFormat="1">
      <c r="A122" s="202"/>
      <c r="B122" s="202"/>
      <c r="H122" s="202"/>
      <c r="I122" s="202"/>
    </row>
    <row r="123" spans="1:13" s="24" customFormat="1">
      <c r="A123" s="202"/>
      <c r="B123" s="202"/>
      <c r="H123" s="202"/>
      <c r="I123" s="202"/>
    </row>
    <row r="124" spans="1:13" s="24" customFormat="1">
      <c r="A124" s="202"/>
      <c r="B124" s="202"/>
      <c r="H124" s="202"/>
      <c r="I124" s="202"/>
    </row>
    <row r="125" spans="1:13" s="24" customFormat="1">
      <c r="A125" s="202"/>
      <c r="B125" s="202"/>
      <c r="H125" s="202"/>
      <c r="I125" s="202"/>
    </row>
    <row r="126" spans="1:13" s="24" customFormat="1">
      <c r="A126" s="202"/>
      <c r="B126" s="202"/>
      <c r="H126" s="202"/>
      <c r="I126" s="202"/>
    </row>
    <row r="127" spans="1:13" s="24" customFormat="1">
      <c r="A127" s="202"/>
      <c r="B127" s="202"/>
      <c r="H127" s="202"/>
      <c r="I127" s="202"/>
    </row>
    <row r="128" spans="1:13" s="24" customFormat="1">
      <c r="A128" s="202"/>
      <c r="B128" s="202"/>
      <c r="H128" s="202"/>
      <c r="I128" s="202"/>
    </row>
    <row r="129" spans="1:9" s="24" customFormat="1">
      <c r="A129" s="202"/>
      <c r="B129" s="202"/>
      <c r="H129" s="202"/>
      <c r="I129" s="202"/>
    </row>
    <row r="130" spans="1:9" s="24" customFormat="1">
      <c r="A130" s="202"/>
      <c r="B130" s="202"/>
      <c r="H130" s="202"/>
      <c r="I130" s="202"/>
    </row>
    <row r="131" spans="1:9" s="24" customFormat="1">
      <c r="A131" s="202"/>
      <c r="B131" s="202"/>
      <c r="H131" s="202"/>
      <c r="I131" s="202"/>
    </row>
    <row r="132" spans="1:9" s="24" customFormat="1">
      <c r="A132" s="202"/>
      <c r="B132" s="202"/>
      <c r="H132" s="202"/>
      <c r="I132" s="202"/>
    </row>
    <row r="133" spans="1:9" s="24" customFormat="1">
      <c r="A133" s="202"/>
      <c r="B133" s="202"/>
      <c r="H133" s="202"/>
      <c r="I133" s="202"/>
    </row>
    <row r="134" spans="1:9" s="24" customFormat="1">
      <c r="A134" s="202"/>
      <c r="B134" s="202"/>
      <c r="H134" s="202"/>
      <c r="I134" s="202"/>
    </row>
    <row r="135" spans="1:9" s="24" customFormat="1">
      <c r="A135" s="202"/>
      <c r="B135" s="202"/>
      <c r="H135" s="202"/>
      <c r="I135" s="202"/>
    </row>
    <row r="136" spans="1:9" s="24" customFormat="1">
      <c r="A136" s="202"/>
      <c r="B136" s="202"/>
      <c r="H136" s="202"/>
      <c r="I136" s="202"/>
    </row>
    <row r="137" spans="1:9" s="24" customFormat="1">
      <c r="A137" s="202"/>
      <c r="B137" s="202"/>
      <c r="H137" s="202"/>
      <c r="I137" s="202"/>
    </row>
    <row r="138" spans="1:9" s="24" customFormat="1">
      <c r="A138" s="202"/>
      <c r="B138" s="202"/>
      <c r="H138" s="202"/>
      <c r="I138" s="202"/>
    </row>
    <row r="139" spans="1:9" s="24" customFormat="1">
      <c r="A139" s="202"/>
      <c r="B139" s="202"/>
      <c r="H139" s="202"/>
      <c r="I139" s="202"/>
    </row>
    <row r="140" spans="1:9" s="24" customFormat="1">
      <c r="A140" s="202"/>
      <c r="B140" s="202"/>
      <c r="H140" s="202"/>
      <c r="I140" s="202"/>
    </row>
    <row r="141" spans="1:9" s="24" customFormat="1">
      <c r="A141" s="202"/>
      <c r="B141" s="202"/>
      <c r="H141" s="202"/>
      <c r="I141" s="202"/>
    </row>
    <row r="142" spans="1:9" s="24" customFormat="1">
      <c r="A142" s="202"/>
      <c r="B142" s="202"/>
      <c r="H142" s="202"/>
      <c r="I142" s="202"/>
    </row>
    <row r="143" spans="1:9" s="24" customFormat="1">
      <c r="A143" s="202"/>
      <c r="B143" s="202"/>
      <c r="H143" s="202"/>
      <c r="I143" s="202"/>
    </row>
    <row r="144" spans="1:9" s="24" customFormat="1">
      <c r="A144" s="202"/>
      <c r="B144" s="202"/>
      <c r="H144" s="202"/>
      <c r="I144" s="202"/>
    </row>
    <row r="145" spans="1:9" s="24" customFormat="1">
      <c r="A145" s="202"/>
      <c r="B145" s="202"/>
      <c r="H145" s="202"/>
      <c r="I145" s="202"/>
    </row>
    <row r="146" spans="1:9" s="24" customFormat="1">
      <c r="A146" s="202"/>
      <c r="B146" s="202"/>
      <c r="H146" s="202"/>
      <c r="I146" s="202"/>
    </row>
    <row r="147" spans="1:9" s="24" customFormat="1">
      <c r="A147" s="202"/>
      <c r="B147" s="202"/>
      <c r="H147" s="202"/>
      <c r="I147" s="202"/>
    </row>
    <row r="148" spans="1:9">
      <c r="A148" s="202"/>
      <c r="B148" s="202"/>
      <c r="H148" s="202"/>
      <c r="I148" s="202"/>
    </row>
    <row r="149" spans="1:9">
      <c r="A149" s="202"/>
      <c r="B149" s="202"/>
      <c r="H149" s="202"/>
      <c r="I149" s="202"/>
    </row>
    <row r="150" spans="1:9">
      <c r="A150" s="202"/>
      <c r="B150" s="202"/>
      <c r="H150" s="202"/>
      <c r="I150" s="202"/>
    </row>
    <row r="151" spans="1:9">
      <c r="A151" s="202"/>
      <c r="B151" s="202"/>
      <c r="H151" s="202"/>
      <c r="I151" s="202"/>
    </row>
    <row r="152" spans="1:9">
      <c r="A152" s="202"/>
      <c r="B152" s="202"/>
      <c r="H152" s="202"/>
      <c r="I152" s="202"/>
    </row>
    <row r="153" spans="1:9">
      <c r="A153" s="202"/>
      <c r="B153" s="202"/>
      <c r="H153" s="202"/>
      <c r="I153" s="202"/>
    </row>
    <row r="154" spans="1:9">
      <c r="A154" s="202"/>
      <c r="B154" s="202"/>
      <c r="H154" s="202"/>
      <c r="I154" s="202"/>
    </row>
    <row r="155" spans="1:9">
      <c r="A155" s="202"/>
      <c r="B155" s="202"/>
      <c r="H155" s="202"/>
      <c r="I155" s="202"/>
    </row>
    <row r="156" spans="1:9">
      <c r="A156" s="202"/>
      <c r="B156" s="202"/>
      <c r="H156" s="202"/>
      <c r="I156" s="202"/>
    </row>
    <row r="157" spans="1:9">
      <c r="A157" s="202"/>
      <c r="B157" s="202"/>
      <c r="H157" s="202"/>
      <c r="I157" s="202"/>
    </row>
    <row r="158" spans="1:9">
      <c r="A158" s="202"/>
      <c r="B158" s="202"/>
      <c r="H158" s="202"/>
      <c r="I158" s="202"/>
    </row>
    <row r="159" spans="1:9">
      <c r="A159" s="202"/>
      <c r="B159" s="202"/>
      <c r="H159" s="202"/>
      <c r="I159" s="202"/>
    </row>
    <row r="160" spans="1:9">
      <c r="A160" s="202"/>
      <c r="B160" s="202"/>
      <c r="H160" s="202"/>
      <c r="I160" s="202"/>
    </row>
    <row r="161" spans="1:9">
      <c r="A161" s="202"/>
      <c r="B161" s="202"/>
      <c r="H161" s="202"/>
      <c r="I161" s="202"/>
    </row>
    <row r="162" spans="1:9">
      <c r="A162" s="202"/>
      <c r="B162" s="202"/>
      <c r="H162" s="202"/>
      <c r="I162" s="202"/>
    </row>
    <row r="163" spans="1:9">
      <c r="A163" s="202"/>
      <c r="B163" s="202"/>
      <c r="H163" s="202"/>
      <c r="I163" s="202"/>
    </row>
    <row r="164" spans="1:9">
      <c r="A164" s="202"/>
      <c r="B164" s="202"/>
      <c r="H164" s="202"/>
      <c r="I164" s="202"/>
    </row>
    <row r="165" spans="1:9">
      <c r="A165" s="202"/>
      <c r="B165" s="202"/>
      <c r="H165" s="202"/>
      <c r="I165" s="202"/>
    </row>
    <row r="166" spans="1:9">
      <c r="A166" s="202"/>
      <c r="B166" s="202"/>
      <c r="H166" s="202"/>
      <c r="I166" s="202"/>
    </row>
    <row r="167" spans="1:9">
      <c r="A167" s="202"/>
      <c r="B167" s="202"/>
      <c r="H167" s="202"/>
      <c r="I167" s="202"/>
    </row>
    <row r="168" spans="1:9">
      <c r="A168" s="202"/>
      <c r="B168" s="202"/>
      <c r="H168" s="202"/>
      <c r="I168" s="202"/>
    </row>
    <row r="169" spans="1:9">
      <c r="A169" s="202"/>
      <c r="B169" s="202"/>
      <c r="H169" s="202"/>
      <c r="I169" s="202"/>
    </row>
    <row r="170" spans="1:9">
      <c r="A170" s="202"/>
      <c r="B170" s="202"/>
      <c r="H170" s="202"/>
      <c r="I170" s="202"/>
    </row>
    <row r="171" spans="1:9">
      <c r="A171" s="202"/>
      <c r="B171" s="202"/>
      <c r="H171" s="202"/>
      <c r="I171" s="202"/>
    </row>
    <row r="172" spans="1:9">
      <c r="A172" s="202"/>
      <c r="B172" s="202"/>
      <c r="H172" s="202"/>
      <c r="I172" s="202"/>
    </row>
    <row r="173" spans="1:9">
      <c r="A173" s="202"/>
      <c r="B173" s="202"/>
      <c r="H173" s="202"/>
      <c r="I173" s="202"/>
    </row>
    <row r="174" spans="1:9">
      <c r="A174" s="202"/>
      <c r="B174" s="202"/>
      <c r="H174" s="202"/>
      <c r="I174" s="202"/>
    </row>
    <row r="175" spans="1:9">
      <c r="A175" s="202"/>
      <c r="B175" s="202"/>
      <c r="H175" s="202"/>
      <c r="I175" s="202"/>
    </row>
    <row r="176" spans="1:9">
      <c r="A176" s="202"/>
      <c r="B176" s="202"/>
      <c r="H176" s="202"/>
      <c r="I176" s="202"/>
    </row>
    <row r="177" spans="1:9">
      <c r="A177" s="202"/>
      <c r="B177" s="202"/>
      <c r="H177" s="202"/>
      <c r="I177" s="202"/>
    </row>
    <row r="178" spans="1:9">
      <c r="A178" s="202"/>
      <c r="B178" s="202"/>
      <c r="H178" s="202"/>
      <c r="I178" s="202"/>
    </row>
    <row r="179" spans="1:9">
      <c r="A179" s="202"/>
      <c r="B179" s="202"/>
      <c r="H179" s="202"/>
      <c r="I179" s="202"/>
    </row>
    <row r="180" spans="1:9">
      <c r="A180" s="202"/>
      <c r="B180" s="202"/>
      <c r="H180" s="202"/>
      <c r="I180" s="202"/>
    </row>
    <row r="181" spans="1:9">
      <c r="A181" s="202"/>
      <c r="B181" s="202"/>
      <c r="H181" s="202"/>
      <c r="I181" s="202"/>
    </row>
    <row r="182" spans="1:9">
      <c r="A182" s="202"/>
      <c r="B182" s="202"/>
      <c r="H182" s="202"/>
      <c r="I182" s="202"/>
    </row>
    <row r="183" spans="1:9">
      <c r="A183" s="202"/>
      <c r="B183" s="202"/>
      <c r="H183" s="202"/>
      <c r="I183" s="202"/>
    </row>
    <row r="184" spans="1:9">
      <c r="A184" s="202"/>
      <c r="B184" s="202"/>
      <c r="H184" s="202"/>
      <c r="I184" s="202"/>
    </row>
    <row r="185" spans="1:9">
      <c r="A185" s="202"/>
      <c r="B185" s="202"/>
      <c r="H185" s="202"/>
      <c r="I185" s="202"/>
    </row>
    <row r="186" spans="1:9">
      <c r="A186" s="202"/>
      <c r="B186" s="202"/>
      <c r="H186" s="202"/>
      <c r="I186" s="202"/>
    </row>
    <row r="187" spans="1:9">
      <c r="A187" s="202"/>
      <c r="B187" s="202"/>
      <c r="H187" s="202"/>
      <c r="I187" s="202"/>
    </row>
    <row r="188" spans="1:9">
      <c r="A188" s="202"/>
      <c r="B188" s="202"/>
      <c r="H188" s="202"/>
      <c r="I188" s="202"/>
    </row>
    <row r="189" spans="1:9">
      <c r="A189" s="202"/>
      <c r="B189" s="202"/>
      <c r="H189" s="202"/>
      <c r="I189" s="202"/>
    </row>
    <row r="190" spans="1:9">
      <c r="A190" s="202"/>
      <c r="B190" s="202"/>
      <c r="H190" s="202"/>
      <c r="I190" s="202"/>
    </row>
    <row r="191" spans="1:9">
      <c r="A191" s="202"/>
      <c r="B191" s="202"/>
      <c r="H191" s="202"/>
      <c r="I191" s="202"/>
    </row>
    <row r="192" spans="1:9">
      <c r="A192" s="202"/>
      <c r="B192" s="202"/>
      <c r="H192" s="202"/>
      <c r="I192" s="202"/>
    </row>
    <row r="193" spans="1:9">
      <c r="A193" s="202"/>
      <c r="B193" s="202"/>
      <c r="H193" s="202"/>
      <c r="I193" s="202"/>
    </row>
    <row r="194" spans="1:9">
      <c r="A194" s="202"/>
      <c r="B194" s="202"/>
      <c r="H194" s="202"/>
      <c r="I194" s="202"/>
    </row>
    <row r="195" spans="1:9">
      <c r="A195" s="202"/>
      <c r="B195" s="202"/>
      <c r="H195" s="202"/>
      <c r="I195" s="202"/>
    </row>
    <row r="196" spans="1:9">
      <c r="A196" s="202"/>
      <c r="B196" s="202"/>
      <c r="H196" s="202"/>
      <c r="I196" s="202"/>
    </row>
    <row r="197" spans="1:9">
      <c r="A197" s="202"/>
      <c r="B197" s="202"/>
      <c r="H197" s="202"/>
      <c r="I197" s="202"/>
    </row>
    <row r="198" spans="1:9">
      <c r="A198" s="202"/>
      <c r="B198" s="202"/>
      <c r="H198" s="202"/>
      <c r="I198" s="202"/>
    </row>
    <row r="199" spans="1:9">
      <c r="A199" s="202"/>
      <c r="B199" s="202"/>
      <c r="H199" s="202"/>
      <c r="I199" s="202"/>
    </row>
    <row r="200" spans="1:9">
      <c r="A200" s="202"/>
      <c r="B200" s="202"/>
      <c r="H200" s="202"/>
      <c r="I200" s="202"/>
    </row>
    <row r="201" spans="1:9">
      <c r="A201" s="202"/>
      <c r="B201" s="202"/>
      <c r="H201" s="202"/>
      <c r="I201" s="202"/>
    </row>
    <row r="202" spans="1:9">
      <c r="A202" s="202"/>
      <c r="B202" s="202"/>
      <c r="H202" s="202"/>
      <c r="I202" s="202"/>
    </row>
    <row r="203" spans="1:9">
      <c r="A203" s="202"/>
      <c r="B203" s="202"/>
      <c r="H203" s="202"/>
      <c r="I203" s="202"/>
    </row>
    <row r="204" spans="1:9">
      <c r="A204" s="202"/>
      <c r="B204" s="202"/>
      <c r="H204" s="202"/>
      <c r="I204" s="202"/>
    </row>
    <row r="205" spans="1:9">
      <c r="A205" s="202"/>
      <c r="B205" s="202"/>
      <c r="H205" s="202"/>
      <c r="I205" s="202"/>
    </row>
    <row r="206" spans="1:9">
      <c r="A206" s="202"/>
      <c r="B206" s="202"/>
      <c r="H206" s="202"/>
      <c r="I206" s="202"/>
    </row>
    <row r="207" spans="1:9">
      <c r="A207" s="202"/>
      <c r="B207" s="202"/>
      <c r="H207" s="202"/>
      <c r="I207" s="202"/>
    </row>
    <row r="208" spans="1:9">
      <c r="A208" s="202"/>
      <c r="B208" s="202"/>
      <c r="H208" s="202"/>
      <c r="I208" s="202"/>
    </row>
    <row r="209" spans="1:9">
      <c r="A209" s="202"/>
      <c r="B209" s="202"/>
      <c r="H209" s="202"/>
      <c r="I209" s="202"/>
    </row>
    <row r="210" spans="1:9">
      <c r="A210" s="202"/>
      <c r="B210" s="202"/>
      <c r="H210" s="202"/>
      <c r="I210" s="202"/>
    </row>
    <row r="211" spans="1:9">
      <c r="A211" s="202"/>
      <c r="B211" s="202"/>
      <c r="H211" s="202"/>
      <c r="I211" s="202"/>
    </row>
    <row r="212" spans="1:9">
      <c r="A212" s="202"/>
      <c r="B212" s="202"/>
      <c r="H212" s="202"/>
      <c r="I212" s="202"/>
    </row>
    <row r="213" spans="1:9">
      <c r="A213" s="202"/>
      <c r="B213" s="202"/>
      <c r="H213" s="202"/>
      <c r="I213" s="202"/>
    </row>
    <row r="214" spans="1:9">
      <c r="A214" s="202"/>
      <c r="B214" s="202"/>
      <c r="H214" s="202"/>
      <c r="I214" s="202"/>
    </row>
    <row r="215" spans="1:9">
      <c r="A215" s="202"/>
      <c r="B215" s="202"/>
      <c r="H215" s="202"/>
      <c r="I215" s="202"/>
    </row>
    <row r="216" spans="1:9">
      <c r="A216" s="202"/>
      <c r="B216" s="202"/>
      <c r="H216" s="202"/>
      <c r="I216" s="202"/>
    </row>
    <row r="217" spans="1:9">
      <c r="A217" s="202"/>
      <c r="B217" s="202"/>
      <c r="H217" s="202"/>
      <c r="I217" s="202"/>
    </row>
    <row r="218" spans="1:9">
      <c r="A218" s="202"/>
      <c r="B218" s="202"/>
      <c r="H218" s="202"/>
      <c r="I218" s="202"/>
    </row>
    <row r="219" spans="1:9">
      <c r="A219" s="202"/>
      <c r="B219" s="202"/>
      <c r="H219" s="202"/>
      <c r="I219" s="202"/>
    </row>
    <row r="220" spans="1:9">
      <c r="A220" s="202"/>
      <c r="B220" s="202"/>
      <c r="H220" s="202"/>
      <c r="I220" s="202"/>
    </row>
    <row r="221" spans="1:9">
      <c r="A221" s="202"/>
      <c r="B221" s="202"/>
      <c r="H221" s="202"/>
      <c r="I221" s="202"/>
    </row>
    <row r="222" spans="1:9">
      <c r="A222" s="202"/>
      <c r="B222" s="202"/>
      <c r="H222" s="202"/>
      <c r="I222" s="202"/>
    </row>
    <row r="223" spans="1:9">
      <c r="A223" s="202"/>
      <c r="B223" s="202"/>
      <c r="H223" s="202"/>
      <c r="I223" s="202"/>
    </row>
    <row r="224" spans="1:9">
      <c r="A224" s="202"/>
      <c r="B224" s="202"/>
      <c r="H224" s="202"/>
      <c r="I224" s="202"/>
    </row>
    <row r="225" spans="1:9">
      <c r="A225" s="202"/>
      <c r="B225" s="202"/>
      <c r="H225" s="202"/>
      <c r="I225" s="202"/>
    </row>
    <row r="226" spans="1:9">
      <c r="A226" s="202"/>
      <c r="B226" s="202"/>
      <c r="H226" s="202"/>
      <c r="I226" s="202"/>
    </row>
    <row r="227" spans="1:9">
      <c r="A227" s="202"/>
      <c r="B227" s="202"/>
      <c r="H227" s="202"/>
      <c r="I227" s="202"/>
    </row>
    <row r="228" spans="1:9">
      <c r="A228" s="202"/>
      <c r="B228" s="202"/>
      <c r="H228" s="202"/>
      <c r="I228" s="202"/>
    </row>
    <row r="229" spans="1:9">
      <c r="A229" s="202"/>
      <c r="B229" s="202"/>
      <c r="H229" s="202"/>
      <c r="I229" s="202"/>
    </row>
    <row r="230" spans="1:9">
      <c r="A230" s="202"/>
      <c r="B230" s="202"/>
      <c r="H230" s="202"/>
      <c r="I230" s="202"/>
    </row>
    <row r="231" spans="1:9">
      <c r="A231" s="202"/>
      <c r="B231" s="202"/>
      <c r="H231" s="202"/>
      <c r="I231" s="202"/>
    </row>
    <row r="232" spans="1:9">
      <c r="A232" s="202"/>
      <c r="B232" s="202"/>
      <c r="H232" s="202"/>
      <c r="I232" s="202"/>
    </row>
    <row r="233" spans="1:9">
      <c r="A233" s="202"/>
      <c r="B233" s="202"/>
      <c r="H233" s="202"/>
      <c r="I233" s="202"/>
    </row>
    <row r="234" spans="1:9">
      <c r="A234" s="202"/>
      <c r="B234" s="202"/>
      <c r="H234" s="202"/>
      <c r="I234" s="202"/>
    </row>
    <row r="235" spans="1:9">
      <c r="A235" s="202"/>
      <c r="B235" s="202"/>
      <c r="H235" s="202"/>
      <c r="I235" s="202"/>
    </row>
    <row r="236" spans="1:9">
      <c r="A236" s="202"/>
      <c r="B236" s="202"/>
      <c r="H236" s="202"/>
      <c r="I236" s="202"/>
    </row>
    <row r="237" spans="1:9">
      <c r="A237" s="202"/>
      <c r="B237" s="202"/>
      <c r="H237" s="202"/>
      <c r="I237" s="202"/>
    </row>
    <row r="238" spans="1:9">
      <c r="A238" s="202"/>
      <c r="B238" s="202"/>
      <c r="H238" s="202"/>
      <c r="I238" s="202"/>
    </row>
    <row r="239" spans="1:9">
      <c r="A239" s="202"/>
      <c r="B239" s="202"/>
      <c r="H239" s="202"/>
      <c r="I239" s="202"/>
    </row>
    <row r="240" spans="1:9">
      <c r="A240" s="202"/>
      <c r="B240" s="202"/>
      <c r="H240" s="202"/>
      <c r="I240" s="202"/>
    </row>
    <row r="241" spans="1:9">
      <c r="A241" s="202"/>
      <c r="B241" s="202"/>
      <c r="H241" s="202"/>
      <c r="I241" s="202"/>
    </row>
    <row r="242" spans="1:9">
      <c r="A242" s="202"/>
      <c r="B242" s="202"/>
      <c r="H242" s="202"/>
      <c r="I242" s="202"/>
    </row>
    <row r="243" spans="1:9">
      <c r="A243" s="202"/>
      <c r="B243" s="202"/>
      <c r="H243" s="202"/>
      <c r="I243" s="202"/>
    </row>
    <row r="244" spans="1:9">
      <c r="A244" s="202"/>
      <c r="B244" s="202"/>
      <c r="H244" s="202"/>
      <c r="I244" s="202"/>
    </row>
    <row r="245" spans="1:9">
      <c r="A245" s="202"/>
      <c r="B245" s="202"/>
      <c r="H245" s="202"/>
      <c r="I245" s="202"/>
    </row>
    <row r="246" spans="1:9">
      <c r="A246" s="202"/>
      <c r="B246" s="202"/>
      <c r="H246" s="202"/>
      <c r="I246" s="202"/>
    </row>
    <row r="247" spans="1:9">
      <c r="A247" s="202"/>
      <c r="B247" s="202"/>
      <c r="H247" s="202"/>
      <c r="I247" s="202"/>
    </row>
    <row r="248" spans="1:9">
      <c r="A248" s="202"/>
      <c r="B248" s="202"/>
      <c r="H248" s="202"/>
      <c r="I248" s="202"/>
    </row>
    <row r="249" spans="1:9">
      <c r="A249" s="202"/>
      <c r="B249" s="202"/>
      <c r="H249" s="202"/>
      <c r="I249" s="202"/>
    </row>
    <row r="250" spans="1:9">
      <c r="A250" s="202"/>
      <c r="B250" s="202"/>
      <c r="H250" s="202"/>
      <c r="I250" s="202"/>
    </row>
    <row r="251" spans="1:9">
      <c r="A251" s="202"/>
      <c r="B251" s="202"/>
      <c r="H251" s="202"/>
      <c r="I251" s="202"/>
    </row>
    <row r="252" spans="1:9">
      <c r="A252" s="202"/>
      <c r="B252" s="202"/>
      <c r="H252" s="202"/>
      <c r="I252" s="202"/>
    </row>
    <row r="253" spans="1:9">
      <c r="A253" s="202"/>
      <c r="B253" s="202"/>
      <c r="H253" s="202"/>
      <c r="I253" s="202"/>
    </row>
    <row r="254" spans="1:9">
      <c r="A254" s="202"/>
      <c r="B254" s="202"/>
      <c r="H254" s="202"/>
      <c r="I254" s="202"/>
    </row>
    <row r="255" spans="1:9">
      <c r="A255" s="202"/>
      <c r="B255" s="202"/>
      <c r="H255" s="202"/>
      <c r="I255" s="202"/>
    </row>
    <row r="256" spans="1:9">
      <c r="A256" s="202"/>
      <c r="B256" s="202"/>
      <c r="H256" s="202"/>
      <c r="I256" s="202"/>
    </row>
    <row r="257" spans="1:9">
      <c r="A257" s="202"/>
      <c r="B257" s="202"/>
      <c r="H257" s="202"/>
      <c r="I257" s="202"/>
    </row>
    <row r="258" spans="1:9">
      <c r="A258" s="202"/>
      <c r="B258" s="202"/>
      <c r="H258" s="202"/>
      <c r="I258" s="202"/>
    </row>
    <row r="259" spans="1:9">
      <c r="A259" s="202"/>
      <c r="B259" s="202"/>
      <c r="H259" s="202"/>
      <c r="I259" s="202"/>
    </row>
    <row r="260" spans="1:9">
      <c r="A260" s="202"/>
      <c r="B260" s="202"/>
      <c r="H260" s="202"/>
      <c r="I260" s="202"/>
    </row>
    <row r="261" spans="1:9">
      <c r="A261" s="202"/>
      <c r="B261" s="202"/>
      <c r="H261" s="202"/>
      <c r="I261" s="202"/>
    </row>
    <row r="262" spans="1:9">
      <c r="A262" s="202"/>
      <c r="B262" s="202"/>
      <c r="H262" s="202"/>
      <c r="I262" s="202"/>
    </row>
    <row r="263" spans="1:9">
      <c r="A263" s="202"/>
      <c r="B263" s="202"/>
      <c r="H263" s="202"/>
      <c r="I263" s="202"/>
    </row>
    <row r="264" spans="1:9">
      <c r="A264" s="202"/>
      <c r="B264" s="202"/>
      <c r="H264" s="202"/>
      <c r="I264" s="202"/>
    </row>
    <row r="265" spans="1:9">
      <c r="A265" s="202"/>
      <c r="B265" s="202"/>
      <c r="H265" s="202"/>
      <c r="I265" s="202"/>
    </row>
    <row r="266" spans="1:9">
      <c r="A266" s="202"/>
      <c r="B266" s="202"/>
      <c r="H266" s="202"/>
      <c r="I266" s="202"/>
    </row>
    <row r="267" spans="1:9">
      <c r="A267" s="202"/>
      <c r="B267" s="202"/>
      <c r="H267" s="202"/>
      <c r="I267" s="202"/>
    </row>
    <row r="268" spans="1:9">
      <c r="A268" s="202"/>
      <c r="B268" s="202"/>
      <c r="H268" s="202"/>
      <c r="I268" s="202"/>
    </row>
    <row r="269" spans="1:9">
      <c r="A269" s="202"/>
      <c r="B269" s="202"/>
      <c r="H269" s="202"/>
      <c r="I269" s="202"/>
    </row>
    <row r="270" spans="1:9">
      <c r="A270" s="202"/>
      <c r="B270" s="202"/>
      <c r="H270" s="202"/>
      <c r="I270" s="202"/>
    </row>
    <row r="271" spans="1:9">
      <c r="A271" s="202"/>
      <c r="B271" s="202"/>
      <c r="H271" s="202"/>
      <c r="I271" s="202"/>
    </row>
    <row r="272" spans="1:9">
      <c r="A272" s="202"/>
      <c r="B272" s="202"/>
      <c r="H272" s="202"/>
      <c r="I272" s="202"/>
    </row>
    <row r="273" spans="1:9">
      <c r="A273" s="202"/>
      <c r="B273" s="202"/>
      <c r="H273" s="202"/>
      <c r="I273" s="202"/>
    </row>
    <row r="274" spans="1:9">
      <c r="A274" s="202"/>
      <c r="B274" s="202"/>
      <c r="H274" s="202"/>
      <c r="I274" s="202"/>
    </row>
    <row r="275" spans="1:9">
      <c r="A275" s="202"/>
      <c r="B275" s="202"/>
      <c r="H275" s="202"/>
      <c r="I275" s="202"/>
    </row>
    <row r="276" spans="1:9">
      <c r="A276" s="202"/>
      <c r="B276" s="202"/>
      <c r="H276" s="202"/>
      <c r="I276" s="202"/>
    </row>
    <row r="277" spans="1:9">
      <c r="A277" s="202"/>
      <c r="B277" s="202"/>
      <c r="H277" s="202"/>
      <c r="I277" s="202"/>
    </row>
    <row r="278" spans="1:9">
      <c r="A278" s="202"/>
      <c r="B278" s="202"/>
      <c r="H278" s="202"/>
      <c r="I278" s="202"/>
    </row>
    <row r="279" spans="1:9">
      <c r="A279" s="202"/>
      <c r="B279" s="202"/>
      <c r="H279" s="202"/>
      <c r="I279" s="202"/>
    </row>
    <row r="280" spans="1:9">
      <c r="A280" s="202"/>
      <c r="B280" s="202"/>
      <c r="H280" s="202"/>
      <c r="I280" s="202"/>
    </row>
    <row r="281" spans="1:9">
      <c r="A281" s="202"/>
      <c r="B281" s="202"/>
      <c r="H281" s="202"/>
      <c r="I281" s="202"/>
    </row>
    <row r="282" spans="1:9">
      <c r="A282" s="202"/>
      <c r="B282" s="202"/>
      <c r="H282" s="202"/>
      <c r="I282" s="202"/>
    </row>
    <row r="283" spans="1:9">
      <c r="A283" s="202"/>
      <c r="B283" s="202"/>
      <c r="H283" s="202"/>
      <c r="I283" s="202"/>
    </row>
    <row r="284" spans="1:9">
      <c r="A284" s="202"/>
      <c r="B284" s="202"/>
      <c r="H284" s="202"/>
      <c r="I284" s="202"/>
    </row>
    <row r="285" spans="1:9">
      <c r="A285" s="202"/>
      <c r="B285" s="202"/>
      <c r="H285" s="202"/>
      <c r="I285" s="202"/>
    </row>
    <row r="286" spans="1:9">
      <c r="A286" s="202"/>
      <c r="B286" s="202"/>
      <c r="H286" s="202"/>
      <c r="I286" s="202"/>
    </row>
    <row r="287" spans="1:9">
      <c r="A287" s="202"/>
      <c r="B287" s="202"/>
      <c r="H287" s="202"/>
      <c r="I287" s="202"/>
    </row>
    <row r="288" spans="1:9">
      <c r="A288" s="202"/>
      <c r="B288" s="202"/>
      <c r="H288" s="202"/>
      <c r="I288" s="202"/>
    </row>
    <row r="289" spans="1:9">
      <c r="A289" s="202"/>
      <c r="B289" s="202"/>
      <c r="H289" s="202"/>
      <c r="I289" s="202"/>
    </row>
    <row r="290" spans="1:9">
      <c r="A290" s="202"/>
      <c r="B290" s="202"/>
      <c r="H290" s="202"/>
      <c r="I290" s="202"/>
    </row>
    <row r="291" spans="1:9">
      <c r="A291" s="202"/>
      <c r="B291" s="202"/>
      <c r="H291" s="202"/>
      <c r="I291" s="202"/>
    </row>
    <row r="292" spans="1:9">
      <c r="A292" s="202"/>
      <c r="B292" s="202"/>
      <c r="H292" s="202"/>
      <c r="I292" s="202"/>
    </row>
    <row r="293" spans="1:9">
      <c r="A293" s="202"/>
      <c r="B293" s="202"/>
      <c r="H293" s="202"/>
      <c r="I293" s="202"/>
    </row>
    <row r="294" spans="1:9">
      <c r="A294" s="202"/>
      <c r="B294" s="202"/>
      <c r="H294" s="202"/>
      <c r="I294" s="202"/>
    </row>
    <row r="295" spans="1:9">
      <c r="A295" s="202"/>
      <c r="B295" s="202"/>
      <c r="H295" s="202"/>
      <c r="I295" s="202"/>
    </row>
    <row r="296" spans="1:9">
      <c r="A296" s="202"/>
      <c r="B296" s="202"/>
      <c r="H296" s="202"/>
      <c r="I296" s="202"/>
    </row>
    <row r="297" spans="1:9">
      <c r="A297" s="202"/>
      <c r="B297" s="202"/>
      <c r="H297" s="202"/>
      <c r="I297" s="202"/>
    </row>
    <row r="298" spans="1:9">
      <c r="A298" s="202"/>
      <c r="B298" s="202"/>
      <c r="H298" s="202"/>
      <c r="I298" s="202"/>
    </row>
    <row r="299" spans="1:9">
      <c r="A299" s="202"/>
      <c r="B299" s="202"/>
      <c r="H299" s="202"/>
      <c r="I299" s="202"/>
    </row>
    <row r="300" spans="1:9">
      <c r="A300" s="202"/>
      <c r="B300" s="202"/>
      <c r="H300" s="202"/>
      <c r="I300" s="202"/>
    </row>
    <row r="301" spans="1:9">
      <c r="A301" s="202"/>
      <c r="B301" s="202"/>
      <c r="H301" s="202"/>
      <c r="I301" s="202"/>
    </row>
    <row r="302" spans="1:9">
      <c r="A302" s="202"/>
      <c r="B302" s="202"/>
      <c r="H302" s="202"/>
      <c r="I302" s="202"/>
    </row>
    <row r="303" spans="1:9">
      <c r="A303" s="202"/>
      <c r="B303" s="202"/>
      <c r="H303" s="202"/>
      <c r="I303" s="202"/>
    </row>
    <row r="304" spans="1:9">
      <c r="A304" s="202"/>
      <c r="B304" s="202"/>
      <c r="H304" s="202"/>
      <c r="I304" s="202"/>
    </row>
    <row r="305" spans="1:9">
      <c r="A305" s="202"/>
      <c r="B305" s="202"/>
      <c r="H305" s="202"/>
      <c r="I305" s="202"/>
    </row>
    <row r="306" spans="1:9">
      <c r="A306" s="202"/>
      <c r="B306" s="202"/>
      <c r="H306" s="202"/>
      <c r="I306" s="202"/>
    </row>
    <row r="307" spans="1:9">
      <c r="A307" s="202"/>
      <c r="B307" s="202"/>
      <c r="H307" s="202"/>
      <c r="I307" s="202"/>
    </row>
    <row r="308" spans="1:9">
      <c r="A308" s="202"/>
      <c r="B308" s="202"/>
      <c r="H308" s="202"/>
      <c r="I308" s="202"/>
    </row>
    <row r="309" spans="1:9">
      <c r="A309" s="202"/>
      <c r="B309" s="202"/>
      <c r="H309" s="202"/>
      <c r="I309" s="202"/>
    </row>
    <row r="310" spans="1:9">
      <c r="A310" s="202"/>
      <c r="B310" s="202"/>
      <c r="H310" s="202"/>
      <c r="I310" s="202"/>
    </row>
    <row r="311" spans="1:9">
      <c r="A311" s="202"/>
      <c r="B311" s="202"/>
      <c r="H311" s="202"/>
      <c r="I311" s="202"/>
    </row>
    <row r="312" spans="1:9">
      <c r="A312" s="202"/>
      <c r="B312" s="202"/>
      <c r="H312" s="202"/>
      <c r="I312" s="202"/>
    </row>
    <row r="313" spans="1:9">
      <c r="A313" s="202"/>
      <c r="B313" s="202"/>
      <c r="H313" s="202"/>
      <c r="I313" s="202"/>
    </row>
    <row r="314" spans="1:9">
      <c r="A314" s="202"/>
      <c r="B314" s="202"/>
      <c r="H314" s="202"/>
      <c r="I314" s="202"/>
    </row>
    <row r="315" spans="1:9">
      <c r="A315" s="202"/>
      <c r="B315" s="202"/>
      <c r="H315" s="202"/>
      <c r="I315" s="202"/>
    </row>
    <row r="316" spans="1:9">
      <c r="A316" s="202"/>
      <c r="B316" s="202"/>
      <c r="H316" s="202"/>
      <c r="I316" s="202"/>
    </row>
    <row r="317" spans="1:9">
      <c r="A317" s="202"/>
      <c r="B317" s="202"/>
      <c r="H317" s="202"/>
      <c r="I317" s="202"/>
    </row>
    <row r="318" spans="1:9">
      <c r="A318" s="202"/>
      <c r="B318" s="202"/>
      <c r="H318" s="202"/>
      <c r="I318" s="202"/>
    </row>
    <row r="319" spans="1:9">
      <c r="A319" s="202"/>
      <c r="B319" s="202"/>
      <c r="H319" s="202"/>
      <c r="I319" s="202"/>
    </row>
    <row r="320" spans="1:9">
      <c r="A320" s="202"/>
      <c r="B320" s="202"/>
      <c r="H320" s="202"/>
      <c r="I320" s="202"/>
    </row>
    <row r="321" spans="1:9">
      <c r="A321" s="202"/>
      <c r="B321" s="202"/>
      <c r="H321" s="202"/>
      <c r="I321" s="202"/>
    </row>
    <row r="322" spans="1:9">
      <c r="A322" s="202"/>
      <c r="B322" s="202"/>
      <c r="H322" s="202"/>
      <c r="I322" s="202"/>
    </row>
    <row r="323" spans="1:9">
      <c r="A323" s="202"/>
      <c r="B323" s="202"/>
      <c r="H323" s="202"/>
      <c r="I323" s="202"/>
    </row>
    <row r="324" spans="1:9">
      <c r="A324" s="202"/>
      <c r="B324" s="202"/>
      <c r="H324" s="202"/>
      <c r="I324" s="202"/>
    </row>
    <row r="325" spans="1:9">
      <c r="A325" s="202"/>
      <c r="B325" s="202"/>
      <c r="H325" s="202"/>
      <c r="I325" s="202"/>
    </row>
    <row r="326" spans="1:9">
      <c r="A326" s="202"/>
      <c r="B326" s="202"/>
      <c r="H326" s="202"/>
      <c r="I326" s="202"/>
    </row>
    <row r="327" spans="1:9">
      <c r="A327" s="202"/>
      <c r="B327" s="202"/>
      <c r="H327" s="202"/>
      <c r="I327" s="202"/>
    </row>
    <row r="328" spans="1:9">
      <c r="A328" s="202"/>
      <c r="B328" s="202"/>
      <c r="H328" s="202"/>
      <c r="I328" s="202"/>
    </row>
    <row r="329" spans="1:9">
      <c r="A329" s="202"/>
      <c r="B329" s="202"/>
      <c r="H329" s="202"/>
      <c r="I329" s="202"/>
    </row>
    <row r="330" spans="1:9">
      <c r="A330" s="202"/>
      <c r="B330" s="202"/>
      <c r="H330" s="202"/>
      <c r="I330" s="202"/>
    </row>
    <row r="331" spans="1:9">
      <c r="A331" s="202"/>
      <c r="B331" s="202"/>
      <c r="H331" s="202"/>
      <c r="I331" s="202"/>
    </row>
    <row r="332" spans="1:9">
      <c r="A332" s="202"/>
      <c r="B332" s="202"/>
      <c r="H332" s="202"/>
      <c r="I332" s="202"/>
    </row>
    <row r="333" spans="1:9">
      <c r="A333" s="202"/>
      <c r="B333" s="202"/>
      <c r="H333" s="202"/>
      <c r="I333" s="202"/>
    </row>
    <row r="334" spans="1:9">
      <c r="A334" s="202"/>
      <c r="B334" s="202"/>
      <c r="H334" s="202"/>
      <c r="I334" s="202"/>
    </row>
    <row r="335" spans="1:9">
      <c r="A335" s="202"/>
      <c r="B335" s="202"/>
      <c r="H335" s="202"/>
      <c r="I335" s="202"/>
    </row>
    <row r="336" spans="1:9">
      <c r="A336" s="202"/>
      <c r="B336" s="202"/>
      <c r="H336" s="202"/>
      <c r="I336" s="202"/>
    </row>
    <row r="337" spans="1:9">
      <c r="A337" s="202"/>
      <c r="B337" s="202"/>
      <c r="H337" s="202"/>
      <c r="I337" s="202"/>
    </row>
    <row r="338" spans="1:9">
      <c r="A338" s="202"/>
      <c r="B338" s="202"/>
      <c r="H338" s="202"/>
      <c r="I338" s="202"/>
    </row>
    <row r="339" spans="1:9">
      <c r="A339" s="202"/>
      <c r="B339" s="202"/>
      <c r="H339" s="202"/>
      <c r="I339" s="202"/>
    </row>
    <row r="340" spans="1:9">
      <c r="A340" s="202"/>
      <c r="B340" s="202"/>
      <c r="H340" s="202"/>
      <c r="I340" s="202"/>
    </row>
    <row r="341" spans="1:9">
      <c r="A341" s="202"/>
      <c r="B341" s="202"/>
      <c r="H341" s="202"/>
      <c r="I341" s="202"/>
    </row>
    <row r="342" spans="1:9">
      <c r="A342" s="202"/>
      <c r="B342" s="202"/>
      <c r="H342" s="202"/>
      <c r="I342" s="202"/>
    </row>
    <row r="343" spans="1:9">
      <c r="A343" s="202"/>
      <c r="B343" s="202"/>
      <c r="H343" s="202"/>
      <c r="I343" s="202"/>
    </row>
    <row r="344" spans="1:9">
      <c r="A344" s="202"/>
      <c r="B344" s="202"/>
      <c r="H344" s="202"/>
      <c r="I344" s="202"/>
    </row>
    <row r="345" spans="1:9">
      <c r="A345" s="202"/>
      <c r="B345" s="202"/>
      <c r="H345" s="202"/>
      <c r="I345" s="202"/>
    </row>
    <row r="346" spans="1:9">
      <c r="A346" s="202"/>
      <c r="B346" s="202"/>
      <c r="H346" s="202"/>
      <c r="I346" s="202"/>
    </row>
    <row r="347" spans="1:9">
      <c r="A347" s="202"/>
      <c r="B347" s="202"/>
      <c r="H347" s="202"/>
      <c r="I347" s="202"/>
    </row>
    <row r="348" spans="1:9">
      <c r="A348" s="202"/>
      <c r="B348" s="202"/>
      <c r="H348" s="202"/>
      <c r="I348" s="202"/>
    </row>
    <row r="349" spans="1:9">
      <c r="A349" s="202"/>
      <c r="B349" s="202"/>
      <c r="H349" s="202"/>
      <c r="I349" s="202"/>
    </row>
    <row r="350" spans="1:9">
      <c r="A350" s="202"/>
      <c r="B350" s="202"/>
      <c r="H350" s="202"/>
      <c r="I350" s="202"/>
    </row>
    <row r="351" spans="1:9">
      <c r="A351" s="202"/>
      <c r="B351" s="202"/>
      <c r="H351" s="202"/>
      <c r="I351" s="202"/>
    </row>
    <row r="352" spans="1:9">
      <c r="A352" s="202"/>
      <c r="B352" s="202"/>
      <c r="H352" s="202"/>
      <c r="I352" s="202"/>
    </row>
    <row r="353" spans="1:9">
      <c r="A353" s="202"/>
      <c r="B353" s="202"/>
      <c r="H353" s="202"/>
      <c r="I353" s="202"/>
    </row>
    <row r="354" spans="1:9">
      <c r="A354" s="202"/>
      <c r="B354" s="202"/>
      <c r="H354" s="202"/>
      <c r="I354" s="202"/>
    </row>
    <row r="355" spans="1:9">
      <c r="A355" s="202"/>
      <c r="B355" s="202"/>
      <c r="H355" s="202"/>
      <c r="I355" s="202"/>
    </row>
    <row r="356" spans="1:9">
      <c r="A356" s="202"/>
      <c r="B356" s="202"/>
      <c r="H356" s="202"/>
      <c r="I356" s="202"/>
    </row>
    <row r="357" spans="1:9">
      <c r="A357" s="202"/>
      <c r="B357" s="202"/>
      <c r="H357" s="202"/>
      <c r="I357" s="202"/>
    </row>
    <row r="358" spans="1:9">
      <c r="A358" s="202"/>
      <c r="B358" s="202"/>
      <c r="H358" s="202"/>
      <c r="I358" s="202"/>
    </row>
    <row r="359" spans="1:9">
      <c r="A359" s="202"/>
      <c r="B359" s="202"/>
      <c r="H359" s="202"/>
      <c r="I359" s="202"/>
    </row>
    <row r="360" spans="1:9">
      <c r="A360" s="202"/>
      <c r="B360" s="202"/>
      <c r="H360" s="202"/>
      <c r="I360" s="202"/>
    </row>
    <row r="361" spans="1:9">
      <c r="A361" s="202"/>
      <c r="B361" s="202"/>
      <c r="H361" s="202"/>
      <c r="I361" s="202"/>
    </row>
    <row r="362" spans="1:9">
      <c r="A362" s="202"/>
      <c r="B362" s="202"/>
      <c r="H362" s="202"/>
      <c r="I362" s="202"/>
    </row>
    <row r="363" spans="1:9">
      <c r="A363" s="202"/>
      <c r="B363" s="202"/>
      <c r="H363" s="202"/>
      <c r="I363" s="202"/>
    </row>
    <row r="364" spans="1:9">
      <c r="A364" s="202"/>
      <c r="B364" s="202"/>
      <c r="H364" s="202"/>
      <c r="I364" s="202"/>
    </row>
    <row r="365" spans="1:9">
      <c r="A365" s="202"/>
      <c r="B365" s="202"/>
      <c r="H365" s="202"/>
      <c r="I365" s="202"/>
    </row>
    <row r="366" spans="1:9">
      <c r="A366" s="202"/>
      <c r="B366" s="202"/>
      <c r="H366" s="202"/>
      <c r="I366" s="202"/>
    </row>
    <row r="367" spans="1:9">
      <c r="A367" s="202"/>
      <c r="B367" s="202"/>
      <c r="H367" s="202"/>
      <c r="I367" s="202"/>
    </row>
    <row r="368" spans="1:9">
      <c r="A368" s="202"/>
      <c r="B368" s="202"/>
      <c r="H368" s="202"/>
      <c r="I368" s="202"/>
    </row>
    <row r="369" spans="1:9">
      <c r="A369" s="202"/>
      <c r="B369" s="202"/>
      <c r="H369" s="202"/>
      <c r="I369" s="202"/>
    </row>
    <row r="370" spans="1:9">
      <c r="A370" s="202"/>
      <c r="B370" s="202"/>
      <c r="H370" s="202"/>
      <c r="I370" s="202"/>
    </row>
    <row r="371" spans="1:9">
      <c r="A371" s="202"/>
      <c r="B371" s="202"/>
      <c r="H371" s="202"/>
      <c r="I371" s="202"/>
    </row>
    <row r="372" spans="1:9">
      <c r="A372" s="202"/>
      <c r="B372" s="202"/>
      <c r="H372" s="202"/>
      <c r="I372" s="202"/>
    </row>
    <row r="373" spans="1:9">
      <c r="A373" s="202"/>
      <c r="B373" s="202"/>
      <c r="H373" s="202"/>
      <c r="I373" s="202"/>
    </row>
    <row r="374" spans="1:9">
      <c r="A374" s="202"/>
      <c r="B374" s="202"/>
      <c r="H374" s="202"/>
      <c r="I374" s="202"/>
    </row>
    <row r="375" spans="1:9">
      <c r="A375" s="202"/>
      <c r="B375" s="202"/>
      <c r="H375" s="202"/>
      <c r="I375" s="202"/>
    </row>
    <row r="376" spans="1:9">
      <c r="A376" s="202"/>
      <c r="B376" s="202"/>
      <c r="H376" s="202"/>
      <c r="I376" s="202"/>
    </row>
    <row r="377" spans="1:9">
      <c r="A377" s="202"/>
      <c r="B377" s="202"/>
      <c r="H377" s="202"/>
      <c r="I377" s="202"/>
    </row>
    <row r="378" spans="1:9">
      <c r="A378" s="202"/>
      <c r="B378" s="202"/>
      <c r="H378" s="202"/>
      <c r="I378" s="202"/>
    </row>
    <row r="379" spans="1:9">
      <c r="A379" s="202"/>
      <c r="B379" s="202"/>
      <c r="H379" s="202"/>
      <c r="I379" s="202"/>
    </row>
    <row r="380" spans="1:9">
      <c r="A380" s="202"/>
      <c r="B380" s="202"/>
      <c r="H380" s="202"/>
      <c r="I380" s="202"/>
    </row>
    <row r="381" spans="1:9">
      <c r="A381" s="202"/>
      <c r="B381" s="202"/>
      <c r="H381" s="202"/>
      <c r="I381" s="202"/>
    </row>
    <row r="382" spans="1:9">
      <c r="A382" s="202"/>
      <c r="B382" s="202"/>
      <c r="H382" s="202"/>
      <c r="I382" s="202"/>
    </row>
    <row r="383" spans="1:9">
      <c r="A383" s="202"/>
      <c r="B383" s="202"/>
      <c r="H383" s="202"/>
      <c r="I383" s="202"/>
    </row>
    <row r="384" spans="1:9">
      <c r="A384" s="202"/>
      <c r="B384" s="202"/>
      <c r="H384" s="202"/>
      <c r="I384" s="202"/>
    </row>
    <row r="385" spans="1:9">
      <c r="A385" s="202"/>
      <c r="B385" s="202"/>
      <c r="H385" s="202"/>
      <c r="I385" s="202"/>
    </row>
    <row r="386" spans="1:9">
      <c r="A386" s="202"/>
      <c r="B386" s="202"/>
      <c r="H386" s="202"/>
      <c r="I386" s="202"/>
    </row>
    <row r="387" spans="1:9">
      <c r="A387" s="202"/>
      <c r="B387" s="202"/>
      <c r="H387" s="202"/>
      <c r="I387" s="202"/>
    </row>
    <row r="388" spans="1:9">
      <c r="A388" s="202"/>
      <c r="B388" s="202"/>
      <c r="H388" s="202"/>
      <c r="I388" s="202"/>
    </row>
    <row r="389" spans="1:9">
      <c r="A389" s="202"/>
      <c r="B389" s="202"/>
      <c r="H389" s="202"/>
      <c r="I389" s="202"/>
    </row>
    <row r="390" spans="1:9">
      <c r="A390" s="202"/>
      <c r="B390" s="202"/>
      <c r="H390" s="202"/>
      <c r="I390" s="202"/>
    </row>
    <row r="391" spans="1:9">
      <c r="A391" s="202"/>
      <c r="B391" s="202"/>
      <c r="H391" s="202"/>
      <c r="I391" s="202"/>
    </row>
    <row r="392" spans="1:9">
      <c r="A392" s="202"/>
      <c r="B392" s="202"/>
      <c r="H392" s="202"/>
      <c r="I392" s="202"/>
    </row>
    <row r="393" spans="1:9">
      <c r="A393" s="202"/>
      <c r="B393" s="202"/>
      <c r="H393" s="202"/>
      <c r="I393" s="202"/>
    </row>
    <row r="394" spans="1:9">
      <c r="A394" s="202"/>
      <c r="B394" s="202"/>
      <c r="H394" s="202"/>
      <c r="I394" s="202"/>
    </row>
    <row r="395" spans="1:9">
      <c r="A395" s="202"/>
      <c r="B395" s="202"/>
      <c r="H395" s="202"/>
      <c r="I395" s="202"/>
    </row>
    <row r="396" spans="1:9">
      <c r="A396" s="202"/>
      <c r="B396" s="202"/>
      <c r="H396" s="202"/>
      <c r="I396" s="202"/>
    </row>
    <row r="397" spans="1:9">
      <c r="A397" s="202"/>
      <c r="B397" s="202"/>
      <c r="H397" s="202"/>
      <c r="I397" s="202"/>
    </row>
    <row r="398" spans="1:9">
      <c r="A398" s="202"/>
      <c r="B398" s="202"/>
      <c r="H398" s="202"/>
      <c r="I398" s="202"/>
    </row>
    <row r="399" spans="1:9">
      <c r="A399" s="202"/>
      <c r="B399" s="202"/>
      <c r="H399" s="202"/>
      <c r="I399" s="202"/>
    </row>
    <row r="400" spans="1:9">
      <c r="A400" s="202"/>
      <c r="B400" s="202"/>
      <c r="H400" s="202"/>
      <c r="I400" s="202"/>
    </row>
    <row r="401" spans="1:9">
      <c r="A401" s="202"/>
      <c r="B401" s="202"/>
      <c r="H401" s="202"/>
      <c r="I401" s="202"/>
    </row>
    <row r="402" spans="1:9">
      <c r="A402" s="202"/>
      <c r="B402" s="202"/>
      <c r="H402" s="202"/>
      <c r="I402" s="202"/>
    </row>
    <row r="403" spans="1:9">
      <c r="A403" s="202"/>
      <c r="B403" s="202"/>
      <c r="H403" s="202"/>
      <c r="I403" s="202"/>
    </row>
    <row r="404" spans="1:9">
      <c r="A404" s="202"/>
      <c r="B404" s="202"/>
      <c r="H404" s="202"/>
      <c r="I404" s="202"/>
    </row>
    <row r="405" spans="1:9">
      <c r="A405" s="202"/>
      <c r="B405" s="202"/>
      <c r="H405" s="202"/>
      <c r="I405" s="202"/>
    </row>
    <row r="406" spans="1:9">
      <c r="A406" s="202"/>
      <c r="B406" s="202"/>
      <c r="H406" s="202"/>
      <c r="I406" s="202"/>
    </row>
    <row r="407" spans="1:9">
      <c r="A407" s="202"/>
      <c r="B407" s="202"/>
      <c r="H407" s="202"/>
      <c r="I407" s="202"/>
    </row>
    <row r="408" spans="1:9">
      <c r="A408" s="202"/>
      <c r="B408" s="202"/>
      <c r="H408" s="202"/>
      <c r="I408" s="202"/>
    </row>
    <row r="409" spans="1:9">
      <c r="A409" s="202"/>
      <c r="B409" s="202"/>
      <c r="H409" s="202"/>
      <c r="I409" s="202"/>
    </row>
    <row r="410" spans="1:9">
      <c r="A410" s="202"/>
      <c r="B410" s="202"/>
      <c r="H410" s="202"/>
      <c r="I410" s="202"/>
    </row>
    <row r="411" spans="1:9">
      <c r="A411" s="202"/>
      <c r="B411" s="202"/>
      <c r="H411" s="202"/>
      <c r="I411" s="202"/>
    </row>
    <row r="412" spans="1:9">
      <c r="A412" s="202"/>
      <c r="B412" s="202"/>
      <c r="H412" s="202"/>
      <c r="I412" s="202"/>
    </row>
    <row r="413" spans="1:9">
      <c r="A413" s="202"/>
      <c r="B413" s="202"/>
      <c r="H413" s="202"/>
      <c r="I413" s="202"/>
    </row>
    <row r="414" spans="1:9">
      <c r="A414" s="202"/>
      <c r="B414" s="202"/>
      <c r="H414" s="202"/>
      <c r="I414" s="202"/>
    </row>
    <row r="415" spans="1:9">
      <c r="A415" s="202"/>
      <c r="B415" s="202"/>
      <c r="H415" s="202"/>
      <c r="I415" s="202"/>
    </row>
    <row r="416" spans="1:9">
      <c r="A416" s="202"/>
      <c r="B416" s="202"/>
      <c r="H416" s="202"/>
      <c r="I416" s="202"/>
    </row>
    <row r="417" spans="1:9">
      <c r="A417" s="202"/>
      <c r="B417" s="202"/>
      <c r="H417" s="202"/>
      <c r="I417" s="202"/>
    </row>
    <row r="418" spans="1:9">
      <c r="A418" s="202"/>
      <c r="B418" s="202"/>
      <c r="H418" s="202"/>
      <c r="I418" s="202"/>
    </row>
    <row r="419" spans="1:9">
      <c r="A419" s="202"/>
      <c r="B419" s="202"/>
      <c r="H419" s="202"/>
      <c r="I419" s="202"/>
    </row>
    <row r="420" spans="1:9">
      <c r="A420" s="202"/>
      <c r="B420" s="202"/>
      <c r="H420" s="202"/>
      <c r="I420" s="202"/>
    </row>
    <row r="421" spans="1:9">
      <c r="A421" s="202"/>
      <c r="B421" s="202"/>
      <c r="H421" s="202"/>
      <c r="I421" s="202"/>
    </row>
    <row r="422" spans="1:9">
      <c r="A422" s="202"/>
      <c r="B422" s="202"/>
      <c r="H422" s="202"/>
      <c r="I422" s="202"/>
    </row>
    <row r="423" spans="1:9">
      <c r="A423" s="202"/>
      <c r="B423" s="202"/>
      <c r="H423" s="202"/>
      <c r="I423" s="202"/>
    </row>
    <row r="424" spans="1:9">
      <c r="A424" s="202"/>
      <c r="B424" s="202"/>
      <c r="H424" s="202"/>
      <c r="I424" s="202"/>
    </row>
    <row r="425" spans="1:9">
      <c r="A425" s="202"/>
      <c r="B425" s="202"/>
      <c r="H425" s="202"/>
      <c r="I425" s="202"/>
    </row>
    <row r="426" spans="1:9">
      <c r="A426" s="202"/>
      <c r="B426" s="202"/>
      <c r="H426" s="202"/>
      <c r="I426" s="202"/>
    </row>
    <row r="427" spans="1:9">
      <c r="A427" s="202"/>
      <c r="B427" s="202"/>
      <c r="H427" s="202"/>
      <c r="I427" s="202"/>
    </row>
    <row r="428" spans="1:9">
      <c r="A428" s="202"/>
      <c r="B428" s="202"/>
      <c r="H428" s="202"/>
      <c r="I428" s="202"/>
    </row>
    <row r="429" spans="1:9">
      <c r="A429" s="202"/>
      <c r="B429" s="202"/>
      <c r="H429" s="202"/>
      <c r="I429" s="202"/>
    </row>
    <row r="430" spans="1:9">
      <c r="A430" s="202"/>
      <c r="B430" s="202"/>
      <c r="H430" s="202"/>
      <c r="I430" s="202"/>
    </row>
    <row r="431" spans="1:9">
      <c r="A431" s="202"/>
      <c r="B431" s="202"/>
      <c r="H431" s="202"/>
      <c r="I431" s="202"/>
    </row>
    <row r="432" spans="1:9">
      <c r="A432" s="202"/>
      <c r="B432" s="202"/>
      <c r="H432" s="202"/>
      <c r="I432" s="202"/>
    </row>
    <row r="433" spans="1:9">
      <c r="A433" s="202"/>
      <c r="B433" s="202"/>
      <c r="H433" s="202"/>
      <c r="I433" s="202"/>
    </row>
    <row r="434" spans="1:9">
      <c r="A434" s="202"/>
      <c r="B434" s="202"/>
      <c r="H434" s="202"/>
      <c r="I434" s="202"/>
    </row>
    <row r="435" spans="1:9">
      <c r="A435" s="202"/>
      <c r="B435" s="202"/>
      <c r="H435" s="202"/>
      <c r="I435" s="202"/>
    </row>
    <row r="436" spans="1:9">
      <c r="A436" s="202"/>
      <c r="B436" s="202"/>
      <c r="H436" s="202"/>
      <c r="I436" s="202"/>
    </row>
    <row r="437" spans="1:9">
      <c r="A437" s="202"/>
      <c r="B437" s="202"/>
      <c r="H437" s="202"/>
      <c r="I437" s="202"/>
    </row>
    <row r="438" spans="1:9">
      <c r="A438" s="202"/>
      <c r="B438" s="202"/>
      <c r="H438" s="202"/>
      <c r="I438" s="202"/>
    </row>
    <row r="439" spans="1:9">
      <c r="A439" s="202"/>
      <c r="B439" s="202"/>
      <c r="H439" s="202"/>
      <c r="I439" s="202"/>
    </row>
    <row r="440" spans="1:9">
      <c r="A440" s="202"/>
      <c r="B440" s="202"/>
      <c r="H440" s="202"/>
      <c r="I440" s="202"/>
    </row>
    <row r="441" spans="1:9">
      <c r="A441" s="202"/>
      <c r="B441" s="202"/>
      <c r="H441" s="202"/>
      <c r="I441" s="202"/>
    </row>
    <row r="442" spans="1:9">
      <c r="A442" s="202"/>
      <c r="B442" s="202"/>
      <c r="H442" s="202"/>
      <c r="I442" s="202"/>
    </row>
    <row r="443" spans="1:9">
      <c r="A443" s="202"/>
      <c r="B443" s="202"/>
      <c r="H443" s="202"/>
      <c r="I443" s="202"/>
    </row>
    <row r="444" spans="1:9">
      <c r="A444" s="202"/>
      <c r="B444" s="202"/>
      <c r="H444" s="202"/>
      <c r="I444" s="202"/>
    </row>
    <row r="445" spans="1:9">
      <c r="A445" s="202"/>
      <c r="B445" s="202"/>
      <c r="H445" s="202"/>
      <c r="I445" s="202"/>
    </row>
    <row r="446" spans="1:9">
      <c r="A446" s="202"/>
      <c r="B446" s="202"/>
      <c r="H446" s="202"/>
      <c r="I446" s="202"/>
    </row>
    <row r="447" spans="1:9">
      <c r="A447" s="202"/>
      <c r="B447" s="202"/>
      <c r="H447" s="202"/>
      <c r="I447" s="202"/>
    </row>
    <row r="448" spans="1:9">
      <c r="A448" s="202"/>
      <c r="B448" s="202"/>
      <c r="H448" s="202"/>
      <c r="I448" s="202"/>
    </row>
    <row r="449" spans="1:9">
      <c r="A449" s="202"/>
      <c r="B449" s="202"/>
      <c r="H449" s="202"/>
      <c r="I449" s="202"/>
    </row>
    <row r="450" spans="1:9">
      <c r="A450" s="202"/>
      <c r="B450" s="202"/>
      <c r="H450" s="202"/>
      <c r="I450" s="202"/>
    </row>
    <row r="451" spans="1:9">
      <c r="A451" s="202"/>
      <c r="B451" s="202"/>
      <c r="H451" s="202"/>
      <c r="I451" s="202"/>
    </row>
    <row r="452" spans="1:9">
      <c r="A452" s="202"/>
      <c r="B452" s="202"/>
      <c r="H452" s="202"/>
      <c r="I452" s="202"/>
    </row>
    <row r="453" spans="1:9">
      <c r="A453" s="202"/>
      <c r="B453" s="202"/>
      <c r="H453" s="202"/>
      <c r="I453" s="202"/>
    </row>
    <row r="454" spans="1:9">
      <c r="A454" s="202"/>
      <c r="B454" s="202"/>
      <c r="H454" s="202"/>
      <c r="I454" s="202"/>
    </row>
    <row r="455" spans="1:9">
      <c r="A455" s="202"/>
      <c r="B455" s="202"/>
      <c r="H455" s="202"/>
      <c r="I455" s="202"/>
    </row>
    <row r="456" spans="1:9">
      <c r="A456" s="202"/>
      <c r="B456" s="202"/>
      <c r="H456" s="202"/>
      <c r="I456" s="202"/>
    </row>
    <row r="457" spans="1:9">
      <c r="A457" s="202"/>
      <c r="B457" s="202"/>
      <c r="H457" s="202"/>
      <c r="I457" s="202"/>
    </row>
    <row r="458" spans="1:9">
      <c r="A458" s="202"/>
      <c r="B458" s="202"/>
      <c r="H458" s="202"/>
      <c r="I458" s="202"/>
    </row>
    <row r="459" spans="1:9">
      <c r="A459" s="202"/>
      <c r="B459" s="202"/>
      <c r="H459" s="202"/>
      <c r="I459" s="202"/>
    </row>
    <row r="460" spans="1:9">
      <c r="A460" s="202"/>
      <c r="B460" s="202"/>
      <c r="H460" s="202"/>
      <c r="I460" s="202"/>
    </row>
    <row r="461" spans="1:9">
      <c r="A461" s="202"/>
      <c r="B461" s="202"/>
      <c r="H461" s="202"/>
      <c r="I461" s="202"/>
    </row>
    <row r="462" spans="1:9">
      <c r="A462" s="202"/>
      <c r="B462" s="202"/>
      <c r="H462" s="202"/>
      <c r="I462" s="202"/>
    </row>
    <row r="463" spans="1:9">
      <c r="A463" s="202"/>
      <c r="B463" s="202"/>
      <c r="H463" s="202"/>
      <c r="I463" s="202"/>
    </row>
    <row r="464" spans="1:9">
      <c r="A464" s="202"/>
      <c r="B464" s="202"/>
      <c r="H464" s="202"/>
      <c r="I464" s="202"/>
    </row>
    <row r="465" spans="1:9">
      <c r="A465" s="202"/>
      <c r="B465" s="202"/>
      <c r="H465" s="202"/>
      <c r="I465" s="202"/>
    </row>
    <row r="466" spans="1:9">
      <c r="A466" s="202"/>
      <c r="B466" s="202"/>
      <c r="H466" s="202"/>
      <c r="I466" s="202"/>
    </row>
    <row r="467" spans="1:9">
      <c r="A467" s="202"/>
      <c r="B467" s="202"/>
      <c r="H467" s="202"/>
      <c r="I467" s="202"/>
    </row>
    <row r="468" spans="1:9">
      <c r="A468" s="202"/>
      <c r="B468" s="202"/>
      <c r="H468" s="202"/>
      <c r="I468" s="202"/>
    </row>
    <row r="469" spans="1:9">
      <c r="A469" s="202"/>
      <c r="B469" s="202"/>
      <c r="H469" s="202"/>
      <c r="I469" s="202"/>
    </row>
    <row r="470" spans="1:9">
      <c r="A470" s="202"/>
      <c r="B470" s="202"/>
      <c r="H470" s="202"/>
      <c r="I470" s="202"/>
    </row>
    <row r="471" spans="1:9">
      <c r="A471" s="202"/>
      <c r="B471" s="202"/>
      <c r="H471" s="202"/>
      <c r="I471" s="202"/>
    </row>
    <row r="472" spans="1:9">
      <c r="A472" s="202"/>
      <c r="B472" s="202"/>
      <c r="H472" s="202"/>
      <c r="I472" s="202"/>
    </row>
    <row r="473" spans="1:9">
      <c r="A473" s="202"/>
      <c r="B473" s="202"/>
      <c r="H473" s="202"/>
      <c r="I473" s="202"/>
    </row>
    <row r="474" spans="1:9">
      <c r="A474" s="202"/>
      <c r="B474" s="202"/>
      <c r="H474" s="202"/>
      <c r="I474" s="202"/>
    </row>
    <row r="475" spans="1:9">
      <c r="A475" s="202"/>
      <c r="B475" s="202"/>
      <c r="H475" s="202"/>
      <c r="I475" s="202"/>
    </row>
    <row r="476" spans="1:9">
      <c r="A476" s="202"/>
      <c r="B476" s="202"/>
      <c r="H476" s="202"/>
      <c r="I476" s="202"/>
    </row>
    <row r="477" spans="1:9">
      <c r="A477" s="202"/>
      <c r="B477" s="202"/>
      <c r="H477" s="202"/>
      <c r="I477" s="202"/>
    </row>
    <row r="478" spans="1:9">
      <c r="A478" s="202"/>
      <c r="B478" s="202"/>
      <c r="H478" s="202"/>
      <c r="I478" s="202"/>
    </row>
    <row r="479" spans="1:9">
      <c r="A479" s="202"/>
      <c r="B479" s="202"/>
      <c r="H479" s="202"/>
      <c r="I479" s="202"/>
    </row>
    <row r="480" spans="1:9">
      <c r="A480" s="202"/>
      <c r="B480" s="202"/>
      <c r="H480" s="202"/>
      <c r="I480" s="202"/>
    </row>
    <row r="481" spans="1:9">
      <c r="A481" s="202"/>
      <c r="B481" s="202"/>
      <c r="H481" s="202"/>
      <c r="I481" s="202"/>
    </row>
    <row r="482" spans="1:9">
      <c r="A482" s="202"/>
      <c r="B482" s="202"/>
      <c r="H482" s="202"/>
      <c r="I482" s="202"/>
    </row>
    <row r="483" spans="1:9">
      <c r="A483" s="202"/>
      <c r="B483" s="202"/>
      <c r="H483" s="202"/>
      <c r="I483" s="202"/>
    </row>
    <row r="484" spans="1:9">
      <c r="A484" s="202"/>
      <c r="B484" s="202"/>
      <c r="H484" s="202"/>
      <c r="I484" s="202"/>
    </row>
    <row r="485" spans="1:9">
      <c r="A485" s="202"/>
      <c r="B485" s="202"/>
      <c r="H485" s="202"/>
      <c r="I485" s="202"/>
    </row>
    <row r="486" spans="1:9">
      <c r="A486" s="202"/>
      <c r="B486" s="202"/>
      <c r="H486" s="202"/>
      <c r="I486" s="202"/>
    </row>
    <row r="487" spans="1:9">
      <c r="A487" s="202"/>
      <c r="B487" s="202"/>
      <c r="H487" s="202"/>
      <c r="I487" s="202"/>
    </row>
    <row r="488" spans="1:9">
      <c r="A488" s="202"/>
      <c r="B488" s="202"/>
      <c r="H488" s="202"/>
      <c r="I488" s="202"/>
    </row>
    <row r="489" spans="1:9">
      <c r="A489" s="202"/>
      <c r="B489" s="202"/>
      <c r="H489" s="202"/>
      <c r="I489" s="202"/>
    </row>
    <row r="490" spans="1:9">
      <c r="A490" s="202"/>
      <c r="B490" s="202"/>
      <c r="H490" s="202"/>
      <c r="I490" s="202"/>
    </row>
    <row r="491" spans="1:9">
      <c r="A491" s="202"/>
      <c r="B491" s="202"/>
      <c r="H491" s="202"/>
      <c r="I491" s="202"/>
    </row>
    <row r="492" spans="1:9">
      <c r="A492" s="202"/>
      <c r="B492" s="202"/>
      <c r="H492" s="202"/>
      <c r="I492" s="202"/>
    </row>
    <row r="493" spans="1:9">
      <c r="A493" s="202"/>
      <c r="B493" s="202"/>
      <c r="H493" s="202"/>
      <c r="I493" s="202"/>
    </row>
    <row r="494" spans="1:9">
      <c r="A494" s="202"/>
      <c r="B494" s="202"/>
      <c r="H494" s="202"/>
      <c r="I494" s="202"/>
    </row>
    <row r="495" spans="1:9">
      <c r="A495" s="202"/>
      <c r="B495" s="202"/>
      <c r="H495" s="202"/>
      <c r="I495" s="202"/>
    </row>
    <row r="496" spans="1:9">
      <c r="A496" s="202"/>
      <c r="B496" s="202"/>
      <c r="H496" s="202"/>
      <c r="I496" s="202"/>
    </row>
    <row r="497" spans="1:9">
      <c r="A497" s="202"/>
      <c r="B497" s="202"/>
      <c r="H497" s="202"/>
      <c r="I497" s="202"/>
    </row>
    <row r="498" spans="1:9">
      <c r="A498" s="202"/>
      <c r="B498" s="202"/>
      <c r="H498" s="202"/>
      <c r="I498" s="202"/>
    </row>
    <row r="499" spans="1:9">
      <c r="A499" s="202"/>
      <c r="B499" s="202"/>
      <c r="H499" s="202"/>
      <c r="I499" s="202"/>
    </row>
    <row r="500" spans="1:9">
      <c r="A500" s="202"/>
      <c r="B500" s="202"/>
      <c r="H500" s="202"/>
      <c r="I500" s="202"/>
    </row>
    <row r="501" spans="1:9">
      <c r="A501" s="202"/>
      <c r="B501" s="202"/>
      <c r="H501" s="202"/>
      <c r="I501" s="202"/>
    </row>
    <row r="502" spans="1:9">
      <c r="A502" s="202"/>
      <c r="B502" s="202"/>
      <c r="H502" s="202"/>
      <c r="I502" s="202"/>
    </row>
    <row r="503" spans="1:9">
      <c r="A503" s="202"/>
      <c r="B503" s="202"/>
      <c r="H503" s="202"/>
      <c r="I503" s="202"/>
    </row>
    <row r="504" spans="1:9">
      <c r="A504" s="202"/>
      <c r="B504" s="202"/>
      <c r="H504" s="202"/>
      <c r="I504" s="202"/>
    </row>
    <row r="505" spans="1:9">
      <c r="A505" s="202"/>
      <c r="B505" s="202"/>
      <c r="H505" s="202"/>
      <c r="I505" s="202"/>
    </row>
    <row r="506" spans="1:9">
      <c r="A506" s="202"/>
      <c r="B506" s="202"/>
      <c r="H506" s="202"/>
      <c r="I506" s="202"/>
    </row>
    <row r="507" spans="1:9">
      <c r="A507" s="202"/>
      <c r="B507" s="202"/>
      <c r="H507" s="202"/>
      <c r="I507" s="202"/>
    </row>
    <row r="508" spans="1:9">
      <c r="A508" s="202"/>
      <c r="B508" s="202"/>
      <c r="H508" s="202"/>
      <c r="I508" s="202"/>
    </row>
    <row r="509" spans="1:9">
      <c r="A509" s="202"/>
      <c r="B509" s="202"/>
      <c r="H509" s="202"/>
      <c r="I509" s="202"/>
    </row>
    <row r="510" spans="1:9">
      <c r="A510" s="202"/>
      <c r="B510" s="202"/>
      <c r="H510" s="202"/>
      <c r="I510" s="202"/>
    </row>
    <row r="511" spans="1:9">
      <c r="A511" s="202"/>
      <c r="B511" s="202"/>
      <c r="H511" s="202"/>
      <c r="I511" s="202"/>
    </row>
    <row r="512" spans="1:9">
      <c r="A512" s="202"/>
      <c r="B512" s="202"/>
      <c r="H512" s="202"/>
      <c r="I512" s="202"/>
    </row>
    <row r="513" spans="1:9">
      <c r="A513" s="202"/>
      <c r="B513" s="202"/>
      <c r="H513" s="202"/>
      <c r="I513" s="202"/>
    </row>
    <row r="514" spans="1:9">
      <c r="A514" s="202"/>
      <c r="B514" s="202"/>
      <c r="H514" s="202"/>
      <c r="I514" s="202"/>
    </row>
    <row r="515" spans="1:9">
      <c r="A515" s="202"/>
      <c r="B515" s="202"/>
      <c r="H515" s="202"/>
      <c r="I515" s="202"/>
    </row>
    <row r="516" spans="1:9">
      <c r="A516" s="202"/>
      <c r="B516" s="202"/>
      <c r="H516" s="202"/>
      <c r="I516" s="202"/>
    </row>
    <row r="517" spans="1:9">
      <c r="A517" s="202"/>
      <c r="B517" s="202"/>
      <c r="H517" s="202"/>
      <c r="I517" s="202"/>
    </row>
    <row r="518" spans="1:9">
      <c r="A518" s="202"/>
      <c r="B518" s="202"/>
      <c r="H518" s="202"/>
      <c r="I518" s="202"/>
    </row>
    <row r="519" spans="1:9">
      <c r="A519" s="202"/>
      <c r="B519" s="202"/>
      <c r="H519" s="202"/>
      <c r="I519" s="202"/>
    </row>
    <row r="520" spans="1:9">
      <c r="A520" s="202"/>
      <c r="B520" s="202"/>
      <c r="H520" s="202"/>
      <c r="I520" s="202"/>
    </row>
    <row r="521" spans="1:9">
      <c r="A521" s="202"/>
      <c r="B521" s="202"/>
      <c r="H521" s="202"/>
      <c r="I521" s="202"/>
    </row>
    <row r="522" spans="1:9">
      <c r="A522" s="202"/>
      <c r="B522" s="202"/>
      <c r="H522" s="202"/>
      <c r="I522" s="202"/>
    </row>
    <row r="523" spans="1:9">
      <c r="A523" s="202"/>
      <c r="B523" s="202"/>
      <c r="H523" s="202"/>
      <c r="I523" s="202"/>
    </row>
    <row r="524" spans="1:9">
      <c r="A524" s="202"/>
      <c r="B524" s="202"/>
      <c r="H524" s="202"/>
      <c r="I524" s="202"/>
    </row>
    <row r="525" spans="1:9">
      <c r="A525" s="202"/>
      <c r="B525" s="202"/>
      <c r="H525" s="202"/>
      <c r="I525" s="202"/>
    </row>
    <row r="526" spans="1:9">
      <c r="A526" s="202"/>
      <c r="B526" s="202"/>
      <c r="H526" s="202"/>
      <c r="I526" s="202"/>
    </row>
    <row r="527" spans="1:9">
      <c r="A527" s="202"/>
      <c r="B527" s="202"/>
      <c r="H527" s="202"/>
      <c r="I527" s="202"/>
    </row>
    <row r="528" spans="1:9">
      <c r="A528" s="202"/>
      <c r="B528" s="202"/>
      <c r="H528" s="202"/>
      <c r="I528" s="202"/>
    </row>
    <row r="529" spans="1:9">
      <c r="A529" s="202"/>
      <c r="B529" s="202"/>
      <c r="H529" s="202"/>
      <c r="I529" s="202"/>
    </row>
    <row r="530" spans="1:9">
      <c r="A530" s="202"/>
      <c r="B530" s="202"/>
      <c r="H530" s="202"/>
      <c r="I530" s="202"/>
    </row>
    <row r="531" spans="1:9">
      <c r="A531" s="202"/>
      <c r="B531" s="202"/>
      <c r="H531" s="202"/>
      <c r="I531" s="202"/>
    </row>
    <row r="532" spans="1:9">
      <c r="A532" s="202"/>
      <c r="B532" s="202"/>
      <c r="H532" s="202"/>
      <c r="I532" s="202"/>
    </row>
    <row r="533" spans="1:9">
      <c r="A533" s="202"/>
      <c r="B533" s="202"/>
      <c r="H533" s="202"/>
      <c r="I533" s="202"/>
    </row>
    <row r="534" spans="1:9">
      <c r="A534" s="202"/>
      <c r="B534" s="202"/>
      <c r="H534" s="202"/>
      <c r="I534" s="202"/>
    </row>
    <row r="535" spans="1:9">
      <c r="A535" s="202"/>
      <c r="B535" s="202"/>
      <c r="H535" s="202"/>
      <c r="I535" s="202"/>
    </row>
    <row r="536" spans="1:9">
      <c r="A536" s="202"/>
      <c r="B536" s="202"/>
      <c r="H536" s="202"/>
      <c r="I536" s="202"/>
    </row>
    <row r="537" spans="1:9">
      <c r="A537" s="202"/>
      <c r="B537" s="202"/>
      <c r="H537" s="202"/>
      <c r="I537" s="202"/>
    </row>
    <row r="538" spans="1:9">
      <c r="A538" s="202"/>
      <c r="B538" s="202"/>
      <c r="H538" s="202"/>
      <c r="I538" s="202"/>
    </row>
    <row r="539" spans="1:9">
      <c r="A539" s="202"/>
      <c r="B539" s="202"/>
      <c r="H539" s="202"/>
      <c r="I539" s="202"/>
    </row>
    <row r="540" spans="1:9">
      <c r="A540" s="202"/>
      <c r="B540" s="202"/>
      <c r="H540" s="202"/>
      <c r="I540" s="202"/>
    </row>
    <row r="541" spans="1:9">
      <c r="A541" s="202"/>
      <c r="B541" s="202"/>
      <c r="H541" s="202"/>
      <c r="I541" s="202"/>
    </row>
    <row r="542" spans="1:9">
      <c r="A542" s="202"/>
      <c r="B542" s="202"/>
      <c r="H542" s="202"/>
      <c r="I542" s="202"/>
    </row>
    <row r="543" spans="1:9">
      <c r="A543" s="202"/>
      <c r="B543" s="202"/>
      <c r="H543" s="202"/>
      <c r="I543" s="202"/>
    </row>
    <row r="544" spans="1:9">
      <c r="A544" s="202"/>
      <c r="B544" s="202"/>
      <c r="H544" s="202"/>
      <c r="I544" s="202"/>
    </row>
    <row r="545" spans="1:9">
      <c r="A545" s="202"/>
      <c r="B545" s="202"/>
      <c r="H545" s="202"/>
      <c r="I545" s="202"/>
    </row>
    <row r="546" spans="1:9">
      <c r="A546" s="202"/>
      <c r="B546" s="202"/>
      <c r="H546" s="202"/>
      <c r="I546" s="202"/>
    </row>
    <row r="547" spans="1:9">
      <c r="A547" s="202"/>
      <c r="B547" s="202"/>
      <c r="H547" s="202"/>
      <c r="I547" s="202"/>
    </row>
    <row r="548" spans="1:9">
      <c r="A548" s="202"/>
      <c r="B548" s="202"/>
      <c r="H548" s="202"/>
      <c r="I548" s="202"/>
    </row>
    <row r="549" spans="1:9">
      <c r="A549" s="202"/>
      <c r="B549" s="202"/>
      <c r="H549" s="202"/>
      <c r="I549" s="202"/>
    </row>
    <row r="550" spans="1:9">
      <c r="A550" s="202"/>
      <c r="B550" s="202"/>
      <c r="H550" s="202"/>
      <c r="I550" s="202"/>
    </row>
    <row r="551" spans="1:9">
      <c r="A551" s="202"/>
      <c r="B551" s="202"/>
      <c r="H551" s="202"/>
      <c r="I551" s="202"/>
    </row>
    <row r="552" spans="1:9">
      <c r="A552" s="202"/>
      <c r="B552" s="202"/>
      <c r="H552" s="202"/>
      <c r="I552" s="202"/>
    </row>
    <row r="553" spans="1:9">
      <c r="A553" s="202"/>
      <c r="B553" s="202"/>
      <c r="H553" s="202"/>
      <c r="I553" s="202"/>
    </row>
    <row r="554" spans="1:9">
      <c r="A554" s="202"/>
      <c r="B554" s="202"/>
      <c r="H554" s="202"/>
      <c r="I554" s="202"/>
    </row>
    <row r="555" spans="1:9">
      <c r="A555" s="202"/>
      <c r="B555" s="202"/>
      <c r="H555" s="202"/>
      <c r="I555" s="202"/>
    </row>
    <row r="556" spans="1:9">
      <c r="A556" s="202"/>
      <c r="B556" s="202"/>
      <c r="H556" s="202"/>
      <c r="I556" s="202"/>
    </row>
    <row r="557" spans="1:9">
      <c r="A557" s="202"/>
      <c r="B557" s="202"/>
      <c r="H557" s="202"/>
      <c r="I557" s="202"/>
    </row>
    <row r="558" spans="1:9">
      <c r="A558" s="202"/>
      <c r="B558" s="202"/>
      <c r="H558" s="202"/>
      <c r="I558" s="202"/>
    </row>
    <row r="559" spans="1:9">
      <c r="A559" s="202"/>
      <c r="B559" s="202"/>
      <c r="H559" s="202"/>
      <c r="I559" s="202"/>
    </row>
    <row r="560" spans="1:9">
      <c r="A560" s="202"/>
      <c r="B560" s="202"/>
      <c r="H560" s="202"/>
      <c r="I560" s="202"/>
    </row>
    <row r="561" spans="1:9">
      <c r="A561" s="202"/>
      <c r="B561" s="202"/>
      <c r="H561" s="202"/>
      <c r="I561" s="202"/>
    </row>
    <row r="562" spans="1:9">
      <c r="A562" s="202"/>
      <c r="B562" s="202"/>
      <c r="H562" s="202"/>
      <c r="I562" s="202"/>
    </row>
    <row r="563" spans="1:9">
      <c r="A563" s="202"/>
      <c r="B563" s="202"/>
      <c r="H563" s="202"/>
      <c r="I563" s="202"/>
    </row>
    <row r="564" spans="1:9">
      <c r="A564" s="202"/>
      <c r="B564" s="202"/>
      <c r="H564" s="202"/>
      <c r="I564" s="202"/>
    </row>
    <row r="565" spans="1:9">
      <c r="A565" s="202"/>
      <c r="B565" s="202"/>
      <c r="H565" s="202"/>
      <c r="I565" s="202"/>
    </row>
    <row r="566" spans="1:9">
      <c r="A566" s="202"/>
      <c r="B566" s="202"/>
      <c r="H566" s="202"/>
      <c r="I566" s="202"/>
    </row>
    <row r="567" spans="1:9">
      <c r="A567" s="202"/>
      <c r="B567" s="202"/>
      <c r="H567" s="202"/>
      <c r="I567" s="202"/>
    </row>
    <row r="568" spans="1:9">
      <c r="A568" s="202"/>
      <c r="B568" s="202"/>
      <c r="H568" s="202"/>
      <c r="I568" s="202"/>
    </row>
    <row r="569" spans="1:9">
      <c r="A569" s="202"/>
      <c r="B569" s="202"/>
      <c r="H569" s="202"/>
      <c r="I569" s="202"/>
    </row>
    <row r="570" spans="1:9">
      <c r="A570" s="202"/>
      <c r="B570" s="202"/>
      <c r="H570" s="202"/>
      <c r="I570" s="202"/>
    </row>
    <row r="571" spans="1:9">
      <c r="A571" s="202"/>
      <c r="B571" s="202"/>
      <c r="H571" s="202"/>
      <c r="I571" s="202"/>
    </row>
    <row r="572" spans="1:9">
      <c r="A572" s="202"/>
      <c r="B572" s="202"/>
      <c r="H572" s="202"/>
      <c r="I572" s="202"/>
    </row>
    <row r="573" spans="1:9">
      <c r="A573" s="202"/>
      <c r="B573" s="202"/>
      <c r="H573" s="202"/>
      <c r="I573" s="202"/>
    </row>
    <row r="574" spans="1:9">
      <c r="A574" s="202"/>
      <c r="B574" s="202"/>
      <c r="H574" s="202"/>
      <c r="I574" s="202"/>
    </row>
    <row r="575" spans="1:9">
      <c r="A575" s="202"/>
      <c r="B575" s="202"/>
      <c r="H575" s="202"/>
      <c r="I575" s="202"/>
    </row>
    <row r="576" spans="1:9">
      <c r="A576" s="202"/>
      <c r="B576" s="202"/>
      <c r="H576" s="202"/>
      <c r="I576" s="202"/>
    </row>
    <row r="577" spans="1:9">
      <c r="A577" s="202"/>
      <c r="B577" s="202"/>
      <c r="H577" s="202"/>
      <c r="I577" s="202"/>
    </row>
    <row r="578" spans="1:9">
      <c r="A578" s="202"/>
      <c r="B578" s="202"/>
      <c r="H578" s="202"/>
      <c r="I578" s="202"/>
    </row>
    <row r="579" spans="1:9">
      <c r="A579" s="202"/>
      <c r="B579" s="202"/>
      <c r="H579" s="202"/>
      <c r="I579" s="202"/>
    </row>
    <row r="580" spans="1:9">
      <c r="A580" s="202"/>
      <c r="B580" s="202"/>
      <c r="H580" s="202"/>
      <c r="I580" s="202"/>
    </row>
    <row r="581" spans="1:9">
      <c r="A581" s="202"/>
      <c r="B581" s="202"/>
      <c r="H581" s="202"/>
      <c r="I581" s="202"/>
    </row>
    <row r="582" spans="1:9">
      <c r="A582" s="202"/>
      <c r="B582" s="202"/>
      <c r="H582" s="202"/>
      <c r="I582" s="202"/>
    </row>
    <row r="583" spans="1:9">
      <c r="A583" s="202"/>
      <c r="B583" s="202"/>
      <c r="H583" s="202"/>
      <c r="I583" s="202"/>
    </row>
    <row r="584" spans="1:9">
      <c r="A584" s="202"/>
      <c r="B584" s="202"/>
      <c r="H584" s="202"/>
      <c r="I584" s="202"/>
    </row>
    <row r="585" spans="1:9">
      <c r="A585" s="202"/>
      <c r="B585" s="202"/>
      <c r="H585" s="202"/>
      <c r="I585" s="202"/>
    </row>
    <row r="586" spans="1:9">
      <c r="A586" s="202"/>
      <c r="B586" s="202"/>
      <c r="H586" s="202"/>
      <c r="I586" s="202"/>
    </row>
    <row r="587" spans="1:9">
      <c r="A587" s="202"/>
      <c r="B587" s="202"/>
      <c r="H587" s="202"/>
      <c r="I587" s="202"/>
    </row>
    <row r="588" spans="1:9">
      <c r="A588" s="202"/>
      <c r="B588" s="202"/>
      <c r="H588" s="202"/>
      <c r="I588" s="202"/>
    </row>
    <row r="589" spans="1:9">
      <c r="A589" s="202"/>
      <c r="B589" s="202"/>
      <c r="H589" s="202"/>
      <c r="I589" s="202"/>
    </row>
    <row r="590" spans="1:9">
      <c r="A590" s="202"/>
      <c r="B590" s="202"/>
      <c r="H590" s="202"/>
      <c r="I590" s="202"/>
    </row>
    <row r="591" spans="1:9">
      <c r="A591" s="202"/>
      <c r="B591" s="202"/>
      <c r="H591" s="202"/>
      <c r="I591" s="202"/>
    </row>
    <row r="592" spans="1:9">
      <c r="A592" s="202"/>
      <c r="B592" s="202"/>
      <c r="H592" s="202"/>
      <c r="I592" s="202"/>
    </row>
    <row r="593" spans="1:9">
      <c r="A593" s="202"/>
      <c r="B593" s="202"/>
      <c r="H593" s="202"/>
      <c r="I593" s="202"/>
    </row>
    <row r="594" spans="1:9">
      <c r="A594" s="202"/>
      <c r="B594" s="202"/>
      <c r="H594" s="202"/>
      <c r="I594" s="202"/>
    </row>
    <row r="595" spans="1:9">
      <c r="A595" s="202"/>
      <c r="B595" s="202"/>
      <c r="H595" s="202"/>
      <c r="I595" s="202"/>
    </row>
    <row r="596" spans="1:9">
      <c r="A596" s="202"/>
      <c r="B596" s="202"/>
      <c r="H596" s="202"/>
      <c r="I596" s="202"/>
    </row>
    <row r="597" spans="1:9">
      <c r="A597" s="202"/>
      <c r="B597" s="202"/>
      <c r="H597" s="202"/>
      <c r="I597" s="202"/>
    </row>
    <row r="598" spans="1:9">
      <c r="A598" s="202"/>
      <c r="B598" s="202"/>
      <c r="H598" s="202"/>
      <c r="I598" s="202"/>
    </row>
    <row r="599" spans="1:9">
      <c r="A599" s="202"/>
      <c r="B599" s="202"/>
      <c r="H599" s="202"/>
      <c r="I599" s="202"/>
    </row>
    <row r="600" spans="1:9">
      <c r="A600" s="202"/>
      <c r="B600" s="202"/>
      <c r="H600" s="202"/>
      <c r="I600" s="202"/>
    </row>
    <row r="601" spans="1:9">
      <c r="A601" s="202"/>
      <c r="B601" s="202"/>
      <c r="H601" s="202"/>
      <c r="I601" s="202"/>
    </row>
    <row r="602" spans="1:9">
      <c r="A602" s="202"/>
      <c r="B602" s="202"/>
      <c r="H602" s="202"/>
      <c r="I602" s="202"/>
    </row>
    <row r="603" spans="1:9">
      <c r="A603" s="202"/>
      <c r="B603" s="202"/>
      <c r="H603" s="202"/>
      <c r="I603" s="202"/>
    </row>
    <row r="604" spans="1:9">
      <c r="A604" s="202"/>
      <c r="B604" s="202"/>
      <c r="H604" s="202"/>
      <c r="I604" s="202"/>
    </row>
    <row r="605" spans="1:9">
      <c r="A605" s="202"/>
      <c r="B605" s="202"/>
      <c r="H605" s="202"/>
      <c r="I605" s="202"/>
    </row>
    <row r="606" spans="1:9">
      <c r="A606" s="202"/>
      <c r="B606" s="202"/>
      <c r="H606" s="202"/>
      <c r="I606" s="202"/>
    </row>
    <row r="607" spans="1:9">
      <c r="A607" s="202"/>
      <c r="B607" s="202"/>
      <c r="H607" s="202"/>
      <c r="I607" s="202"/>
    </row>
    <row r="608" spans="1:9">
      <c r="A608" s="202"/>
      <c r="B608" s="202"/>
      <c r="H608" s="202"/>
      <c r="I608" s="202"/>
    </row>
    <row r="609" spans="1:9">
      <c r="A609" s="202"/>
      <c r="B609" s="202"/>
      <c r="H609" s="202"/>
      <c r="I609" s="202"/>
    </row>
    <row r="610" spans="1:9">
      <c r="A610" s="202"/>
      <c r="B610" s="202"/>
      <c r="H610" s="202"/>
      <c r="I610" s="202"/>
    </row>
    <row r="611" spans="1:9">
      <c r="A611" s="202"/>
      <c r="B611" s="202"/>
      <c r="H611" s="202"/>
      <c r="I611" s="202"/>
    </row>
    <row r="612" spans="1:9">
      <c r="A612" s="202"/>
      <c r="B612" s="202"/>
      <c r="H612" s="202"/>
      <c r="I612" s="202"/>
    </row>
    <row r="613" spans="1:9">
      <c r="A613" s="202"/>
      <c r="B613" s="202"/>
      <c r="H613" s="202"/>
      <c r="I613" s="202"/>
    </row>
    <row r="614" spans="1:9">
      <c r="A614" s="202"/>
      <c r="B614" s="202"/>
      <c r="H614" s="202"/>
      <c r="I614" s="202"/>
    </row>
    <row r="615" spans="1:9">
      <c r="A615" s="202"/>
      <c r="B615" s="202"/>
      <c r="H615" s="202"/>
      <c r="I615" s="202"/>
    </row>
    <row r="616" spans="1:9">
      <c r="A616" s="202"/>
      <c r="B616" s="202"/>
      <c r="H616" s="202"/>
      <c r="I616" s="202"/>
    </row>
    <row r="617" spans="1:9">
      <c r="A617" s="202"/>
      <c r="B617" s="202"/>
      <c r="H617" s="202"/>
      <c r="I617" s="202"/>
    </row>
    <row r="618" spans="1:9">
      <c r="A618" s="202"/>
      <c r="B618" s="202"/>
      <c r="H618" s="202"/>
      <c r="I618" s="202"/>
    </row>
    <row r="619" spans="1:9">
      <c r="A619" s="202"/>
      <c r="B619" s="202"/>
      <c r="H619" s="202"/>
      <c r="I619" s="202"/>
    </row>
    <row r="620" spans="1:9">
      <c r="A620" s="202"/>
      <c r="B620" s="202"/>
      <c r="H620" s="202"/>
      <c r="I620" s="202"/>
    </row>
    <row r="621" spans="1:9">
      <c r="A621" s="202"/>
      <c r="B621" s="202"/>
      <c r="H621" s="202"/>
      <c r="I621" s="202"/>
    </row>
    <row r="622" spans="1:9">
      <c r="A622" s="202"/>
      <c r="B622" s="202"/>
      <c r="H622" s="202"/>
      <c r="I622" s="202"/>
    </row>
    <row r="623" spans="1:9">
      <c r="A623" s="202"/>
      <c r="B623" s="202"/>
      <c r="H623" s="202"/>
      <c r="I623" s="202"/>
    </row>
    <row r="624" spans="1:9">
      <c r="A624" s="202"/>
      <c r="B624" s="202"/>
      <c r="H624" s="202"/>
      <c r="I624" s="202"/>
    </row>
    <row r="625" spans="1:9">
      <c r="A625" s="202"/>
      <c r="B625" s="202"/>
      <c r="H625" s="202"/>
      <c r="I625" s="202"/>
    </row>
    <row r="626" spans="1:9">
      <c r="A626" s="202"/>
      <c r="B626" s="202"/>
      <c r="H626" s="202"/>
      <c r="I626" s="202"/>
    </row>
    <row r="627" spans="1:9">
      <c r="A627" s="202"/>
      <c r="B627" s="202"/>
      <c r="H627" s="202"/>
      <c r="I627" s="202"/>
    </row>
    <row r="628" spans="1:9">
      <c r="A628" s="202"/>
      <c r="B628" s="202"/>
      <c r="H628" s="202"/>
      <c r="I628" s="202"/>
    </row>
    <row r="629" spans="1:9">
      <c r="A629" s="202"/>
      <c r="B629" s="202"/>
      <c r="H629" s="202"/>
      <c r="I629" s="202"/>
    </row>
    <row r="630" spans="1:9">
      <c r="A630" s="202"/>
      <c r="B630" s="202"/>
      <c r="H630" s="202"/>
      <c r="I630" s="202"/>
    </row>
    <row r="631" spans="1:9">
      <c r="A631" s="202"/>
      <c r="B631" s="202"/>
      <c r="H631" s="202"/>
      <c r="I631" s="202"/>
    </row>
    <row r="632" spans="1:9">
      <c r="A632" s="202"/>
      <c r="B632" s="202"/>
      <c r="H632" s="202"/>
      <c r="I632" s="202"/>
    </row>
    <row r="633" spans="1:9">
      <c r="A633" s="202"/>
      <c r="B633" s="202"/>
      <c r="H633" s="202"/>
      <c r="I633" s="202"/>
    </row>
    <row r="634" spans="1:9">
      <c r="A634" s="202"/>
      <c r="B634" s="202"/>
      <c r="H634" s="202"/>
      <c r="I634" s="202"/>
    </row>
    <row r="635" spans="1:9">
      <c r="A635" s="202"/>
      <c r="B635" s="202"/>
      <c r="H635" s="202"/>
      <c r="I635" s="202"/>
    </row>
    <row r="636" spans="1:9">
      <c r="A636" s="202"/>
      <c r="B636" s="202"/>
      <c r="H636" s="202"/>
      <c r="I636" s="202"/>
    </row>
    <row r="637" spans="1:9">
      <c r="A637" s="202"/>
      <c r="B637" s="202"/>
      <c r="H637" s="202"/>
      <c r="I637" s="202"/>
    </row>
    <row r="638" spans="1:9">
      <c r="A638" s="202"/>
      <c r="B638" s="202"/>
      <c r="H638" s="202"/>
      <c r="I638" s="202"/>
    </row>
    <row r="639" spans="1:9">
      <c r="A639" s="202"/>
      <c r="B639" s="202"/>
      <c r="H639" s="202"/>
      <c r="I639" s="202"/>
    </row>
    <row r="640" spans="1:9">
      <c r="A640" s="202"/>
      <c r="B640" s="202"/>
      <c r="H640" s="202"/>
      <c r="I640" s="202"/>
    </row>
    <row r="641" spans="1:9">
      <c r="A641" s="202"/>
      <c r="B641" s="202"/>
      <c r="H641" s="202"/>
      <c r="I641" s="202"/>
    </row>
    <row r="642" spans="1:9">
      <c r="A642" s="202"/>
      <c r="B642" s="202"/>
      <c r="H642" s="202"/>
      <c r="I642" s="202"/>
    </row>
    <row r="643" spans="1:9">
      <c r="A643" s="202"/>
      <c r="B643" s="202"/>
      <c r="H643" s="202"/>
      <c r="I643" s="202"/>
    </row>
    <row r="644" spans="1:9">
      <c r="A644" s="202"/>
      <c r="B644" s="202"/>
      <c r="H644" s="202"/>
      <c r="I644" s="202"/>
    </row>
    <row r="645" spans="1:9">
      <c r="A645" s="202"/>
      <c r="B645" s="202"/>
      <c r="H645" s="202"/>
      <c r="I645" s="202"/>
    </row>
    <row r="646" spans="1:9">
      <c r="A646" s="202"/>
      <c r="B646" s="202"/>
      <c r="H646" s="202"/>
      <c r="I646" s="202"/>
    </row>
    <row r="647" spans="1:9">
      <c r="A647" s="202"/>
      <c r="B647" s="202"/>
      <c r="H647" s="202"/>
      <c r="I647" s="202"/>
    </row>
    <row r="648" spans="1:9">
      <c r="A648" s="202"/>
      <c r="B648" s="202"/>
      <c r="H648" s="202"/>
      <c r="I648" s="202"/>
    </row>
    <row r="649" spans="1:9">
      <c r="A649" s="202"/>
      <c r="B649" s="202"/>
      <c r="H649" s="202"/>
      <c r="I649" s="202"/>
    </row>
    <row r="650" spans="1:9">
      <c r="A650" s="202"/>
      <c r="B650" s="202"/>
      <c r="H650" s="202"/>
      <c r="I650" s="202"/>
    </row>
    <row r="651" spans="1:9">
      <c r="A651" s="202"/>
      <c r="B651" s="202"/>
      <c r="H651" s="202"/>
      <c r="I651" s="202"/>
    </row>
    <row r="652" spans="1:9">
      <c r="A652" s="202"/>
      <c r="B652" s="202"/>
      <c r="H652" s="202"/>
      <c r="I652" s="202"/>
    </row>
    <row r="653" spans="1:9">
      <c r="A653" s="202"/>
      <c r="B653" s="202"/>
      <c r="H653" s="202"/>
      <c r="I653" s="202"/>
    </row>
    <row r="654" spans="1:9">
      <c r="A654" s="202"/>
      <c r="B654" s="202"/>
      <c r="H654" s="202"/>
      <c r="I654" s="202"/>
    </row>
    <row r="655" spans="1:9">
      <c r="A655" s="202"/>
      <c r="B655" s="202"/>
      <c r="H655" s="202"/>
      <c r="I655" s="202"/>
    </row>
    <row r="656" spans="1:9">
      <c r="A656" s="202"/>
      <c r="B656" s="202"/>
      <c r="H656" s="202"/>
      <c r="I656" s="202"/>
    </row>
    <row r="657" spans="1:9">
      <c r="A657" s="202"/>
      <c r="B657" s="202"/>
      <c r="H657" s="202"/>
      <c r="I657" s="202"/>
    </row>
    <row r="658" spans="1:9">
      <c r="A658" s="202"/>
      <c r="B658" s="202"/>
      <c r="H658" s="202"/>
      <c r="I658" s="202"/>
    </row>
    <row r="659" spans="1:9">
      <c r="A659" s="202"/>
      <c r="B659" s="202"/>
      <c r="H659" s="202"/>
      <c r="I659" s="202"/>
    </row>
    <row r="660" spans="1:9">
      <c r="A660" s="202"/>
      <c r="B660" s="202"/>
      <c r="H660" s="202"/>
      <c r="I660" s="202"/>
    </row>
    <row r="661" spans="1:9">
      <c r="A661" s="202"/>
      <c r="B661" s="202"/>
      <c r="H661" s="202"/>
      <c r="I661" s="202"/>
    </row>
    <row r="662" spans="1:9">
      <c r="A662" s="202"/>
      <c r="B662" s="202"/>
      <c r="H662" s="202"/>
      <c r="I662" s="202"/>
    </row>
    <row r="663" spans="1:9">
      <c r="A663" s="202"/>
      <c r="B663" s="202"/>
      <c r="H663" s="202"/>
      <c r="I663" s="202"/>
    </row>
    <row r="664" spans="1:9">
      <c r="A664" s="202"/>
      <c r="B664" s="202"/>
      <c r="H664" s="202"/>
      <c r="I664" s="202"/>
    </row>
    <row r="665" spans="1:9">
      <c r="A665" s="202"/>
      <c r="B665" s="202"/>
      <c r="H665" s="202"/>
      <c r="I665" s="202"/>
    </row>
    <row r="666" spans="1:9">
      <c r="A666" s="202"/>
      <c r="B666" s="202"/>
      <c r="H666" s="202"/>
      <c r="I666" s="202"/>
    </row>
    <row r="667" spans="1:9">
      <c r="A667" s="202"/>
      <c r="B667" s="202"/>
      <c r="H667" s="202"/>
      <c r="I667" s="202"/>
    </row>
    <row r="668" spans="1:9">
      <c r="A668" s="202"/>
      <c r="B668" s="202"/>
      <c r="H668" s="202"/>
      <c r="I668" s="202"/>
    </row>
    <row r="669" spans="1:9">
      <c r="A669" s="202"/>
      <c r="B669" s="202"/>
      <c r="H669" s="202"/>
      <c r="I669" s="202"/>
    </row>
    <row r="670" spans="1:9">
      <c r="A670" s="202"/>
      <c r="B670" s="202"/>
      <c r="H670" s="202"/>
      <c r="I670" s="202"/>
    </row>
    <row r="671" spans="1:9">
      <c r="A671" s="202"/>
      <c r="B671" s="202"/>
      <c r="H671" s="202"/>
      <c r="I671" s="202"/>
    </row>
    <row r="672" spans="1:9">
      <c r="A672" s="202"/>
      <c r="B672" s="202"/>
      <c r="H672" s="202"/>
      <c r="I672" s="202"/>
    </row>
    <row r="673" spans="1:9">
      <c r="A673" s="202"/>
      <c r="B673" s="202"/>
      <c r="H673" s="202"/>
      <c r="I673" s="202"/>
    </row>
    <row r="674" spans="1:9">
      <c r="A674" s="202"/>
      <c r="B674" s="202"/>
      <c r="H674" s="202"/>
      <c r="I674" s="202"/>
    </row>
    <row r="675" spans="1:9">
      <c r="A675" s="202"/>
      <c r="B675" s="202"/>
      <c r="H675" s="202"/>
      <c r="I675" s="202"/>
    </row>
    <row r="676" spans="1:9">
      <c r="A676" s="202"/>
      <c r="B676" s="202"/>
      <c r="H676" s="202"/>
      <c r="I676" s="202"/>
    </row>
    <row r="677" spans="1:9">
      <c r="A677" s="202"/>
      <c r="B677" s="202"/>
      <c r="H677" s="202"/>
      <c r="I677" s="202"/>
    </row>
    <row r="678" spans="1:9">
      <c r="A678" s="202"/>
      <c r="B678" s="202"/>
      <c r="H678" s="202"/>
      <c r="I678" s="202"/>
    </row>
    <row r="679" spans="1:9">
      <c r="A679" s="202"/>
      <c r="B679" s="202"/>
      <c r="H679" s="202"/>
      <c r="I679" s="202"/>
    </row>
    <row r="680" spans="1:9">
      <c r="A680" s="202"/>
      <c r="B680" s="202"/>
      <c r="H680" s="202"/>
      <c r="I680" s="202"/>
    </row>
    <row r="681" spans="1:9">
      <c r="A681" s="202"/>
      <c r="B681" s="202"/>
      <c r="H681" s="202"/>
      <c r="I681" s="202"/>
    </row>
    <row r="682" spans="1:9">
      <c r="A682" s="202"/>
      <c r="B682" s="202"/>
      <c r="H682" s="202"/>
      <c r="I682" s="202"/>
    </row>
    <row r="683" spans="1:9">
      <c r="A683" s="202"/>
      <c r="B683" s="202"/>
      <c r="H683" s="202"/>
      <c r="I683" s="202"/>
    </row>
    <row r="684" spans="1:9">
      <c r="A684" s="202"/>
      <c r="B684" s="202"/>
      <c r="H684" s="202"/>
      <c r="I684" s="202"/>
    </row>
    <row r="685" spans="1:9">
      <c r="A685" s="202"/>
      <c r="B685" s="202"/>
      <c r="H685" s="202"/>
      <c r="I685" s="202"/>
    </row>
    <row r="686" spans="1:9">
      <c r="A686" s="202"/>
      <c r="B686" s="202"/>
      <c r="H686" s="202"/>
      <c r="I686" s="202"/>
    </row>
    <row r="687" spans="1:9">
      <c r="A687" s="202"/>
      <c r="B687" s="202"/>
      <c r="H687" s="202"/>
      <c r="I687" s="202"/>
    </row>
    <row r="688" spans="1:9">
      <c r="A688" s="202"/>
      <c r="B688" s="202"/>
      <c r="H688" s="202"/>
      <c r="I688" s="202"/>
    </row>
    <row r="689" spans="1:9">
      <c r="A689" s="202"/>
      <c r="B689" s="202"/>
      <c r="H689" s="202"/>
      <c r="I689" s="202"/>
    </row>
    <row r="690" spans="1:9">
      <c r="A690" s="202"/>
      <c r="B690" s="202"/>
      <c r="H690" s="202"/>
      <c r="I690" s="202"/>
    </row>
    <row r="691" spans="1:9">
      <c r="A691" s="202"/>
      <c r="B691" s="202"/>
      <c r="H691" s="202"/>
      <c r="I691" s="202"/>
    </row>
    <row r="692" spans="1:9">
      <c r="A692" s="202"/>
      <c r="B692" s="202"/>
      <c r="H692" s="202"/>
      <c r="I692" s="202"/>
    </row>
    <row r="693" spans="1:9">
      <c r="A693" s="202"/>
      <c r="B693" s="202"/>
      <c r="H693" s="202"/>
      <c r="I693" s="202"/>
    </row>
    <row r="694" spans="1:9">
      <c r="A694" s="202"/>
      <c r="B694" s="202"/>
      <c r="H694" s="202"/>
      <c r="I694" s="202"/>
    </row>
    <row r="695" spans="1:9">
      <c r="A695" s="202"/>
      <c r="B695" s="202"/>
      <c r="H695" s="202"/>
      <c r="I695" s="202"/>
    </row>
    <row r="696" spans="1:9">
      <c r="A696" s="202"/>
      <c r="B696" s="202"/>
      <c r="H696" s="202"/>
      <c r="I696" s="202"/>
    </row>
    <row r="697" spans="1:9">
      <c r="A697" s="202"/>
      <c r="B697" s="202"/>
      <c r="H697" s="202"/>
      <c r="I697" s="202"/>
    </row>
    <row r="698" spans="1:9">
      <c r="A698" s="202"/>
      <c r="B698" s="202"/>
      <c r="H698" s="202"/>
      <c r="I698" s="202"/>
    </row>
    <row r="699" spans="1:9">
      <c r="A699" s="202"/>
      <c r="B699" s="202"/>
      <c r="H699" s="202"/>
      <c r="I699" s="202"/>
    </row>
    <row r="700" spans="1:9">
      <c r="A700" s="202"/>
      <c r="B700" s="202"/>
      <c r="H700" s="202"/>
      <c r="I700" s="202"/>
    </row>
    <row r="701" spans="1:9">
      <c r="A701" s="202"/>
      <c r="B701" s="202"/>
      <c r="H701" s="202"/>
      <c r="I701" s="202"/>
    </row>
    <row r="702" spans="1:9">
      <c r="A702" s="202"/>
      <c r="B702" s="202"/>
      <c r="H702" s="202"/>
      <c r="I702" s="202"/>
    </row>
    <row r="703" spans="1:9">
      <c r="A703" s="202"/>
      <c r="B703" s="202"/>
      <c r="H703" s="202"/>
      <c r="I703" s="202"/>
    </row>
    <row r="704" spans="1:9">
      <c r="A704" s="202"/>
      <c r="B704" s="202"/>
      <c r="H704" s="202"/>
      <c r="I704" s="202"/>
    </row>
  </sheetData>
  <autoFilter ref="D73:D89" xr:uid="{D2629384-A237-4FB3-AE5F-548EAD2553B3}">
    <sortState xmlns:xlrd2="http://schemas.microsoft.com/office/spreadsheetml/2017/richdata2" ref="A75:E89">
      <sortCondition descending="1" ref="D73:D89"/>
    </sortState>
  </autoFilter>
  <mergeCells count="12">
    <mergeCell ref="C4:E4"/>
    <mergeCell ref="B4:B5"/>
    <mergeCell ref="A4:A5"/>
    <mergeCell ref="A72:A73"/>
    <mergeCell ref="B72:B73"/>
    <mergeCell ref="C72:E72"/>
    <mergeCell ref="J72:L72"/>
    <mergeCell ref="A96:A97"/>
    <mergeCell ref="B96:B97"/>
    <mergeCell ref="C96:E96"/>
    <mergeCell ref="H72:H73"/>
    <mergeCell ref="I72:I73"/>
  </mergeCells>
  <dataValidations count="1">
    <dataValidation type="list" allowBlank="1" showInputMessage="1" showErrorMessage="1" sqref="A71 B68:B71 A69 B93:B95 A92:A93 A95 A116:A704 B116 B118:B704" xr:uid="{10D1FB5E-DCCD-47CC-8052-5B0BD2741197}">
      <formula1>Compadjust</formula1>
    </dataValidation>
  </dataValidation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C9FF-81C8-4BAC-9396-EB83D5357C50}">
  <sheetPr codeName="Feuil82">
    <tabColor rgb="FFFFFF00"/>
  </sheetPr>
  <dimension ref="A1:M642"/>
  <sheetViews>
    <sheetView showGridLines="0" topLeftCell="A120" zoomScaleNormal="100" workbookViewId="0">
      <selection activeCell="A142" sqref="A142"/>
    </sheetView>
  </sheetViews>
  <sheetFormatPr baseColWidth="10" defaultColWidth="11.54296875" defaultRowHeight="12"/>
  <cols>
    <col min="1" max="1" width="56" style="62" customWidth="1"/>
    <col min="2" max="2" width="12.453125" style="62" customWidth="1"/>
    <col min="3" max="3" width="14.7265625" style="63" bestFit="1" customWidth="1"/>
    <col min="4" max="4" width="20.54296875" style="63" bestFit="1" customWidth="1"/>
    <col min="5" max="5" width="16.7265625" style="63" bestFit="1" customWidth="1"/>
    <col min="6" max="6" width="14.7265625" style="460" bestFit="1" customWidth="1"/>
    <col min="7" max="7" width="13" style="460" bestFit="1" customWidth="1"/>
    <col min="8" max="8" width="56" style="62" customWidth="1"/>
    <col min="9" max="9" width="12.453125" style="62" customWidth="1"/>
    <col min="10" max="10" width="14.7265625" style="63" bestFit="1" customWidth="1"/>
    <col min="11" max="11" width="20.54296875" style="63" bestFit="1" customWidth="1"/>
    <col min="12" max="12" width="16.7265625" style="63" bestFit="1" customWidth="1"/>
    <col min="13" max="16384" width="11.54296875" style="63"/>
  </cols>
  <sheetData>
    <row r="1" spans="1:13" ht="13.5" hidden="1" customHeight="1">
      <c r="A1" s="844" t="s">
        <v>258</v>
      </c>
      <c r="B1" s="844" t="s">
        <v>259</v>
      </c>
      <c r="C1" s="844" t="s">
        <v>73</v>
      </c>
      <c r="D1" s="844"/>
      <c r="E1" s="844"/>
      <c r="H1" s="60"/>
      <c r="I1" s="60"/>
      <c r="J1" s="60"/>
      <c r="K1" s="60"/>
      <c r="L1" s="60"/>
      <c r="M1" s="60"/>
    </row>
    <row r="2" spans="1:13" ht="12.5" hidden="1" thickBot="1">
      <c r="A2" s="801"/>
      <c r="B2" s="801"/>
      <c r="C2" s="453" t="s">
        <v>71</v>
      </c>
      <c r="D2" s="453" t="s">
        <v>30</v>
      </c>
      <c r="E2" s="454" t="s">
        <v>70</v>
      </c>
      <c r="H2" s="60"/>
      <c r="I2" s="60"/>
      <c r="J2" s="60"/>
      <c r="K2" s="60"/>
      <c r="L2" s="60"/>
      <c r="M2" s="60"/>
    </row>
    <row r="3" spans="1:13" ht="12.5" hidden="1" thickTop="1">
      <c r="A3" s="443" t="s">
        <v>165</v>
      </c>
      <c r="B3" s="455" t="s">
        <v>166</v>
      </c>
      <c r="C3" s="465">
        <f>+'17'!G10+'18'!G10+'19'!G10+'20'!G10+'21'!G10+'22'!G10+'23'!G10+'24'!G10+'25'!G10</f>
        <v>1540558</v>
      </c>
      <c r="D3" s="465">
        <f>+'17'!K10+'18'!K10+'19'!K10+'20'!K10+'21'!K10+'22'!K10+'23'!K10+'24'!K10+'25'!K10</f>
        <v>23598149</v>
      </c>
      <c r="E3" s="465">
        <f t="shared" ref="E3:E56" si="0">C3-D3</f>
        <v>-22057591</v>
      </c>
      <c r="H3" s="60"/>
      <c r="I3" s="60"/>
      <c r="J3" s="60"/>
      <c r="K3" s="60"/>
      <c r="L3" s="60"/>
      <c r="M3" s="60"/>
    </row>
    <row r="4" spans="1:13" hidden="1">
      <c r="A4" s="445" t="s">
        <v>167</v>
      </c>
      <c r="B4" s="457" t="s">
        <v>166</v>
      </c>
      <c r="C4" s="466">
        <f>+'17'!G11+'18'!G11+'19'!G11+'20'!G11+'21'!G11+'22'!G11+'23'!G11+'24'!G11+'25'!G11</f>
        <v>56061000</v>
      </c>
      <c r="D4" s="466">
        <f>+'17'!K11+'18'!K11+'19'!K11+'20'!K11+'21'!K11+'22'!K11+'23'!K11+'24'!K11+'25'!K11</f>
        <v>413547941</v>
      </c>
      <c r="E4" s="466">
        <f t="shared" si="0"/>
        <v>-357486941</v>
      </c>
      <c r="H4" s="60"/>
      <c r="I4" s="60"/>
      <c r="J4" s="60"/>
      <c r="K4" s="60"/>
      <c r="L4" s="60"/>
      <c r="M4" s="60"/>
    </row>
    <row r="5" spans="1:13" ht="15" hidden="1" customHeight="1">
      <c r="A5" s="459" t="s">
        <v>168</v>
      </c>
      <c r="B5" s="461"/>
      <c r="C5" s="460">
        <f>+'17'!G12+'18'!G12+'19'!G12+'20'!G12+'21'!G12+'22'!G12+'23'!G12+'24'!G12+'25'!G12</f>
        <v>0</v>
      </c>
      <c r="D5" s="458">
        <f ca="1">+'17'!K12+'18'!K12+'19'!K12+'20'!K12+'21'!K12+'22'!K12+'23'!K12+'24'!K12+'25'!K12</f>
        <v>0</v>
      </c>
      <c r="E5" s="458">
        <f t="shared" ca="1" si="0"/>
        <v>0</v>
      </c>
      <c r="H5" s="60"/>
      <c r="I5" s="60"/>
      <c r="J5" s="60"/>
      <c r="K5" s="60"/>
      <c r="L5" s="60"/>
      <c r="M5" s="60"/>
    </row>
    <row r="6" spans="1:13" ht="15" hidden="1" customHeight="1">
      <c r="A6" s="461" t="s">
        <v>169</v>
      </c>
      <c r="B6" s="461"/>
      <c r="C6" s="460">
        <f>+'17'!G14+'18'!G14+'19'!G14+'20'!G14+'21'!G14+'22'!G14+'23'!G14+'24'!G14+'25'!G14</f>
        <v>0</v>
      </c>
      <c r="D6" s="458">
        <f ca="1">+'17'!K14+'18'!K14+'19'!K14+'20'!K14+'21'!K14+'22'!K14+'23'!K14+'24'!K14+'25'!K14</f>
        <v>0</v>
      </c>
      <c r="E6" s="458">
        <f t="shared" ca="1" si="0"/>
        <v>0</v>
      </c>
      <c r="H6" s="60"/>
      <c r="I6" s="60"/>
      <c r="J6" s="60"/>
      <c r="K6" s="60"/>
      <c r="L6" s="60"/>
      <c r="M6" s="60"/>
    </row>
    <row r="7" spans="1:13" ht="30" hidden="1" customHeight="1">
      <c r="A7" s="462" t="s">
        <v>223</v>
      </c>
      <c r="B7" s="457"/>
      <c r="C7" s="460">
        <f>+'17'!G16+'18'!G16+'19'!G16+'20'!G16+'21'!G16+'22'!G16+'23'!G16+'24'!G16+'25'!G16</f>
        <v>0</v>
      </c>
      <c r="D7" s="458">
        <f ca="1">+'17'!K16+'18'!K16+'19'!K16+'20'!K16+'21'!K16+'22'!K16+'23'!K16+'24'!K16+'25'!K16</f>
        <v>0</v>
      </c>
      <c r="E7" s="458">
        <f t="shared" ca="1" si="0"/>
        <v>0</v>
      </c>
      <c r="H7" s="60"/>
      <c r="I7" s="60"/>
      <c r="J7" s="60"/>
      <c r="K7" s="60"/>
      <c r="L7" s="60"/>
      <c r="M7" s="60"/>
    </row>
    <row r="8" spans="1:13" ht="15" hidden="1" customHeight="1">
      <c r="A8" s="461" t="s">
        <v>171</v>
      </c>
      <c r="B8" s="461"/>
      <c r="C8" s="460">
        <f>+'17'!G18+'18'!G18+'19'!G18+'20'!G18+'21'!G18+'22'!G18+'23'!G18+'24'!G18+'25'!G18</f>
        <v>0</v>
      </c>
      <c r="D8" s="458">
        <f ca="1">+'17'!K18+'18'!K18+'19'!K18+'20'!K18+'21'!K18+'22'!K18+'23'!K18+'24'!K18+'25'!K18</f>
        <v>0</v>
      </c>
      <c r="E8" s="458">
        <f t="shared" ca="1" si="0"/>
        <v>0</v>
      </c>
      <c r="H8" s="60"/>
      <c r="I8" s="60"/>
      <c r="J8" s="60"/>
      <c r="K8" s="60"/>
      <c r="L8" s="60"/>
      <c r="M8" s="60"/>
    </row>
    <row r="9" spans="1:13" hidden="1">
      <c r="A9" s="443" t="s">
        <v>172</v>
      </c>
      <c r="B9" s="455" t="s">
        <v>81</v>
      </c>
      <c r="C9" s="465">
        <f>+'17'!G19+'18'!G19+'19'!G19+'20'!G19+'21'!G19+'22'!G19+'23'!G19+'24'!G19+'25'!G19</f>
        <v>53782820</v>
      </c>
      <c r="D9" s="465">
        <f ca="1">+'17'!K19+'18'!K19+'19'!K19+'20'!K19+'21'!K19+'22'!K19+'23'!K19+'24'!K19+'25'!K19</f>
        <v>38316926</v>
      </c>
      <c r="E9" s="465">
        <f t="shared" ca="1" si="0"/>
        <v>15465894</v>
      </c>
      <c r="H9" s="60"/>
      <c r="I9" s="60"/>
      <c r="J9" s="60"/>
      <c r="K9" s="60"/>
      <c r="L9" s="60"/>
      <c r="M9" s="60"/>
    </row>
    <row r="10" spans="1:13" hidden="1">
      <c r="A10" s="445" t="s">
        <v>173</v>
      </c>
      <c r="B10" s="457" t="s">
        <v>81</v>
      </c>
      <c r="C10" s="466">
        <f>+'17'!G20+'18'!G20+'19'!G20+'20'!G20+'21'!G20+'22'!G20+'23'!G20+'24'!G20+'25'!G20</f>
        <v>7048400</v>
      </c>
      <c r="D10" s="466">
        <f ca="1">+'17'!K20+'18'!K20+'19'!K20+'20'!K20+'21'!K20+'22'!K20+'23'!K20+'24'!K20+'25'!K20</f>
        <v>6624000</v>
      </c>
      <c r="E10" s="466">
        <f t="shared" ca="1" si="0"/>
        <v>424400</v>
      </c>
      <c r="H10" s="60"/>
      <c r="I10" s="60"/>
      <c r="J10" s="60"/>
      <c r="K10" s="60"/>
      <c r="L10" s="60"/>
      <c r="M10" s="60"/>
    </row>
    <row r="11" spans="1:13" hidden="1">
      <c r="A11" s="443" t="s">
        <v>174</v>
      </c>
      <c r="B11" s="455" t="s">
        <v>81</v>
      </c>
      <c r="C11" s="465">
        <f>+'17'!G21+'18'!G21+'19'!G21+'20'!G21+'21'!G21+'22'!G21+'23'!G21+'24'!G21+'25'!G21</f>
        <v>22765838</v>
      </c>
      <c r="D11" s="465">
        <f ca="1">+'17'!K21+'18'!K21+'19'!K21+'20'!K21+'21'!K21+'22'!K21+'23'!K21+'24'!K21+'25'!K21</f>
        <v>49205634</v>
      </c>
      <c r="E11" s="465">
        <f t="shared" ca="1" si="0"/>
        <v>-26439796</v>
      </c>
      <c r="H11" s="60"/>
      <c r="I11" s="60"/>
      <c r="J11" s="60"/>
      <c r="K11" s="60"/>
      <c r="L11" s="60"/>
      <c r="M11" s="60"/>
    </row>
    <row r="12" spans="1:13" hidden="1">
      <c r="A12" s="445" t="s">
        <v>175</v>
      </c>
      <c r="B12" s="457" t="s">
        <v>81</v>
      </c>
      <c r="C12" s="466">
        <f>+'17'!G22+'18'!G22+'19'!G22+'20'!G22+'21'!G22+'22'!G22+'23'!G22+'24'!G22+'25'!G22</f>
        <v>0</v>
      </c>
      <c r="D12" s="466">
        <f ca="1">+'17'!K22+'18'!K22+'19'!K22+'20'!K22+'21'!K22+'22'!K22+'23'!K22+'24'!K22+'25'!K22</f>
        <v>23903895</v>
      </c>
      <c r="E12" s="466">
        <f t="shared" ca="1" si="0"/>
        <v>-23903895</v>
      </c>
      <c r="H12" s="60"/>
      <c r="I12" s="60"/>
      <c r="J12" s="60"/>
      <c r="K12" s="60"/>
      <c r="L12" s="60"/>
      <c r="M12" s="60"/>
    </row>
    <row r="13" spans="1:13" hidden="1">
      <c r="A13" s="443" t="s">
        <v>176</v>
      </c>
      <c r="B13" s="455" t="s">
        <v>81</v>
      </c>
      <c r="C13" s="465">
        <f>+'17'!G23+'18'!G23+'19'!G23+'20'!G23+'21'!G23+'22'!G23+'23'!G23+'24'!G23+'25'!G23</f>
        <v>126326400</v>
      </c>
      <c r="D13" s="465">
        <f ca="1">+'17'!K23+'18'!K23+'19'!K23+'20'!K23+'21'!K23+'22'!K23+'23'!K23+'24'!K23+'25'!K23</f>
        <v>1168978731.4285715</v>
      </c>
      <c r="E13" s="465">
        <f t="shared" ca="1" si="0"/>
        <v>-1042652331.4285715</v>
      </c>
      <c r="H13" s="60"/>
      <c r="I13" s="60"/>
      <c r="J13" s="60"/>
      <c r="K13" s="60"/>
      <c r="L13" s="60"/>
      <c r="M13" s="60"/>
    </row>
    <row r="14" spans="1:13" hidden="1">
      <c r="A14" s="445" t="s">
        <v>80</v>
      </c>
      <c r="B14" s="457" t="s">
        <v>81</v>
      </c>
      <c r="C14" s="466">
        <f>+'17'!G24+'18'!G24+'19'!G24+'20'!G24+'21'!G24+'22'!G24+'23'!G24+'24'!G24+'25'!G24</f>
        <v>7487109</v>
      </c>
      <c r="D14" s="466">
        <f ca="1">+'17'!K24+'18'!K24+'19'!K24+'20'!K24+'21'!K24+'22'!K24+'23'!K24+'24'!K24+'25'!K24</f>
        <v>18611493</v>
      </c>
      <c r="E14" s="466">
        <f t="shared" ca="1" si="0"/>
        <v>-11124384</v>
      </c>
      <c r="H14" s="60"/>
      <c r="I14" s="60"/>
      <c r="J14" s="60"/>
      <c r="K14" s="60"/>
      <c r="L14" s="60"/>
      <c r="M14" s="60"/>
    </row>
    <row r="15" spans="1:13" hidden="1">
      <c r="A15" s="443" t="s">
        <v>177</v>
      </c>
      <c r="B15" s="455" t="s">
        <v>81</v>
      </c>
      <c r="C15" s="465">
        <f>+'17'!G25+'18'!G25+'19'!G25+'20'!G25+'21'!G25+'22'!G25+'23'!G25+'24'!G25+'25'!G25</f>
        <v>100766709</v>
      </c>
      <c r="D15" s="465">
        <f ca="1">+'17'!K25+'18'!K25+'19'!K25+'20'!K25+'21'!K25+'22'!K25+'23'!K25+'24'!K25+'25'!K25</f>
        <v>738030466</v>
      </c>
      <c r="E15" s="465">
        <f t="shared" ca="1" si="0"/>
        <v>-637263757</v>
      </c>
      <c r="H15" s="60"/>
      <c r="I15" s="60"/>
      <c r="J15" s="60"/>
      <c r="K15" s="60"/>
      <c r="L15" s="60"/>
      <c r="M15" s="60"/>
    </row>
    <row r="16" spans="1:13" hidden="1">
      <c r="A16" s="445" t="s">
        <v>178</v>
      </c>
      <c r="B16" s="457" t="s">
        <v>81</v>
      </c>
      <c r="C16" s="466">
        <f>+'17'!G26+'18'!G26+'19'!G26+'20'!G26+'21'!G26+'22'!G26+'23'!G26+'24'!G26+'25'!G26</f>
        <v>65315205</v>
      </c>
      <c r="D16" s="466">
        <f ca="1">+'17'!K26+'18'!K26+'19'!K26+'20'!K26+'21'!K26+'22'!K26+'23'!K26+'24'!K26+'25'!K26</f>
        <v>375576540</v>
      </c>
      <c r="E16" s="466">
        <f t="shared" ca="1" si="0"/>
        <v>-310261335</v>
      </c>
      <c r="H16" s="60"/>
      <c r="I16" s="60"/>
      <c r="J16" s="60"/>
      <c r="K16" s="60"/>
      <c r="L16" s="60"/>
      <c r="M16" s="60"/>
    </row>
    <row r="17" spans="1:13" hidden="1">
      <c r="A17" s="443" t="s">
        <v>179</v>
      </c>
      <c r="B17" s="455" t="s">
        <v>81</v>
      </c>
      <c r="C17" s="465">
        <f>+'17'!G27+'18'!G27+'19'!G27+'20'!G27+'21'!G27+'22'!G27+'23'!G27+'24'!G27+'25'!G27</f>
        <v>15427409</v>
      </c>
      <c r="D17" s="465">
        <f ca="1">+'17'!K27+'18'!K27+'19'!K27+'20'!K27+'21'!K27+'22'!K27+'23'!K27+'24'!K27+'25'!K27</f>
        <v>4290500</v>
      </c>
      <c r="E17" s="465">
        <f t="shared" ca="1" si="0"/>
        <v>11136909</v>
      </c>
      <c r="H17" s="60"/>
      <c r="I17" s="60"/>
      <c r="J17" s="60"/>
      <c r="K17" s="60"/>
      <c r="L17" s="60"/>
      <c r="M17" s="60"/>
    </row>
    <row r="18" spans="1:13" hidden="1">
      <c r="A18" s="445" t="s">
        <v>180</v>
      </c>
      <c r="B18" s="457" t="s">
        <v>81</v>
      </c>
      <c r="C18" s="466">
        <f>+'17'!G28+'18'!G28+'19'!G28+'20'!G28+'21'!G28+'22'!G28+'23'!G28+'24'!G28+'25'!G28</f>
        <v>9120578</v>
      </c>
      <c r="D18" s="466">
        <f ca="1">+'17'!K28+'18'!K28+'19'!K28+'20'!K28+'21'!K28+'22'!K28+'23'!K28+'24'!K28+'25'!K28</f>
        <v>43550545</v>
      </c>
      <c r="E18" s="466">
        <f t="shared" ca="1" si="0"/>
        <v>-34429967</v>
      </c>
      <c r="H18" s="60"/>
      <c r="I18" s="60"/>
      <c r="J18" s="60"/>
      <c r="K18" s="60"/>
      <c r="L18" s="60"/>
      <c r="M18" s="60"/>
    </row>
    <row r="19" spans="1:13" hidden="1">
      <c r="A19" s="443" t="s">
        <v>181</v>
      </c>
      <c r="B19" s="455" t="s">
        <v>81</v>
      </c>
      <c r="C19" s="465">
        <f>+'17'!G29+'18'!G29+'19'!G29+'20'!G29+'21'!G29+'22'!G29+'23'!G29+'24'!G29+'25'!G29</f>
        <v>9793615.3900000006</v>
      </c>
      <c r="D19" s="465">
        <f ca="1">+'17'!K29+'18'!K29+'19'!K29+'20'!K29+'21'!K29+'22'!K29+'23'!K29+'24'!K29+'25'!K29</f>
        <v>24472985</v>
      </c>
      <c r="E19" s="465">
        <f t="shared" ca="1" si="0"/>
        <v>-14679369.609999999</v>
      </c>
      <c r="H19" s="60"/>
      <c r="I19" s="60"/>
      <c r="J19" s="60"/>
      <c r="K19" s="60"/>
      <c r="L19" s="60"/>
      <c r="M19" s="60"/>
    </row>
    <row r="20" spans="1:13" s="467" customFormat="1" hidden="1">
      <c r="A20" s="445" t="s">
        <v>182</v>
      </c>
      <c r="B20" s="457" t="s">
        <v>81</v>
      </c>
      <c r="C20" s="466">
        <f>+'17'!G30+'18'!G30+'19'!G30+'20'!G30+'21'!G30+'22'!G30+'23'!G30+'24'!G30+'25'!G30</f>
        <v>16736858.609999999</v>
      </c>
      <c r="D20" s="466">
        <f ca="1">+'17'!K30+'18'!K30+'19'!K30+'20'!K30+'21'!K30+'22'!K30+'23'!K30+'24'!K30+'25'!K30</f>
        <v>23460390</v>
      </c>
      <c r="E20" s="466">
        <f t="shared" ca="1" si="0"/>
        <v>-6723531.3900000006</v>
      </c>
      <c r="F20" s="460"/>
      <c r="G20" s="460"/>
      <c r="H20" s="60"/>
      <c r="I20" s="60"/>
      <c r="J20" s="60"/>
      <c r="K20" s="60"/>
      <c r="L20" s="60"/>
      <c r="M20" s="60"/>
    </row>
    <row r="21" spans="1:13" hidden="1">
      <c r="A21" s="443" t="s">
        <v>183</v>
      </c>
      <c r="B21" s="455" t="s">
        <v>81</v>
      </c>
      <c r="C21" s="465">
        <f>+'17'!G31+'18'!G31+'19'!G31+'20'!G31+'21'!G31+'22'!G31+'23'!G31+'24'!G31+'25'!G31</f>
        <v>0</v>
      </c>
      <c r="D21" s="465">
        <f ca="1">+'17'!K31+'18'!K31+'19'!K31+'20'!K31+'21'!K31+'22'!K31+'23'!K31+'24'!K31+'25'!K31</f>
        <v>2136836</v>
      </c>
      <c r="E21" s="465">
        <f t="shared" ca="1" si="0"/>
        <v>-2136836</v>
      </c>
      <c r="H21" s="60"/>
      <c r="I21" s="60"/>
      <c r="J21" s="60"/>
      <c r="K21" s="60"/>
      <c r="L21" s="60"/>
      <c r="M21" s="60"/>
    </row>
    <row r="22" spans="1:13" hidden="1">
      <c r="A22" s="445" t="s">
        <v>184</v>
      </c>
      <c r="B22" s="457" t="s">
        <v>81</v>
      </c>
      <c r="C22" s="466">
        <f>+'17'!G32+'18'!G32+'19'!G32+'20'!G32+'21'!G32+'22'!G32+'23'!G32+'24'!G32+'25'!G32</f>
        <v>0</v>
      </c>
      <c r="D22" s="466">
        <f ca="1">+'17'!K32+'18'!K32+'19'!K32+'20'!K32+'21'!K32+'22'!K32+'23'!K32+'24'!K32+'25'!K32</f>
        <v>90000</v>
      </c>
      <c r="E22" s="466">
        <f t="shared" ca="1" si="0"/>
        <v>-90000</v>
      </c>
      <c r="H22" s="60"/>
      <c r="I22" s="60"/>
      <c r="J22" s="60"/>
      <c r="K22" s="60"/>
      <c r="L22" s="60"/>
      <c r="M22" s="60"/>
    </row>
    <row r="23" spans="1:13" ht="15" hidden="1" customHeight="1">
      <c r="A23" s="459" t="s">
        <v>185</v>
      </c>
      <c r="B23" s="459"/>
      <c r="C23" s="468">
        <f>+'17'!G33+'18'!G33+'19'!G33+'20'!G33+'21'!G33+'22'!G33+'23'!G33+'24'!G33+'25'!G33</f>
        <v>0</v>
      </c>
      <c r="D23" s="466">
        <f ca="1">+'17'!K33+'18'!K33+'19'!K33+'20'!K33+'21'!K33+'22'!K33+'23'!K33+'24'!K33+'25'!K33</f>
        <v>0</v>
      </c>
      <c r="E23" s="466">
        <f t="shared" ca="1" si="0"/>
        <v>0</v>
      </c>
      <c r="H23" s="60"/>
      <c r="I23" s="60"/>
      <c r="J23" s="60"/>
      <c r="K23" s="60"/>
      <c r="L23" s="60"/>
      <c r="M23" s="60"/>
    </row>
    <row r="24" spans="1:13" ht="30" hidden="1" customHeight="1">
      <c r="A24" s="463" t="s">
        <v>186</v>
      </c>
      <c r="B24" s="461"/>
      <c r="C24" s="468">
        <f>+'17'!G34+'18'!G34+'19'!G34+'20'!G34+'21'!G34+'22'!G34+'23'!G34+'24'!G34+'25'!G34</f>
        <v>0</v>
      </c>
      <c r="D24" s="466">
        <f ca="1">+'17'!K34+'18'!K34+'19'!K34+'20'!K34+'21'!K34+'22'!K34+'23'!K34+'24'!K34+'25'!K34</f>
        <v>0</v>
      </c>
      <c r="E24" s="466">
        <f t="shared" ca="1" si="0"/>
        <v>0</v>
      </c>
      <c r="H24" s="60"/>
      <c r="I24" s="60"/>
      <c r="J24" s="60"/>
      <c r="K24" s="60"/>
      <c r="L24" s="60"/>
      <c r="M24" s="60"/>
    </row>
    <row r="25" spans="1:13" ht="15" hidden="1" customHeight="1">
      <c r="A25" s="459" t="s">
        <v>187</v>
      </c>
      <c r="B25" s="459"/>
      <c r="C25" s="468">
        <f>+'17'!G35+'18'!G35+'19'!G35+'20'!G35+'21'!G35+'22'!G35+'23'!G35+'24'!G35+'25'!G35</f>
        <v>0</v>
      </c>
      <c r="D25" s="466">
        <f ca="1">+'17'!K35+'18'!K35+'19'!K35+'20'!K35+'21'!K35+'22'!K35+'23'!K35+'24'!K35+'25'!K35</f>
        <v>0</v>
      </c>
      <c r="E25" s="466">
        <f t="shared" ca="1" si="0"/>
        <v>0</v>
      </c>
      <c r="H25" s="60"/>
      <c r="I25" s="60"/>
      <c r="J25" s="60"/>
      <c r="K25" s="60"/>
      <c r="L25" s="60"/>
      <c r="M25" s="60"/>
    </row>
    <row r="26" spans="1:13" ht="15" hidden="1" customHeight="1">
      <c r="A26" s="461" t="s">
        <v>188</v>
      </c>
      <c r="B26" s="463"/>
      <c r="C26" s="468">
        <f>+'17'!G36+'18'!G36+'19'!G36+'20'!G36+'21'!G36+'22'!G36+'23'!G36+'24'!G36+'25'!G36</f>
        <v>0</v>
      </c>
      <c r="D26" s="466">
        <f ca="1">+'17'!K36+'18'!K36+'19'!K36+'20'!K36+'21'!K36+'22'!K36+'23'!K36+'24'!K36+'25'!K36</f>
        <v>0</v>
      </c>
      <c r="E26" s="466">
        <f t="shared" ca="1" si="0"/>
        <v>0</v>
      </c>
      <c r="H26" s="60"/>
      <c r="I26" s="60"/>
      <c r="J26" s="60"/>
      <c r="K26" s="60"/>
      <c r="L26" s="60"/>
      <c r="M26" s="60"/>
    </row>
    <row r="27" spans="1:13" hidden="1">
      <c r="A27" s="443" t="s">
        <v>189</v>
      </c>
      <c r="B27" s="455" t="s">
        <v>81</v>
      </c>
      <c r="C27" s="465">
        <f>+'17'!G37+'18'!G37+'19'!G37+'20'!G37+'21'!G37+'22'!G37+'23'!G37+'24'!G37+'25'!G37</f>
        <v>2500000</v>
      </c>
      <c r="D27" s="465">
        <f ca="1">+'17'!K37+'18'!K37+'19'!K37+'20'!K37+'21'!K37+'22'!K37+'23'!K37+'24'!K37+'25'!K37</f>
        <v>0</v>
      </c>
      <c r="E27" s="465">
        <f t="shared" ca="1" si="0"/>
        <v>2500000</v>
      </c>
      <c r="H27" s="60"/>
      <c r="I27" s="60"/>
      <c r="J27" s="60"/>
      <c r="K27" s="60"/>
      <c r="L27" s="60"/>
      <c r="M27" s="60"/>
    </row>
    <row r="28" spans="1:13" ht="15" hidden="1" customHeight="1">
      <c r="A28" s="445" t="s">
        <v>190</v>
      </c>
      <c r="B28" s="457"/>
      <c r="C28" s="466">
        <f>+'17'!G38+'18'!G38+'19'!G38+'20'!G38+'21'!G38+'22'!G38+'23'!G38+'24'!G38+'25'!G38</f>
        <v>0</v>
      </c>
      <c r="D28" s="466">
        <f ca="1">+'17'!K38+'18'!K38+'19'!K38+'20'!K38+'21'!K38+'22'!K38+'23'!K38+'24'!K38+'25'!K38</f>
        <v>0</v>
      </c>
      <c r="E28" s="466">
        <f t="shared" ca="1" si="0"/>
        <v>0</v>
      </c>
      <c r="H28" s="60"/>
      <c r="I28" s="60"/>
      <c r="J28" s="60"/>
      <c r="K28" s="60"/>
      <c r="L28" s="60"/>
      <c r="M28" s="60"/>
    </row>
    <row r="29" spans="1:13" ht="15" hidden="1" customHeight="1">
      <c r="A29" s="459" t="s">
        <v>191</v>
      </c>
      <c r="B29" s="455"/>
      <c r="C29" s="468">
        <f>+'17'!G39+'18'!G39+'19'!G39+'20'!G39+'21'!G39+'22'!G39+'23'!G39+'24'!G39+'25'!G39</f>
        <v>0</v>
      </c>
      <c r="D29" s="466">
        <f ca="1">+'17'!K39+'18'!K39+'19'!K39+'20'!K39+'21'!K39+'22'!K39+'23'!K39+'24'!K39+'25'!K39</f>
        <v>0</v>
      </c>
      <c r="E29" s="466">
        <f t="shared" ca="1" si="0"/>
        <v>0</v>
      </c>
      <c r="H29" s="60"/>
      <c r="I29" s="60"/>
      <c r="J29" s="60"/>
      <c r="K29" s="60"/>
      <c r="L29" s="60"/>
      <c r="M29" s="60"/>
    </row>
    <row r="30" spans="1:13" ht="30" hidden="1" customHeight="1">
      <c r="A30" s="463" t="s">
        <v>192</v>
      </c>
      <c r="B30" s="455"/>
      <c r="C30" s="468">
        <f>+'17'!G41+'18'!G41+'19'!G41+'20'!G41+'21'!G41+'22'!G41+'23'!G41+'24'!G41+'25'!G41</f>
        <v>0</v>
      </c>
      <c r="D30" s="466">
        <f ca="1">+'17'!K41+'18'!K41+'19'!K41+'20'!K41+'21'!K41+'22'!K41+'23'!K41+'24'!K41+'25'!K41</f>
        <v>0</v>
      </c>
      <c r="E30" s="466">
        <f t="shared" ca="1" si="0"/>
        <v>0</v>
      </c>
      <c r="H30" s="60"/>
      <c r="I30" s="60"/>
      <c r="J30" s="60"/>
      <c r="K30" s="60"/>
      <c r="L30" s="60"/>
      <c r="M30" s="60"/>
    </row>
    <row r="31" spans="1:13" ht="15" hidden="1" customHeight="1">
      <c r="A31" s="459" t="s">
        <v>194</v>
      </c>
      <c r="B31" s="461"/>
      <c r="C31" s="468">
        <f>+'17'!G42+'18'!G42+'19'!G42+'20'!G42+'21'!G42+'22'!G42+'23'!G42+'24'!G42+'25'!G42</f>
        <v>0</v>
      </c>
      <c r="D31" s="466">
        <f ca="1">+'17'!K42+'18'!K42+'19'!K42+'20'!K42+'21'!K42+'22'!K42+'23'!K42+'24'!K42+'25'!K42</f>
        <v>0</v>
      </c>
      <c r="E31" s="466">
        <f t="shared" ca="1" si="0"/>
        <v>0</v>
      </c>
      <c r="H31" s="60"/>
      <c r="I31" s="60"/>
      <c r="J31" s="60"/>
      <c r="K31" s="60"/>
      <c r="L31" s="60"/>
      <c r="M31" s="60"/>
    </row>
    <row r="32" spans="1:13" ht="15" hidden="1" customHeight="1">
      <c r="A32" s="461" t="s">
        <v>195</v>
      </c>
      <c r="B32" s="459"/>
      <c r="C32" s="468">
        <f>+'17'!G78+'18'!G78+'19'!G78+'20'!G78+'21'!G78+'22'!G78+'23'!G78+'24'!G78+'25'!G78</f>
        <v>0</v>
      </c>
      <c r="D32" s="466">
        <f ca="1">+'17'!K78+'18'!K78+'19'!K78+'20'!K78+'21'!K78+'22'!K78+'23'!K78+'24'!K78+'25'!K78</f>
        <v>0</v>
      </c>
      <c r="E32" s="466">
        <f t="shared" ca="1" si="0"/>
        <v>0</v>
      </c>
      <c r="H32" s="60"/>
      <c r="I32" s="60"/>
      <c r="J32" s="60"/>
      <c r="K32" s="60"/>
      <c r="L32" s="60"/>
      <c r="M32" s="60"/>
    </row>
    <row r="33" spans="1:13" ht="15" hidden="1" customHeight="1">
      <c r="A33" s="459" t="s">
        <v>196</v>
      </c>
      <c r="B33" s="461"/>
      <c r="C33" s="468">
        <f>+'17'!G43+'18'!G43+'19'!G43+'20'!G43+'21'!G43+'22'!G43+'23'!G43+'24'!G43+'25'!G43</f>
        <v>0</v>
      </c>
      <c r="D33" s="466">
        <f ca="1">+'17'!K43+'18'!K43+'19'!K43+'20'!K43+'21'!K43+'22'!K43+'23'!K43+'24'!K43+'25'!K43</f>
        <v>0</v>
      </c>
      <c r="E33" s="466">
        <f t="shared" ca="1" si="0"/>
        <v>0</v>
      </c>
      <c r="H33" s="60"/>
      <c r="I33" s="60"/>
      <c r="J33" s="60"/>
      <c r="K33" s="60"/>
      <c r="L33" s="60"/>
      <c r="M33" s="60"/>
    </row>
    <row r="34" spans="1:13" ht="15" hidden="1" customHeight="1">
      <c r="A34" s="461" t="s">
        <v>197</v>
      </c>
      <c r="B34" s="459"/>
      <c r="C34" s="468">
        <f>+'17'!G44+'18'!G44+'19'!G44+'20'!G44+'21'!G44+'22'!G44+'23'!G44+'24'!G44+'25'!G44</f>
        <v>0</v>
      </c>
      <c r="D34" s="466">
        <f ca="1">+'17'!K44+'18'!K44+'19'!K44+'20'!K44+'21'!K44+'22'!K44+'23'!K44+'24'!K44+'25'!K44</f>
        <v>0</v>
      </c>
      <c r="E34" s="466">
        <f t="shared" ca="1" si="0"/>
        <v>0</v>
      </c>
      <c r="H34" s="60"/>
      <c r="I34" s="60"/>
      <c r="J34" s="60"/>
      <c r="K34" s="60"/>
      <c r="L34" s="60"/>
      <c r="M34" s="60"/>
    </row>
    <row r="35" spans="1:13" ht="15" hidden="1" customHeight="1">
      <c r="A35" s="459" t="s">
        <v>200</v>
      </c>
      <c r="B35" s="459"/>
      <c r="C35" s="468">
        <f>+'17'!G46+'18'!G46+'19'!G46+'20'!G46+'21'!G46+'22'!G46+'23'!G46+'24'!G46+'25'!G46</f>
        <v>0</v>
      </c>
      <c r="D35" s="466">
        <f ca="1">+'17'!K46+'18'!K46+'19'!K46+'20'!K46+'21'!K46+'22'!K46+'23'!K46+'24'!K46+'25'!K46</f>
        <v>0</v>
      </c>
      <c r="E35" s="466">
        <f t="shared" ca="1" si="0"/>
        <v>0</v>
      </c>
      <c r="H35" s="60"/>
      <c r="I35" s="60"/>
      <c r="J35" s="60"/>
      <c r="K35" s="60"/>
      <c r="L35" s="60"/>
      <c r="M35" s="60"/>
    </row>
    <row r="36" spans="1:13" ht="15" hidden="1" customHeight="1">
      <c r="A36" s="443" t="s">
        <v>201</v>
      </c>
      <c r="B36" s="455" t="s">
        <v>247</v>
      </c>
      <c r="C36" s="465">
        <f>+'17'!G48+'18'!G48+'19'!G48+'20'!G48+'21'!G48+'22'!G48+'23'!G48+'24'!G48+'25'!G48</f>
        <v>74322970</v>
      </c>
      <c r="D36" s="465">
        <f ca="1">+'17'!K48+'18'!K48+'19'!K48+'20'!K48+'21'!K48+'22'!K48+'23'!K48+'24'!K48+'25'!K48</f>
        <v>562133798.57764697</v>
      </c>
      <c r="E36" s="465">
        <f t="shared" ca="1" si="0"/>
        <v>-487810828.57764697</v>
      </c>
      <c r="H36" s="60"/>
      <c r="I36" s="60"/>
      <c r="J36" s="60"/>
      <c r="K36" s="60"/>
      <c r="L36" s="60"/>
      <c r="M36" s="60"/>
    </row>
    <row r="37" spans="1:13" ht="15" hidden="1" customHeight="1">
      <c r="A37" s="445" t="s">
        <v>202</v>
      </c>
      <c r="B37" s="457" t="s">
        <v>247</v>
      </c>
      <c r="C37" s="466">
        <f>+'17'!G49+'18'!G49+'19'!G49+'20'!G49+'21'!G49+'22'!G49+'23'!G49+'24'!G49+'25'!G49</f>
        <v>61909049</v>
      </c>
      <c r="D37" s="466">
        <f ca="1">+'17'!K49+'18'!K49+'19'!K49+'20'!K49+'21'!K49+'22'!K49+'23'!K49+'24'!K49+'25'!K49</f>
        <v>398966094.26770997</v>
      </c>
      <c r="E37" s="466">
        <f t="shared" ca="1" si="0"/>
        <v>-337057045.26770997</v>
      </c>
      <c r="H37" s="60"/>
      <c r="I37" s="60"/>
      <c r="J37" s="60"/>
      <c r="K37" s="60"/>
      <c r="L37" s="60"/>
      <c r="M37" s="60"/>
    </row>
    <row r="38" spans="1:13" ht="15" hidden="1" customHeight="1">
      <c r="A38" s="461" t="s">
        <v>203</v>
      </c>
      <c r="B38" s="461" t="s">
        <v>247</v>
      </c>
      <c r="C38" s="468">
        <f>+'17'!G50+'18'!G50+'19'!G50+'20'!G50+'21'!G50+'22'!G50+'23'!G50+'24'!G50+'25'!G50</f>
        <v>0</v>
      </c>
      <c r="D38" s="466">
        <f ca="1">+'17'!K50+'18'!K50+'19'!K50+'20'!K50+'21'!K50+'22'!K50+'23'!K50+'24'!K50+'25'!K50</f>
        <v>0</v>
      </c>
      <c r="E38" s="466">
        <f t="shared" ca="1" si="0"/>
        <v>0</v>
      </c>
      <c r="H38" s="60"/>
      <c r="I38" s="60"/>
      <c r="J38" s="60"/>
      <c r="K38" s="60"/>
      <c r="L38" s="60"/>
      <c r="M38" s="60"/>
    </row>
    <row r="39" spans="1:13" ht="15" hidden="1" customHeight="1">
      <c r="A39" s="459" t="s">
        <v>204</v>
      </c>
      <c r="B39" s="459" t="s">
        <v>247</v>
      </c>
      <c r="C39" s="468">
        <f>+'17'!G51+'18'!G51+'19'!G51+'20'!G51+'21'!G51+'22'!G51+'23'!G51+'24'!G51+'25'!G51</f>
        <v>0</v>
      </c>
      <c r="D39" s="466">
        <f ca="1">+'17'!K51+'18'!K51+'19'!K51+'20'!K51+'21'!K51+'22'!K51+'23'!K51+'24'!K51+'25'!K51</f>
        <v>0</v>
      </c>
      <c r="E39" s="466">
        <f t="shared" ca="1" si="0"/>
        <v>0</v>
      </c>
      <c r="H39" s="60"/>
      <c r="I39" s="60"/>
      <c r="J39" s="60"/>
      <c r="K39" s="60"/>
      <c r="L39" s="60"/>
      <c r="M39" s="60"/>
    </row>
    <row r="40" spans="1:13" ht="24" hidden="1">
      <c r="A40" s="473" t="s">
        <v>616</v>
      </c>
      <c r="B40" s="474" t="s">
        <v>170</v>
      </c>
      <c r="C40" s="475">
        <f>+'17'!G53+'18'!G53+'19'!G53+'20'!G53+'21'!G53+'22'!G53+'23'!G53+'24'!G53+'25'!G53+'17'!G49+'18'!G49+'19'!G49+'20'!G49+'21'!G49+'22'!G49+'23'!G49+'24'!G49+'25'!G49</f>
        <v>140676777</v>
      </c>
      <c r="D40" s="475">
        <f ca="1">+'17'!K53+'18'!K53+'19'!K53+'20'!K53+'21'!K53+'22'!K53+'23'!K53+'24'!K53+'25'!K53++'17'!K49+'18'!K49+'19'!K49+'20'!K49+'21'!K49+'22'!K49+'23'!K49+'24'!K49+'25'!K49</f>
        <v>1196898282.2815597</v>
      </c>
      <c r="E40" s="475">
        <f t="shared" ca="1" si="0"/>
        <v>-1056221505.2815597</v>
      </c>
      <c r="H40" s="60"/>
      <c r="I40" s="60"/>
      <c r="J40" s="60"/>
      <c r="K40" s="60"/>
      <c r="L40" s="60"/>
      <c r="M40" s="60"/>
    </row>
    <row r="41" spans="1:13" ht="24" hidden="1">
      <c r="A41" s="443" t="s">
        <v>615</v>
      </c>
      <c r="B41" s="455" t="s">
        <v>170</v>
      </c>
      <c r="C41" s="465">
        <f>+'17'!G54+'18'!G54+'19'!G54+'20'!G54+'21'!G54+'22'!G54+'23'!G54+'24'!G54+'25'!G54+'17'!G48+'18'!G48+'19'!G48+'20'!G48+'21'!G48+'22'!G48+'23'!G48+'24'!G48+'25'!G48</f>
        <v>199533179</v>
      </c>
      <c r="D41" s="465">
        <f ca="1">+'17'!K54+'18'!K54+'19'!K54+'20'!K54+'21'!K54+'22'!K54+'23'!K54+'24'!K54+'25'!K54++'17'!K48+'18'!K48+'19'!K48+'20'!K48+'21'!K48+'22'!K48+'23'!K48+'24'!K48+'25'!K48</f>
        <v>1134065029.2752941</v>
      </c>
      <c r="E41" s="465">
        <f t="shared" ca="1" si="0"/>
        <v>-934531850.27529407</v>
      </c>
      <c r="H41" s="60"/>
      <c r="I41" s="60"/>
      <c r="J41" s="60"/>
      <c r="K41" s="60"/>
      <c r="L41" s="60"/>
      <c r="M41" s="60"/>
    </row>
    <row r="42" spans="1:13" ht="15" hidden="1" customHeight="1">
      <c r="A42" s="461" t="s">
        <v>226</v>
      </c>
      <c r="B42" s="457"/>
      <c r="C42" s="468">
        <f>+'17'!G56+'18'!G56+'19'!G56+'20'!G56+'21'!G56+'22'!G56+'23'!G56+'24'!G56+'25'!G56</f>
        <v>0</v>
      </c>
      <c r="D42" s="466">
        <f ca="1">+'17'!K56+'18'!K56+'19'!K56+'20'!K56+'21'!K56+'22'!K56+'23'!K56+'24'!K56+'25'!K56</f>
        <v>0</v>
      </c>
      <c r="E42" s="466">
        <f t="shared" ca="1" si="0"/>
        <v>0</v>
      </c>
      <c r="H42" s="60"/>
      <c r="I42" s="60"/>
      <c r="J42" s="60"/>
      <c r="K42" s="60"/>
      <c r="L42" s="60"/>
      <c r="M42" s="60"/>
    </row>
    <row r="43" spans="1:13" ht="15" hidden="1" customHeight="1">
      <c r="A43" s="459" t="s">
        <v>219</v>
      </c>
      <c r="B43" s="459"/>
      <c r="C43" s="468">
        <f>+'17'!G57+'18'!G57+'19'!G57+'20'!G57+'21'!G57+'22'!G57+'23'!G57+'24'!G57+'25'!G57</f>
        <v>0</v>
      </c>
      <c r="D43" s="466">
        <f ca="1">+'17'!K57+'18'!K57+'19'!K57+'20'!K57+'21'!K57+'22'!K57+'23'!K57+'24'!K57+'25'!K57</f>
        <v>0</v>
      </c>
      <c r="E43" s="466">
        <f t="shared" ca="1" si="0"/>
        <v>0</v>
      </c>
      <c r="H43" s="60"/>
      <c r="I43" s="60"/>
      <c r="J43" s="60"/>
      <c r="K43" s="60"/>
      <c r="L43" s="60"/>
      <c r="M43" s="60"/>
    </row>
    <row r="44" spans="1:13" ht="15" hidden="1" customHeight="1">
      <c r="A44" s="461" t="s">
        <v>220</v>
      </c>
      <c r="B44" s="461"/>
      <c r="C44" s="468">
        <f>+'17'!G58+'18'!G58+'19'!G58+'20'!G58+'21'!G58+'22'!G58+'23'!G58+'24'!G58+'25'!G58</f>
        <v>0</v>
      </c>
      <c r="D44" s="466">
        <f ca="1">+'17'!K58+'18'!K58+'19'!K58+'20'!K58+'21'!K58+'22'!K58+'23'!K58+'24'!K58+'25'!K58</f>
        <v>0</v>
      </c>
      <c r="E44" s="466">
        <f t="shared" ca="1" si="0"/>
        <v>0</v>
      </c>
      <c r="H44" s="60"/>
      <c r="I44" s="60"/>
      <c r="J44" s="60"/>
      <c r="K44" s="60"/>
      <c r="L44" s="60"/>
      <c r="M44" s="60"/>
    </row>
    <row r="45" spans="1:13" ht="15" hidden="1" customHeight="1">
      <c r="A45" s="459" t="s">
        <v>221</v>
      </c>
      <c r="B45" s="459"/>
      <c r="C45" s="468">
        <f>+'17'!G59+'18'!G59+'19'!G59+'20'!G59+'21'!G59+'22'!G59+'23'!G59+'24'!G59+'25'!G59</f>
        <v>0</v>
      </c>
      <c r="D45" s="466">
        <f ca="1">+'17'!K59+'18'!K59+'19'!K59+'20'!K59+'21'!K59+'22'!K59+'23'!K59+'24'!K59+'25'!K59</f>
        <v>0</v>
      </c>
      <c r="E45" s="466">
        <f t="shared" ca="1" si="0"/>
        <v>0</v>
      </c>
      <c r="H45" s="60"/>
      <c r="I45" s="60"/>
      <c r="J45" s="60"/>
      <c r="K45" s="60"/>
      <c r="L45" s="60"/>
      <c r="M45" s="60"/>
    </row>
    <row r="46" spans="1:13" ht="15" hidden="1" customHeight="1">
      <c r="A46" s="461" t="s">
        <v>203</v>
      </c>
      <c r="B46" s="463"/>
      <c r="C46" s="468">
        <f>+'17'!G60+'18'!G60+'19'!G60+'20'!G60+'21'!G60+'22'!G60+'23'!G60+'24'!G60+'25'!G60</f>
        <v>0</v>
      </c>
      <c r="D46" s="466">
        <f ca="1">+'17'!K60+'18'!K60+'19'!K60+'20'!K60+'21'!K60+'22'!K60+'23'!K60+'24'!K60+'25'!K60</f>
        <v>0</v>
      </c>
      <c r="E46" s="466">
        <f t="shared" ca="1" si="0"/>
        <v>0</v>
      </c>
      <c r="H46" s="60"/>
      <c r="I46" s="60"/>
      <c r="J46" s="60"/>
      <c r="K46" s="60"/>
      <c r="L46" s="60"/>
      <c r="M46" s="60"/>
    </row>
    <row r="47" spans="1:13" ht="15" hidden="1" customHeight="1">
      <c r="A47" s="459" t="s">
        <v>222</v>
      </c>
      <c r="B47" s="459"/>
      <c r="C47" s="468">
        <f>+'17'!G61+'18'!G61+'19'!G61+'20'!G61+'21'!G61+'22'!G61+'23'!G61+'24'!G61+'25'!G61</f>
        <v>0</v>
      </c>
      <c r="D47" s="466">
        <f ca="1">+'17'!K61+'18'!K61+'19'!K61+'20'!K61+'21'!K61+'22'!K61+'23'!K61+'24'!K61+'25'!K61</f>
        <v>0</v>
      </c>
      <c r="E47" s="466">
        <f t="shared" ca="1" si="0"/>
        <v>0</v>
      </c>
      <c r="H47" s="60"/>
      <c r="I47" s="60"/>
      <c r="J47" s="60"/>
      <c r="K47" s="60"/>
      <c r="L47" s="60"/>
      <c r="M47" s="60"/>
    </row>
    <row r="48" spans="1:13" ht="15" hidden="1" customHeight="1">
      <c r="A48" s="461" t="s">
        <v>205</v>
      </c>
      <c r="B48" s="459"/>
      <c r="C48" s="468">
        <f>+'17'!G63+'18'!G63+'19'!G63+'20'!G63+'21'!G63+'22'!G63+'23'!G63+'24'!G63+'25'!G63</f>
        <v>0</v>
      </c>
      <c r="D48" s="466">
        <f ca="1">+'17'!K63+'18'!K63+'19'!K63+'20'!K63+'21'!K63+'22'!K63+'23'!K63+'24'!K63+'25'!K63</f>
        <v>0</v>
      </c>
      <c r="E48" s="466">
        <f t="shared" ca="1" si="0"/>
        <v>0</v>
      </c>
      <c r="H48" s="60"/>
      <c r="I48" s="60"/>
      <c r="J48" s="60"/>
      <c r="K48" s="60"/>
      <c r="L48" s="60"/>
      <c r="M48" s="60"/>
    </row>
    <row r="49" spans="1:13" ht="15" hidden="1" customHeight="1">
      <c r="A49" s="459" t="s">
        <v>207</v>
      </c>
      <c r="B49" s="461"/>
      <c r="C49" s="468">
        <f>+'17'!G64+'18'!G64+'19'!G64+'20'!G64+'21'!G64+'22'!G64+'23'!G64+'24'!G64+'25'!G64</f>
        <v>0</v>
      </c>
      <c r="D49" s="466">
        <f ca="1">+'17'!K64+'18'!K64+'19'!K64+'20'!K64+'21'!K64+'22'!K64+'23'!K64+'24'!K64+'25'!K64</f>
        <v>0</v>
      </c>
      <c r="E49" s="466">
        <f t="shared" ca="1" si="0"/>
        <v>0</v>
      </c>
      <c r="H49" s="60"/>
      <c r="I49" s="60"/>
      <c r="J49" s="60"/>
      <c r="K49" s="60"/>
      <c r="L49" s="60"/>
      <c r="M49" s="60"/>
    </row>
    <row r="50" spans="1:13" ht="15" hidden="1" customHeight="1">
      <c r="A50" s="461" t="s">
        <v>67</v>
      </c>
      <c r="B50" s="461"/>
      <c r="C50" s="468">
        <f>+'17'!G66+'18'!G66+'19'!G66+'20'!G66+'21'!G66+'22'!G66+'23'!G66+'24'!G66+'25'!G66</f>
        <v>0</v>
      </c>
      <c r="D50" s="466">
        <f ca="1">+'17'!K66+'18'!K66+'19'!K66+'20'!K66+'21'!K66+'22'!K66+'23'!K66+'24'!K66+'25'!K66</f>
        <v>0</v>
      </c>
      <c r="E50" s="466">
        <f t="shared" ca="1" si="0"/>
        <v>0</v>
      </c>
      <c r="H50" s="60"/>
      <c r="I50" s="60"/>
      <c r="J50" s="60"/>
      <c r="K50" s="60"/>
      <c r="L50" s="60"/>
      <c r="M50" s="60"/>
    </row>
    <row r="51" spans="1:13" ht="15" hidden="1" customHeight="1">
      <c r="A51" s="459" t="s">
        <v>75</v>
      </c>
      <c r="B51" s="196"/>
      <c r="C51" s="468">
        <f>+'17'!G67+'18'!G67+'19'!G67+'20'!G67+'21'!G67+'22'!G67+'23'!G67+'24'!G67+'25'!G67</f>
        <v>0</v>
      </c>
      <c r="D51" s="466">
        <f ca="1">+'17'!K67+'18'!K67+'19'!K67+'20'!K67+'21'!K67+'22'!K67+'23'!K67+'24'!K67+'25'!K67</f>
        <v>0</v>
      </c>
      <c r="E51" s="466">
        <f t="shared" ca="1" si="0"/>
        <v>0</v>
      </c>
      <c r="H51" s="60"/>
      <c r="I51" s="60"/>
      <c r="J51" s="60"/>
      <c r="K51" s="60"/>
      <c r="L51" s="60"/>
      <c r="M51" s="60"/>
    </row>
    <row r="52" spans="1:13" s="61" customFormat="1" ht="15" hidden="1" customHeight="1">
      <c r="A52" s="461" t="s">
        <v>208</v>
      </c>
      <c r="B52" s="60"/>
      <c r="C52" s="468">
        <f>+'17'!G69+'18'!G69+'19'!G69+'20'!G69+'21'!G69+'22'!G69+'23'!G69+'24'!G69+'25'!G69</f>
        <v>0</v>
      </c>
      <c r="D52" s="466">
        <f ca="1">+'17'!K69+'18'!K69+'19'!K69+'20'!K69+'21'!K69+'22'!K69+'23'!K69+'24'!K69+'25'!K69</f>
        <v>0</v>
      </c>
      <c r="E52" s="466">
        <f t="shared" ca="1" si="0"/>
        <v>0</v>
      </c>
      <c r="F52" s="460"/>
      <c r="G52" s="460"/>
      <c r="H52" s="60"/>
      <c r="I52" s="60"/>
      <c r="J52" s="60"/>
      <c r="K52" s="60"/>
      <c r="L52" s="60"/>
      <c r="M52" s="60"/>
    </row>
    <row r="53" spans="1:13" s="61" customFormat="1" ht="15" hidden="1" customHeight="1">
      <c r="A53" s="459" t="s">
        <v>209</v>
      </c>
      <c r="B53" s="60"/>
      <c r="C53" s="468">
        <f>+'17'!G70+'18'!G70+'19'!G70+'20'!G70+'21'!G70+'22'!G70+'23'!G70+'24'!G70+'25'!G70</f>
        <v>0</v>
      </c>
      <c r="D53" s="466">
        <f ca="1">+'17'!K70+'18'!K70+'19'!K70+'20'!K70+'21'!K70+'22'!K70+'23'!K70+'24'!K70+'25'!K70</f>
        <v>0</v>
      </c>
      <c r="E53" s="466">
        <f t="shared" ca="1" si="0"/>
        <v>0</v>
      </c>
      <c r="F53" s="460"/>
      <c r="G53" s="460"/>
      <c r="H53" s="60"/>
      <c r="I53" s="60"/>
      <c r="J53" s="60"/>
      <c r="K53" s="60"/>
      <c r="L53" s="60"/>
      <c r="M53" s="60"/>
    </row>
    <row r="54" spans="1:13" s="61" customFormat="1" ht="30" hidden="1" customHeight="1">
      <c r="A54" s="463" t="s">
        <v>210</v>
      </c>
      <c r="B54" s="60"/>
      <c r="C54" s="468">
        <f>+'17'!G71+'18'!G71+'19'!G71+'20'!G71+'21'!G71+'22'!G71+'23'!G71+'24'!G71+'25'!G71</f>
        <v>0</v>
      </c>
      <c r="D54" s="466">
        <f ca="1">+'17'!K71+'18'!K71+'19'!K71+'20'!K71+'21'!K71+'22'!K71+'23'!K71+'24'!K71+'25'!K71</f>
        <v>0</v>
      </c>
      <c r="E54" s="466">
        <f t="shared" ca="1" si="0"/>
        <v>0</v>
      </c>
      <c r="F54" s="460"/>
      <c r="G54" s="460"/>
      <c r="H54" s="60"/>
      <c r="I54" s="60"/>
      <c r="J54" s="60"/>
      <c r="K54" s="60"/>
      <c r="L54" s="60"/>
      <c r="M54" s="60"/>
    </row>
    <row r="55" spans="1:13" s="61" customFormat="1" ht="15" hidden="1" customHeight="1">
      <c r="A55" s="459" t="s">
        <v>211</v>
      </c>
      <c r="B55" s="60"/>
      <c r="C55" s="468">
        <f>+'17'!G72+'18'!G72+'19'!G72+'20'!G72+'21'!G72+'22'!G72+'23'!G72+'24'!G72+'25'!G72</f>
        <v>0</v>
      </c>
      <c r="D55" s="466">
        <f ca="1">+'17'!K72+'18'!K72+'19'!K72+'20'!K72+'21'!K72+'22'!K72+'23'!K72+'24'!K72+'25'!K72</f>
        <v>0</v>
      </c>
      <c r="E55" s="466">
        <f t="shared" ca="1" si="0"/>
        <v>0</v>
      </c>
      <c r="F55" s="460"/>
      <c r="G55" s="460"/>
      <c r="H55" s="60"/>
      <c r="I55" s="60"/>
      <c r="J55" s="60"/>
      <c r="K55" s="60"/>
      <c r="L55" s="60"/>
      <c r="M55" s="60"/>
    </row>
    <row r="56" spans="1:13" s="61" customFormat="1" ht="15" hidden="1" customHeight="1">
      <c r="A56" s="461" t="s">
        <v>212</v>
      </c>
      <c r="B56" s="60"/>
      <c r="C56" s="468">
        <f>+'17'!G73+'18'!G73+'19'!G73+'20'!G73+'21'!G73+'22'!G73+'23'!G73+'24'!G73+'25'!G73</f>
        <v>0</v>
      </c>
      <c r="D56" s="466">
        <f ca="1">+'17'!K73+'18'!K73+'19'!K73+'20'!K73+'21'!K73+'22'!K73+'23'!K73+'24'!K73+'25'!K73</f>
        <v>0</v>
      </c>
      <c r="E56" s="466">
        <f t="shared" ca="1" si="0"/>
        <v>0</v>
      </c>
      <c r="F56" s="460"/>
      <c r="G56" s="460"/>
      <c r="H56" s="60"/>
      <c r="I56" s="60"/>
      <c r="J56" s="60"/>
      <c r="K56" s="60"/>
      <c r="L56" s="60"/>
      <c r="M56" s="60"/>
    </row>
    <row r="57" spans="1:13" s="61" customFormat="1" hidden="1">
      <c r="A57" s="473" t="s">
        <v>204</v>
      </c>
      <c r="B57" s="474" t="s">
        <v>170</v>
      </c>
      <c r="C57" s="475">
        <f>+'17'!G74+'18'!G74+'19'!G74+'20'!G74+'21'!G74+'22'!G74+'23'!G74+'24'!G74+'25'!G74</f>
        <v>12300000</v>
      </c>
      <c r="D57" s="475">
        <f ca="1">+'17'!K74+'18'!K74+'19'!K74+'20'!K74+'21'!K74+'22'!K74+'23'!K74+'24'!K74+'25'!K74</f>
        <v>24000000</v>
      </c>
      <c r="E57" s="475">
        <f t="shared" ref="E57:E62" ca="1" si="1">C57-D57</f>
        <v>-11700000</v>
      </c>
      <c r="F57" s="460"/>
      <c r="G57" s="460"/>
      <c r="H57" s="60"/>
      <c r="I57" s="60"/>
      <c r="J57" s="60"/>
      <c r="K57" s="60"/>
      <c r="L57" s="60"/>
      <c r="M57" s="60"/>
    </row>
    <row r="58" spans="1:13" s="61" customFormat="1" ht="15" hidden="1" customHeight="1">
      <c r="A58" s="461" t="s">
        <v>213</v>
      </c>
      <c r="B58" s="60"/>
      <c r="C58" s="468">
        <f>+'17'!G75+'18'!G75+'19'!G75+'20'!G75+'21'!G75+'22'!G75+'23'!G75+'24'!G75+'25'!G75</f>
        <v>0</v>
      </c>
      <c r="D58" s="466">
        <f ca="1">+'17'!K75+'18'!K75+'19'!K75+'20'!K75+'21'!K75+'22'!K75+'23'!K75+'24'!K75+'25'!K75</f>
        <v>0</v>
      </c>
      <c r="E58" s="466">
        <f t="shared" ca="1" si="1"/>
        <v>0</v>
      </c>
      <c r="F58" s="119"/>
      <c r="G58" s="119"/>
      <c r="H58" s="60"/>
      <c r="I58" s="60"/>
      <c r="J58" s="60"/>
      <c r="K58" s="60"/>
      <c r="L58" s="60"/>
      <c r="M58" s="60"/>
    </row>
    <row r="59" spans="1:13" s="61" customFormat="1" ht="15" hidden="1" customHeight="1">
      <c r="A59" s="459" t="s">
        <v>214</v>
      </c>
      <c r="B59" s="60"/>
      <c r="C59" s="468">
        <f>+'17'!G76+'18'!G76+'19'!G76+'20'!G76+'21'!G76+'22'!G76+'23'!G76+'24'!G76+'25'!G76</f>
        <v>0</v>
      </c>
      <c r="D59" s="466">
        <f ca="1">+'17'!K76+'18'!K76+'19'!K76+'20'!K76+'21'!K76+'22'!K76+'23'!K76+'24'!K76+'25'!K76</f>
        <v>0</v>
      </c>
      <c r="E59" s="466">
        <f t="shared" ca="1" si="1"/>
        <v>0</v>
      </c>
      <c r="F59" s="119"/>
      <c r="G59" s="119"/>
      <c r="H59" s="60"/>
      <c r="I59" s="60"/>
      <c r="J59" s="60"/>
      <c r="K59" s="60"/>
      <c r="L59" s="60"/>
      <c r="M59" s="60"/>
    </row>
    <row r="60" spans="1:13" s="61" customFormat="1" ht="30" hidden="1" customHeight="1">
      <c r="A60" s="463" t="s">
        <v>225</v>
      </c>
      <c r="B60" s="457"/>
      <c r="C60" s="466">
        <f>+'17'!G79+'18'!G79+'19'!G79+'20'!G79+'21'!G79+'22'!G79+'23'!G79+'24'!G79+'25'!G79</f>
        <v>0</v>
      </c>
      <c r="D60" s="466">
        <f ca="1">+'17'!K79+'18'!K79+'19'!K79+'20'!K79+'21'!K79+'22'!K79+'23'!K79+'24'!K79+'25'!K79</f>
        <v>0</v>
      </c>
      <c r="E60" s="466">
        <f t="shared" ca="1" si="1"/>
        <v>0</v>
      </c>
      <c r="F60" s="119"/>
      <c r="G60" s="119"/>
      <c r="H60" s="60"/>
      <c r="I60" s="60"/>
      <c r="J60" s="60"/>
      <c r="K60" s="60"/>
      <c r="L60" s="60"/>
      <c r="M60" s="60"/>
    </row>
    <row r="61" spans="1:13" s="61" customFormat="1" ht="15" hidden="1" customHeight="1">
      <c r="A61" s="443" t="s">
        <v>263</v>
      </c>
      <c r="B61" s="455" t="s">
        <v>92</v>
      </c>
      <c r="C61" s="465">
        <f>+C60</f>
        <v>0</v>
      </c>
      <c r="D61" s="465">
        <f ca="1">+D60</f>
        <v>0</v>
      </c>
      <c r="E61" s="465">
        <f t="shared" ca="1" si="1"/>
        <v>0</v>
      </c>
      <c r="F61" s="119"/>
      <c r="G61" s="119"/>
      <c r="H61" s="60"/>
      <c r="I61" s="60"/>
      <c r="J61" s="60"/>
      <c r="K61" s="60"/>
      <c r="L61" s="60"/>
      <c r="M61" s="60"/>
    </row>
    <row r="62" spans="1:13" s="61" customFormat="1" hidden="1">
      <c r="A62" s="464" t="s">
        <v>1</v>
      </c>
      <c r="B62" s="196"/>
      <c r="C62" s="469">
        <f>SUM(C3:C61)-C36-C37-C60</f>
        <v>847182456</v>
      </c>
      <c r="D62" s="469">
        <f ca="1">SUM(D3:D61)-D36-D37-D60</f>
        <v>5309358342.9854259</v>
      </c>
      <c r="E62" s="469">
        <f t="shared" ca="1" si="1"/>
        <v>-4462175886.9854259</v>
      </c>
      <c r="F62" s="119"/>
      <c r="G62" s="119"/>
      <c r="H62" s="60"/>
      <c r="I62" s="60"/>
      <c r="J62" s="60"/>
      <c r="K62" s="60"/>
      <c r="L62" s="60"/>
      <c r="M62" s="60"/>
    </row>
    <row r="63" spans="1:13" s="61" customFormat="1" hidden="1">
      <c r="A63" s="60"/>
      <c r="B63" s="60"/>
      <c r="F63" s="119"/>
      <c r="G63" s="119"/>
      <c r="H63" s="60"/>
      <c r="I63" s="60"/>
    </row>
    <row r="64" spans="1:13" s="61" customFormat="1" hidden="1">
      <c r="A64" s="60"/>
      <c r="B64" s="61" t="s">
        <v>236</v>
      </c>
      <c r="C64" s="119">
        <f ca="1">-'Tableau (1)'!B7*1000000+D62</f>
        <v>0</v>
      </c>
      <c r="D64" s="153"/>
      <c r="F64" s="119"/>
      <c r="G64" s="119"/>
      <c r="H64" s="60"/>
      <c r="J64" s="119"/>
      <c r="K64" s="153"/>
    </row>
    <row r="65" spans="1:12" s="61" customFormat="1" hidden="1">
      <c r="A65" s="60"/>
      <c r="B65" s="61" t="s">
        <v>236</v>
      </c>
      <c r="C65" s="61">
        <f>+C62-'Tableau-(51)'!C6*1000000</f>
        <v>0</v>
      </c>
      <c r="E65" s="374"/>
      <c r="F65" s="119"/>
      <c r="G65" s="119"/>
      <c r="H65" s="60"/>
      <c r="L65" s="374"/>
    </row>
    <row r="66" spans="1:12" s="61" customFormat="1" hidden="1">
      <c r="A66" s="60"/>
      <c r="B66" s="60"/>
      <c r="F66" s="119"/>
      <c r="G66" s="119"/>
      <c r="H66" s="60"/>
      <c r="I66" s="60"/>
    </row>
    <row r="67" spans="1:12" s="61" customFormat="1" ht="15.5" hidden="1">
      <c r="A67" s="609"/>
      <c r="B67" s="60"/>
      <c r="F67" s="119"/>
      <c r="G67" s="119"/>
      <c r="H67" s="609"/>
      <c r="I67" s="60"/>
    </row>
    <row r="68" spans="1:12" s="61" customFormat="1" hidden="1">
      <c r="A68" s="60"/>
      <c r="B68" s="60"/>
      <c r="D68" s="119"/>
      <c r="F68" s="119"/>
      <c r="G68" s="119"/>
      <c r="H68" s="60"/>
      <c r="I68" s="60"/>
      <c r="K68" s="119"/>
    </row>
    <row r="69" spans="1:12" s="61" customFormat="1" ht="15" hidden="1" customHeight="1">
      <c r="A69" s="844" t="s">
        <v>258</v>
      </c>
      <c r="B69" s="844" t="s">
        <v>259</v>
      </c>
      <c r="C69" s="844" t="s">
        <v>73</v>
      </c>
      <c r="D69" s="844"/>
      <c r="E69" s="844"/>
      <c r="F69" s="119"/>
      <c r="G69" s="119"/>
      <c r="H69" s="844" t="s">
        <v>258</v>
      </c>
      <c r="I69" s="844" t="s">
        <v>259</v>
      </c>
      <c r="J69" s="844" t="s">
        <v>73</v>
      </c>
      <c r="K69" s="844"/>
      <c r="L69" s="844"/>
    </row>
    <row r="70" spans="1:12" s="61" customFormat="1" ht="12.5" hidden="1" thickBot="1">
      <c r="A70" s="801"/>
      <c r="B70" s="801"/>
      <c r="C70" s="453" t="s">
        <v>71</v>
      </c>
      <c r="D70" s="453" t="s">
        <v>30</v>
      </c>
      <c r="E70" s="454" t="s">
        <v>70</v>
      </c>
      <c r="F70" s="119"/>
      <c r="G70" s="119"/>
      <c r="H70" s="801"/>
      <c r="I70" s="801"/>
      <c r="J70" s="453" t="s">
        <v>71</v>
      </c>
      <c r="K70" s="453" t="s">
        <v>30</v>
      </c>
      <c r="L70" s="454" t="s">
        <v>70</v>
      </c>
    </row>
    <row r="71" spans="1:12" s="61" customFormat="1" ht="12.5" hidden="1" thickTop="1">
      <c r="A71" s="443" t="s">
        <v>165</v>
      </c>
      <c r="B71" s="455" t="s">
        <v>166</v>
      </c>
      <c r="C71" s="465">
        <f>+'17'!G10+'18'!G10+'19'!G10+'20'!G10+'21'!G10+'22'!G10+'23'!G10+'24'!G10+'25'!G10</f>
        <v>1540558</v>
      </c>
      <c r="D71" s="465">
        <f>+'17'!K10+'18'!K10+'19'!K10+'20'!K10+'21'!K10+'22'!K10+'23'!K10+'24'!K10+'25'!K10</f>
        <v>23598149</v>
      </c>
      <c r="E71" s="465">
        <f>+C71-D71</f>
        <v>-22057591</v>
      </c>
      <c r="F71" s="119"/>
      <c r="G71" s="119"/>
      <c r="H71" s="443" t="s">
        <v>165</v>
      </c>
      <c r="I71" s="455" t="s">
        <v>166</v>
      </c>
      <c r="J71" s="465">
        <f>+'17'!G10+'18'!G10+'19'!G10+'20'!G10+'21'!G10+'22'!G10+'23'!G10+'24'!G10+'25'!G10</f>
        <v>1540558</v>
      </c>
      <c r="K71" s="465">
        <f>+'20'!K10+'22'!K10</f>
        <v>3085754</v>
      </c>
      <c r="L71" s="465">
        <f>+J71-K71</f>
        <v>-1545196</v>
      </c>
    </row>
    <row r="72" spans="1:12" s="61" customFormat="1" hidden="1">
      <c r="A72" s="445" t="s">
        <v>167</v>
      </c>
      <c r="B72" s="457" t="s">
        <v>166</v>
      </c>
      <c r="C72" s="466">
        <f>+'17'!G11+'18'!G11+'19'!G11+'20'!G11+'21'!G11+'22'!G11+'23'!G11+'24'!G11+'25'!G11</f>
        <v>56061000</v>
      </c>
      <c r="D72" s="466">
        <f>+'17'!K11+'18'!K11+'19'!K11+'20'!K11+'21'!K11+'22'!K11+'23'!K11+'24'!K11+'25'!K11</f>
        <v>413547941</v>
      </c>
      <c r="E72" s="466">
        <f t="shared" ref="E72:E90" si="2">+C72-D72</f>
        <v>-357486941</v>
      </c>
      <c r="F72" s="119"/>
      <c r="G72" s="119"/>
      <c r="H72" s="445" t="s">
        <v>167</v>
      </c>
      <c r="I72" s="457" t="s">
        <v>166</v>
      </c>
      <c r="J72" s="466">
        <f>+'17'!G11+'18'!G11+'19'!G11+'20'!G11+'21'!G11+'22'!G11+'23'!G11+'24'!G11+'25'!G11</f>
        <v>56061000</v>
      </c>
      <c r="K72" s="466">
        <f>+'20'!K11+'22'!K11</f>
        <v>54529917</v>
      </c>
      <c r="L72" s="466">
        <f t="shared" ref="L72:L90" si="3">+J72-K72</f>
        <v>1531083</v>
      </c>
    </row>
    <row r="73" spans="1:12" s="61" customFormat="1" hidden="1">
      <c r="A73" s="443" t="s">
        <v>172</v>
      </c>
      <c r="B73" s="455" t="s">
        <v>81</v>
      </c>
      <c r="C73" s="465">
        <f>+'17'!G19+'18'!G19+'19'!G19+'20'!G19+'21'!G19+'22'!G19+'23'!G19+'24'!G19+'25'!G19</f>
        <v>53782820</v>
      </c>
      <c r="D73" s="465">
        <f ca="1">+'17'!K19+'18'!K19+'19'!K19+'20'!K19+'21'!K19+'22'!K19+'23'!K19+'24'!K19+'25'!K19</f>
        <v>38316926</v>
      </c>
      <c r="E73" s="465">
        <f t="shared" ca="1" si="2"/>
        <v>15465894</v>
      </c>
      <c r="F73" s="119"/>
      <c r="G73" s="119"/>
      <c r="H73" s="443" t="s">
        <v>172</v>
      </c>
      <c r="I73" s="455" t="s">
        <v>81</v>
      </c>
      <c r="J73" s="465">
        <f>+'17'!G19+'18'!G19+'19'!G19+'20'!G19+'21'!G19+'22'!G19+'23'!G19+'24'!G19+'25'!G19</f>
        <v>53782820</v>
      </c>
      <c r="K73" s="465">
        <f ca="1">+'20'!K19+'22'!K19</f>
        <v>25242740</v>
      </c>
      <c r="L73" s="465">
        <f t="shared" ca="1" si="3"/>
        <v>28540080</v>
      </c>
    </row>
    <row r="74" spans="1:12" s="61" customFormat="1" hidden="1">
      <c r="A74" s="445" t="s">
        <v>173</v>
      </c>
      <c r="B74" s="457" t="s">
        <v>81</v>
      </c>
      <c r="C74" s="466">
        <f>+'17'!G20+'18'!G20+'19'!G20+'20'!G20+'21'!G20+'22'!G20+'23'!G20+'24'!G20+'25'!G20</f>
        <v>7048400</v>
      </c>
      <c r="D74" s="466">
        <f ca="1">+'17'!K20+'18'!K20+'19'!K20+'20'!K20+'21'!K20+'22'!K20+'23'!K20+'24'!K20+'25'!K20</f>
        <v>6624000</v>
      </c>
      <c r="E74" s="466">
        <f t="shared" ca="1" si="2"/>
        <v>424400</v>
      </c>
      <c r="F74" s="119"/>
      <c r="G74" s="119"/>
      <c r="H74" s="445" t="s">
        <v>173</v>
      </c>
      <c r="I74" s="457" t="s">
        <v>81</v>
      </c>
      <c r="J74" s="466">
        <f>+'17'!G20+'18'!G20+'19'!G20+'20'!G20+'21'!G20+'22'!G20+'23'!G20+'24'!G20+'25'!G20</f>
        <v>7048400</v>
      </c>
      <c r="K74" s="466">
        <f ca="1">+'20'!K20+'22'!K20</f>
        <v>6264000</v>
      </c>
      <c r="L74" s="466">
        <f t="shared" ca="1" si="3"/>
        <v>784400</v>
      </c>
    </row>
    <row r="75" spans="1:12" s="61" customFormat="1" hidden="1">
      <c r="A75" s="443" t="s">
        <v>174</v>
      </c>
      <c r="B75" s="455" t="s">
        <v>81</v>
      </c>
      <c r="C75" s="465">
        <f>+'17'!G21+'18'!G21+'19'!G21+'20'!G21+'21'!G21+'22'!G21+'23'!G21+'24'!G21+'25'!G21</f>
        <v>22765838</v>
      </c>
      <c r="D75" s="465">
        <f ca="1">+'17'!K21+'18'!K21+'19'!K21+'20'!K21+'21'!K21+'22'!K21+'23'!K21+'24'!K21+'25'!K21</f>
        <v>49205634</v>
      </c>
      <c r="E75" s="465">
        <f t="shared" ca="1" si="2"/>
        <v>-26439796</v>
      </c>
      <c r="F75" s="119"/>
      <c r="G75" s="119"/>
      <c r="H75" s="443" t="s">
        <v>174</v>
      </c>
      <c r="I75" s="455" t="s">
        <v>81</v>
      </c>
      <c r="J75" s="465">
        <f>+'17'!G21+'18'!G21+'19'!G21+'20'!G21+'21'!G21+'22'!G21+'23'!G21+'24'!G21+'25'!G21</f>
        <v>22765838</v>
      </c>
      <c r="K75" s="465">
        <f ca="1">+'20'!K21+'22'!K21</f>
        <v>14417449</v>
      </c>
      <c r="L75" s="465">
        <f t="shared" ca="1" si="3"/>
        <v>8348389</v>
      </c>
    </row>
    <row r="76" spans="1:12" s="61" customFormat="1" hidden="1">
      <c r="A76" s="445" t="s">
        <v>175</v>
      </c>
      <c r="B76" s="457" t="s">
        <v>81</v>
      </c>
      <c r="C76" s="466">
        <f>+'17'!G22+'18'!G22+'19'!G22+'20'!G22+'21'!G22+'22'!G22+'23'!G22+'24'!G22+'25'!G22</f>
        <v>0</v>
      </c>
      <c r="D76" s="466">
        <f ca="1">+'17'!K22+'18'!K22+'19'!K22+'20'!K22+'21'!K22+'22'!K22+'23'!K22+'24'!K22+'25'!K22</f>
        <v>23903895</v>
      </c>
      <c r="E76" s="466">
        <f t="shared" ca="1" si="2"/>
        <v>-23903895</v>
      </c>
      <c r="F76" s="119"/>
      <c r="G76" s="119"/>
      <c r="H76" s="445" t="s">
        <v>175</v>
      </c>
      <c r="I76" s="457" t="s">
        <v>81</v>
      </c>
      <c r="J76" s="466">
        <f>+'17'!G22+'18'!G22+'19'!G22+'20'!G22+'21'!G22+'22'!G22+'23'!G22+'24'!G22+'25'!G22</f>
        <v>0</v>
      </c>
      <c r="K76" s="466">
        <f ca="1">+'20'!K22+'22'!K22</f>
        <v>0</v>
      </c>
      <c r="L76" s="466">
        <f t="shared" ca="1" si="3"/>
        <v>0</v>
      </c>
    </row>
    <row r="77" spans="1:12" s="61" customFormat="1" hidden="1">
      <c r="A77" s="443" t="s">
        <v>176</v>
      </c>
      <c r="B77" s="455" t="s">
        <v>81</v>
      </c>
      <c r="C77" s="465">
        <f>+'17'!G23+'18'!G23+'19'!G23+'20'!G23+'21'!G23+'22'!G23+'23'!G23+'24'!G23+'25'!G23</f>
        <v>126326400</v>
      </c>
      <c r="D77" s="465">
        <f ca="1">+'17'!K23+'18'!K23+'19'!K23+'20'!K23+'21'!K23+'22'!K23+'23'!K23+'24'!K23+'25'!K23</f>
        <v>1168978731.4285715</v>
      </c>
      <c r="E77" s="465">
        <f t="shared" ca="1" si="2"/>
        <v>-1042652331.4285715</v>
      </c>
      <c r="F77" s="119"/>
      <c r="G77" s="119"/>
      <c r="H77" s="443" t="s">
        <v>176</v>
      </c>
      <c r="I77" s="455" t="s">
        <v>81</v>
      </c>
      <c r="J77" s="465">
        <f>+'17'!G23+'18'!G23+'19'!G23+'20'!G23+'21'!G23+'22'!G23+'23'!G23+'24'!G23+'25'!G23</f>
        <v>126326400</v>
      </c>
      <c r="K77" s="465">
        <f ca="1">+'20'!K23+'22'!K23</f>
        <v>126326417.14285715</v>
      </c>
      <c r="L77" s="465">
        <f t="shared" ca="1" si="3"/>
        <v>-17.142857149243355</v>
      </c>
    </row>
    <row r="78" spans="1:12" s="61" customFormat="1" hidden="1">
      <c r="A78" s="445" t="s">
        <v>80</v>
      </c>
      <c r="B78" s="457" t="s">
        <v>81</v>
      </c>
      <c r="C78" s="466">
        <f>+'17'!G24+'18'!G24+'19'!G24+'20'!G24+'21'!G24+'22'!G24+'23'!G24+'24'!G24+'25'!G24</f>
        <v>7487109</v>
      </c>
      <c r="D78" s="466">
        <f ca="1">+'17'!K24+'18'!K24+'19'!K24+'20'!K24+'21'!K24+'22'!K24+'23'!K24+'24'!K24+'25'!K24</f>
        <v>18611493</v>
      </c>
      <c r="E78" s="466">
        <f t="shared" ca="1" si="2"/>
        <v>-11124384</v>
      </c>
      <c r="F78" s="119"/>
      <c r="G78" s="119"/>
      <c r="H78" s="445" t="s">
        <v>80</v>
      </c>
      <c r="I78" s="457" t="s">
        <v>81</v>
      </c>
      <c r="J78" s="466">
        <f>+'17'!G24+'18'!G24+'19'!G24+'20'!G24+'21'!G24+'22'!G24+'23'!G24+'24'!G24+'25'!G24</f>
        <v>7487109</v>
      </c>
      <c r="K78" s="466">
        <f ca="1">+'20'!K24+'22'!K24</f>
        <v>7487109</v>
      </c>
      <c r="L78" s="466">
        <f t="shared" ca="1" si="3"/>
        <v>0</v>
      </c>
    </row>
    <row r="79" spans="1:12" s="61" customFormat="1" hidden="1">
      <c r="A79" s="443" t="s">
        <v>177</v>
      </c>
      <c r="B79" s="455" t="s">
        <v>81</v>
      </c>
      <c r="C79" s="465">
        <f>+'17'!G25+'18'!G25+'19'!G25+'20'!G25+'21'!G25+'22'!G25+'23'!G25+'24'!G25+'25'!G25</f>
        <v>100766709</v>
      </c>
      <c r="D79" s="465">
        <f ca="1">+'17'!K25+'18'!K25+'19'!K25+'20'!K25+'21'!K25+'22'!K25+'23'!K25+'24'!K25+'25'!K25</f>
        <v>738030466</v>
      </c>
      <c r="E79" s="465">
        <f t="shared" ca="1" si="2"/>
        <v>-637263757</v>
      </c>
      <c r="F79" s="119"/>
      <c r="G79" s="119"/>
      <c r="H79" s="443" t="s">
        <v>177</v>
      </c>
      <c r="I79" s="455" t="s">
        <v>81</v>
      </c>
      <c r="J79" s="465">
        <f>+'17'!G25+'18'!G25+'19'!G25+'20'!G25+'21'!G25+'22'!G25+'23'!G25+'24'!G25+'25'!G25</f>
        <v>100766709</v>
      </c>
      <c r="K79" s="465">
        <f ca="1">'20'!K25+'22'!K25</f>
        <v>119577664</v>
      </c>
      <c r="L79" s="465">
        <f t="shared" ca="1" si="3"/>
        <v>-18810955</v>
      </c>
    </row>
    <row r="80" spans="1:12" s="61" customFormat="1" hidden="1">
      <c r="A80" s="445" t="s">
        <v>178</v>
      </c>
      <c r="B80" s="457" t="s">
        <v>81</v>
      </c>
      <c r="C80" s="466">
        <f>+'17'!G26+'18'!G26+'19'!G26+'20'!G26+'21'!G26+'22'!G26+'23'!G26+'24'!G26+'25'!G26</f>
        <v>65315205</v>
      </c>
      <c r="D80" s="466">
        <f ca="1">+'17'!K26+'18'!K26+'19'!K26+'20'!K26+'21'!K26+'22'!K26+'23'!K26+'24'!K26+'25'!K26</f>
        <v>375576540</v>
      </c>
      <c r="E80" s="466">
        <f t="shared" ca="1" si="2"/>
        <v>-310261335</v>
      </c>
      <c r="F80" s="119"/>
      <c r="G80" s="119"/>
      <c r="H80" s="445" t="s">
        <v>178</v>
      </c>
      <c r="I80" s="457" t="s">
        <v>81</v>
      </c>
      <c r="J80" s="466">
        <f>+'17'!G26+'18'!G26+'19'!G26+'20'!G26+'21'!G26+'22'!G26+'23'!G26+'24'!G26+'25'!G26</f>
        <v>65315205</v>
      </c>
      <c r="K80" s="466">
        <f ca="1">+'20'!K26+'22'!K26</f>
        <v>80492150</v>
      </c>
      <c r="L80" s="466">
        <f t="shared" ca="1" si="3"/>
        <v>-15176945</v>
      </c>
    </row>
    <row r="81" spans="1:12" s="61" customFormat="1" hidden="1">
      <c r="A81" s="443" t="s">
        <v>179</v>
      </c>
      <c r="B81" s="455" t="s">
        <v>81</v>
      </c>
      <c r="C81" s="465">
        <f>+'17'!G27+'18'!G27+'19'!G27+'20'!G27+'21'!G27+'22'!G27+'23'!G27+'24'!G27+'25'!G27</f>
        <v>15427409</v>
      </c>
      <c r="D81" s="465">
        <f ca="1">+'17'!K27+'18'!K27+'19'!K27+'20'!K27+'21'!K27+'22'!K27+'23'!K27+'24'!K27+'25'!K27</f>
        <v>4290500</v>
      </c>
      <c r="E81" s="465">
        <f t="shared" ca="1" si="2"/>
        <v>11136909</v>
      </c>
      <c r="F81" s="119"/>
      <c r="G81" s="119"/>
      <c r="H81" s="443" t="s">
        <v>179</v>
      </c>
      <c r="I81" s="455" t="s">
        <v>81</v>
      </c>
      <c r="J81" s="465">
        <f>+'17'!G27+'18'!G27+'19'!G27+'20'!G27+'21'!G27+'22'!G27+'23'!G27+'24'!G27+'25'!G27</f>
        <v>15427409</v>
      </c>
      <c r="K81" s="465">
        <f ca="1">'20'!K27+'22'!K27</f>
        <v>2145500</v>
      </c>
      <c r="L81" s="465">
        <f t="shared" ca="1" si="3"/>
        <v>13281909</v>
      </c>
    </row>
    <row r="82" spans="1:12" s="61" customFormat="1" hidden="1">
      <c r="A82" s="445" t="s">
        <v>180</v>
      </c>
      <c r="B82" s="457" t="s">
        <v>81</v>
      </c>
      <c r="C82" s="466">
        <f>+'17'!G28+'18'!G28+'19'!G28+'20'!G28+'21'!G28+'22'!G28+'23'!G28+'24'!G28+'25'!G28</f>
        <v>9120578</v>
      </c>
      <c r="D82" s="466">
        <f ca="1">+'17'!K28+'18'!K28+'19'!K28+'20'!K28+'21'!K28+'22'!K28+'23'!K28+'24'!K28+'25'!K28</f>
        <v>43550545</v>
      </c>
      <c r="E82" s="466">
        <f t="shared" ca="1" si="2"/>
        <v>-34429967</v>
      </c>
      <c r="F82" s="119"/>
      <c r="G82" s="119"/>
      <c r="H82" s="445" t="s">
        <v>180</v>
      </c>
      <c r="I82" s="457" t="s">
        <v>81</v>
      </c>
      <c r="J82" s="466">
        <f>+'17'!G28+'18'!G28+'19'!G28+'20'!G28+'21'!G28+'22'!G28+'23'!G28+'24'!G28+'25'!G28</f>
        <v>9120578</v>
      </c>
      <c r="K82" s="466">
        <f ca="1">'20'!K28+'22'!K28</f>
        <v>30780337</v>
      </c>
      <c r="L82" s="466">
        <f t="shared" ca="1" si="3"/>
        <v>-21659759</v>
      </c>
    </row>
    <row r="83" spans="1:12" s="61" customFormat="1" hidden="1">
      <c r="A83" s="443" t="s">
        <v>181</v>
      </c>
      <c r="B83" s="455" t="s">
        <v>81</v>
      </c>
      <c r="C83" s="465">
        <f>+'17'!G29+'18'!G29+'19'!G29+'20'!G29+'21'!G29+'22'!G29+'23'!G29+'24'!G29+'25'!G29</f>
        <v>9793615.3900000006</v>
      </c>
      <c r="D83" s="465">
        <f ca="1">+'17'!K29+'18'!K29+'19'!K29+'20'!K29+'21'!K29+'22'!K29+'23'!K29+'24'!K29+'25'!K29</f>
        <v>24472985</v>
      </c>
      <c r="E83" s="465">
        <f t="shared" ca="1" si="2"/>
        <v>-14679369.609999999</v>
      </c>
      <c r="F83" s="119"/>
      <c r="G83" s="119"/>
      <c r="H83" s="443" t="s">
        <v>181</v>
      </c>
      <c r="I83" s="455" t="s">
        <v>81</v>
      </c>
      <c r="J83" s="465">
        <f>+'17'!G29+'18'!G29+'19'!G29+'20'!G29+'21'!G29+'22'!G29+'23'!G29+'24'!G29+'25'!G29</f>
        <v>9793615.3900000006</v>
      </c>
      <c r="K83" s="465">
        <f ca="1">+'20'!K29+'22'!K29</f>
        <v>5162826</v>
      </c>
      <c r="L83" s="465">
        <f t="shared" ca="1" si="3"/>
        <v>4630789.3900000006</v>
      </c>
    </row>
    <row r="84" spans="1:12" s="61" customFormat="1" hidden="1">
      <c r="A84" s="445" t="s">
        <v>182</v>
      </c>
      <c r="B84" s="457" t="s">
        <v>81</v>
      </c>
      <c r="C84" s="466">
        <f>+'17'!G30+'18'!G30+'19'!G30+'20'!G30+'21'!G30+'22'!G30+'23'!G30+'24'!G30+'25'!G30</f>
        <v>16736858.609999999</v>
      </c>
      <c r="D84" s="466">
        <f ca="1">+'17'!K30+'18'!K30+'19'!K30+'20'!K30+'21'!K30+'22'!K30+'23'!K30+'24'!K30+'25'!K30</f>
        <v>23460390</v>
      </c>
      <c r="E84" s="466">
        <f t="shared" ca="1" si="2"/>
        <v>-6723531.3900000006</v>
      </c>
      <c r="F84" s="119"/>
      <c r="G84" s="119"/>
      <c r="H84" s="445" t="s">
        <v>182</v>
      </c>
      <c r="I84" s="457" t="s">
        <v>81</v>
      </c>
      <c r="J84" s="466">
        <f>+'17'!G30+'18'!G30+'19'!G30+'20'!G30+'21'!G30+'22'!G30+'23'!G30+'24'!G30+'25'!G30</f>
        <v>16736858.609999999</v>
      </c>
      <c r="K84" s="466">
        <f ca="1">+'20'!K30+'22'!K30</f>
        <v>5128677</v>
      </c>
      <c r="L84" s="466">
        <f t="shared" ca="1" si="3"/>
        <v>11608181.609999999</v>
      </c>
    </row>
    <row r="85" spans="1:12" s="61" customFormat="1" hidden="1">
      <c r="A85" s="443" t="s">
        <v>183</v>
      </c>
      <c r="B85" s="455" t="s">
        <v>81</v>
      </c>
      <c r="C85" s="465">
        <f>+'17'!G31+'18'!G31+'19'!G31+'20'!G31+'21'!G31+'22'!G31+'23'!G31+'24'!G31+'25'!G31</f>
        <v>0</v>
      </c>
      <c r="D85" s="465">
        <f ca="1">+'17'!K31+'18'!K31+'19'!K31+'20'!K31+'21'!K31+'22'!K31+'23'!K31+'24'!K31+'25'!K31</f>
        <v>2136836</v>
      </c>
      <c r="E85" s="465">
        <f t="shared" ca="1" si="2"/>
        <v>-2136836</v>
      </c>
      <c r="F85" s="119"/>
      <c r="G85" s="119"/>
      <c r="H85" s="443" t="s">
        <v>183</v>
      </c>
      <c r="I85" s="455" t="s">
        <v>81</v>
      </c>
      <c r="J85" s="465">
        <f>+'17'!G31+'18'!G31+'19'!G31+'20'!G31+'21'!G31+'22'!G31+'23'!G31+'24'!G31+'25'!G31</f>
        <v>0</v>
      </c>
      <c r="K85" s="465">
        <f ca="1">+'20'!K31+'22'!K31</f>
        <v>2136836</v>
      </c>
      <c r="L85" s="465">
        <f t="shared" ca="1" si="3"/>
        <v>-2136836</v>
      </c>
    </row>
    <row r="86" spans="1:12" s="61" customFormat="1" hidden="1">
      <c r="A86" s="445" t="s">
        <v>184</v>
      </c>
      <c r="B86" s="457" t="s">
        <v>81</v>
      </c>
      <c r="C86" s="466">
        <f>+'17'!G32+'18'!G32+'19'!G32+'20'!G32+'21'!G32+'22'!G32+'23'!G32+'24'!G32+'25'!G32</f>
        <v>0</v>
      </c>
      <c r="D86" s="466">
        <f ca="1">+'17'!K32+'18'!K32+'19'!K32+'20'!K32+'21'!K32+'22'!K32+'23'!K32+'24'!K32+'25'!K32</f>
        <v>90000</v>
      </c>
      <c r="E86" s="466">
        <f t="shared" ca="1" si="2"/>
        <v>-90000</v>
      </c>
      <c r="F86" s="119"/>
      <c r="G86" s="119"/>
      <c r="H86" s="445" t="s">
        <v>184</v>
      </c>
      <c r="I86" s="457" t="s">
        <v>81</v>
      </c>
      <c r="J86" s="466">
        <f>+'17'!G32+'18'!G32+'19'!G32+'20'!G32+'21'!G32+'22'!G32+'23'!G32+'24'!G32+'25'!G32</f>
        <v>0</v>
      </c>
      <c r="K86" s="466">
        <f ca="1">+'20'!K32+'22'!K32</f>
        <v>0</v>
      </c>
      <c r="L86" s="466">
        <f t="shared" ca="1" si="3"/>
        <v>0</v>
      </c>
    </row>
    <row r="87" spans="1:12" s="61" customFormat="1" hidden="1">
      <c r="A87" s="443" t="s">
        <v>189</v>
      </c>
      <c r="B87" s="455" t="s">
        <v>81</v>
      </c>
      <c r="C87" s="465">
        <f>+'17'!G37+'18'!G37+'19'!G37+'20'!G37+'21'!G37+'22'!G37+'23'!G37+'24'!G37+'25'!G37</f>
        <v>2500000</v>
      </c>
      <c r="D87" s="465">
        <f ca="1">+'17'!K37+'18'!K37+'19'!K37+'20'!K37+'21'!K37+'22'!K37+'23'!K37+'24'!K37+'25'!K37</f>
        <v>0</v>
      </c>
      <c r="E87" s="465">
        <f t="shared" ca="1" si="2"/>
        <v>2500000</v>
      </c>
      <c r="F87" s="119"/>
      <c r="G87" s="119"/>
      <c r="H87" s="443" t="s">
        <v>189</v>
      </c>
      <c r="I87" s="455" t="s">
        <v>81</v>
      </c>
      <c r="J87" s="465">
        <f>+'17'!G37+'18'!G37+'19'!G37+'20'!G37+'21'!G37+'22'!G37+'23'!G37+'24'!G37+'25'!G37</f>
        <v>2500000</v>
      </c>
      <c r="K87" s="465">
        <f ca="1">+'20'!K37+'22'!K37</f>
        <v>0</v>
      </c>
      <c r="L87" s="465">
        <f t="shared" ca="1" si="3"/>
        <v>2500000</v>
      </c>
    </row>
    <row r="88" spans="1:12" ht="24" hidden="1">
      <c r="A88" s="473" t="s">
        <v>616</v>
      </c>
      <c r="B88" s="474" t="s">
        <v>170</v>
      </c>
      <c r="C88" s="475">
        <f>+'17'!G53+'18'!G53+'19'!G53+'20'!G53+'21'!G53+'22'!G53+'23'!G53+'24'!G53+'25'!G53+'17'!G49+'18'!G49+'19'!G49+'20'!G49+'21'!G49+'22'!G49+'23'!G49+'24'!G49+'25'!G49</f>
        <v>140676777</v>
      </c>
      <c r="D88" s="475">
        <f ca="1">+'17'!K53+'18'!K53+'19'!K53+'20'!K53+'21'!K53+'22'!K53+'23'!K53+'24'!K53+'25'!K53++'17'!K49+'18'!K49+'19'!K49+'20'!K49+'21'!K49+'22'!K49+'23'!K49+'24'!K49+'25'!K49</f>
        <v>1196898282.2815597</v>
      </c>
      <c r="E88" s="475">
        <f t="shared" ca="1" si="2"/>
        <v>-1056221505.2815597</v>
      </c>
      <c r="H88" s="473" t="s">
        <v>616</v>
      </c>
      <c r="I88" s="474" t="s">
        <v>170</v>
      </c>
      <c r="J88" s="475">
        <f>+'17'!G53+'18'!G53+'19'!G53+'20'!G53+'21'!G53+'22'!G53+'23'!G53+'24'!G53+'25'!G53+'17'!G49+'18'!G49+'19'!G49+'20'!G49+'21'!G49+'22'!G49+'23'!G49+'24'!G49+'25'!G49</f>
        <v>140676777</v>
      </c>
      <c r="K88" s="475">
        <f ca="1">+'20'!K53+'22'!K53+'20'!K49+'22'!K49</f>
        <v>242143503.0858525</v>
      </c>
      <c r="L88" s="475">
        <f t="shared" ca="1" si="3"/>
        <v>-101466726.0858525</v>
      </c>
    </row>
    <row r="89" spans="1:12" ht="24" hidden="1">
      <c r="A89" s="443" t="s">
        <v>615</v>
      </c>
      <c r="B89" s="455" t="s">
        <v>170</v>
      </c>
      <c r="C89" s="465">
        <f>+'17'!G54+'18'!G54+'19'!G54+'20'!G54+'21'!G54+'22'!G54+'23'!G54+'24'!G54+'25'!G54+'17'!G48+'18'!G48+'19'!G48+'20'!G48+'21'!G48+'22'!G48+'23'!G48+'24'!G48+'25'!G48</f>
        <v>199533179</v>
      </c>
      <c r="D89" s="465">
        <f ca="1">+'17'!K54+'18'!K54+'19'!K54+'20'!K54+'21'!K54+'22'!K54+'23'!K54+'24'!K54+'25'!K54+'17'!K48+'18'!K48+'19'!K48+'20'!K48+'21'!K48+'22'!K48+'23'!K48+'24'!K48+'25'!K48</f>
        <v>1134065029.2752941</v>
      </c>
      <c r="E89" s="465">
        <f t="shared" ca="1" si="2"/>
        <v>-934531850.27529407</v>
      </c>
      <c r="H89" s="443" t="s">
        <v>615</v>
      </c>
      <c r="I89" s="455" t="s">
        <v>170</v>
      </c>
      <c r="J89" s="465">
        <f>+'17'!G54+'18'!G54+'19'!G54+'20'!G54+'21'!G54+'22'!G54+'23'!G54+'24'!G54+'25'!G54+'17'!G48+'18'!G48+'19'!G48+'20'!G48+'21'!G48+'22'!G48+'23'!G48+'24'!G48+'25'!G48</f>
        <v>199533179</v>
      </c>
      <c r="K89" s="465">
        <f ca="1">+'20'!K54+'22'!K54+'20'!K48+'22'!K48</f>
        <v>194395190.96995199</v>
      </c>
      <c r="L89" s="465">
        <f t="shared" ca="1" si="3"/>
        <v>5137988.0300480127</v>
      </c>
    </row>
    <row r="90" spans="1:12" hidden="1">
      <c r="A90" s="473" t="s">
        <v>204</v>
      </c>
      <c r="B90" s="474" t="s">
        <v>170</v>
      </c>
      <c r="C90" s="475">
        <f>+'17'!G74+'18'!G74+'19'!G74+'20'!G74+'21'!G74+'22'!G74+'23'!G74+'24'!G74+'25'!G74</f>
        <v>12300000</v>
      </c>
      <c r="D90" s="475">
        <f ca="1">+'17'!K74+'18'!K74+'19'!K74+'20'!K74+'21'!K74+'22'!K74+'23'!K74+'24'!K74+'25'!K74</f>
        <v>24000000</v>
      </c>
      <c r="E90" s="475">
        <f t="shared" ca="1" si="2"/>
        <v>-11700000</v>
      </c>
      <c r="H90" s="473" t="s">
        <v>204</v>
      </c>
      <c r="I90" s="474" t="s">
        <v>170</v>
      </c>
      <c r="J90" s="475">
        <f>+'17'!G74+'18'!G74+'19'!G74+'20'!G74+'21'!G74+'22'!G74+'23'!G74+'24'!G74+'25'!G74</f>
        <v>12300000</v>
      </c>
      <c r="K90" s="475">
        <f ca="1">+'20'!K74+'22'!K74</f>
        <v>12000000</v>
      </c>
      <c r="L90" s="475">
        <f t="shared" ca="1" si="3"/>
        <v>300000</v>
      </c>
    </row>
    <row r="91" spans="1:12" hidden="1">
      <c r="A91" s="464" t="s">
        <v>1</v>
      </c>
      <c r="B91" s="196"/>
      <c r="C91" s="469">
        <f>SUM(C71:C90)</f>
        <v>847182456</v>
      </c>
      <c r="D91" s="469">
        <f t="shared" ref="D91:E91" ca="1" si="4">SUM(D71:D90)</f>
        <v>5309358342.9854259</v>
      </c>
      <c r="E91" s="469">
        <f t="shared" ca="1" si="4"/>
        <v>-4462175886.9854259</v>
      </c>
      <c r="H91" s="464" t="s">
        <v>1</v>
      </c>
      <c r="I91" s="196"/>
      <c r="J91" s="469">
        <f>SUM(J71:J90)</f>
        <v>847182456</v>
      </c>
      <c r="K91" s="469">
        <f t="shared" ref="K91" ca="1" si="5">SUM(K71:K90)</f>
        <v>931316070.19866168</v>
      </c>
      <c r="L91" s="469">
        <f t="shared" ref="L91" ca="1" si="6">SUM(L71:L90)</f>
        <v>-84133614.19866164</v>
      </c>
    </row>
    <row r="92" spans="1:12" hidden="1">
      <c r="A92" s="60"/>
      <c r="B92" s="60"/>
      <c r="H92" s="60"/>
      <c r="I92" s="60"/>
    </row>
    <row r="93" spans="1:12" hidden="1">
      <c r="A93" s="60"/>
      <c r="B93" s="61" t="s">
        <v>236</v>
      </c>
      <c r="C93" s="153">
        <f>+C91-C62</f>
        <v>0</v>
      </c>
      <c r="D93" s="153">
        <f t="shared" ref="D93:E93" ca="1" si="7">+D91-D62</f>
        <v>0</v>
      </c>
      <c r="E93" s="153">
        <f t="shared" ca="1" si="7"/>
        <v>0</v>
      </c>
      <c r="H93" s="60"/>
      <c r="I93" s="61"/>
      <c r="J93" s="153"/>
      <c r="K93" s="153"/>
      <c r="L93" s="153"/>
    </row>
    <row r="94" spans="1:12">
      <c r="A94" s="60"/>
      <c r="B94" s="60"/>
      <c r="H94" s="60"/>
      <c r="I94" s="60"/>
    </row>
    <row r="95" spans="1:12">
      <c r="A95" s="60"/>
      <c r="B95" s="60"/>
      <c r="H95" s="60"/>
      <c r="I95" s="60"/>
    </row>
    <row r="96" spans="1:12" ht="15.5">
      <c r="A96" s="609" t="s">
        <v>846</v>
      </c>
      <c r="B96" s="60"/>
      <c r="H96" s="60"/>
      <c r="I96" s="60"/>
    </row>
    <row r="97" spans="1:9">
      <c r="A97" s="60"/>
      <c r="B97" s="60"/>
      <c r="H97" s="60"/>
      <c r="I97" s="60"/>
    </row>
    <row r="98" spans="1:9">
      <c r="A98" s="60"/>
      <c r="B98" s="60"/>
      <c r="H98" s="60"/>
      <c r="I98" s="60"/>
    </row>
    <row r="99" spans="1:9">
      <c r="A99" s="844" t="s">
        <v>258</v>
      </c>
      <c r="B99" s="844" t="s">
        <v>259</v>
      </c>
      <c r="C99" s="844" t="s">
        <v>73</v>
      </c>
      <c r="D99" s="844"/>
      <c r="E99" s="844"/>
      <c r="H99" s="60"/>
      <c r="I99" s="60"/>
    </row>
    <row r="100" spans="1:9" ht="12.5" thickBot="1">
      <c r="A100" s="801"/>
      <c r="B100" s="801"/>
      <c r="C100" s="453" t="s">
        <v>71</v>
      </c>
      <c r="D100" s="453" t="s">
        <v>30</v>
      </c>
      <c r="E100" s="454" t="s">
        <v>70</v>
      </c>
      <c r="H100" s="60"/>
      <c r="I100" s="60"/>
    </row>
    <row r="101" spans="1:9" ht="12.5" thickTop="1">
      <c r="A101" s="443" t="s">
        <v>165</v>
      </c>
      <c r="B101" s="455" t="s">
        <v>166</v>
      </c>
      <c r="C101" s="465">
        <f>+J71</f>
        <v>1540558</v>
      </c>
      <c r="D101" s="465">
        <f t="shared" ref="D101:E101" si="8">+K71</f>
        <v>3085754</v>
      </c>
      <c r="E101" s="465">
        <f t="shared" si="8"/>
        <v>-1545196</v>
      </c>
      <c r="H101" s="60"/>
      <c r="I101" s="60"/>
    </row>
    <row r="102" spans="1:9">
      <c r="A102" s="445" t="s">
        <v>167</v>
      </c>
      <c r="B102" s="457" t="s">
        <v>166</v>
      </c>
      <c r="C102" s="466">
        <f t="shared" ref="C102:E102" si="9">+J72</f>
        <v>56061000</v>
      </c>
      <c r="D102" s="466">
        <f t="shared" si="9"/>
        <v>54529917</v>
      </c>
      <c r="E102" s="466">
        <f t="shared" si="9"/>
        <v>1531083</v>
      </c>
      <c r="H102" s="60"/>
      <c r="I102" s="60"/>
    </row>
    <row r="103" spans="1:9">
      <c r="A103" s="443" t="s">
        <v>172</v>
      </c>
      <c r="B103" s="455" t="s">
        <v>81</v>
      </c>
      <c r="C103" s="465">
        <f t="shared" ref="C103:E103" si="10">+J73</f>
        <v>53782820</v>
      </c>
      <c r="D103" s="465">
        <f t="shared" ca="1" si="10"/>
        <v>25242740</v>
      </c>
      <c r="E103" s="465">
        <f t="shared" ca="1" si="10"/>
        <v>28540080</v>
      </c>
      <c r="H103" s="60"/>
      <c r="I103" s="60"/>
    </row>
    <row r="104" spans="1:9">
      <c r="A104" s="445" t="s">
        <v>173</v>
      </c>
      <c r="B104" s="457" t="s">
        <v>81</v>
      </c>
      <c r="C104" s="466">
        <f t="shared" ref="C104:E104" si="11">+J74</f>
        <v>7048400</v>
      </c>
      <c r="D104" s="466">
        <f t="shared" ca="1" si="11"/>
        <v>6264000</v>
      </c>
      <c r="E104" s="466">
        <f t="shared" ca="1" si="11"/>
        <v>784400</v>
      </c>
      <c r="H104" s="60"/>
      <c r="I104" s="60"/>
    </row>
    <row r="105" spans="1:9">
      <c r="A105" s="443" t="s">
        <v>174</v>
      </c>
      <c r="B105" s="455" t="s">
        <v>81</v>
      </c>
      <c r="C105" s="465">
        <f t="shared" ref="C105:E105" si="12">+J75</f>
        <v>22765838</v>
      </c>
      <c r="D105" s="465">
        <f t="shared" ca="1" si="12"/>
        <v>14417449</v>
      </c>
      <c r="E105" s="465">
        <f t="shared" ca="1" si="12"/>
        <v>8348389</v>
      </c>
      <c r="H105" s="60"/>
      <c r="I105" s="60"/>
    </row>
    <row r="106" spans="1:9" hidden="1">
      <c r="A106" s="445" t="s">
        <v>175</v>
      </c>
      <c r="B106" s="457" t="s">
        <v>81</v>
      </c>
      <c r="C106" s="466">
        <f t="shared" ref="C106:E106" si="13">+J76</f>
        <v>0</v>
      </c>
      <c r="D106" s="466">
        <f t="shared" ca="1" si="13"/>
        <v>0</v>
      </c>
      <c r="E106" s="466">
        <f t="shared" ca="1" si="13"/>
        <v>0</v>
      </c>
      <c r="H106" s="60"/>
      <c r="I106" s="60"/>
    </row>
    <row r="107" spans="1:9">
      <c r="A107" s="445" t="s">
        <v>176</v>
      </c>
      <c r="B107" s="457" t="s">
        <v>81</v>
      </c>
      <c r="C107" s="466">
        <f t="shared" ref="C107:E107" si="14">+J77</f>
        <v>126326400</v>
      </c>
      <c r="D107" s="466">
        <f t="shared" ca="1" si="14"/>
        <v>126326417.14285715</v>
      </c>
      <c r="E107" s="466">
        <f t="shared" ca="1" si="14"/>
        <v>-17.142857149243355</v>
      </c>
      <c r="H107" s="60"/>
      <c r="I107" s="60"/>
    </row>
    <row r="108" spans="1:9">
      <c r="A108" s="443" t="s">
        <v>80</v>
      </c>
      <c r="B108" s="455" t="s">
        <v>81</v>
      </c>
      <c r="C108" s="465">
        <f t="shared" ref="C108:E108" si="15">+J78</f>
        <v>7487109</v>
      </c>
      <c r="D108" s="465">
        <f t="shared" ca="1" si="15"/>
        <v>7487109</v>
      </c>
      <c r="E108" s="465">
        <f t="shared" ca="1" si="15"/>
        <v>0</v>
      </c>
      <c r="H108" s="60"/>
      <c r="I108" s="60"/>
    </row>
    <row r="109" spans="1:9">
      <c r="A109" s="445" t="s">
        <v>177</v>
      </c>
      <c r="B109" s="457" t="s">
        <v>81</v>
      </c>
      <c r="C109" s="466">
        <f t="shared" ref="C109:E109" si="16">+J79</f>
        <v>100766709</v>
      </c>
      <c r="D109" s="466">
        <f t="shared" ca="1" si="16"/>
        <v>119577664</v>
      </c>
      <c r="E109" s="466">
        <f t="shared" ca="1" si="16"/>
        <v>-18810955</v>
      </c>
      <c r="H109" s="60"/>
      <c r="I109" s="60"/>
    </row>
    <row r="110" spans="1:9">
      <c r="A110" s="443" t="s">
        <v>178</v>
      </c>
      <c r="B110" s="455" t="s">
        <v>81</v>
      </c>
      <c r="C110" s="465">
        <f t="shared" ref="C110:E110" si="17">+J80</f>
        <v>65315205</v>
      </c>
      <c r="D110" s="465">
        <f t="shared" ca="1" si="17"/>
        <v>80492150</v>
      </c>
      <c r="E110" s="465">
        <f t="shared" ca="1" si="17"/>
        <v>-15176945</v>
      </c>
      <c r="H110" s="60"/>
      <c r="I110" s="60"/>
    </row>
    <row r="111" spans="1:9">
      <c r="A111" s="445" t="s">
        <v>179</v>
      </c>
      <c r="B111" s="457" t="s">
        <v>81</v>
      </c>
      <c r="C111" s="466">
        <f t="shared" ref="C111:E111" si="18">+J81</f>
        <v>15427409</v>
      </c>
      <c r="D111" s="466">
        <f t="shared" ca="1" si="18"/>
        <v>2145500</v>
      </c>
      <c r="E111" s="466">
        <f t="shared" ca="1" si="18"/>
        <v>13281909</v>
      </c>
      <c r="H111" s="60"/>
      <c r="I111" s="60"/>
    </row>
    <row r="112" spans="1:9">
      <c r="A112" s="443" t="s">
        <v>180</v>
      </c>
      <c r="B112" s="455" t="s">
        <v>81</v>
      </c>
      <c r="C112" s="465">
        <f t="shared" ref="C112:E112" si="19">+J82</f>
        <v>9120578</v>
      </c>
      <c r="D112" s="465">
        <f t="shared" ca="1" si="19"/>
        <v>30780337</v>
      </c>
      <c r="E112" s="465">
        <f t="shared" ca="1" si="19"/>
        <v>-21659759</v>
      </c>
      <c r="H112" s="60"/>
      <c r="I112" s="60"/>
    </row>
    <row r="113" spans="1:9">
      <c r="A113" s="445" t="s">
        <v>181</v>
      </c>
      <c r="B113" s="457" t="s">
        <v>81</v>
      </c>
      <c r="C113" s="466">
        <f t="shared" ref="C113:E113" si="20">+J83</f>
        <v>9793615.3900000006</v>
      </c>
      <c r="D113" s="466">
        <f t="shared" ca="1" si="20"/>
        <v>5162826</v>
      </c>
      <c r="E113" s="466">
        <f t="shared" ca="1" si="20"/>
        <v>4630789.3900000006</v>
      </c>
      <c r="H113" s="60"/>
      <c r="I113" s="60"/>
    </row>
    <row r="114" spans="1:9">
      <c r="A114" s="443" t="s">
        <v>182</v>
      </c>
      <c r="B114" s="455" t="s">
        <v>81</v>
      </c>
      <c r="C114" s="465">
        <f t="shared" ref="C114:E114" si="21">+J84</f>
        <v>16736858.609999999</v>
      </c>
      <c r="D114" s="465">
        <f t="shared" ca="1" si="21"/>
        <v>5128677</v>
      </c>
      <c r="E114" s="465">
        <f t="shared" ca="1" si="21"/>
        <v>11608181.609999999</v>
      </c>
      <c r="H114" s="60"/>
      <c r="I114" s="60"/>
    </row>
    <row r="115" spans="1:9">
      <c r="A115" s="445" t="s">
        <v>183</v>
      </c>
      <c r="B115" s="457" t="s">
        <v>81</v>
      </c>
      <c r="C115" s="466">
        <f t="shared" ref="C115:E115" si="22">+J85</f>
        <v>0</v>
      </c>
      <c r="D115" s="466">
        <f t="shared" ca="1" si="22"/>
        <v>2136836</v>
      </c>
      <c r="E115" s="466">
        <f t="shared" ca="1" si="22"/>
        <v>-2136836</v>
      </c>
      <c r="H115" s="60"/>
      <c r="I115" s="60"/>
    </row>
    <row r="116" spans="1:9" hidden="1">
      <c r="A116" s="443" t="s">
        <v>184</v>
      </c>
      <c r="B116" s="455" t="s">
        <v>81</v>
      </c>
      <c r="C116" s="465">
        <f t="shared" ref="C116:E116" si="23">+J86</f>
        <v>0</v>
      </c>
      <c r="D116" s="465">
        <f t="shared" ca="1" si="23"/>
        <v>0</v>
      </c>
      <c r="E116" s="465">
        <f t="shared" ca="1" si="23"/>
        <v>0</v>
      </c>
      <c r="H116" s="60"/>
      <c r="I116" s="60"/>
    </row>
    <row r="117" spans="1:9">
      <c r="A117" s="443" t="s">
        <v>189</v>
      </c>
      <c r="B117" s="455" t="s">
        <v>81</v>
      </c>
      <c r="C117" s="465">
        <f t="shared" ref="C117:E117" si="24">+J87</f>
        <v>2500000</v>
      </c>
      <c r="D117" s="465">
        <f t="shared" ca="1" si="24"/>
        <v>0</v>
      </c>
      <c r="E117" s="465">
        <f t="shared" ca="1" si="24"/>
        <v>2500000</v>
      </c>
      <c r="H117" s="60"/>
      <c r="I117" s="60"/>
    </row>
    <row r="118" spans="1:9" ht="24">
      <c r="A118" s="473" t="s">
        <v>616</v>
      </c>
      <c r="B118" s="474" t="s">
        <v>170</v>
      </c>
      <c r="C118" s="475">
        <f t="shared" ref="C118:E118" si="25">+J88</f>
        <v>140676777</v>
      </c>
      <c r="D118" s="475">
        <f t="shared" ca="1" si="25"/>
        <v>242143503.0858525</v>
      </c>
      <c r="E118" s="475">
        <f t="shared" ca="1" si="25"/>
        <v>-101466726.0858525</v>
      </c>
      <c r="H118" s="60"/>
      <c r="I118" s="60"/>
    </row>
    <row r="119" spans="1:9" ht="24">
      <c r="A119" s="443" t="s">
        <v>615</v>
      </c>
      <c r="B119" s="455" t="s">
        <v>170</v>
      </c>
      <c r="C119" s="465">
        <f t="shared" ref="C119:E119" si="26">+J89</f>
        <v>199533179</v>
      </c>
      <c r="D119" s="465">
        <f t="shared" ca="1" si="26"/>
        <v>194395190.96995199</v>
      </c>
      <c r="E119" s="465">
        <f t="shared" ca="1" si="26"/>
        <v>5137988.0300480127</v>
      </c>
      <c r="H119" s="60"/>
      <c r="I119" s="60"/>
    </row>
    <row r="120" spans="1:9">
      <c r="A120" s="473" t="s">
        <v>204</v>
      </c>
      <c r="B120" s="474" t="s">
        <v>170</v>
      </c>
      <c r="C120" s="475">
        <f t="shared" ref="C120:E120" si="27">+J90</f>
        <v>12300000</v>
      </c>
      <c r="D120" s="475">
        <f t="shared" ca="1" si="27"/>
        <v>12000000</v>
      </c>
      <c r="E120" s="475">
        <f t="shared" ca="1" si="27"/>
        <v>300000</v>
      </c>
      <c r="H120" s="60"/>
      <c r="I120" s="60"/>
    </row>
    <row r="121" spans="1:9">
      <c r="A121" s="464" t="s">
        <v>1</v>
      </c>
      <c r="B121" s="196"/>
      <c r="C121" s="469">
        <f t="shared" ref="C121:E121" si="28">+J91</f>
        <v>847182456</v>
      </c>
      <c r="D121" s="469">
        <f t="shared" ca="1" si="28"/>
        <v>931316070.19866168</v>
      </c>
      <c r="E121" s="469">
        <f t="shared" ca="1" si="28"/>
        <v>-84133614.19866164</v>
      </c>
      <c r="H121" s="60"/>
      <c r="I121" s="60"/>
    </row>
    <row r="122" spans="1:9">
      <c r="A122" s="60"/>
      <c r="B122" s="60"/>
      <c r="H122" s="60"/>
      <c r="I122" s="60"/>
    </row>
    <row r="123" spans="1:9">
      <c r="A123" s="60"/>
      <c r="B123" s="61"/>
      <c r="C123" s="153"/>
      <c r="D123" s="153"/>
      <c r="E123" s="153"/>
      <c r="H123" s="60"/>
      <c r="I123" s="60"/>
    </row>
    <row r="124" spans="1:9">
      <c r="A124" s="60"/>
      <c r="B124" s="60"/>
      <c r="H124" s="60"/>
      <c r="I124" s="60"/>
    </row>
    <row r="125" spans="1:9">
      <c r="A125" s="60"/>
      <c r="B125" s="60"/>
      <c r="H125" s="60"/>
      <c r="I125" s="60"/>
    </row>
    <row r="126" spans="1:9">
      <c r="A126" s="60"/>
      <c r="B126" s="60"/>
      <c r="H126" s="60"/>
      <c r="I126" s="60"/>
    </row>
    <row r="127" spans="1:9">
      <c r="A127" s="60"/>
      <c r="B127" s="60"/>
      <c r="H127" s="60"/>
      <c r="I127" s="60"/>
    </row>
    <row r="128" spans="1:9">
      <c r="A128" s="60"/>
      <c r="B128" s="60"/>
      <c r="H128" s="60"/>
      <c r="I128" s="60"/>
    </row>
    <row r="129" spans="1:9">
      <c r="A129" s="60"/>
      <c r="B129" s="60"/>
      <c r="H129" s="60"/>
      <c r="I129" s="60"/>
    </row>
    <row r="130" spans="1:9">
      <c r="A130" s="60"/>
      <c r="B130" s="60"/>
      <c r="H130" s="60"/>
      <c r="I130" s="60"/>
    </row>
    <row r="131" spans="1:9">
      <c r="A131" s="60"/>
      <c r="B131" s="60"/>
      <c r="H131" s="60"/>
      <c r="I131" s="60"/>
    </row>
    <row r="132" spans="1:9">
      <c r="A132" s="60"/>
      <c r="B132" s="60"/>
      <c r="H132" s="60"/>
      <c r="I132" s="60"/>
    </row>
    <row r="133" spans="1:9">
      <c r="A133" s="60"/>
      <c r="B133" s="60"/>
      <c r="H133" s="60"/>
      <c r="I133" s="60"/>
    </row>
    <row r="134" spans="1:9">
      <c r="A134" s="60"/>
      <c r="B134" s="60"/>
      <c r="H134" s="60"/>
      <c r="I134" s="60"/>
    </row>
    <row r="135" spans="1:9">
      <c r="A135" s="60"/>
      <c r="B135" s="60"/>
      <c r="H135" s="60"/>
      <c r="I135" s="60"/>
    </row>
    <row r="136" spans="1:9">
      <c r="A136" s="60"/>
      <c r="B136" s="60"/>
      <c r="H136" s="60"/>
      <c r="I136" s="60"/>
    </row>
    <row r="137" spans="1:9">
      <c r="A137" s="60"/>
      <c r="B137" s="60"/>
      <c r="H137" s="60"/>
      <c r="I137" s="60"/>
    </row>
    <row r="138" spans="1:9">
      <c r="A138" s="60"/>
      <c r="B138" s="60"/>
      <c r="H138" s="60"/>
      <c r="I138" s="60"/>
    </row>
    <row r="139" spans="1:9">
      <c r="A139" s="60"/>
      <c r="B139" s="60"/>
      <c r="H139" s="60"/>
      <c r="I139" s="60"/>
    </row>
    <row r="140" spans="1:9">
      <c r="A140" s="60"/>
      <c r="B140" s="60"/>
      <c r="H140" s="60"/>
      <c r="I140" s="60"/>
    </row>
    <row r="141" spans="1:9">
      <c r="A141" s="60"/>
      <c r="B141" s="60"/>
      <c r="H141" s="60"/>
      <c r="I141" s="60"/>
    </row>
    <row r="142" spans="1:9">
      <c r="A142" s="60"/>
      <c r="B142" s="60"/>
      <c r="H142" s="60"/>
      <c r="I142" s="60"/>
    </row>
    <row r="143" spans="1:9">
      <c r="A143" s="60"/>
      <c r="B143" s="60"/>
      <c r="H143" s="60"/>
      <c r="I143" s="60"/>
    </row>
    <row r="144" spans="1:9">
      <c r="A144" s="60"/>
      <c r="B144" s="60"/>
      <c r="H144" s="60"/>
      <c r="I144" s="60"/>
    </row>
    <row r="145" spans="1:9">
      <c r="A145" s="60"/>
      <c r="B145" s="60"/>
      <c r="H145" s="60"/>
      <c r="I145" s="60"/>
    </row>
    <row r="146" spans="1:9">
      <c r="A146" s="60"/>
      <c r="B146" s="60"/>
      <c r="H146" s="60"/>
      <c r="I146" s="60"/>
    </row>
    <row r="147" spans="1:9">
      <c r="A147" s="60"/>
      <c r="B147" s="60"/>
      <c r="H147" s="60"/>
      <c r="I147" s="60"/>
    </row>
    <row r="148" spans="1:9">
      <c r="A148" s="60"/>
      <c r="B148" s="60"/>
      <c r="H148" s="60"/>
      <c r="I148" s="60"/>
    </row>
    <row r="149" spans="1:9">
      <c r="A149" s="60"/>
      <c r="B149" s="60"/>
      <c r="H149" s="60"/>
      <c r="I149" s="60"/>
    </row>
    <row r="150" spans="1:9">
      <c r="A150" s="60"/>
      <c r="B150" s="60"/>
      <c r="H150" s="60"/>
      <c r="I150" s="60"/>
    </row>
    <row r="151" spans="1:9">
      <c r="A151" s="60"/>
      <c r="B151" s="60"/>
      <c r="H151" s="60"/>
      <c r="I151" s="60"/>
    </row>
    <row r="152" spans="1:9">
      <c r="A152" s="60"/>
      <c r="B152" s="60"/>
      <c r="H152" s="60"/>
      <c r="I152" s="60"/>
    </row>
    <row r="153" spans="1:9">
      <c r="A153" s="60"/>
      <c r="B153" s="60"/>
      <c r="H153" s="60"/>
      <c r="I153" s="60"/>
    </row>
    <row r="154" spans="1:9">
      <c r="A154" s="60"/>
      <c r="B154" s="60"/>
      <c r="H154" s="60"/>
      <c r="I154" s="60"/>
    </row>
    <row r="155" spans="1:9">
      <c r="A155" s="60"/>
      <c r="B155" s="60"/>
      <c r="H155" s="60"/>
      <c r="I155" s="60"/>
    </row>
    <row r="156" spans="1:9">
      <c r="A156" s="60"/>
      <c r="B156" s="60"/>
      <c r="H156" s="60"/>
      <c r="I156" s="60"/>
    </row>
    <row r="157" spans="1:9">
      <c r="A157" s="60"/>
      <c r="B157" s="60"/>
      <c r="H157" s="60"/>
      <c r="I157" s="60"/>
    </row>
    <row r="158" spans="1:9">
      <c r="A158" s="60"/>
      <c r="B158" s="60"/>
      <c r="H158" s="60"/>
      <c r="I158" s="60"/>
    </row>
    <row r="159" spans="1:9">
      <c r="A159" s="60"/>
      <c r="B159" s="60"/>
      <c r="H159" s="60"/>
      <c r="I159" s="60"/>
    </row>
    <row r="160" spans="1:9">
      <c r="A160" s="60"/>
      <c r="B160" s="60"/>
      <c r="H160" s="60"/>
      <c r="I160" s="60"/>
    </row>
    <row r="161" spans="1:9">
      <c r="A161" s="60"/>
      <c r="B161" s="60"/>
      <c r="H161" s="60"/>
      <c r="I161" s="60"/>
    </row>
    <row r="162" spans="1:9">
      <c r="A162" s="60"/>
      <c r="B162" s="60"/>
      <c r="H162" s="60"/>
      <c r="I162" s="60"/>
    </row>
    <row r="163" spans="1:9">
      <c r="A163" s="60"/>
      <c r="B163" s="60"/>
      <c r="H163" s="60"/>
      <c r="I163" s="60"/>
    </row>
    <row r="164" spans="1:9">
      <c r="A164" s="60"/>
      <c r="B164" s="60"/>
      <c r="H164" s="60"/>
      <c r="I164" s="60"/>
    </row>
    <row r="165" spans="1:9">
      <c r="A165" s="60"/>
      <c r="B165" s="60"/>
      <c r="H165" s="60"/>
      <c r="I165" s="60"/>
    </row>
    <row r="166" spans="1:9">
      <c r="A166" s="60"/>
      <c r="B166" s="60"/>
      <c r="H166" s="60"/>
      <c r="I166" s="60"/>
    </row>
    <row r="167" spans="1:9">
      <c r="A167" s="60"/>
      <c r="B167" s="60"/>
      <c r="H167" s="60"/>
      <c r="I167" s="60"/>
    </row>
    <row r="168" spans="1:9">
      <c r="A168" s="60"/>
      <c r="B168" s="60"/>
      <c r="H168" s="60"/>
      <c r="I168" s="60"/>
    </row>
    <row r="169" spans="1:9">
      <c r="A169" s="60"/>
      <c r="B169" s="60"/>
      <c r="H169" s="60"/>
      <c r="I169" s="60"/>
    </row>
    <row r="170" spans="1:9">
      <c r="A170" s="60"/>
      <c r="B170" s="60"/>
      <c r="H170" s="60"/>
      <c r="I170" s="60"/>
    </row>
    <row r="171" spans="1:9">
      <c r="A171" s="60"/>
      <c r="B171" s="60"/>
      <c r="H171" s="60"/>
      <c r="I171" s="60"/>
    </row>
    <row r="172" spans="1:9">
      <c r="A172" s="60"/>
      <c r="B172" s="60"/>
      <c r="H172" s="60"/>
      <c r="I172" s="60"/>
    </row>
    <row r="173" spans="1:9">
      <c r="A173" s="60"/>
      <c r="B173" s="60"/>
      <c r="H173" s="60"/>
      <c r="I173" s="60"/>
    </row>
    <row r="174" spans="1:9">
      <c r="A174" s="60"/>
      <c r="B174" s="60"/>
      <c r="H174" s="60"/>
      <c r="I174" s="60"/>
    </row>
    <row r="175" spans="1:9">
      <c r="A175" s="60"/>
      <c r="B175" s="60"/>
      <c r="H175" s="60"/>
      <c r="I175" s="60"/>
    </row>
    <row r="176" spans="1:9">
      <c r="A176" s="60"/>
      <c r="B176" s="60"/>
      <c r="H176" s="60"/>
      <c r="I176" s="60"/>
    </row>
    <row r="177" spans="1:9">
      <c r="A177" s="60"/>
      <c r="B177" s="60"/>
      <c r="H177" s="60"/>
      <c r="I177" s="60"/>
    </row>
    <row r="178" spans="1:9">
      <c r="A178" s="60"/>
      <c r="B178" s="60"/>
      <c r="H178" s="60"/>
      <c r="I178" s="60"/>
    </row>
    <row r="179" spans="1:9">
      <c r="A179" s="60"/>
      <c r="B179" s="60"/>
      <c r="H179" s="60"/>
      <c r="I179" s="60"/>
    </row>
    <row r="180" spans="1:9">
      <c r="A180" s="60"/>
      <c r="B180" s="60"/>
      <c r="H180" s="60"/>
      <c r="I180" s="60"/>
    </row>
    <row r="181" spans="1:9">
      <c r="A181" s="60"/>
      <c r="B181" s="60"/>
      <c r="H181" s="60"/>
      <c r="I181" s="60"/>
    </row>
    <row r="182" spans="1:9">
      <c r="A182" s="60"/>
      <c r="B182" s="60"/>
      <c r="H182" s="60"/>
      <c r="I182" s="60"/>
    </row>
    <row r="183" spans="1:9">
      <c r="A183" s="60"/>
      <c r="B183" s="60"/>
      <c r="H183" s="60"/>
      <c r="I183" s="60"/>
    </row>
    <row r="184" spans="1:9">
      <c r="A184" s="60"/>
      <c r="B184" s="60"/>
      <c r="H184" s="60"/>
      <c r="I184" s="60"/>
    </row>
    <row r="185" spans="1:9">
      <c r="A185" s="60"/>
      <c r="B185" s="60"/>
      <c r="H185" s="60"/>
      <c r="I185" s="60"/>
    </row>
    <row r="186" spans="1:9">
      <c r="A186" s="60"/>
      <c r="B186" s="60"/>
      <c r="H186" s="60"/>
      <c r="I186" s="60"/>
    </row>
    <row r="187" spans="1:9">
      <c r="A187" s="60"/>
      <c r="B187" s="60"/>
      <c r="H187" s="60"/>
      <c r="I187" s="60"/>
    </row>
    <row r="188" spans="1:9">
      <c r="A188" s="60"/>
      <c r="B188" s="60"/>
      <c r="H188" s="60"/>
      <c r="I188" s="60"/>
    </row>
    <row r="189" spans="1:9">
      <c r="A189" s="60"/>
      <c r="B189" s="60"/>
      <c r="H189" s="60"/>
      <c r="I189" s="60"/>
    </row>
    <row r="190" spans="1:9">
      <c r="A190" s="60"/>
      <c r="B190" s="60"/>
      <c r="H190" s="60"/>
      <c r="I190" s="60"/>
    </row>
    <row r="191" spans="1:9">
      <c r="A191" s="60"/>
      <c r="B191" s="60"/>
      <c r="H191" s="60"/>
      <c r="I191" s="60"/>
    </row>
    <row r="192" spans="1:9">
      <c r="A192" s="60"/>
      <c r="B192" s="60"/>
      <c r="H192" s="60"/>
      <c r="I192" s="60"/>
    </row>
    <row r="193" spans="1:9">
      <c r="A193" s="60"/>
      <c r="B193" s="60"/>
      <c r="H193" s="60"/>
      <c r="I193" s="60"/>
    </row>
    <row r="194" spans="1:9">
      <c r="A194" s="60"/>
      <c r="B194" s="60"/>
      <c r="H194" s="60"/>
      <c r="I194" s="60"/>
    </row>
    <row r="195" spans="1:9">
      <c r="A195" s="60"/>
      <c r="B195" s="60"/>
      <c r="H195" s="60"/>
      <c r="I195" s="60"/>
    </row>
    <row r="196" spans="1:9">
      <c r="A196" s="60"/>
      <c r="B196" s="60"/>
      <c r="H196" s="60"/>
      <c r="I196" s="60"/>
    </row>
    <row r="197" spans="1:9">
      <c r="A197" s="60"/>
      <c r="B197" s="60"/>
      <c r="H197" s="60"/>
      <c r="I197" s="60"/>
    </row>
    <row r="198" spans="1:9">
      <c r="A198" s="60"/>
      <c r="B198" s="60"/>
      <c r="H198" s="60"/>
      <c r="I198" s="60"/>
    </row>
    <row r="199" spans="1:9">
      <c r="A199" s="60"/>
      <c r="B199" s="60"/>
      <c r="H199" s="60"/>
      <c r="I199" s="60"/>
    </row>
    <row r="200" spans="1:9">
      <c r="A200" s="60"/>
      <c r="B200" s="60"/>
      <c r="H200" s="60"/>
      <c r="I200" s="60"/>
    </row>
    <row r="201" spans="1:9">
      <c r="A201" s="60"/>
      <c r="B201" s="60"/>
      <c r="H201" s="60"/>
      <c r="I201" s="60"/>
    </row>
    <row r="202" spans="1:9">
      <c r="A202" s="60"/>
      <c r="B202" s="60"/>
      <c r="H202" s="60"/>
      <c r="I202" s="60"/>
    </row>
    <row r="203" spans="1:9">
      <c r="A203" s="60"/>
      <c r="B203" s="60"/>
      <c r="H203" s="60"/>
      <c r="I203" s="60"/>
    </row>
    <row r="204" spans="1:9">
      <c r="A204" s="60"/>
      <c r="B204" s="60"/>
      <c r="H204" s="60"/>
      <c r="I204" s="60"/>
    </row>
    <row r="205" spans="1:9">
      <c r="A205" s="60"/>
      <c r="B205" s="60"/>
      <c r="H205" s="60"/>
      <c r="I205" s="60"/>
    </row>
    <row r="206" spans="1:9">
      <c r="A206" s="60"/>
      <c r="B206" s="60"/>
      <c r="H206" s="60"/>
      <c r="I206" s="60"/>
    </row>
    <row r="207" spans="1:9">
      <c r="A207" s="60"/>
      <c r="B207" s="60"/>
      <c r="H207" s="60"/>
      <c r="I207" s="60"/>
    </row>
    <row r="208" spans="1:9">
      <c r="A208" s="60"/>
      <c r="B208" s="60"/>
      <c r="H208" s="60"/>
      <c r="I208" s="60"/>
    </row>
    <row r="209" spans="1:9">
      <c r="A209" s="60"/>
      <c r="B209" s="60"/>
      <c r="H209" s="60"/>
      <c r="I209" s="60"/>
    </row>
    <row r="210" spans="1:9">
      <c r="A210" s="60"/>
      <c r="B210" s="60"/>
      <c r="H210" s="60"/>
      <c r="I210" s="60"/>
    </row>
    <row r="211" spans="1:9">
      <c r="A211" s="60"/>
      <c r="B211" s="60"/>
      <c r="H211" s="60"/>
      <c r="I211" s="60"/>
    </row>
    <row r="212" spans="1:9">
      <c r="A212" s="60"/>
      <c r="B212" s="60"/>
      <c r="H212" s="60"/>
      <c r="I212" s="60"/>
    </row>
    <row r="213" spans="1:9">
      <c r="A213" s="60"/>
      <c r="B213" s="60"/>
      <c r="H213" s="60"/>
      <c r="I213" s="60"/>
    </row>
    <row r="214" spans="1:9">
      <c r="A214" s="60"/>
      <c r="B214" s="60"/>
      <c r="H214" s="60"/>
      <c r="I214" s="60"/>
    </row>
    <row r="215" spans="1:9">
      <c r="A215" s="60"/>
      <c r="B215" s="60"/>
      <c r="H215" s="60"/>
      <c r="I215" s="60"/>
    </row>
    <row r="216" spans="1:9">
      <c r="A216" s="60"/>
      <c r="B216" s="60"/>
      <c r="H216" s="60"/>
      <c r="I216" s="60"/>
    </row>
    <row r="217" spans="1:9">
      <c r="A217" s="60"/>
      <c r="B217" s="60"/>
      <c r="H217" s="60"/>
      <c r="I217" s="60"/>
    </row>
    <row r="218" spans="1:9">
      <c r="A218" s="60"/>
      <c r="B218" s="60"/>
      <c r="H218" s="60"/>
      <c r="I218" s="60"/>
    </row>
    <row r="219" spans="1:9">
      <c r="A219" s="60"/>
      <c r="B219" s="60"/>
      <c r="H219" s="60"/>
      <c r="I219" s="60"/>
    </row>
    <row r="220" spans="1:9">
      <c r="A220" s="60"/>
      <c r="B220" s="60"/>
      <c r="H220" s="60"/>
      <c r="I220" s="60"/>
    </row>
    <row r="221" spans="1:9">
      <c r="A221" s="60"/>
      <c r="B221" s="60"/>
      <c r="H221" s="60"/>
      <c r="I221" s="60"/>
    </row>
    <row r="222" spans="1:9">
      <c r="A222" s="60"/>
      <c r="B222" s="60"/>
      <c r="H222" s="60"/>
      <c r="I222" s="60"/>
    </row>
    <row r="223" spans="1:9">
      <c r="A223" s="60"/>
      <c r="B223" s="60"/>
      <c r="H223" s="60"/>
      <c r="I223" s="60"/>
    </row>
    <row r="224" spans="1:9">
      <c r="A224" s="60"/>
      <c r="B224" s="60"/>
      <c r="H224" s="60"/>
      <c r="I224" s="60"/>
    </row>
    <row r="225" spans="1:9">
      <c r="A225" s="60"/>
      <c r="B225" s="60"/>
      <c r="H225" s="60"/>
      <c r="I225" s="60"/>
    </row>
    <row r="226" spans="1:9">
      <c r="A226" s="60"/>
      <c r="B226" s="60"/>
      <c r="H226" s="60"/>
      <c r="I226" s="60"/>
    </row>
    <row r="227" spans="1:9">
      <c r="A227" s="60"/>
      <c r="B227" s="60"/>
      <c r="H227" s="60"/>
      <c r="I227" s="60"/>
    </row>
    <row r="228" spans="1:9">
      <c r="A228" s="60"/>
      <c r="B228" s="60"/>
      <c r="H228" s="60"/>
      <c r="I228" s="60"/>
    </row>
    <row r="229" spans="1:9">
      <c r="A229" s="60"/>
      <c r="B229" s="60"/>
      <c r="H229" s="60"/>
      <c r="I229" s="60"/>
    </row>
    <row r="230" spans="1:9">
      <c r="A230" s="60"/>
      <c r="B230" s="60"/>
      <c r="H230" s="60"/>
      <c r="I230" s="60"/>
    </row>
    <row r="231" spans="1:9">
      <c r="A231" s="60"/>
      <c r="B231" s="60"/>
      <c r="H231" s="60"/>
      <c r="I231" s="60"/>
    </row>
    <row r="232" spans="1:9">
      <c r="A232" s="60"/>
      <c r="B232" s="60"/>
      <c r="H232" s="60"/>
      <c r="I232" s="60"/>
    </row>
    <row r="233" spans="1:9">
      <c r="A233" s="60"/>
      <c r="B233" s="60"/>
      <c r="H233" s="60"/>
      <c r="I233" s="60"/>
    </row>
    <row r="234" spans="1:9">
      <c r="A234" s="60"/>
      <c r="B234" s="60"/>
      <c r="H234" s="60"/>
      <c r="I234" s="60"/>
    </row>
    <row r="235" spans="1:9">
      <c r="A235" s="60"/>
      <c r="B235" s="60"/>
      <c r="H235" s="60"/>
      <c r="I235" s="60"/>
    </row>
    <row r="236" spans="1:9">
      <c r="A236" s="60"/>
      <c r="B236" s="60"/>
      <c r="H236" s="60"/>
      <c r="I236" s="60"/>
    </row>
    <row r="237" spans="1:9">
      <c r="A237" s="60"/>
      <c r="B237" s="60"/>
      <c r="H237" s="60"/>
      <c r="I237" s="60"/>
    </row>
    <row r="238" spans="1:9">
      <c r="A238" s="60"/>
      <c r="B238" s="60"/>
      <c r="H238" s="60"/>
      <c r="I238" s="60"/>
    </row>
    <row r="239" spans="1:9">
      <c r="A239" s="60"/>
      <c r="B239" s="60"/>
      <c r="H239" s="60"/>
      <c r="I239" s="60"/>
    </row>
    <row r="240" spans="1:9">
      <c r="A240" s="60"/>
      <c r="B240" s="60"/>
      <c r="H240" s="60"/>
      <c r="I240" s="60"/>
    </row>
    <row r="241" spans="1:9">
      <c r="A241" s="60"/>
      <c r="B241" s="60"/>
      <c r="H241" s="60"/>
      <c r="I241" s="60"/>
    </row>
    <row r="242" spans="1:9">
      <c r="A242" s="60"/>
      <c r="B242" s="60"/>
      <c r="H242" s="60"/>
      <c r="I242" s="60"/>
    </row>
    <row r="243" spans="1:9">
      <c r="A243" s="60"/>
      <c r="B243" s="60"/>
      <c r="H243" s="60"/>
      <c r="I243" s="60"/>
    </row>
    <row r="244" spans="1:9">
      <c r="A244" s="60"/>
      <c r="B244" s="60"/>
      <c r="H244" s="60"/>
      <c r="I244" s="60"/>
    </row>
    <row r="245" spans="1:9">
      <c r="A245" s="60"/>
      <c r="B245" s="60"/>
      <c r="H245" s="60"/>
      <c r="I245" s="60"/>
    </row>
    <row r="246" spans="1:9">
      <c r="A246" s="60"/>
      <c r="B246" s="60"/>
      <c r="H246" s="60"/>
      <c r="I246" s="60"/>
    </row>
    <row r="247" spans="1:9">
      <c r="A247" s="60"/>
      <c r="B247" s="60"/>
      <c r="H247" s="60"/>
      <c r="I247" s="60"/>
    </row>
    <row r="248" spans="1:9">
      <c r="A248" s="60"/>
      <c r="B248" s="60"/>
      <c r="H248" s="60"/>
      <c r="I248" s="60"/>
    </row>
    <row r="249" spans="1:9">
      <c r="A249" s="60"/>
      <c r="B249" s="60"/>
      <c r="H249" s="60"/>
      <c r="I249" s="60"/>
    </row>
    <row r="250" spans="1:9">
      <c r="A250" s="60"/>
      <c r="B250" s="60"/>
      <c r="H250" s="60"/>
      <c r="I250" s="60"/>
    </row>
    <row r="251" spans="1:9">
      <c r="A251" s="60"/>
      <c r="B251" s="60"/>
      <c r="H251" s="60"/>
      <c r="I251" s="60"/>
    </row>
    <row r="252" spans="1:9">
      <c r="A252" s="60"/>
      <c r="B252" s="60"/>
      <c r="H252" s="60"/>
      <c r="I252" s="60"/>
    </row>
    <row r="253" spans="1:9">
      <c r="A253" s="60"/>
      <c r="B253" s="60"/>
      <c r="H253" s="60"/>
      <c r="I253" s="60"/>
    </row>
    <row r="254" spans="1:9">
      <c r="A254" s="60"/>
      <c r="B254" s="60"/>
      <c r="H254" s="60"/>
      <c r="I254" s="60"/>
    </row>
    <row r="255" spans="1:9">
      <c r="A255" s="60"/>
      <c r="B255" s="60"/>
      <c r="H255" s="60"/>
      <c r="I255" s="60"/>
    </row>
    <row r="256" spans="1:9">
      <c r="A256" s="60"/>
      <c r="B256" s="60"/>
      <c r="H256" s="60"/>
      <c r="I256" s="60"/>
    </row>
    <row r="257" spans="1:9">
      <c r="A257" s="60"/>
      <c r="B257" s="60"/>
      <c r="H257" s="60"/>
      <c r="I257" s="60"/>
    </row>
    <row r="258" spans="1:9">
      <c r="A258" s="60"/>
      <c r="B258" s="60"/>
      <c r="H258" s="60"/>
      <c r="I258" s="60"/>
    </row>
    <row r="259" spans="1:9">
      <c r="A259" s="60"/>
      <c r="B259" s="60"/>
      <c r="H259" s="60"/>
      <c r="I259" s="60"/>
    </row>
    <row r="260" spans="1:9">
      <c r="A260" s="60"/>
      <c r="B260" s="60"/>
      <c r="H260" s="60"/>
      <c r="I260" s="60"/>
    </row>
    <row r="261" spans="1:9">
      <c r="A261" s="60"/>
      <c r="B261" s="60"/>
      <c r="H261" s="60"/>
      <c r="I261" s="60"/>
    </row>
    <row r="262" spans="1:9">
      <c r="A262" s="60"/>
      <c r="B262" s="60"/>
      <c r="H262" s="60"/>
      <c r="I262" s="60"/>
    </row>
    <row r="263" spans="1:9">
      <c r="A263" s="60"/>
      <c r="B263" s="60"/>
      <c r="H263" s="60"/>
      <c r="I263" s="60"/>
    </row>
    <row r="264" spans="1:9">
      <c r="A264" s="60"/>
      <c r="B264" s="60"/>
      <c r="H264" s="60"/>
      <c r="I264" s="60"/>
    </row>
    <row r="265" spans="1:9">
      <c r="A265" s="60"/>
      <c r="B265" s="60"/>
      <c r="H265" s="60"/>
      <c r="I265" s="60"/>
    </row>
    <row r="266" spans="1:9">
      <c r="A266" s="60"/>
      <c r="B266" s="60"/>
      <c r="H266" s="60"/>
      <c r="I266" s="60"/>
    </row>
    <row r="267" spans="1:9">
      <c r="A267" s="60"/>
      <c r="B267" s="60"/>
      <c r="H267" s="60"/>
      <c r="I267" s="60"/>
    </row>
    <row r="268" spans="1:9">
      <c r="A268" s="60"/>
      <c r="B268" s="60"/>
      <c r="H268" s="60"/>
      <c r="I268" s="60"/>
    </row>
    <row r="269" spans="1:9">
      <c r="A269" s="60"/>
      <c r="B269" s="60"/>
      <c r="H269" s="60"/>
      <c r="I269" s="60"/>
    </row>
    <row r="270" spans="1:9">
      <c r="A270" s="60"/>
      <c r="B270" s="60"/>
      <c r="H270" s="60"/>
      <c r="I270" s="60"/>
    </row>
    <row r="271" spans="1:9">
      <c r="A271" s="60"/>
      <c r="B271" s="60"/>
      <c r="H271" s="60"/>
      <c r="I271" s="60"/>
    </row>
    <row r="272" spans="1:9">
      <c r="A272" s="60"/>
      <c r="B272" s="60"/>
      <c r="H272" s="60"/>
      <c r="I272" s="60"/>
    </row>
    <row r="273" spans="1:9">
      <c r="A273" s="60"/>
      <c r="B273" s="60"/>
      <c r="H273" s="60"/>
      <c r="I273" s="60"/>
    </row>
    <row r="274" spans="1:9">
      <c r="A274" s="60"/>
      <c r="B274" s="60"/>
      <c r="H274" s="60"/>
      <c r="I274" s="60"/>
    </row>
    <row r="275" spans="1:9">
      <c r="A275" s="60"/>
      <c r="B275" s="60"/>
      <c r="H275" s="60"/>
      <c r="I275" s="60"/>
    </row>
    <row r="276" spans="1:9">
      <c r="A276" s="60"/>
      <c r="B276" s="60"/>
      <c r="H276" s="60"/>
      <c r="I276" s="60"/>
    </row>
    <row r="277" spans="1:9">
      <c r="A277" s="60"/>
      <c r="B277" s="60"/>
      <c r="H277" s="60"/>
      <c r="I277" s="60"/>
    </row>
    <row r="278" spans="1:9">
      <c r="A278" s="60"/>
      <c r="B278" s="60"/>
      <c r="H278" s="60"/>
      <c r="I278" s="60"/>
    </row>
    <row r="279" spans="1:9">
      <c r="A279" s="60"/>
      <c r="B279" s="60"/>
      <c r="H279" s="60"/>
      <c r="I279" s="60"/>
    </row>
    <row r="280" spans="1:9">
      <c r="A280" s="60"/>
      <c r="B280" s="60"/>
      <c r="H280" s="60"/>
      <c r="I280" s="60"/>
    </row>
    <row r="281" spans="1:9">
      <c r="A281" s="60"/>
      <c r="B281" s="60"/>
      <c r="H281" s="60"/>
      <c r="I281" s="60"/>
    </row>
    <row r="282" spans="1:9">
      <c r="A282" s="60"/>
      <c r="B282" s="60"/>
      <c r="H282" s="60"/>
      <c r="I282" s="60"/>
    </row>
    <row r="283" spans="1:9">
      <c r="A283" s="60"/>
      <c r="B283" s="60"/>
      <c r="H283" s="60"/>
      <c r="I283" s="60"/>
    </row>
    <row r="284" spans="1:9">
      <c r="A284" s="60"/>
      <c r="B284" s="60"/>
      <c r="H284" s="60"/>
      <c r="I284" s="60"/>
    </row>
    <row r="285" spans="1:9">
      <c r="A285" s="60"/>
      <c r="B285" s="60"/>
      <c r="H285" s="60"/>
      <c r="I285" s="60"/>
    </row>
    <row r="286" spans="1:9">
      <c r="A286" s="60"/>
      <c r="B286" s="60"/>
      <c r="H286" s="60"/>
      <c r="I286" s="60"/>
    </row>
    <row r="287" spans="1:9">
      <c r="A287" s="60"/>
      <c r="B287" s="60"/>
      <c r="H287" s="60"/>
      <c r="I287" s="60"/>
    </row>
    <row r="288" spans="1:9">
      <c r="A288" s="60"/>
      <c r="B288" s="60"/>
      <c r="H288" s="60"/>
      <c r="I288" s="60"/>
    </row>
    <row r="289" spans="1:9">
      <c r="A289" s="60"/>
      <c r="B289" s="60"/>
      <c r="H289" s="60"/>
      <c r="I289" s="60"/>
    </row>
    <row r="290" spans="1:9">
      <c r="A290" s="60"/>
      <c r="B290" s="60"/>
      <c r="H290" s="60"/>
      <c r="I290" s="60"/>
    </row>
    <row r="291" spans="1:9">
      <c r="A291" s="60"/>
      <c r="B291" s="60"/>
      <c r="H291" s="60"/>
      <c r="I291" s="60"/>
    </row>
    <row r="292" spans="1:9">
      <c r="A292" s="60"/>
      <c r="B292" s="60"/>
      <c r="H292" s="60"/>
      <c r="I292" s="60"/>
    </row>
    <row r="293" spans="1:9">
      <c r="A293" s="60"/>
      <c r="B293" s="60"/>
      <c r="H293" s="60"/>
      <c r="I293" s="60"/>
    </row>
    <row r="294" spans="1:9">
      <c r="A294" s="60"/>
      <c r="B294" s="60"/>
      <c r="H294" s="60"/>
      <c r="I294" s="60"/>
    </row>
    <row r="295" spans="1:9">
      <c r="A295" s="60"/>
      <c r="B295" s="60"/>
      <c r="H295" s="60"/>
      <c r="I295" s="60"/>
    </row>
    <row r="296" spans="1:9">
      <c r="A296" s="60"/>
      <c r="B296" s="60"/>
      <c r="H296" s="60"/>
      <c r="I296" s="60"/>
    </row>
    <row r="297" spans="1:9">
      <c r="A297" s="60"/>
      <c r="B297" s="60"/>
      <c r="H297" s="60"/>
      <c r="I297" s="60"/>
    </row>
    <row r="298" spans="1:9">
      <c r="A298" s="60"/>
      <c r="B298" s="60"/>
      <c r="H298" s="60"/>
      <c r="I298" s="60"/>
    </row>
    <row r="299" spans="1:9">
      <c r="A299" s="60"/>
      <c r="B299" s="60"/>
      <c r="H299" s="60"/>
      <c r="I299" s="60"/>
    </row>
    <row r="300" spans="1:9">
      <c r="A300" s="60"/>
      <c r="B300" s="60"/>
      <c r="H300" s="60"/>
      <c r="I300" s="60"/>
    </row>
    <row r="301" spans="1:9">
      <c r="A301" s="60"/>
      <c r="B301" s="60"/>
      <c r="H301" s="60"/>
      <c r="I301" s="60"/>
    </row>
    <row r="302" spans="1:9">
      <c r="A302" s="60"/>
      <c r="B302" s="60"/>
      <c r="H302" s="60"/>
      <c r="I302" s="60"/>
    </row>
    <row r="303" spans="1:9">
      <c r="A303" s="60"/>
      <c r="B303" s="60"/>
      <c r="H303" s="60"/>
      <c r="I303" s="60"/>
    </row>
    <row r="304" spans="1:9">
      <c r="A304" s="60"/>
      <c r="B304" s="60"/>
      <c r="H304" s="60"/>
      <c r="I304" s="60"/>
    </row>
    <row r="305" spans="1:9">
      <c r="A305" s="60"/>
      <c r="B305" s="60"/>
      <c r="H305" s="60"/>
      <c r="I305" s="60"/>
    </row>
    <row r="306" spans="1:9">
      <c r="A306" s="60"/>
      <c r="B306" s="60"/>
      <c r="H306" s="60"/>
      <c r="I306" s="60"/>
    </row>
    <row r="307" spans="1:9">
      <c r="A307" s="60"/>
      <c r="B307" s="60"/>
      <c r="H307" s="60"/>
      <c r="I307" s="60"/>
    </row>
    <row r="308" spans="1:9">
      <c r="A308" s="60"/>
      <c r="B308" s="60"/>
      <c r="H308" s="60"/>
      <c r="I308" s="60"/>
    </row>
    <row r="309" spans="1:9">
      <c r="A309" s="60"/>
      <c r="B309" s="60"/>
      <c r="H309" s="60"/>
      <c r="I309" s="60"/>
    </row>
    <row r="310" spans="1:9">
      <c r="A310" s="60"/>
      <c r="B310" s="60"/>
      <c r="H310" s="60"/>
      <c r="I310" s="60"/>
    </row>
    <row r="311" spans="1:9">
      <c r="A311" s="60"/>
      <c r="B311" s="60"/>
      <c r="H311" s="60"/>
      <c r="I311" s="60"/>
    </row>
    <row r="312" spans="1:9">
      <c r="A312" s="60"/>
      <c r="B312" s="60"/>
      <c r="H312" s="60"/>
      <c r="I312" s="60"/>
    </row>
    <row r="313" spans="1:9">
      <c r="A313" s="60"/>
      <c r="B313" s="60"/>
      <c r="H313" s="60"/>
      <c r="I313" s="60"/>
    </row>
    <row r="314" spans="1:9">
      <c r="A314" s="60"/>
      <c r="B314" s="60"/>
      <c r="H314" s="60"/>
      <c r="I314" s="60"/>
    </row>
    <row r="315" spans="1:9">
      <c r="A315" s="60"/>
      <c r="B315" s="60"/>
      <c r="H315" s="60"/>
      <c r="I315" s="60"/>
    </row>
    <row r="316" spans="1:9">
      <c r="A316" s="60"/>
      <c r="B316" s="60"/>
      <c r="H316" s="60"/>
      <c r="I316" s="60"/>
    </row>
    <row r="317" spans="1:9">
      <c r="A317" s="60"/>
      <c r="B317" s="60"/>
      <c r="H317" s="60"/>
      <c r="I317" s="60"/>
    </row>
    <row r="318" spans="1:9">
      <c r="A318" s="60"/>
      <c r="B318" s="60"/>
      <c r="H318" s="60"/>
      <c r="I318" s="60"/>
    </row>
    <row r="319" spans="1:9">
      <c r="A319" s="60"/>
      <c r="B319" s="60"/>
      <c r="H319" s="60"/>
      <c r="I319" s="60"/>
    </row>
    <row r="320" spans="1:9">
      <c r="A320" s="60"/>
      <c r="B320" s="60"/>
      <c r="H320" s="60"/>
      <c r="I320" s="60"/>
    </row>
    <row r="321" spans="1:9">
      <c r="A321" s="60"/>
      <c r="B321" s="60"/>
      <c r="H321" s="60"/>
      <c r="I321" s="60"/>
    </row>
    <row r="322" spans="1:9">
      <c r="A322" s="60"/>
      <c r="B322" s="60"/>
      <c r="H322" s="60"/>
      <c r="I322" s="60"/>
    </row>
    <row r="323" spans="1:9">
      <c r="A323" s="60"/>
      <c r="B323" s="60"/>
      <c r="H323" s="60"/>
      <c r="I323" s="60"/>
    </row>
    <row r="324" spans="1:9">
      <c r="A324" s="60"/>
      <c r="B324" s="60"/>
      <c r="H324" s="60"/>
      <c r="I324" s="60"/>
    </row>
    <row r="325" spans="1:9">
      <c r="A325" s="60"/>
      <c r="B325" s="60"/>
      <c r="H325" s="60"/>
      <c r="I325" s="60"/>
    </row>
    <row r="326" spans="1:9">
      <c r="A326" s="60"/>
      <c r="B326" s="60"/>
      <c r="H326" s="60"/>
      <c r="I326" s="60"/>
    </row>
    <row r="327" spans="1:9">
      <c r="A327" s="60"/>
      <c r="B327" s="60"/>
      <c r="H327" s="60"/>
      <c r="I327" s="60"/>
    </row>
    <row r="328" spans="1:9">
      <c r="A328" s="60"/>
      <c r="B328" s="60"/>
      <c r="H328" s="60"/>
      <c r="I328" s="60"/>
    </row>
    <row r="329" spans="1:9">
      <c r="A329" s="60"/>
      <c r="B329" s="60"/>
      <c r="H329" s="60"/>
      <c r="I329" s="60"/>
    </row>
    <row r="330" spans="1:9">
      <c r="A330" s="60"/>
      <c r="B330" s="60"/>
      <c r="H330" s="60"/>
      <c r="I330" s="60"/>
    </row>
    <row r="331" spans="1:9">
      <c r="A331" s="60"/>
      <c r="B331" s="60"/>
      <c r="H331" s="60"/>
      <c r="I331" s="60"/>
    </row>
    <row r="332" spans="1:9">
      <c r="A332" s="60"/>
      <c r="B332" s="60"/>
      <c r="H332" s="60"/>
      <c r="I332" s="60"/>
    </row>
    <row r="333" spans="1:9">
      <c r="A333" s="60"/>
      <c r="B333" s="60"/>
      <c r="H333" s="60"/>
      <c r="I333" s="60"/>
    </row>
    <row r="334" spans="1:9">
      <c r="A334" s="60"/>
      <c r="B334" s="60"/>
      <c r="H334" s="60"/>
      <c r="I334" s="60"/>
    </row>
    <row r="335" spans="1:9">
      <c r="A335" s="60"/>
      <c r="B335" s="60"/>
      <c r="H335" s="60"/>
      <c r="I335" s="60"/>
    </row>
    <row r="336" spans="1:9">
      <c r="A336" s="60"/>
      <c r="B336" s="60"/>
      <c r="H336" s="60"/>
      <c r="I336" s="60"/>
    </row>
    <row r="337" spans="1:9">
      <c r="A337" s="60"/>
      <c r="B337" s="60"/>
      <c r="H337" s="60"/>
      <c r="I337" s="60"/>
    </row>
    <row r="338" spans="1:9">
      <c r="A338" s="60"/>
      <c r="B338" s="60"/>
      <c r="H338" s="60"/>
      <c r="I338" s="60"/>
    </row>
    <row r="339" spans="1:9">
      <c r="A339" s="60"/>
      <c r="B339" s="60"/>
      <c r="H339" s="60"/>
      <c r="I339" s="60"/>
    </row>
    <row r="340" spans="1:9">
      <c r="A340" s="60"/>
      <c r="B340" s="60"/>
      <c r="H340" s="60"/>
      <c r="I340" s="60"/>
    </row>
    <row r="341" spans="1:9">
      <c r="A341" s="60"/>
      <c r="B341" s="60"/>
      <c r="H341" s="60"/>
      <c r="I341" s="60"/>
    </row>
    <row r="342" spans="1:9">
      <c r="A342" s="60"/>
      <c r="B342" s="60"/>
      <c r="H342" s="60"/>
      <c r="I342" s="60"/>
    </row>
    <row r="343" spans="1:9">
      <c r="A343" s="60"/>
      <c r="B343" s="60"/>
      <c r="H343" s="60"/>
      <c r="I343" s="60"/>
    </row>
    <row r="344" spans="1:9">
      <c r="A344" s="60"/>
      <c r="B344" s="60"/>
      <c r="H344" s="60"/>
      <c r="I344" s="60"/>
    </row>
    <row r="345" spans="1:9">
      <c r="A345" s="60"/>
      <c r="B345" s="60"/>
      <c r="H345" s="60"/>
      <c r="I345" s="60"/>
    </row>
    <row r="346" spans="1:9">
      <c r="A346" s="60"/>
      <c r="B346" s="60"/>
      <c r="H346" s="60"/>
      <c r="I346" s="60"/>
    </row>
    <row r="347" spans="1:9">
      <c r="A347" s="60"/>
      <c r="B347" s="60"/>
      <c r="H347" s="60"/>
      <c r="I347" s="60"/>
    </row>
    <row r="348" spans="1:9">
      <c r="A348" s="60"/>
      <c r="B348" s="60"/>
      <c r="H348" s="60"/>
      <c r="I348" s="60"/>
    </row>
    <row r="349" spans="1:9">
      <c r="A349" s="60"/>
      <c r="B349" s="60"/>
      <c r="H349" s="60"/>
      <c r="I349" s="60"/>
    </row>
    <row r="350" spans="1:9">
      <c r="A350" s="60"/>
      <c r="B350" s="60"/>
      <c r="H350" s="60"/>
      <c r="I350" s="60"/>
    </row>
    <row r="351" spans="1:9">
      <c r="A351" s="60"/>
      <c r="B351" s="60"/>
      <c r="H351" s="60"/>
      <c r="I351" s="60"/>
    </row>
    <row r="352" spans="1:9">
      <c r="A352" s="60"/>
      <c r="B352" s="60"/>
      <c r="H352" s="60"/>
      <c r="I352" s="60"/>
    </row>
    <row r="353" spans="1:9">
      <c r="A353" s="60"/>
      <c r="B353" s="60"/>
      <c r="H353" s="60"/>
      <c r="I353" s="60"/>
    </row>
    <row r="354" spans="1:9">
      <c r="A354" s="60"/>
      <c r="B354" s="60"/>
      <c r="H354" s="60"/>
      <c r="I354" s="60"/>
    </row>
    <row r="355" spans="1:9">
      <c r="A355" s="60"/>
      <c r="B355" s="60"/>
      <c r="H355" s="60"/>
      <c r="I355" s="60"/>
    </row>
    <row r="356" spans="1:9">
      <c r="A356" s="60"/>
      <c r="B356" s="60"/>
      <c r="H356" s="60"/>
      <c r="I356" s="60"/>
    </row>
    <row r="357" spans="1:9">
      <c r="A357" s="60"/>
      <c r="B357" s="60"/>
      <c r="H357" s="60"/>
      <c r="I357" s="60"/>
    </row>
    <row r="358" spans="1:9">
      <c r="A358" s="60"/>
      <c r="B358" s="60"/>
      <c r="H358" s="60"/>
      <c r="I358" s="60"/>
    </row>
    <row r="359" spans="1:9">
      <c r="A359" s="60"/>
      <c r="B359" s="60"/>
      <c r="H359" s="60"/>
      <c r="I359" s="60"/>
    </row>
    <row r="360" spans="1:9">
      <c r="A360" s="60"/>
      <c r="B360" s="60"/>
      <c r="H360" s="60"/>
      <c r="I360" s="60"/>
    </row>
    <row r="361" spans="1:9">
      <c r="A361" s="60"/>
      <c r="B361" s="60"/>
      <c r="H361" s="60"/>
      <c r="I361" s="60"/>
    </row>
    <row r="362" spans="1:9">
      <c r="A362" s="60"/>
      <c r="B362" s="60"/>
      <c r="H362" s="60"/>
      <c r="I362" s="60"/>
    </row>
    <row r="363" spans="1:9">
      <c r="A363" s="60"/>
      <c r="B363" s="60"/>
      <c r="H363" s="60"/>
      <c r="I363" s="60"/>
    </row>
    <row r="364" spans="1:9">
      <c r="A364" s="60"/>
      <c r="B364" s="60"/>
      <c r="H364" s="60"/>
      <c r="I364" s="60"/>
    </row>
    <row r="365" spans="1:9">
      <c r="A365" s="60"/>
      <c r="B365" s="60"/>
      <c r="H365" s="60"/>
      <c r="I365" s="60"/>
    </row>
    <row r="366" spans="1:9">
      <c r="A366" s="60"/>
      <c r="B366" s="60"/>
      <c r="H366" s="60"/>
      <c r="I366" s="60"/>
    </row>
    <row r="367" spans="1:9">
      <c r="A367" s="60"/>
      <c r="B367" s="60"/>
      <c r="H367" s="60"/>
      <c r="I367" s="60"/>
    </row>
    <row r="368" spans="1:9">
      <c r="A368" s="60"/>
      <c r="B368" s="60"/>
      <c r="H368" s="60"/>
      <c r="I368" s="60"/>
    </row>
    <row r="369" spans="1:9">
      <c r="A369" s="60"/>
      <c r="B369" s="60"/>
      <c r="H369" s="60"/>
      <c r="I369" s="60"/>
    </row>
    <row r="370" spans="1:9">
      <c r="A370" s="60"/>
      <c r="B370" s="60"/>
      <c r="H370" s="60"/>
      <c r="I370" s="60"/>
    </row>
    <row r="371" spans="1:9">
      <c r="A371" s="60"/>
      <c r="B371" s="60"/>
      <c r="H371" s="60"/>
      <c r="I371" s="60"/>
    </row>
    <row r="372" spans="1:9">
      <c r="A372" s="60"/>
      <c r="B372" s="60"/>
      <c r="H372" s="60"/>
      <c r="I372" s="60"/>
    </row>
    <row r="373" spans="1:9">
      <c r="A373" s="60"/>
      <c r="B373" s="60"/>
      <c r="H373" s="60"/>
      <c r="I373" s="60"/>
    </row>
    <row r="374" spans="1:9">
      <c r="A374" s="60"/>
      <c r="B374" s="60"/>
      <c r="H374" s="60"/>
      <c r="I374" s="60"/>
    </row>
    <row r="375" spans="1:9">
      <c r="A375" s="60"/>
      <c r="B375" s="60"/>
      <c r="H375" s="60"/>
      <c r="I375" s="60"/>
    </row>
    <row r="376" spans="1:9">
      <c r="A376" s="60"/>
      <c r="B376" s="60"/>
      <c r="H376" s="60"/>
      <c r="I376" s="60"/>
    </row>
    <row r="377" spans="1:9">
      <c r="A377" s="60"/>
      <c r="B377" s="60"/>
      <c r="H377" s="60"/>
      <c r="I377" s="60"/>
    </row>
    <row r="378" spans="1:9">
      <c r="A378" s="60"/>
      <c r="B378" s="60"/>
      <c r="H378" s="60"/>
      <c r="I378" s="60"/>
    </row>
    <row r="379" spans="1:9">
      <c r="A379" s="60"/>
      <c r="B379" s="60"/>
      <c r="H379" s="60"/>
      <c r="I379" s="60"/>
    </row>
    <row r="380" spans="1:9">
      <c r="A380" s="60"/>
      <c r="B380" s="60"/>
      <c r="H380" s="60"/>
      <c r="I380" s="60"/>
    </row>
    <row r="381" spans="1:9">
      <c r="A381" s="60"/>
      <c r="B381" s="60"/>
      <c r="H381" s="60"/>
      <c r="I381" s="60"/>
    </row>
    <row r="382" spans="1:9">
      <c r="A382" s="60"/>
      <c r="B382" s="60"/>
      <c r="H382" s="60"/>
      <c r="I382" s="60"/>
    </row>
    <row r="383" spans="1:9">
      <c r="A383" s="60"/>
      <c r="B383" s="60"/>
      <c r="H383" s="60"/>
      <c r="I383" s="60"/>
    </row>
    <row r="384" spans="1:9">
      <c r="A384" s="60"/>
      <c r="B384" s="60"/>
      <c r="H384" s="60"/>
      <c r="I384" s="60"/>
    </row>
    <row r="385" spans="1:9">
      <c r="A385" s="60"/>
      <c r="B385" s="60"/>
      <c r="H385" s="60"/>
      <c r="I385" s="60"/>
    </row>
    <row r="386" spans="1:9">
      <c r="A386" s="60"/>
      <c r="B386" s="60"/>
      <c r="H386" s="60"/>
      <c r="I386" s="60"/>
    </row>
    <row r="387" spans="1:9">
      <c r="A387" s="60"/>
      <c r="B387" s="60"/>
      <c r="H387" s="60"/>
      <c r="I387" s="60"/>
    </row>
    <row r="388" spans="1:9">
      <c r="A388" s="60"/>
      <c r="B388" s="60"/>
      <c r="H388" s="60"/>
      <c r="I388" s="60"/>
    </row>
    <row r="389" spans="1:9">
      <c r="A389" s="60"/>
      <c r="B389" s="60"/>
      <c r="H389" s="60"/>
      <c r="I389" s="60"/>
    </row>
    <row r="390" spans="1:9">
      <c r="A390" s="60"/>
      <c r="B390" s="60"/>
      <c r="H390" s="60"/>
      <c r="I390" s="60"/>
    </row>
    <row r="391" spans="1:9">
      <c r="A391" s="60"/>
      <c r="B391" s="60"/>
      <c r="H391" s="60"/>
      <c r="I391" s="60"/>
    </row>
    <row r="392" spans="1:9">
      <c r="A392" s="60"/>
      <c r="B392" s="60"/>
      <c r="H392" s="60"/>
      <c r="I392" s="60"/>
    </row>
    <row r="393" spans="1:9">
      <c r="A393" s="60"/>
      <c r="B393" s="60"/>
      <c r="H393" s="60"/>
      <c r="I393" s="60"/>
    </row>
    <row r="394" spans="1:9">
      <c r="A394" s="60"/>
      <c r="B394" s="60"/>
      <c r="H394" s="60"/>
      <c r="I394" s="60"/>
    </row>
    <row r="395" spans="1:9">
      <c r="A395" s="60"/>
      <c r="B395" s="60"/>
      <c r="H395" s="60"/>
      <c r="I395" s="60"/>
    </row>
    <row r="396" spans="1:9">
      <c r="A396" s="60"/>
      <c r="B396" s="60"/>
      <c r="H396" s="60"/>
      <c r="I396" s="60"/>
    </row>
    <row r="397" spans="1:9">
      <c r="A397" s="60"/>
      <c r="B397" s="60"/>
      <c r="H397" s="60"/>
      <c r="I397" s="60"/>
    </row>
    <row r="398" spans="1:9">
      <c r="A398" s="60"/>
      <c r="B398" s="60"/>
      <c r="H398" s="60"/>
      <c r="I398" s="60"/>
    </row>
    <row r="399" spans="1:9">
      <c r="A399" s="60"/>
      <c r="B399" s="60"/>
      <c r="H399" s="60"/>
      <c r="I399" s="60"/>
    </row>
    <row r="400" spans="1:9">
      <c r="A400" s="60"/>
      <c r="B400" s="60"/>
      <c r="H400" s="60"/>
      <c r="I400" s="60"/>
    </row>
    <row r="401" spans="1:9">
      <c r="A401" s="60"/>
      <c r="B401" s="60"/>
      <c r="H401" s="60"/>
      <c r="I401" s="60"/>
    </row>
    <row r="402" spans="1:9">
      <c r="A402" s="60"/>
      <c r="B402" s="60"/>
      <c r="H402" s="60"/>
      <c r="I402" s="60"/>
    </row>
    <row r="403" spans="1:9">
      <c r="A403" s="60"/>
      <c r="B403" s="60"/>
      <c r="H403" s="60"/>
      <c r="I403" s="60"/>
    </row>
    <row r="404" spans="1:9">
      <c r="A404" s="60"/>
      <c r="B404" s="60"/>
      <c r="H404" s="60"/>
      <c r="I404" s="60"/>
    </row>
    <row r="405" spans="1:9">
      <c r="A405" s="60"/>
      <c r="B405" s="60"/>
      <c r="H405" s="60"/>
      <c r="I405" s="60"/>
    </row>
    <row r="406" spans="1:9">
      <c r="A406" s="60"/>
      <c r="B406" s="60"/>
      <c r="H406" s="60"/>
      <c r="I406" s="60"/>
    </row>
    <row r="407" spans="1:9">
      <c r="A407" s="60"/>
      <c r="B407" s="60"/>
      <c r="H407" s="60"/>
      <c r="I407" s="60"/>
    </row>
    <row r="408" spans="1:9">
      <c r="A408" s="60"/>
      <c r="B408" s="60"/>
      <c r="H408" s="60"/>
      <c r="I408" s="60"/>
    </row>
    <row r="409" spans="1:9">
      <c r="A409" s="60"/>
      <c r="B409" s="60"/>
      <c r="H409" s="60"/>
      <c r="I409" s="60"/>
    </row>
    <row r="410" spans="1:9">
      <c r="A410" s="60"/>
      <c r="B410" s="60"/>
      <c r="H410" s="60"/>
      <c r="I410" s="60"/>
    </row>
    <row r="411" spans="1:9">
      <c r="A411" s="60"/>
      <c r="B411" s="60"/>
      <c r="H411" s="60"/>
      <c r="I411" s="60"/>
    </row>
    <row r="412" spans="1:9">
      <c r="A412" s="60"/>
      <c r="B412" s="60"/>
      <c r="H412" s="60"/>
      <c r="I412" s="60"/>
    </row>
    <row r="413" spans="1:9">
      <c r="A413" s="60"/>
      <c r="B413" s="60"/>
      <c r="H413" s="60"/>
      <c r="I413" s="60"/>
    </row>
    <row r="414" spans="1:9">
      <c r="A414" s="60"/>
      <c r="B414" s="60"/>
      <c r="H414" s="60"/>
      <c r="I414" s="60"/>
    </row>
    <row r="415" spans="1:9">
      <c r="A415" s="60"/>
      <c r="B415" s="60"/>
      <c r="H415" s="60"/>
      <c r="I415" s="60"/>
    </row>
    <row r="416" spans="1:9">
      <c r="A416" s="60"/>
      <c r="B416" s="60"/>
      <c r="H416" s="60"/>
      <c r="I416" s="60"/>
    </row>
    <row r="417" spans="1:9">
      <c r="A417" s="60"/>
      <c r="B417" s="60"/>
      <c r="H417" s="60"/>
      <c r="I417" s="60"/>
    </row>
    <row r="418" spans="1:9">
      <c r="A418" s="60"/>
      <c r="B418" s="60"/>
      <c r="H418" s="60"/>
      <c r="I418" s="60"/>
    </row>
    <row r="419" spans="1:9">
      <c r="A419" s="60"/>
      <c r="B419" s="60"/>
      <c r="H419" s="60"/>
      <c r="I419" s="60"/>
    </row>
    <row r="420" spans="1:9">
      <c r="A420" s="60"/>
      <c r="B420" s="60"/>
      <c r="H420" s="60"/>
      <c r="I420" s="60"/>
    </row>
    <row r="421" spans="1:9">
      <c r="A421" s="60"/>
      <c r="B421" s="60"/>
      <c r="H421" s="60"/>
      <c r="I421" s="60"/>
    </row>
    <row r="422" spans="1:9">
      <c r="A422" s="60"/>
      <c r="B422" s="60"/>
      <c r="H422" s="60"/>
      <c r="I422" s="60"/>
    </row>
    <row r="423" spans="1:9">
      <c r="A423" s="60"/>
      <c r="B423" s="60"/>
      <c r="H423" s="60"/>
      <c r="I423" s="60"/>
    </row>
    <row r="424" spans="1:9">
      <c r="A424" s="60"/>
      <c r="B424" s="60"/>
      <c r="H424" s="60"/>
      <c r="I424" s="60"/>
    </row>
    <row r="425" spans="1:9">
      <c r="A425" s="60"/>
      <c r="B425" s="60"/>
      <c r="H425" s="60"/>
      <c r="I425" s="60"/>
    </row>
    <row r="426" spans="1:9">
      <c r="A426" s="60"/>
      <c r="B426" s="60"/>
      <c r="H426" s="60"/>
      <c r="I426" s="60"/>
    </row>
    <row r="427" spans="1:9">
      <c r="A427" s="60"/>
      <c r="B427" s="60"/>
      <c r="H427" s="60"/>
      <c r="I427" s="60"/>
    </row>
    <row r="428" spans="1:9">
      <c r="A428" s="60"/>
      <c r="B428" s="60"/>
      <c r="H428" s="60"/>
      <c r="I428" s="60"/>
    </row>
    <row r="429" spans="1:9">
      <c r="A429" s="60"/>
      <c r="B429" s="60"/>
      <c r="H429" s="60"/>
      <c r="I429" s="60"/>
    </row>
    <row r="430" spans="1:9">
      <c r="A430" s="60"/>
      <c r="B430" s="60"/>
      <c r="H430" s="60"/>
      <c r="I430" s="60"/>
    </row>
    <row r="431" spans="1:9">
      <c r="A431" s="60"/>
      <c r="B431" s="60"/>
      <c r="H431" s="60"/>
      <c r="I431" s="60"/>
    </row>
    <row r="432" spans="1:9">
      <c r="A432" s="60"/>
      <c r="B432" s="60"/>
      <c r="H432" s="60"/>
      <c r="I432" s="60"/>
    </row>
    <row r="433" spans="1:9">
      <c r="A433" s="60"/>
      <c r="B433" s="60"/>
      <c r="H433" s="60"/>
      <c r="I433" s="60"/>
    </row>
    <row r="434" spans="1:9">
      <c r="A434" s="60"/>
      <c r="B434" s="60"/>
      <c r="H434" s="60"/>
      <c r="I434" s="60"/>
    </row>
    <row r="435" spans="1:9">
      <c r="A435" s="60"/>
      <c r="B435" s="60"/>
      <c r="H435" s="60"/>
      <c r="I435" s="60"/>
    </row>
    <row r="436" spans="1:9">
      <c r="A436" s="60"/>
      <c r="B436" s="60"/>
      <c r="H436" s="60"/>
      <c r="I436" s="60"/>
    </row>
    <row r="437" spans="1:9">
      <c r="A437" s="60"/>
      <c r="B437" s="60"/>
      <c r="H437" s="60"/>
      <c r="I437" s="60"/>
    </row>
    <row r="438" spans="1:9">
      <c r="A438" s="60"/>
      <c r="B438" s="60"/>
      <c r="H438" s="60"/>
      <c r="I438" s="60"/>
    </row>
    <row r="439" spans="1:9">
      <c r="A439" s="60"/>
      <c r="B439" s="60"/>
      <c r="H439" s="60"/>
      <c r="I439" s="60"/>
    </row>
    <row r="440" spans="1:9">
      <c r="A440" s="60"/>
      <c r="B440" s="60"/>
      <c r="H440" s="60"/>
      <c r="I440" s="60"/>
    </row>
    <row r="441" spans="1:9">
      <c r="A441" s="60"/>
      <c r="B441" s="60"/>
      <c r="H441" s="60"/>
      <c r="I441" s="60"/>
    </row>
    <row r="442" spans="1:9">
      <c r="A442" s="60"/>
      <c r="B442" s="60"/>
      <c r="H442" s="60"/>
      <c r="I442" s="60"/>
    </row>
    <row r="443" spans="1:9">
      <c r="A443" s="60"/>
      <c r="B443" s="60"/>
      <c r="H443" s="60"/>
      <c r="I443" s="60"/>
    </row>
    <row r="444" spans="1:9">
      <c r="A444" s="60"/>
      <c r="B444" s="60"/>
      <c r="H444" s="60"/>
      <c r="I444" s="60"/>
    </row>
    <row r="445" spans="1:9">
      <c r="A445" s="60"/>
      <c r="B445" s="60"/>
      <c r="H445" s="60"/>
      <c r="I445" s="60"/>
    </row>
    <row r="446" spans="1:9">
      <c r="A446" s="60"/>
      <c r="B446" s="60"/>
      <c r="H446" s="60"/>
      <c r="I446" s="60"/>
    </row>
    <row r="447" spans="1:9">
      <c r="A447" s="60"/>
      <c r="B447" s="60"/>
      <c r="H447" s="60"/>
      <c r="I447" s="60"/>
    </row>
    <row r="448" spans="1:9">
      <c r="A448" s="60"/>
      <c r="B448" s="60"/>
      <c r="H448" s="60"/>
      <c r="I448" s="60"/>
    </row>
    <row r="449" spans="1:9">
      <c r="A449" s="60"/>
      <c r="B449" s="60"/>
      <c r="H449" s="60"/>
      <c r="I449" s="60"/>
    </row>
    <row r="450" spans="1:9">
      <c r="A450" s="60"/>
      <c r="B450" s="60"/>
      <c r="H450" s="60"/>
      <c r="I450" s="60"/>
    </row>
    <row r="451" spans="1:9">
      <c r="A451" s="60"/>
      <c r="B451" s="60"/>
      <c r="H451" s="60"/>
      <c r="I451" s="60"/>
    </row>
    <row r="452" spans="1:9">
      <c r="A452" s="60"/>
      <c r="B452" s="60"/>
      <c r="H452" s="60"/>
      <c r="I452" s="60"/>
    </row>
    <row r="453" spans="1:9">
      <c r="A453" s="60"/>
      <c r="B453" s="60"/>
      <c r="H453" s="60"/>
      <c r="I453" s="60"/>
    </row>
    <row r="454" spans="1:9">
      <c r="A454" s="60"/>
      <c r="B454" s="60"/>
      <c r="H454" s="60"/>
      <c r="I454" s="60"/>
    </row>
    <row r="455" spans="1:9">
      <c r="A455" s="60"/>
      <c r="B455" s="60"/>
      <c r="H455" s="60"/>
      <c r="I455" s="60"/>
    </row>
    <row r="456" spans="1:9">
      <c r="A456" s="60"/>
      <c r="B456" s="60"/>
      <c r="H456" s="60"/>
      <c r="I456" s="60"/>
    </row>
    <row r="457" spans="1:9">
      <c r="A457" s="60"/>
      <c r="B457" s="60"/>
      <c r="H457" s="60"/>
      <c r="I457" s="60"/>
    </row>
    <row r="458" spans="1:9">
      <c r="A458" s="60"/>
      <c r="B458" s="60"/>
      <c r="H458" s="60"/>
      <c r="I458" s="60"/>
    </row>
    <row r="459" spans="1:9">
      <c r="A459" s="60"/>
      <c r="B459" s="60"/>
      <c r="H459" s="60"/>
      <c r="I459" s="60"/>
    </row>
    <row r="460" spans="1:9">
      <c r="A460" s="60"/>
      <c r="B460" s="60"/>
      <c r="H460" s="60"/>
      <c r="I460" s="60"/>
    </row>
    <row r="461" spans="1:9">
      <c r="A461" s="60"/>
      <c r="B461" s="60"/>
      <c r="H461" s="60"/>
      <c r="I461" s="60"/>
    </row>
    <row r="462" spans="1:9">
      <c r="A462" s="60"/>
      <c r="B462" s="60"/>
      <c r="H462" s="60"/>
      <c r="I462" s="60"/>
    </row>
    <row r="463" spans="1:9">
      <c r="A463" s="60"/>
      <c r="B463" s="60"/>
      <c r="H463" s="60"/>
      <c r="I463" s="60"/>
    </row>
    <row r="464" spans="1:9">
      <c r="A464" s="60"/>
      <c r="B464" s="60"/>
      <c r="H464" s="60"/>
      <c r="I464" s="60"/>
    </row>
    <row r="465" spans="1:9">
      <c r="A465" s="60"/>
      <c r="B465" s="60"/>
      <c r="H465" s="60"/>
      <c r="I465" s="60"/>
    </row>
    <row r="466" spans="1:9">
      <c r="A466" s="60"/>
      <c r="B466" s="60"/>
      <c r="H466" s="60"/>
      <c r="I466" s="60"/>
    </row>
    <row r="467" spans="1:9">
      <c r="A467" s="60"/>
      <c r="B467" s="60"/>
      <c r="H467" s="60"/>
      <c r="I467" s="60"/>
    </row>
    <row r="468" spans="1:9">
      <c r="A468" s="60"/>
      <c r="B468" s="60"/>
      <c r="H468" s="60"/>
      <c r="I468" s="60"/>
    </row>
    <row r="469" spans="1:9">
      <c r="A469" s="60"/>
      <c r="B469" s="60"/>
      <c r="H469" s="60"/>
      <c r="I469" s="60"/>
    </row>
    <row r="470" spans="1:9">
      <c r="A470" s="60"/>
      <c r="B470" s="60"/>
      <c r="H470" s="60"/>
      <c r="I470" s="60"/>
    </row>
    <row r="471" spans="1:9">
      <c r="A471" s="60"/>
      <c r="B471" s="60"/>
      <c r="H471" s="60"/>
      <c r="I471" s="60"/>
    </row>
    <row r="472" spans="1:9">
      <c r="A472" s="60"/>
      <c r="B472" s="60"/>
      <c r="H472" s="60"/>
      <c r="I472" s="60"/>
    </row>
    <row r="473" spans="1:9">
      <c r="A473" s="60"/>
      <c r="B473" s="60"/>
      <c r="H473" s="60"/>
      <c r="I473" s="60"/>
    </row>
    <row r="474" spans="1:9">
      <c r="A474" s="60"/>
      <c r="B474" s="60"/>
      <c r="H474" s="60"/>
      <c r="I474" s="60"/>
    </row>
    <row r="475" spans="1:9">
      <c r="A475" s="60"/>
      <c r="B475" s="60"/>
      <c r="H475" s="60"/>
      <c r="I475" s="60"/>
    </row>
    <row r="476" spans="1:9">
      <c r="A476" s="60"/>
      <c r="B476" s="60"/>
      <c r="H476" s="60"/>
      <c r="I476" s="60"/>
    </row>
    <row r="477" spans="1:9">
      <c r="A477" s="60"/>
      <c r="B477" s="60"/>
      <c r="H477" s="60"/>
      <c r="I477" s="60"/>
    </row>
    <row r="478" spans="1:9">
      <c r="A478" s="60"/>
      <c r="B478" s="60"/>
      <c r="H478" s="60"/>
      <c r="I478" s="60"/>
    </row>
    <row r="479" spans="1:9">
      <c r="A479" s="60"/>
      <c r="B479" s="60"/>
      <c r="H479" s="60"/>
      <c r="I479" s="60"/>
    </row>
    <row r="480" spans="1:9">
      <c r="A480" s="60"/>
      <c r="B480" s="60"/>
      <c r="H480" s="60"/>
      <c r="I480" s="60"/>
    </row>
    <row r="481" spans="1:9">
      <c r="A481" s="60"/>
      <c r="B481" s="60"/>
      <c r="H481" s="60"/>
      <c r="I481" s="60"/>
    </row>
    <row r="482" spans="1:9">
      <c r="A482" s="60"/>
      <c r="B482" s="60"/>
      <c r="H482" s="60"/>
      <c r="I482" s="60"/>
    </row>
    <row r="483" spans="1:9">
      <c r="A483" s="60"/>
      <c r="B483" s="60"/>
      <c r="H483" s="60"/>
      <c r="I483" s="60"/>
    </row>
    <row r="484" spans="1:9">
      <c r="A484" s="60"/>
      <c r="B484" s="60"/>
      <c r="H484" s="60"/>
      <c r="I484" s="60"/>
    </row>
    <row r="485" spans="1:9">
      <c r="A485" s="60"/>
      <c r="B485" s="60"/>
      <c r="H485" s="60"/>
      <c r="I485" s="60"/>
    </row>
    <row r="486" spans="1:9">
      <c r="A486" s="60"/>
      <c r="B486" s="60"/>
      <c r="H486" s="60"/>
      <c r="I486" s="60"/>
    </row>
    <row r="487" spans="1:9">
      <c r="A487" s="60"/>
      <c r="B487" s="60"/>
      <c r="H487" s="60"/>
      <c r="I487" s="60"/>
    </row>
    <row r="488" spans="1:9">
      <c r="A488" s="60"/>
      <c r="B488" s="60"/>
      <c r="H488" s="60"/>
      <c r="I488" s="60"/>
    </row>
    <row r="489" spans="1:9">
      <c r="A489" s="60"/>
      <c r="B489" s="60"/>
      <c r="H489" s="60"/>
      <c r="I489" s="60"/>
    </row>
    <row r="490" spans="1:9">
      <c r="A490" s="60"/>
      <c r="B490" s="60"/>
      <c r="H490" s="60"/>
      <c r="I490" s="60"/>
    </row>
    <row r="491" spans="1:9">
      <c r="A491" s="60"/>
      <c r="B491" s="60"/>
      <c r="H491" s="60"/>
      <c r="I491" s="60"/>
    </row>
    <row r="492" spans="1:9">
      <c r="A492" s="60"/>
      <c r="B492" s="60"/>
      <c r="H492" s="60"/>
      <c r="I492" s="60"/>
    </row>
    <row r="493" spans="1:9">
      <c r="A493" s="60"/>
      <c r="B493" s="60"/>
      <c r="H493" s="60"/>
      <c r="I493" s="60"/>
    </row>
    <row r="494" spans="1:9">
      <c r="A494" s="60"/>
      <c r="B494" s="60"/>
      <c r="H494" s="60"/>
      <c r="I494" s="60"/>
    </row>
    <row r="495" spans="1:9">
      <c r="A495" s="60"/>
      <c r="B495" s="60"/>
      <c r="H495" s="60"/>
      <c r="I495" s="60"/>
    </row>
    <row r="496" spans="1:9">
      <c r="A496" s="60"/>
      <c r="B496" s="60"/>
      <c r="H496" s="60"/>
      <c r="I496" s="60"/>
    </row>
    <row r="497" spans="1:9">
      <c r="A497" s="60"/>
      <c r="B497" s="60"/>
      <c r="H497" s="60"/>
      <c r="I497" s="60"/>
    </row>
    <row r="498" spans="1:9">
      <c r="A498" s="60"/>
      <c r="B498" s="60"/>
      <c r="H498" s="60"/>
      <c r="I498" s="60"/>
    </row>
    <row r="499" spans="1:9">
      <c r="A499" s="60"/>
      <c r="B499" s="60"/>
      <c r="H499" s="60"/>
      <c r="I499" s="60"/>
    </row>
    <row r="500" spans="1:9">
      <c r="A500" s="60"/>
      <c r="B500" s="60"/>
      <c r="H500" s="60"/>
      <c r="I500" s="60"/>
    </row>
    <row r="501" spans="1:9">
      <c r="A501" s="60"/>
      <c r="B501" s="60"/>
      <c r="H501" s="60"/>
      <c r="I501" s="60"/>
    </row>
    <row r="502" spans="1:9">
      <c r="A502" s="60"/>
      <c r="B502" s="60"/>
      <c r="H502" s="60"/>
      <c r="I502" s="60"/>
    </row>
    <row r="503" spans="1:9">
      <c r="A503" s="60"/>
      <c r="B503" s="60"/>
      <c r="H503" s="60"/>
      <c r="I503" s="60"/>
    </row>
    <row r="504" spans="1:9">
      <c r="A504" s="60"/>
      <c r="B504" s="60"/>
      <c r="H504" s="60"/>
      <c r="I504" s="60"/>
    </row>
    <row r="505" spans="1:9">
      <c r="A505" s="60"/>
      <c r="B505" s="60"/>
      <c r="H505" s="60"/>
      <c r="I505" s="60"/>
    </row>
    <row r="506" spans="1:9">
      <c r="A506" s="60"/>
      <c r="B506" s="60"/>
      <c r="H506" s="60"/>
      <c r="I506" s="60"/>
    </row>
    <row r="507" spans="1:9">
      <c r="A507" s="60"/>
      <c r="B507" s="60"/>
      <c r="H507" s="60"/>
      <c r="I507" s="60"/>
    </row>
    <row r="508" spans="1:9">
      <c r="A508" s="60"/>
      <c r="B508" s="60"/>
      <c r="H508" s="60"/>
      <c r="I508" s="60"/>
    </row>
    <row r="509" spans="1:9">
      <c r="A509" s="60"/>
      <c r="B509" s="60"/>
      <c r="H509" s="60"/>
      <c r="I509" s="60"/>
    </row>
    <row r="510" spans="1:9">
      <c r="A510" s="60"/>
      <c r="B510" s="60"/>
      <c r="H510" s="60"/>
      <c r="I510" s="60"/>
    </row>
    <row r="511" spans="1:9">
      <c r="A511" s="60"/>
      <c r="B511" s="60"/>
      <c r="H511" s="60"/>
      <c r="I511" s="60"/>
    </row>
    <row r="512" spans="1:9">
      <c r="A512" s="60"/>
      <c r="B512" s="60"/>
      <c r="H512" s="60"/>
      <c r="I512" s="60"/>
    </row>
    <row r="513" spans="1:9">
      <c r="A513" s="60"/>
      <c r="B513" s="60"/>
      <c r="H513" s="60"/>
      <c r="I513" s="60"/>
    </row>
    <row r="514" spans="1:9">
      <c r="A514" s="60"/>
      <c r="B514" s="60"/>
      <c r="H514" s="60"/>
      <c r="I514" s="60"/>
    </row>
    <row r="515" spans="1:9">
      <c r="A515" s="60"/>
      <c r="B515" s="60"/>
      <c r="H515" s="60"/>
      <c r="I515" s="60"/>
    </row>
    <row r="516" spans="1:9">
      <c r="A516" s="60"/>
      <c r="B516" s="60"/>
      <c r="H516" s="60"/>
      <c r="I516" s="60"/>
    </row>
    <row r="517" spans="1:9">
      <c r="A517" s="60"/>
      <c r="B517" s="60"/>
      <c r="H517" s="60"/>
      <c r="I517" s="60"/>
    </row>
    <row r="518" spans="1:9">
      <c r="A518" s="60"/>
      <c r="B518" s="60"/>
      <c r="H518" s="60"/>
      <c r="I518" s="60"/>
    </row>
    <row r="519" spans="1:9">
      <c r="A519" s="60"/>
      <c r="B519" s="60"/>
      <c r="H519" s="60"/>
      <c r="I519" s="60"/>
    </row>
    <row r="520" spans="1:9">
      <c r="A520" s="60"/>
      <c r="B520" s="60"/>
      <c r="H520" s="60"/>
      <c r="I520" s="60"/>
    </row>
    <row r="521" spans="1:9">
      <c r="A521" s="60"/>
      <c r="B521" s="60"/>
      <c r="H521" s="60"/>
      <c r="I521" s="60"/>
    </row>
    <row r="522" spans="1:9">
      <c r="A522" s="60"/>
      <c r="B522" s="60"/>
      <c r="H522" s="60"/>
      <c r="I522" s="60"/>
    </row>
    <row r="523" spans="1:9">
      <c r="A523" s="60"/>
      <c r="B523" s="60"/>
      <c r="H523" s="60"/>
      <c r="I523" s="60"/>
    </row>
    <row r="524" spans="1:9">
      <c r="A524" s="60"/>
      <c r="B524" s="60"/>
      <c r="H524" s="60"/>
      <c r="I524" s="60"/>
    </row>
    <row r="525" spans="1:9">
      <c r="A525" s="60"/>
      <c r="B525" s="60"/>
      <c r="H525" s="60"/>
      <c r="I525" s="60"/>
    </row>
    <row r="526" spans="1:9">
      <c r="A526" s="60"/>
      <c r="B526" s="60"/>
      <c r="H526" s="60"/>
      <c r="I526" s="60"/>
    </row>
    <row r="527" spans="1:9">
      <c r="A527" s="60"/>
      <c r="B527" s="60"/>
      <c r="H527" s="60"/>
      <c r="I527" s="60"/>
    </row>
    <row r="528" spans="1:9">
      <c r="A528" s="60"/>
      <c r="B528" s="60"/>
      <c r="H528" s="60"/>
      <c r="I528" s="60"/>
    </row>
    <row r="529" spans="1:9">
      <c r="A529" s="60"/>
      <c r="B529" s="60"/>
      <c r="H529" s="60"/>
      <c r="I529" s="60"/>
    </row>
    <row r="530" spans="1:9">
      <c r="A530" s="60"/>
      <c r="B530" s="60"/>
      <c r="H530" s="60"/>
      <c r="I530" s="60"/>
    </row>
    <row r="531" spans="1:9">
      <c r="A531" s="60"/>
      <c r="B531" s="60"/>
      <c r="H531" s="60"/>
      <c r="I531" s="60"/>
    </row>
    <row r="532" spans="1:9">
      <c r="A532" s="60"/>
      <c r="B532" s="60"/>
      <c r="H532" s="60"/>
      <c r="I532" s="60"/>
    </row>
    <row r="533" spans="1:9">
      <c r="A533" s="60"/>
      <c r="B533" s="60"/>
      <c r="H533" s="60"/>
      <c r="I533" s="60"/>
    </row>
    <row r="534" spans="1:9">
      <c r="A534" s="60"/>
      <c r="B534" s="60"/>
      <c r="H534" s="60"/>
      <c r="I534" s="60"/>
    </row>
    <row r="535" spans="1:9">
      <c r="A535" s="60"/>
      <c r="B535" s="60"/>
      <c r="H535" s="60"/>
      <c r="I535" s="60"/>
    </row>
    <row r="536" spans="1:9">
      <c r="A536" s="60"/>
      <c r="B536" s="60"/>
      <c r="H536" s="60"/>
      <c r="I536" s="60"/>
    </row>
    <row r="537" spans="1:9">
      <c r="A537" s="60"/>
      <c r="B537" s="60"/>
      <c r="H537" s="60"/>
      <c r="I537" s="60"/>
    </row>
    <row r="538" spans="1:9">
      <c r="A538" s="60"/>
      <c r="B538" s="60"/>
      <c r="H538" s="60"/>
      <c r="I538" s="60"/>
    </row>
    <row r="539" spans="1:9">
      <c r="A539" s="60"/>
      <c r="B539" s="60"/>
      <c r="H539" s="60"/>
      <c r="I539" s="60"/>
    </row>
    <row r="540" spans="1:9">
      <c r="A540" s="60"/>
      <c r="B540" s="60"/>
      <c r="H540" s="60"/>
      <c r="I540" s="60"/>
    </row>
    <row r="541" spans="1:9">
      <c r="A541" s="60"/>
      <c r="B541" s="60"/>
      <c r="H541" s="60"/>
      <c r="I541" s="60"/>
    </row>
    <row r="542" spans="1:9">
      <c r="A542" s="60"/>
      <c r="B542" s="60"/>
      <c r="H542" s="60"/>
      <c r="I542" s="60"/>
    </row>
    <row r="543" spans="1:9">
      <c r="A543" s="60"/>
      <c r="B543" s="60"/>
      <c r="H543" s="60"/>
      <c r="I543" s="60"/>
    </row>
    <row r="544" spans="1:9">
      <c r="A544" s="60"/>
      <c r="B544" s="60"/>
      <c r="H544" s="60"/>
      <c r="I544" s="60"/>
    </row>
    <row r="545" spans="1:9">
      <c r="A545" s="60"/>
      <c r="B545" s="60"/>
      <c r="H545" s="60"/>
      <c r="I545" s="60"/>
    </row>
    <row r="546" spans="1:9">
      <c r="A546" s="60"/>
      <c r="B546" s="60"/>
      <c r="H546" s="60"/>
      <c r="I546" s="60"/>
    </row>
    <row r="547" spans="1:9">
      <c r="A547" s="60"/>
      <c r="B547" s="60"/>
      <c r="H547" s="60"/>
      <c r="I547" s="60"/>
    </row>
    <row r="548" spans="1:9">
      <c r="A548" s="60"/>
      <c r="B548" s="60"/>
      <c r="H548" s="60"/>
      <c r="I548" s="60"/>
    </row>
    <row r="549" spans="1:9">
      <c r="A549" s="60"/>
      <c r="B549" s="60"/>
      <c r="H549" s="60"/>
      <c r="I549" s="60"/>
    </row>
    <row r="550" spans="1:9">
      <c r="A550" s="60"/>
      <c r="B550" s="60"/>
      <c r="H550" s="60"/>
      <c r="I550" s="60"/>
    </row>
    <row r="551" spans="1:9">
      <c r="A551" s="60"/>
      <c r="B551" s="60"/>
      <c r="H551" s="60"/>
      <c r="I551" s="60"/>
    </row>
    <row r="552" spans="1:9">
      <c r="A552" s="60"/>
      <c r="B552" s="60"/>
      <c r="H552" s="60"/>
      <c r="I552" s="60"/>
    </row>
    <row r="553" spans="1:9">
      <c r="A553" s="60"/>
      <c r="B553" s="60"/>
      <c r="H553" s="60"/>
      <c r="I553" s="60"/>
    </row>
    <row r="554" spans="1:9">
      <c r="A554" s="60"/>
      <c r="B554" s="60"/>
      <c r="H554" s="60"/>
      <c r="I554" s="60"/>
    </row>
    <row r="555" spans="1:9">
      <c r="A555" s="60"/>
      <c r="B555" s="60"/>
      <c r="H555" s="60"/>
      <c r="I555" s="60"/>
    </row>
    <row r="556" spans="1:9">
      <c r="A556" s="60"/>
      <c r="B556" s="60"/>
      <c r="H556" s="60"/>
      <c r="I556" s="60"/>
    </row>
    <row r="557" spans="1:9">
      <c r="A557" s="60"/>
      <c r="B557" s="60"/>
      <c r="H557" s="60"/>
      <c r="I557" s="60"/>
    </row>
    <row r="558" spans="1:9">
      <c r="A558" s="60"/>
      <c r="B558" s="60"/>
      <c r="H558" s="60"/>
      <c r="I558" s="60"/>
    </row>
    <row r="559" spans="1:9">
      <c r="A559" s="60"/>
      <c r="B559" s="60"/>
      <c r="H559" s="60"/>
      <c r="I559" s="60"/>
    </row>
    <row r="560" spans="1:9">
      <c r="A560" s="60"/>
      <c r="B560" s="60"/>
      <c r="H560" s="60"/>
      <c r="I560" s="60"/>
    </row>
    <row r="561" spans="1:9">
      <c r="A561" s="60"/>
      <c r="B561" s="60"/>
      <c r="H561" s="60"/>
      <c r="I561" s="60"/>
    </row>
    <row r="562" spans="1:9">
      <c r="A562" s="60"/>
      <c r="B562" s="60"/>
      <c r="H562" s="60"/>
      <c r="I562" s="60"/>
    </row>
    <row r="563" spans="1:9">
      <c r="A563" s="60"/>
      <c r="B563" s="60"/>
      <c r="H563" s="60"/>
      <c r="I563" s="60"/>
    </row>
    <row r="564" spans="1:9">
      <c r="A564" s="60"/>
      <c r="B564" s="60"/>
      <c r="H564" s="60"/>
      <c r="I564" s="60"/>
    </row>
    <row r="565" spans="1:9">
      <c r="A565" s="60"/>
      <c r="B565" s="60"/>
      <c r="H565" s="60"/>
      <c r="I565" s="60"/>
    </row>
    <row r="566" spans="1:9">
      <c r="A566" s="60"/>
      <c r="B566" s="60"/>
      <c r="H566" s="60"/>
      <c r="I566" s="60"/>
    </row>
    <row r="567" spans="1:9">
      <c r="A567" s="60"/>
      <c r="B567" s="60"/>
      <c r="H567" s="60"/>
      <c r="I567" s="60"/>
    </row>
    <row r="568" spans="1:9">
      <c r="A568" s="60"/>
      <c r="B568" s="60"/>
      <c r="H568" s="60"/>
      <c r="I568" s="60"/>
    </row>
    <row r="569" spans="1:9">
      <c r="A569" s="60"/>
      <c r="B569" s="60"/>
      <c r="H569" s="60"/>
      <c r="I569" s="60"/>
    </row>
    <row r="570" spans="1:9">
      <c r="A570" s="60"/>
      <c r="B570" s="60"/>
      <c r="H570" s="60"/>
      <c r="I570" s="60"/>
    </row>
    <row r="571" spans="1:9">
      <c r="A571" s="60"/>
      <c r="B571" s="60"/>
      <c r="H571" s="60"/>
      <c r="I571" s="60"/>
    </row>
    <row r="572" spans="1:9">
      <c r="A572" s="60"/>
      <c r="B572" s="60"/>
      <c r="H572" s="60"/>
      <c r="I572" s="60"/>
    </row>
    <row r="573" spans="1:9">
      <c r="A573" s="60"/>
      <c r="B573" s="60"/>
      <c r="H573" s="60"/>
      <c r="I573" s="60"/>
    </row>
    <row r="574" spans="1:9">
      <c r="A574" s="60"/>
      <c r="B574" s="60"/>
      <c r="H574" s="60"/>
      <c r="I574" s="60"/>
    </row>
    <row r="575" spans="1:9">
      <c r="A575" s="60"/>
      <c r="B575" s="60"/>
      <c r="H575" s="60"/>
      <c r="I575" s="60"/>
    </row>
    <row r="576" spans="1:9">
      <c r="A576" s="60"/>
      <c r="B576" s="60"/>
      <c r="H576" s="60"/>
      <c r="I576" s="60"/>
    </row>
    <row r="577" spans="1:9">
      <c r="A577" s="60"/>
      <c r="B577" s="60"/>
      <c r="H577" s="60"/>
      <c r="I577" s="60"/>
    </row>
    <row r="578" spans="1:9">
      <c r="A578" s="60"/>
      <c r="B578" s="60"/>
      <c r="H578" s="60"/>
      <c r="I578" s="60"/>
    </row>
    <row r="579" spans="1:9">
      <c r="A579" s="60"/>
      <c r="B579" s="60"/>
      <c r="H579" s="60"/>
      <c r="I579" s="60"/>
    </row>
    <row r="580" spans="1:9">
      <c r="A580" s="60"/>
      <c r="B580" s="60"/>
      <c r="H580" s="60"/>
      <c r="I580" s="60"/>
    </row>
    <row r="581" spans="1:9">
      <c r="A581" s="60"/>
      <c r="B581" s="60"/>
      <c r="H581" s="60"/>
      <c r="I581" s="60"/>
    </row>
    <row r="582" spans="1:9">
      <c r="A582" s="60"/>
      <c r="B582" s="60"/>
      <c r="H582" s="60"/>
      <c r="I582" s="60"/>
    </row>
    <row r="583" spans="1:9">
      <c r="A583" s="60"/>
      <c r="B583" s="60"/>
      <c r="H583" s="60"/>
      <c r="I583" s="60"/>
    </row>
    <row r="584" spans="1:9">
      <c r="A584" s="60"/>
      <c r="B584" s="60"/>
      <c r="H584" s="60"/>
      <c r="I584" s="60"/>
    </row>
    <row r="585" spans="1:9">
      <c r="A585" s="60"/>
      <c r="B585" s="60"/>
      <c r="H585" s="60"/>
      <c r="I585" s="60"/>
    </row>
    <row r="586" spans="1:9">
      <c r="A586" s="60"/>
      <c r="B586" s="60"/>
      <c r="H586" s="60"/>
      <c r="I586" s="60"/>
    </row>
    <row r="587" spans="1:9">
      <c r="A587" s="60"/>
      <c r="B587" s="60"/>
      <c r="H587" s="60"/>
      <c r="I587" s="60"/>
    </row>
    <row r="588" spans="1:9">
      <c r="A588" s="60"/>
      <c r="B588" s="60"/>
      <c r="H588" s="60"/>
      <c r="I588" s="60"/>
    </row>
    <row r="589" spans="1:9">
      <c r="A589" s="60"/>
      <c r="B589" s="60"/>
      <c r="H589" s="60"/>
      <c r="I589" s="60"/>
    </row>
    <row r="590" spans="1:9">
      <c r="A590" s="60"/>
      <c r="B590" s="60"/>
      <c r="H590" s="60"/>
      <c r="I590" s="60"/>
    </row>
    <row r="591" spans="1:9">
      <c r="A591" s="60"/>
      <c r="B591" s="60"/>
      <c r="H591" s="60"/>
      <c r="I591" s="60"/>
    </row>
    <row r="592" spans="1:9">
      <c r="A592" s="60"/>
      <c r="B592" s="60"/>
      <c r="H592" s="60"/>
      <c r="I592" s="60"/>
    </row>
    <row r="593" spans="1:9">
      <c r="A593" s="60"/>
      <c r="B593" s="60"/>
      <c r="H593" s="60"/>
      <c r="I593" s="60"/>
    </row>
    <row r="594" spans="1:9">
      <c r="A594" s="60"/>
      <c r="B594" s="60"/>
      <c r="H594" s="60"/>
      <c r="I594" s="60"/>
    </row>
    <row r="595" spans="1:9">
      <c r="A595" s="60"/>
      <c r="B595" s="60"/>
      <c r="H595" s="60"/>
      <c r="I595" s="60"/>
    </row>
    <row r="596" spans="1:9">
      <c r="A596" s="60"/>
      <c r="B596" s="60"/>
      <c r="H596" s="60"/>
      <c r="I596" s="60"/>
    </row>
    <row r="597" spans="1:9">
      <c r="A597" s="60"/>
      <c r="B597" s="60"/>
      <c r="H597" s="60"/>
      <c r="I597" s="60"/>
    </row>
    <row r="598" spans="1:9">
      <c r="A598" s="60"/>
      <c r="B598" s="60"/>
      <c r="H598" s="60"/>
      <c r="I598" s="60"/>
    </row>
    <row r="599" spans="1:9">
      <c r="A599" s="60"/>
      <c r="B599" s="60"/>
      <c r="H599" s="60"/>
      <c r="I599" s="60"/>
    </row>
    <row r="600" spans="1:9">
      <c r="A600" s="60"/>
      <c r="B600" s="60"/>
      <c r="H600" s="60"/>
      <c r="I600" s="60"/>
    </row>
    <row r="601" spans="1:9">
      <c r="A601" s="60"/>
      <c r="B601" s="60"/>
      <c r="H601" s="60"/>
      <c r="I601" s="60"/>
    </row>
    <row r="602" spans="1:9">
      <c r="A602" s="60"/>
      <c r="B602" s="60"/>
      <c r="H602" s="60"/>
      <c r="I602" s="60"/>
    </row>
    <row r="603" spans="1:9">
      <c r="A603" s="60"/>
      <c r="B603" s="60"/>
      <c r="H603" s="60"/>
      <c r="I603" s="60"/>
    </row>
    <row r="604" spans="1:9">
      <c r="A604" s="60"/>
      <c r="B604" s="60"/>
      <c r="H604" s="60"/>
      <c r="I604" s="60"/>
    </row>
    <row r="605" spans="1:9">
      <c r="A605" s="60"/>
      <c r="B605" s="60"/>
      <c r="H605" s="60"/>
      <c r="I605" s="60"/>
    </row>
    <row r="606" spans="1:9">
      <c r="A606" s="60"/>
      <c r="B606" s="60"/>
      <c r="H606" s="60"/>
      <c r="I606" s="60"/>
    </row>
    <row r="607" spans="1:9">
      <c r="A607" s="60"/>
      <c r="B607" s="60"/>
      <c r="H607" s="60"/>
      <c r="I607" s="60"/>
    </row>
    <row r="608" spans="1:9">
      <c r="A608" s="60"/>
      <c r="B608" s="60"/>
      <c r="H608" s="60"/>
      <c r="I608" s="60"/>
    </row>
    <row r="609" spans="1:9">
      <c r="A609" s="60"/>
      <c r="B609" s="60"/>
      <c r="H609" s="60"/>
      <c r="I609" s="60"/>
    </row>
    <row r="610" spans="1:9">
      <c r="A610" s="60"/>
      <c r="B610" s="60"/>
      <c r="H610" s="60"/>
      <c r="I610" s="60"/>
    </row>
    <row r="611" spans="1:9">
      <c r="A611" s="60"/>
      <c r="B611" s="60"/>
      <c r="H611" s="60"/>
      <c r="I611" s="60"/>
    </row>
    <row r="612" spans="1:9">
      <c r="A612" s="60"/>
      <c r="B612" s="60"/>
      <c r="H612" s="60"/>
      <c r="I612" s="60"/>
    </row>
    <row r="613" spans="1:9">
      <c r="A613" s="60"/>
      <c r="B613" s="60"/>
      <c r="H613" s="60"/>
      <c r="I613" s="60"/>
    </row>
    <row r="614" spans="1:9">
      <c r="A614" s="60"/>
      <c r="B614" s="60"/>
      <c r="H614" s="60"/>
      <c r="I614" s="60"/>
    </row>
    <row r="615" spans="1:9">
      <c r="A615" s="60"/>
      <c r="B615" s="60"/>
      <c r="H615" s="60"/>
      <c r="I615" s="60"/>
    </row>
    <row r="616" spans="1:9">
      <c r="A616" s="60"/>
      <c r="B616" s="60"/>
      <c r="H616" s="60"/>
      <c r="I616" s="60"/>
    </row>
    <row r="617" spans="1:9">
      <c r="A617" s="60"/>
      <c r="B617" s="60"/>
      <c r="H617" s="60"/>
      <c r="I617" s="60"/>
    </row>
    <row r="618" spans="1:9">
      <c r="A618" s="60"/>
      <c r="B618" s="60"/>
      <c r="H618" s="60"/>
      <c r="I618" s="60"/>
    </row>
    <row r="619" spans="1:9">
      <c r="A619" s="60"/>
      <c r="B619" s="60"/>
      <c r="H619" s="60"/>
      <c r="I619" s="60"/>
    </row>
    <row r="620" spans="1:9">
      <c r="A620" s="60"/>
      <c r="B620" s="60"/>
      <c r="H620" s="60"/>
      <c r="I620" s="60"/>
    </row>
    <row r="621" spans="1:9">
      <c r="A621" s="60"/>
      <c r="B621" s="60"/>
      <c r="H621" s="60"/>
      <c r="I621" s="60"/>
    </row>
    <row r="622" spans="1:9">
      <c r="A622" s="60"/>
      <c r="B622" s="60"/>
      <c r="H622" s="60"/>
      <c r="I622" s="60"/>
    </row>
    <row r="623" spans="1:9">
      <c r="A623" s="60"/>
      <c r="B623" s="60"/>
      <c r="H623" s="60"/>
      <c r="I623" s="60"/>
    </row>
    <row r="624" spans="1:9">
      <c r="A624" s="60"/>
      <c r="B624" s="60"/>
      <c r="H624" s="60"/>
      <c r="I624" s="60"/>
    </row>
    <row r="625" spans="1:9">
      <c r="A625" s="60"/>
      <c r="B625" s="60"/>
      <c r="H625" s="60"/>
      <c r="I625" s="60"/>
    </row>
    <row r="626" spans="1:9">
      <c r="A626" s="60"/>
      <c r="B626" s="60"/>
      <c r="H626" s="60"/>
      <c r="I626" s="60"/>
    </row>
    <row r="627" spans="1:9">
      <c r="A627" s="60"/>
      <c r="B627" s="60"/>
      <c r="H627" s="60"/>
      <c r="I627" s="60"/>
    </row>
    <row r="628" spans="1:9">
      <c r="A628" s="60"/>
      <c r="B628" s="60"/>
      <c r="H628" s="60"/>
      <c r="I628" s="60"/>
    </row>
    <row r="629" spans="1:9">
      <c r="A629" s="60"/>
      <c r="B629" s="60"/>
      <c r="H629" s="60"/>
      <c r="I629" s="60"/>
    </row>
    <row r="630" spans="1:9">
      <c r="A630" s="60"/>
      <c r="B630" s="60"/>
      <c r="H630" s="60"/>
      <c r="I630" s="60"/>
    </row>
    <row r="631" spans="1:9">
      <c r="A631" s="60"/>
      <c r="B631" s="60"/>
      <c r="H631" s="60"/>
      <c r="I631" s="60"/>
    </row>
    <row r="632" spans="1:9">
      <c r="A632" s="60"/>
      <c r="B632" s="60"/>
      <c r="H632" s="60"/>
      <c r="I632" s="60"/>
    </row>
    <row r="633" spans="1:9">
      <c r="A633" s="60"/>
      <c r="B633" s="60"/>
      <c r="H633" s="60"/>
      <c r="I633" s="60"/>
    </row>
    <row r="634" spans="1:9">
      <c r="A634" s="60"/>
      <c r="B634" s="60"/>
      <c r="H634" s="60"/>
      <c r="I634" s="60"/>
    </row>
    <row r="635" spans="1:9">
      <c r="A635" s="60"/>
      <c r="B635" s="60"/>
      <c r="H635" s="60"/>
      <c r="I635" s="60"/>
    </row>
    <row r="636" spans="1:9">
      <c r="A636" s="60"/>
      <c r="B636" s="60"/>
      <c r="H636" s="60"/>
      <c r="I636" s="60"/>
    </row>
    <row r="637" spans="1:9">
      <c r="A637" s="60"/>
      <c r="B637" s="60"/>
      <c r="H637" s="60"/>
      <c r="I637" s="60"/>
    </row>
    <row r="638" spans="1:9">
      <c r="A638" s="60"/>
      <c r="B638" s="60"/>
      <c r="H638" s="60"/>
      <c r="I638" s="60"/>
    </row>
    <row r="639" spans="1:9">
      <c r="A639" s="60"/>
      <c r="B639" s="60"/>
      <c r="H639" s="60"/>
      <c r="I639" s="60"/>
    </row>
    <row r="640" spans="1:9">
      <c r="A640" s="60"/>
      <c r="B640" s="60"/>
      <c r="H640" s="60"/>
      <c r="I640" s="60"/>
    </row>
    <row r="641" spans="1:9">
      <c r="A641" s="60"/>
      <c r="B641" s="60"/>
      <c r="H641" s="60"/>
      <c r="I641" s="60"/>
    </row>
    <row r="642" spans="1:9">
      <c r="A642" s="60"/>
      <c r="B642" s="60"/>
      <c r="H642" s="60"/>
      <c r="I642" s="60"/>
    </row>
  </sheetData>
  <autoFilter ref="D70:D90" xr:uid="{E79EC9FF-81C8-4BAC-9396-EB83D5357C50}">
    <sortState xmlns:xlrd2="http://schemas.microsoft.com/office/spreadsheetml/2017/richdata2" ref="A72:E90">
      <sortCondition descending="1" ref="D70:D90"/>
    </sortState>
  </autoFilter>
  <mergeCells count="12">
    <mergeCell ref="J69:L69"/>
    <mergeCell ref="A69:A70"/>
    <mergeCell ref="B69:B70"/>
    <mergeCell ref="C69:E69"/>
    <mergeCell ref="C1:E1"/>
    <mergeCell ref="A1:A2"/>
    <mergeCell ref="B1:B2"/>
    <mergeCell ref="A99:A100"/>
    <mergeCell ref="B99:B100"/>
    <mergeCell ref="C99:E99"/>
    <mergeCell ref="H69:H70"/>
    <mergeCell ref="I69:I70"/>
  </mergeCells>
  <dataValidations count="1">
    <dataValidation type="list" allowBlank="1" showInputMessage="1" showErrorMessage="1" sqref="B58:B60 B52:B56 B63 B66:B68 A68 A63:A66 B92 A92:A95 A97:A98 B94:B98 A122:A642 B122 B124:B642" xr:uid="{9D0C2804-82E3-407E-A786-9E42EB573573}">
      <formula1>Compadjust</formula1>
    </dataValidation>
  </dataValidations>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808B8-F04D-49C6-BF8F-CF99D096726E}">
  <dimension ref="B3:L34"/>
  <sheetViews>
    <sheetView topLeftCell="B1" workbookViewId="0">
      <selection activeCell="F14" sqref="F14"/>
    </sheetView>
  </sheetViews>
  <sheetFormatPr baseColWidth="10" defaultRowHeight="12.5"/>
  <cols>
    <col min="2" max="2" width="31.81640625" customWidth="1"/>
    <col min="3" max="3" width="16.7265625" bestFit="1" customWidth="1"/>
    <col min="4" max="4" width="7.1796875" customWidth="1"/>
    <col min="5" max="5" width="21.26953125" customWidth="1"/>
    <col min="6" max="6" width="17.81640625" customWidth="1"/>
    <col min="7" max="7" width="20.81640625" customWidth="1"/>
    <col min="8" max="9" width="17.81640625" customWidth="1"/>
  </cols>
  <sheetData>
    <row r="3" spans="2:9" ht="18" customHeight="1">
      <c r="B3" s="856" t="s">
        <v>71</v>
      </c>
      <c r="C3" s="741" t="s">
        <v>810</v>
      </c>
      <c r="D3" s="858"/>
      <c r="E3" s="856" t="s">
        <v>85</v>
      </c>
      <c r="F3" s="741" t="s">
        <v>812</v>
      </c>
      <c r="G3" s="856" t="s">
        <v>53</v>
      </c>
      <c r="H3" s="856" t="s">
        <v>814</v>
      </c>
      <c r="I3" s="741" t="s">
        <v>815</v>
      </c>
    </row>
    <row r="4" spans="2:9" ht="18" customHeight="1" thickBot="1">
      <c r="B4" s="857"/>
      <c r="C4" s="681" t="s">
        <v>811</v>
      </c>
      <c r="D4" s="858"/>
      <c r="E4" s="857"/>
      <c r="F4" s="681" t="s">
        <v>813</v>
      </c>
      <c r="G4" s="857"/>
      <c r="H4" s="857"/>
      <c r="I4" s="681" t="s">
        <v>816</v>
      </c>
    </row>
    <row r="5" spans="2:9" ht="13" thickTop="1">
      <c r="B5" s="703" t="s">
        <v>117</v>
      </c>
      <c r="C5" s="444">
        <v>-421395</v>
      </c>
      <c r="D5" s="743"/>
      <c r="E5" s="444">
        <v>-1236846</v>
      </c>
      <c r="F5" s="444" t="s">
        <v>817</v>
      </c>
      <c r="G5" s="444" t="s">
        <v>817</v>
      </c>
      <c r="H5" s="444" t="s">
        <v>817</v>
      </c>
      <c r="I5" s="444">
        <v>815451</v>
      </c>
    </row>
    <row r="6" spans="2:9">
      <c r="B6" s="654" t="s">
        <v>132</v>
      </c>
      <c r="C6" s="744">
        <v>21045715</v>
      </c>
      <c r="D6" s="743"/>
      <c r="E6" s="744" t="s">
        <v>818</v>
      </c>
      <c r="F6" s="744" t="s">
        <v>817</v>
      </c>
      <c r="G6" s="744" t="s">
        <v>817</v>
      </c>
      <c r="H6" s="744">
        <v>21800000</v>
      </c>
      <c r="I6" s="744">
        <v>-754285</v>
      </c>
    </row>
    <row r="7" spans="2:9">
      <c r="B7" s="703" t="s">
        <v>136</v>
      </c>
      <c r="C7" s="444">
        <v>3210745</v>
      </c>
      <c r="D7" s="743"/>
      <c r="E7" s="444" t="s">
        <v>818</v>
      </c>
      <c r="F7" s="444" t="s">
        <v>817</v>
      </c>
      <c r="G7" s="444" t="s">
        <v>817</v>
      </c>
      <c r="H7" s="444">
        <v>1728000</v>
      </c>
      <c r="I7" s="444">
        <v>1482746</v>
      </c>
    </row>
    <row r="8" spans="2:9" ht="22.5" customHeight="1">
      <c r="B8" s="742" t="s">
        <v>250</v>
      </c>
      <c r="C8" s="745">
        <f>SUM(C5:C7)</f>
        <v>23835065</v>
      </c>
      <c r="D8" s="743"/>
      <c r="E8" s="745">
        <f t="shared" ref="E8:I8" si="0">SUM(E5:E7)</f>
        <v>-1236846</v>
      </c>
      <c r="F8" s="745">
        <f t="shared" si="0"/>
        <v>0</v>
      </c>
      <c r="G8" s="745">
        <f t="shared" si="0"/>
        <v>0</v>
      </c>
      <c r="H8" s="745">
        <f t="shared" si="0"/>
        <v>23528000</v>
      </c>
      <c r="I8" s="745">
        <f t="shared" si="0"/>
        <v>1543912</v>
      </c>
    </row>
    <row r="9" spans="2:9" ht="24">
      <c r="B9" s="654" t="s">
        <v>819</v>
      </c>
      <c r="C9" s="744">
        <v>8283512</v>
      </c>
      <c r="D9" s="743"/>
      <c r="E9" s="744">
        <v>-13454928</v>
      </c>
      <c r="F9" s="744">
        <v>20709169</v>
      </c>
      <c r="G9" s="744">
        <v>-13655930</v>
      </c>
      <c r="H9" s="744">
        <v>15427409</v>
      </c>
      <c r="I9" s="744">
        <v>-742208</v>
      </c>
    </row>
    <row r="10" spans="2:9">
      <c r="B10" s="703" t="s">
        <v>153</v>
      </c>
      <c r="C10" s="444">
        <v>-92417127</v>
      </c>
      <c r="D10" s="743"/>
      <c r="E10" s="444">
        <v>-105335333</v>
      </c>
      <c r="F10" s="444" t="s">
        <v>817</v>
      </c>
      <c r="G10" s="444">
        <v>-2145500</v>
      </c>
      <c r="H10" s="444">
        <v>15566650</v>
      </c>
      <c r="I10" s="444">
        <v>-502944</v>
      </c>
    </row>
    <row r="11" spans="2:9" ht="15" customHeight="1">
      <c r="B11" s="742" t="s">
        <v>249</v>
      </c>
      <c r="C11" s="745">
        <f>SUM(C9:C10)</f>
        <v>-84133615</v>
      </c>
      <c r="D11" s="743"/>
      <c r="E11" s="745">
        <f t="shared" ref="E11:I11" si="1">SUM(E9:E10)</f>
        <v>-118790261</v>
      </c>
      <c r="F11" s="745">
        <f t="shared" si="1"/>
        <v>20709169</v>
      </c>
      <c r="G11" s="745">
        <f t="shared" si="1"/>
        <v>-15801430</v>
      </c>
      <c r="H11" s="745">
        <f t="shared" si="1"/>
        <v>30994059</v>
      </c>
      <c r="I11" s="745">
        <f t="shared" si="1"/>
        <v>-1245152</v>
      </c>
    </row>
    <row r="12" spans="2:9">
      <c r="B12" s="498" t="s">
        <v>820</v>
      </c>
      <c r="C12" s="452">
        <v>-60298549</v>
      </c>
      <c r="D12" s="743"/>
      <c r="E12" s="452">
        <v>-120027107</v>
      </c>
      <c r="F12" s="452">
        <v>20709169</v>
      </c>
      <c r="G12" s="452">
        <v>-15801430</v>
      </c>
      <c r="H12" s="452">
        <v>54522059</v>
      </c>
      <c r="I12" s="452">
        <v>298759</v>
      </c>
    </row>
    <row r="21" spans="2:12" ht="13" thickBot="1">
      <c r="B21" s="852" t="s">
        <v>6</v>
      </c>
      <c r="C21" s="852" t="s">
        <v>55</v>
      </c>
      <c r="D21" s="851" t="s">
        <v>270</v>
      </c>
      <c r="E21" s="851"/>
      <c r="F21" s="851"/>
      <c r="G21" s="851" t="s">
        <v>271</v>
      </c>
      <c r="H21" s="851"/>
      <c r="I21" s="851"/>
      <c r="J21" s="851" t="s">
        <v>265</v>
      </c>
      <c r="K21" s="851"/>
      <c r="L21" s="852" t="s">
        <v>1</v>
      </c>
    </row>
    <row r="22" spans="2:12" ht="13" thickBot="1">
      <c r="B22" s="853"/>
      <c r="C22" s="853"/>
      <c r="D22" s="719" t="s">
        <v>728</v>
      </c>
      <c r="E22" s="719" t="s">
        <v>729</v>
      </c>
      <c r="F22" s="719" t="s">
        <v>275</v>
      </c>
      <c r="G22" s="719" t="s">
        <v>272</v>
      </c>
      <c r="H22" s="719" t="s">
        <v>273</v>
      </c>
      <c r="I22" s="719" t="s">
        <v>275</v>
      </c>
      <c r="J22" s="719" t="s">
        <v>272</v>
      </c>
      <c r="K22" s="719" t="s">
        <v>273</v>
      </c>
      <c r="L22" s="853"/>
    </row>
    <row r="23" spans="2:12" ht="48.5" thickTop="1">
      <c r="B23" s="746">
        <v>1</v>
      </c>
      <c r="C23" s="746" t="s">
        <v>143</v>
      </c>
      <c r="D23" s="747">
        <v>217.6</v>
      </c>
      <c r="E23" s="747">
        <v>163.19999999999999</v>
      </c>
      <c r="F23" s="747">
        <v>163.19999999999999</v>
      </c>
      <c r="G23" s="747">
        <v>142.99</v>
      </c>
      <c r="H23" s="747">
        <v>285.99</v>
      </c>
      <c r="I23" s="747">
        <v>142.99</v>
      </c>
      <c r="J23" s="747">
        <v>227.78</v>
      </c>
      <c r="K23" s="747">
        <v>97.62</v>
      </c>
      <c r="L23" s="748">
        <v>1441.37</v>
      </c>
    </row>
    <row r="24" spans="2:12" ht="24">
      <c r="B24" s="749">
        <v>2</v>
      </c>
      <c r="C24" s="749" t="s">
        <v>639</v>
      </c>
      <c r="D24" s="750">
        <v>206.84</v>
      </c>
      <c r="E24" s="750">
        <v>155.13</v>
      </c>
      <c r="F24" s="750">
        <v>155.13</v>
      </c>
      <c r="G24" s="750">
        <v>77.3</v>
      </c>
      <c r="H24" s="750">
        <v>154.6</v>
      </c>
      <c r="I24" s="750">
        <v>77.3</v>
      </c>
      <c r="J24" s="750">
        <v>78.900000000000006</v>
      </c>
      <c r="K24" s="750">
        <v>33.81</v>
      </c>
      <c r="L24" s="750">
        <v>939.01</v>
      </c>
    </row>
    <row r="25" spans="2:12">
      <c r="B25" s="746">
        <v>3</v>
      </c>
      <c r="C25" s="746" t="s">
        <v>147</v>
      </c>
      <c r="D25" s="747">
        <v>71.58</v>
      </c>
      <c r="E25" s="747">
        <v>53.68</v>
      </c>
      <c r="F25" s="747">
        <v>53.68</v>
      </c>
      <c r="G25" s="747">
        <v>30.06</v>
      </c>
      <c r="H25" s="747">
        <v>60.13</v>
      </c>
      <c r="I25" s="747">
        <v>30.06</v>
      </c>
      <c r="J25" s="747">
        <v>142.78</v>
      </c>
      <c r="K25" s="747">
        <v>61.19</v>
      </c>
      <c r="L25" s="747">
        <v>503.17</v>
      </c>
    </row>
    <row r="26" spans="2:12" ht="36">
      <c r="B26" s="749">
        <v>4</v>
      </c>
      <c r="C26" s="749" t="s">
        <v>730</v>
      </c>
      <c r="D26" s="750">
        <v>56.15</v>
      </c>
      <c r="E26" s="750">
        <v>42.11</v>
      </c>
      <c r="F26" s="750">
        <v>42.11</v>
      </c>
      <c r="G26" s="750">
        <v>19.46</v>
      </c>
      <c r="H26" s="750">
        <v>38.92</v>
      </c>
      <c r="I26" s="750">
        <v>19.46</v>
      </c>
      <c r="J26" s="750">
        <v>63.59</v>
      </c>
      <c r="K26" s="750">
        <v>27.89</v>
      </c>
      <c r="L26" s="750">
        <v>309.69</v>
      </c>
    </row>
    <row r="27" spans="2:12" ht="24">
      <c r="B27" s="746">
        <v>5</v>
      </c>
      <c r="C27" s="746" t="s">
        <v>151</v>
      </c>
      <c r="D27" s="747">
        <v>37.46</v>
      </c>
      <c r="E27" s="747">
        <v>28.09</v>
      </c>
      <c r="F27" s="747">
        <v>28.09</v>
      </c>
      <c r="G27" s="747">
        <v>24.57</v>
      </c>
      <c r="H27" s="747">
        <v>49.14</v>
      </c>
      <c r="I27" s="747">
        <v>24.57</v>
      </c>
      <c r="J27" s="747">
        <v>84.81</v>
      </c>
      <c r="K27" s="747">
        <v>36.35</v>
      </c>
      <c r="L27" s="747">
        <v>313.08</v>
      </c>
    </row>
    <row r="28" spans="2:12">
      <c r="B28" s="749">
        <v>6</v>
      </c>
      <c r="C28" s="749" t="s">
        <v>153</v>
      </c>
      <c r="D28" s="750">
        <v>73.45</v>
      </c>
      <c r="E28" s="750">
        <v>55.09</v>
      </c>
      <c r="F28" s="750">
        <v>55.09</v>
      </c>
      <c r="G28" s="750">
        <v>61.25</v>
      </c>
      <c r="H28" s="750">
        <v>122.51</v>
      </c>
      <c r="I28" s="750">
        <v>61.25</v>
      </c>
      <c r="J28" s="750">
        <v>24.84</v>
      </c>
      <c r="K28" s="750">
        <v>10.64</v>
      </c>
      <c r="L28" s="750">
        <v>464.12</v>
      </c>
    </row>
    <row r="29" spans="2:12" ht="36">
      <c r="B29" s="746">
        <v>7</v>
      </c>
      <c r="C29" s="746" t="s">
        <v>155</v>
      </c>
      <c r="D29" s="747">
        <v>60.48</v>
      </c>
      <c r="E29" s="747">
        <v>45.36</v>
      </c>
      <c r="F29" s="747">
        <v>45.36</v>
      </c>
      <c r="G29" s="747">
        <v>30.44</v>
      </c>
      <c r="H29" s="747">
        <v>60.88</v>
      </c>
      <c r="I29" s="747">
        <v>30.44</v>
      </c>
      <c r="J29" s="747">
        <v>72.73</v>
      </c>
      <c r="K29" s="747">
        <v>31.17</v>
      </c>
      <c r="L29" s="747">
        <v>376.86</v>
      </c>
    </row>
    <row r="30" spans="2:12" ht="24">
      <c r="B30" s="749">
        <v>8</v>
      </c>
      <c r="C30" s="749" t="s">
        <v>157</v>
      </c>
      <c r="D30" s="750">
        <v>16.170000000000002</v>
      </c>
      <c r="E30" s="750">
        <v>12.13</v>
      </c>
      <c r="F30" s="750">
        <v>12.13</v>
      </c>
      <c r="G30" s="750">
        <v>12.88</v>
      </c>
      <c r="H30" s="750">
        <v>25.76</v>
      </c>
      <c r="I30" s="750">
        <v>12.88</v>
      </c>
      <c r="J30" s="750">
        <v>86.14</v>
      </c>
      <c r="K30" s="750">
        <v>36.92</v>
      </c>
      <c r="L30" s="750">
        <v>215.01</v>
      </c>
    </row>
    <row r="31" spans="2:12">
      <c r="B31" s="746">
        <v>9</v>
      </c>
      <c r="C31" s="746" t="s">
        <v>821</v>
      </c>
      <c r="D31" s="747">
        <v>9.8000000000000007</v>
      </c>
      <c r="E31" s="747">
        <v>7.35</v>
      </c>
      <c r="F31" s="747">
        <v>7.35</v>
      </c>
      <c r="G31" s="747" t="s">
        <v>296</v>
      </c>
      <c r="H31" s="747" t="s">
        <v>296</v>
      </c>
      <c r="I31" s="747" t="s">
        <v>296</v>
      </c>
      <c r="J31" s="747">
        <v>444.95</v>
      </c>
      <c r="K31" s="747">
        <v>190.69</v>
      </c>
      <c r="L31" s="747">
        <v>660.14</v>
      </c>
    </row>
    <row r="32" spans="2:12">
      <c r="B32" s="749">
        <v>10</v>
      </c>
      <c r="C32" s="749" t="s">
        <v>274</v>
      </c>
      <c r="D32" s="750">
        <v>0.81</v>
      </c>
      <c r="E32" s="750">
        <v>0.61</v>
      </c>
      <c r="F32" s="750">
        <v>0.61</v>
      </c>
      <c r="G32" s="750">
        <v>3.87</v>
      </c>
      <c r="H32" s="750">
        <v>7.74</v>
      </c>
      <c r="I32" s="750">
        <v>3.87</v>
      </c>
      <c r="J32" s="750">
        <v>111.24</v>
      </c>
      <c r="K32" s="750">
        <v>49.82</v>
      </c>
      <c r="L32" s="750">
        <v>178.56</v>
      </c>
    </row>
    <row r="33" spans="2:12" ht="15" customHeight="1">
      <c r="B33" s="854" t="s">
        <v>731</v>
      </c>
      <c r="C33" s="854"/>
      <c r="D33" s="544">
        <v>750.32</v>
      </c>
      <c r="E33" s="544">
        <v>562.74</v>
      </c>
      <c r="F33" s="544">
        <v>562.74</v>
      </c>
      <c r="G33" s="544">
        <v>402.84</v>
      </c>
      <c r="H33" s="544">
        <v>805.67</v>
      </c>
      <c r="I33" s="544">
        <v>402.84</v>
      </c>
      <c r="J33" s="597">
        <v>1337.76</v>
      </c>
      <c r="K33" s="544">
        <v>576.11</v>
      </c>
      <c r="L33" s="597">
        <v>5401.01</v>
      </c>
    </row>
    <row r="34" spans="2:12" ht="15" customHeight="1">
      <c r="B34" s="854" t="s">
        <v>822</v>
      </c>
      <c r="C34" s="854"/>
      <c r="D34" s="854">
        <f>+D33+E33+F33</f>
        <v>1875.8</v>
      </c>
      <c r="E34" s="854"/>
      <c r="F34" s="854"/>
      <c r="G34" s="854">
        <f>+G33+H33+I33</f>
        <v>1611.35</v>
      </c>
      <c r="H34" s="854"/>
      <c r="I34" s="854"/>
      <c r="J34" s="855">
        <f>+J33+K33</f>
        <v>1913.87</v>
      </c>
      <c r="K34" s="854"/>
      <c r="L34" s="597">
        <f>+J34+D34+G34</f>
        <v>5401.02</v>
      </c>
    </row>
  </sheetData>
  <mergeCells count="16">
    <mergeCell ref="B3:B4"/>
    <mergeCell ref="D3:D4"/>
    <mergeCell ref="E3:E4"/>
    <mergeCell ref="G3:G4"/>
    <mergeCell ref="H3:H4"/>
    <mergeCell ref="J21:K21"/>
    <mergeCell ref="L21:L22"/>
    <mergeCell ref="B33:C33"/>
    <mergeCell ref="B34:C34"/>
    <mergeCell ref="D34:F34"/>
    <mergeCell ref="G34:I34"/>
    <mergeCell ref="J34:K34"/>
    <mergeCell ref="B21:B22"/>
    <mergeCell ref="C21:C22"/>
    <mergeCell ref="D21:F21"/>
    <mergeCell ref="G21:I2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9E92-504E-409A-9FA0-051C26C55B37}">
  <sheetPr codeName="Feuil87"/>
  <dimension ref="C5:G17"/>
  <sheetViews>
    <sheetView workbookViewId="0">
      <selection activeCell="F14" sqref="F14"/>
    </sheetView>
  </sheetViews>
  <sheetFormatPr baseColWidth="10" defaultColWidth="11.54296875" defaultRowHeight="14.5"/>
  <cols>
    <col min="1" max="4" width="11.54296875" style="291"/>
    <col min="5" max="5" width="19.7265625" style="291" customWidth="1"/>
    <col min="6" max="6" width="26.453125" style="291" customWidth="1"/>
    <col min="7" max="7" width="40.7265625" style="291" customWidth="1"/>
    <col min="8" max="16384" width="11.54296875" style="291"/>
  </cols>
  <sheetData>
    <row r="5" spans="3:7">
      <c r="C5" s="868" t="s">
        <v>443</v>
      </c>
      <c r="D5" s="868"/>
      <c r="E5" s="868"/>
      <c r="F5" s="868"/>
      <c r="G5" s="868"/>
    </row>
    <row r="7" spans="3:7" ht="24">
      <c r="C7" s="347" t="s">
        <v>444</v>
      </c>
      <c r="D7" s="869" t="s">
        <v>445</v>
      </c>
      <c r="E7" s="869" t="s">
        <v>446</v>
      </c>
      <c r="F7" s="869" t="s">
        <v>447</v>
      </c>
      <c r="G7" s="869" t="s">
        <v>448</v>
      </c>
    </row>
    <row r="8" spans="3:7" ht="15" thickBot="1">
      <c r="C8" s="319" t="s">
        <v>449</v>
      </c>
      <c r="D8" s="870"/>
      <c r="E8" s="870"/>
      <c r="F8" s="870"/>
      <c r="G8" s="870"/>
    </row>
    <row r="9" spans="3:7" ht="15" thickTop="1">
      <c r="C9" s="320">
        <v>18</v>
      </c>
      <c r="D9" s="320" t="s">
        <v>450</v>
      </c>
      <c r="E9" s="320" t="s">
        <v>451</v>
      </c>
      <c r="F9" s="320" t="s">
        <v>452</v>
      </c>
      <c r="G9" s="320" t="s">
        <v>453</v>
      </c>
    </row>
    <row r="10" spans="3:7">
      <c r="C10" s="321">
        <v>5</v>
      </c>
      <c r="D10" s="321" t="s">
        <v>454</v>
      </c>
      <c r="E10" s="321" t="s">
        <v>455</v>
      </c>
      <c r="F10" s="321" t="s">
        <v>456</v>
      </c>
      <c r="G10" s="321" t="s">
        <v>457</v>
      </c>
    </row>
    <row r="11" spans="3:7">
      <c r="C11" s="348">
        <v>6</v>
      </c>
      <c r="D11" s="348" t="s">
        <v>458</v>
      </c>
      <c r="E11" s="348" t="s">
        <v>459</v>
      </c>
      <c r="F11" s="348" t="s">
        <v>296</v>
      </c>
      <c r="G11" s="320" t="s">
        <v>459</v>
      </c>
    </row>
    <row r="12" spans="3:7">
      <c r="C12" s="321">
        <v>8</v>
      </c>
      <c r="D12" s="321" t="s">
        <v>460</v>
      </c>
      <c r="E12" s="321" t="s">
        <v>461</v>
      </c>
      <c r="F12" s="321" t="s">
        <v>296</v>
      </c>
      <c r="G12" s="321" t="s">
        <v>461</v>
      </c>
    </row>
    <row r="13" spans="3:7">
      <c r="C13" s="348">
        <v>1</v>
      </c>
      <c r="D13" s="348" t="s">
        <v>462</v>
      </c>
      <c r="E13" s="348" t="s">
        <v>463</v>
      </c>
      <c r="F13" s="348" t="s">
        <v>296</v>
      </c>
      <c r="G13" s="320" t="s">
        <v>463</v>
      </c>
    </row>
    <row r="14" spans="3:7">
      <c r="C14" s="321">
        <v>162</v>
      </c>
      <c r="D14" s="321" t="s">
        <v>464</v>
      </c>
      <c r="E14" s="321" t="s">
        <v>465</v>
      </c>
      <c r="F14" s="321" t="s">
        <v>466</v>
      </c>
      <c r="G14" s="321" t="s">
        <v>467</v>
      </c>
    </row>
    <row r="15" spans="3:7">
      <c r="C15" s="348">
        <v>8</v>
      </c>
      <c r="D15" s="348" t="s">
        <v>468</v>
      </c>
      <c r="E15" s="348" t="s">
        <v>469</v>
      </c>
      <c r="F15" s="348" t="s">
        <v>470</v>
      </c>
      <c r="G15" s="320" t="s">
        <v>471</v>
      </c>
    </row>
    <row r="16" spans="3:7">
      <c r="C16" s="321">
        <v>33</v>
      </c>
      <c r="D16" s="321" t="s">
        <v>472</v>
      </c>
      <c r="E16" s="321" t="s">
        <v>473</v>
      </c>
      <c r="F16" s="321" t="s">
        <v>474</v>
      </c>
      <c r="G16" s="321" t="s">
        <v>475</v>
      </c>
    </row>
    <row r="17" spans="3:7">
      <c r="C17" s="867" t="s">
        <v>1</v>
      </c>
      <c r="D17" s="867"/>
      <c r="E17" s="323" t="s">
        <v>476</v>
      </c>
      <c r="F17" s="323" t="s">
        <v>477</v>
      </c>
      <c r="G17" s="323" t="s">
        <v>478</v>
      </c>
    </row>
  </sheetData>
  <mergeCells count="6">
    <mergeCell ref="C17:D17"/>
    <mergeCell ref="C5:G5"/>
    <mergeCell ref="D7:D8"/>
    <mergeCell ref="E7:E8"/>
    <mergeCell ref="F7:F8"/>
    <mergeCell ref="G7:G8"/>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44081-F559-4760-8AA6-1EC4B4516C0C}">
  <sheetPr codeName="Feuil93"/>
  <dimension ref="A5:D13"/>
  <sheetViews>
    <sheetView zoomScaleNormal="100" workbookViewId="0">
      <selection activeCell="B12" sqref="B12"/>
    </sheetView>
  </sheetViews>
  <sheetFormatPr baseColWidth="10" defaultColWidth="11.453125" defaultRowHeight="14.5"/>
  <cols>
    <col min="1" max="1" width="47.7265625" style="350" customWidth="1"/>
    <col min="2" max="2" width="18.81640625" style="349" customWidth="1"/>
    <col min="3" max="3" width="17.54296875" style="349" customWidth="1"/>
    <col min="4" max="16384" width="11.453125" style="349"/>
  </cols>
  <sheetData>
    <row r="5" spans="1:4">
      <c r="C5" s="349">
        <v>9.9999999999999995E-7</v>
      </c>
    </row>
    <row r="8" spans="1:4" ht="15" thickBot="1">
      <c r="A8" s="358" t="s">
        <v>485</v>
      </c>
      <c r="B8" s="351" t="s">
        <v>1</v>
      </c>
      <c r="C8" s="351" t="s">
        <v>486</v>
      </c>
    </row>
    <row r="9" spans="1:4" ht="15" thickTop="1">
      <c r="A9" s="352" t="s">
        <v>265</v>
      </c>
      <c r="B9" s="353">
        <v>1913.8631419999999</v>
      </c>
      <c r="C9" s="353">
        <v>576.11</v>
      </c>
      <c r="D9" s="359">
        <f>+C9/B9</f>
        <v>0.30101943412628823</v>
      </c>
    </row>
    <row r="10" spans="1:4">
      <c r="A10" s="354" t="s">
        <v>270</v>
      </c>
      <c r="B10" s="355">
        <v>1875.8007767837919</v>
      </c>
      <c r="C10" s="355">
        <v>562.74023303513752</v>
      </c>
      <c r="D10" s="359">
        <f t="shared" ref="D10:D11" si="0">+C10/B10</f>
        <v>0.3</v>
      </c>
    </row>
    <row r="11" spans="1:4">
      <c r="A11" s="352" t="s">
        <v>271</v>
      </c>
      <c r="B11" s="353">
        <v>1611.3496145898996</v>
      </c>
      <c r="C11" s="353">
        <v>805.6748072949498</v>
      </c>
      <c r="D11" s="359">
        <f t="shared" si="0"/>
        <v>0.5</v>
      </c>
    </row>
    <row r="12" spans="1:4">
      <c r="A12" s="356" t="s">
        <v>1</v>
      </c>
      <c r="B12" s="357">
        <f>SUM(B9:B11)</f>
        <v>5401.0135333736916</v>
      </c>
      <c r="C12" s="357">
        <f>SUM(C9:C11)</f>
        <v>1944.5250403300874</v>
      </c>
    </row>
    <row r="13" spans="1:4">
      <c r="B13" s="353"/>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8DBA-0B12-4FFF-8FAB-C35901B638B2}">
  <sheetPr codeName="Feuil88">
    <tabColor theme="4"/>
  </sheetPr>
  <dimension ref="A10:K38"/>
  <sheetViews>
    <sheetView topLeftCell="A8" zoomScaleNormal="100" workbookViewId="0">
      <selection activeCell="E38" sqref="E38"/>
    </sheetView>
  </sheetViews>
  <sheetFormatPr baseColWidth="10" defaultColWidth="11.453125" defaultRowHeight="12"/>
  <cols>
    <col min="1" max="1" width="11.453125" style="213"/>
    <col min="2" max="2" width="33.54296875" style="213" customWidth="1"/>
    <col min="3" max="4" width="12.81640625" style="225" customWidth="1"/>
    <col min="5" max="5" width="15" style="219" bestFit="1" customWidth="1"/>
    <col min="6" max="8" width="15.7265625" style="213" customWidth="1"/>
    <col min="9" max="9" width="14" style="213" bestFit="1" customWidth="1"/>
    <col min="10" max="10" width="12.54296875" style="213" bestFit="1" customWidth="1"/>
    <col min="11" max="11" width="16.54296875" style="213" bestFit="1" customWidth="1"/>
    <col min="12" max="16384" width="11.453125" style="213"/>
  </cols>
  <sheetData>
    <row r="10" spans="1:11" ht="12.5" hidden="1" thickBot="1">
      <c r="A10" s="894" t="s">
        <v>6</v>
      </c>
      <c r="B10" s="894" t="s">
        <v>55</v>
      </c>
      <c r="C10" s="895" t="s">
        <v>270</v>
      </c>
      <c r="D10" s="895"/>
      <c r="E10" s="895"/>
      <c r="F10" s="895" t="s">
        <v>271</v>
      </c>
      <c r="G10" s="895"/>
      <c r="H10" s="895"/>
      <c r="I10" s="895" t="s">
        <v>265</v>
      </c>
      <c r="J10" s="895"/>
      <c r="K10" s="893" t="s">
        <v>1</v>
      </c>
    </row>
    <row r="11" spans="1:11" ht="13" hidden="1" thickTop="1" thickBot="1">
      <c r="A11" s="894"/>
      <c r="B11" s="894"/>
      <c r="C11" s="222" t="s">
        <v>272</v>
      </c>
      <c r="D11" s="222" t="s">
        <v>273</v>
      </c>
      <c r="E11" s="212" t="s">
        <v>275</v>
      </c>
      <c r="F11" s="212" t="s">
        <v>272</v>
      </c>
      <c r="G11" s="212" t="s">
        <v>273</v>
      </c>
      <c r="H11" s="212" t="s">
        <v>275</v>
      </c>
      <c r="I11" s="212" t="s">
        <v>272</v>
      </c>
      <c r="J11" s="212" t="s">
        <v>273</v>
      </c>
      <c r="K11" s="894"/>
    </row>
    <row r="12" spans="1:11" ht="20.5" hidden="1" thickTop="1">
      <c r="A12" s="214">
        <v>1</v>
      </c>
      <c r="B12" s="214" t="s">
        <v>143</v>
      </c>
      <c r="C12" s="223">
        <f>+'[10]CUMUL VOLUMES ET TAXES 2022'!B29+'[10]CUMUL VOLUMES ET TAXES 2022'!B30</f>
        <v>217598008.02324063</v>
      </c>
      <c r="D12" s="223">
        <f>+'[10]CUMUL VOLUMES ET TAXES 2022'!C29+'[10]CUMUL VOLUMES ET TAXES 2022'!C30</f>
        <v>163198506.01743048</v>
      </c>
      <c r="E12" s="223">
        <f>+'[10]CUMUL VOLUMES ET TAXES 2022'!D29+'[10]CUMUL VOLUMES ET TAXES 2022'!D30</f>
        <v>163198506.01743048</v>
      </c>
      <c r="F12" s="215">
        <f>+'[10]CUMUL VOLUMES ET TAXES 2022'!B48+'[10]CUMUL VOLUMES ET TAXES 2022'!B49</f>
        <v>142993898.73921487</v>
      </c>
      <c r="G12" s="215">
        <f>+'[10]CUMUL VOLUMES ET TAXES 2022'!C48+'[10]CUMUL VOLUMES ET TAXES 2022'!C49</f>
        <v>285987797.47842973</v>
      </c>
      <c r="H12" s="215">
        <f>+'[10]CUMUL VOLUMES ET TAXES 2022'!D48+'[10]CUMUL VOLUMES ET TAXES 2022'!D49</f>
        <v>142993898.73921487</v>
      </c>
      <c r="I12" s="215">
        <f>+'[11]LOYER 2022'!$D$9+'[11]LOYER 2022'!$D$11</f>
        <v>227781960</v>
      </c>
      <c r="J12" s="215">
        <f>+'[11]LOYER 2022'!$D$10+'[11]LOYER 2022'!$D$12</f>
        <v>97620840</v>
      </c>
      <c r="K12" s="215">
        <f>SUM(C12:J12)</f>
        <v>1441373415.0149612</v>
      </c>
    </row>
    <row r="13" spans="1:11" hidden="1">
      <c r="A13" s="216">
        <f t="shared" ref="A13:A20" si="0">+A12+1</f>
        <v>2</v>
      </c>
      <c r="B13" s="216" t="s">
        <v>639</v>
      </c>
      <c r="C13" s="224">
        <f>+'[10]CUMUL VOLUMES ET TAXES 2022'!B38+'[10]CUMUL VOLUMES ET TAXES 2022'!B39</f>
        <v>206837230.79208004</v>
      </c>
      <c r="D13" s="224">
        <f>+'[10]CUMUL VOLUMES ET TAXES 2022'!C38+'[10]CUMUL VOLUMES ET TAXES 2022'!C39</f>
        <v>155127923.09406</v>
      </c>
      <c r="E13" s="224">
        <f>+'[10]CUMUL VOLUMES ET TAXES 2022'!D38+'[10]CUMUL VOLUMES ET TAXES 2022'!D39</f>
        <v>155127923.09406</v>
      </c>
      <c r="F13" s="217">
        <f>+'[10]CUMUL VOLUMES ET TAXES 2022'!B57</f>
        <v>77301349.036257491</v>
      </c>
      <c r="G13" s="217">
        <f>+'[10]CUMUL VOLUMES ET TAXES 2022'!C57</f>
        <v>154602698.07251498</v>
      </c>
      <c r="H13" s="217">
        <f>+'[10]CUMUL VOLUMES ET TAXES 2022'!D57</f>
        <v>77301349.036257491</v>
      </c>
      <c r="I13" s="217">
        <f>+'[11]LOYER 2022'!$D$21</f>
        <v>78899520</v>
      </c>
      <c r="J13" s="217">
        <f>+'[11]LOYER 2022'!$D$22</f>
        <v>33814080</v>
      </c>
      <c r="K13" s="217">
        <f t="shared" ref="K13:K22" si="1">SUM(C13:J13)</f>
        <v>939012073.12523007</v>
      </c>
    </row>
    <row r="14" spans="1:11" hidden="1">
      <c r="A14" s="214">
        <f t="shared" si="0"/>
        <v>3</v>
      </c>
      <c r="B14" s="218" t="s">
        <v>147</v>
      </c>
      <c r="C14" s="223">
        <f>+'[10]CUMUL VOLUMES ET TAXES 2022'!B35</f>
        <v>71576979.681032002</v>
      </c>
      <c r="D14" s="223">
        <f>+'[10]CUMUL VOLUMES ET TAXES 2022'!C35</f>
        <v>53682734.760774001</v>
      </c>
      <c r="E14" s="223">
        <f>+'[10]CUMUL VOLUMES ET TAXES 2022'!D35</f>
        <v>53682734.760774001</v>
      </c>
      <c r="F14" s="215">
        <f>+'[10]CUMUL VOLUMES ET TAXES 2022'!B54</f>
        <v>30063739.813284993</v>
      </c>
      <c r="G14" s="215">
        <f>+'[10]CUMUL VOLUMES ET TAXES 2022'!C54</f>
        <v>60127479.626569986</v>
      </c>
      <c r="H14" s="215">
        <f>+'[10]CUMUL VOLUMES ET TAXES 2022'!D54</f>
        <v>30063739.813284993</v>
      </c>
      <c r="I14" s="215">
        <f>+'[11]LOYER 2022'!$D$7</f>
        <v>142777740</v>
      </c>
      <c r="J14" s="215">
        <f>+'[11]LOYER 2022'!$D$8</f>
        <v>61190460</v>
      </c>
      <c r="K14" s="215">
        <f t="shared" si="1"/>
        <v>503165608.45571995</v>
      </c>
    </row>
    <row r="15" spans="1:11" ht="20" hidden="1">
      <c r="A15" s="216">
        <f t="shared" si="0"/>
        <v>4</v>
      </c>
      <c r="B15" s="216" t="s">
        <v>149</v>
      </c>
      <c r="C15" s="224">
        <f>+'[10]CUMUL VOLUMES ET TAXES 2022'!B32+'[10]CUMUL VOLUMES ET TAXES 2022'!B33</f>
        <v>56148392.561632015</v>
      </c>
      <c r="D15" s="224">
        <f>+'[10]CUMUL VOLUMES ET TAXES 2022'!C32+'[10]CUMUL VOLUMES ET TAXES 2022'!C33</f>
        <v>42111294.421224006</v>
      </c>
      <c r="E15" s="224">
        <f>+'[10]CUMUL VOLUMES ET TAXES 2022'!D32+'[10]CUMUL VOLUMES ET TAXES 2022'!D33</f>
        <v>42111294.421224006</v>
      </c>
      <c r="F15" s="217">
        <f>+'[10]CUMUL VOLUMES ET TAXES 2022'!B51</f>
        <v>19459517.460817501</v>
      </c>
      <c r="G15" s="217">
        <f>+'[10]CUMUL VOLUMES ET TAXES 2022'!C51</f>
        <v>38919034.921635002</v>
      </c>
      <c r="H15" s="217">
        <f>+'[10]CUMUL VOLUMES ET TAXES 2022'!D51</f>
        <v>19459517.460817501</v>
      </c>
      <c r="I15" s="217">
        <f>+'[11]LOYER 2022'!$D$24+'[11]LOYER 2022'!$D$27</f>
        <v>63590520</v>
      </c>
      <c r="J15" s="217">
        <f>+'[11]LOYER 2022'!$D$23+'[11]LOYER 2022'!$D$28</f>
        <v>27890722</v>
      </c>
      <c r="K15" s="217">
        <f t="shared" si="1"/>
        <v>309690293.24735004</v>
      </c>
    </row>
    <row r="16" spans="1:11" hidden="1">
      <c r="A16" s="214">
        <f t="shared" si="0"/>
        <v>5</v>
      </c>
      <c r="B16" s="214" t="s">
        <v>151</v>
      </c>
      <c r="C16" s="223">
        <f>+'[10]CUMUL VOLUMES ET TAXES 2022'!B28</f>
        <v>37455049.177524008</v>
      </c>
      <c r="D16" s="223">
        <f>+'[10]CUMUL VOLUMES ET TAXES 2022'!C28</f>
        <v>28091286.883143004</v>
      </c>
      <c r="E16" s="223">
        <f>+'[10]CUMUL VOLUMES ET TAXES 2022'!D28</f>
        <v>28091286.883143004</v>
      </c>
      <c r="F16" s="215">
        <f>+'[10]CUMUL VOLUMES ET TAXES 2022'!B47</f>
        <v>24571699.906145003</v>
      </c>
      <c r="G16" s="215">
        <f>+'[10]CUMUL VOLUMES ET TAXES 2022'!C47</f>
        <v>49143399.812290005</v>
      </c>
      <c r="H16" s="215">
        <f>+'[10]CUMUL VOLUMES ET TAXES 2022'!D47</f>
        <v>24571699.906145003</v>
      </c>
      <c r="I16" s="215">
        <f>+'[11]LOYER 2022'!$D$25</f>
        <v>84811440</v>
      </c>
      <c r="J16" s="215">
        <f>+'[11]LOYER 2022'!$D$26</f>
        <v>36347760</v>
      </c>
      <c r="K16" s="215">
        <f t="shared" si="1"/>
        <v>313083622.56839001</v>
      </c>
    </row>
    <row r="17" spans="1:11" hidden="1">
      <c r="A17" s="216">
        <f t="shared" si="0"/>
        <v>6</v>
      </c>
      <c r="B17" s="216" t="s">
        <v>153</v>
      </c>
      <c r="C17" s="224">
        <f>+'[10]CUMUL VOLUMES ET TAXES 2022'!B31</f>
        <v>73448401.418336004</v>
      </c>
      <c r="D17" s="224">
        <f>+'[10]CUMUL VOLUMES ET TAXES 2022'!C31</f>
        <v>55086301.063751996</v>
      </c>
      <c r="E17" s="224">
        <f>+'[10]CUMUL VOLUMES ET TAXES 2022'!D31</f>
        <v>55086301.063751996</v>
      </c>
      <c r="F17" s="217">
        <f>+'[10]CUMUL VOLUMES ET TAXES 2022'!B50</f>
        <v>61254983.5678</v>
      </c>
      <c r="G17" s="217">
        <f>+'[10]CUMUL VOLUMES ET TAXES 2022'!C50</f>
        <v>122509967.1356</v>
      </c>
      <c r="H17" s="217">
        <f>+'[10]CUMUL VOLUMES ET TAXES 2022'!D50</f>
        <v>61254983.5678</v>
      </c>
      <c r="I17" s="217">
        <f>+'[11]LOYER 2022'!$D$30</f>
        <v>24837960</v>
      </c>
      <c r="J17" s="217">
        <f>+'[11]LOYER 2022'!$D$29</f>
        <v>10644840</v>
      </c>
      <c r="K17" s="217">
        <f t="shared" si="1"/>
        <v>464123737.81704003</v>
      </c>
    </row>
    <row r="18" spans="1:11" ht="20" hidden="1">
      <c r="A18" s="214">
        <f t="shared" si="0"/>
        <v>7</v>
      </c>
      <c r="B18" s="218" t="s">
        <v>155</v>
      </c>
      <c r="C18" s="223">
        <f>+'[10]CUMUL VOLUMES ET TAXES 2022'!B36</f>
        <v>60481094.219112001</v>
      </c>
      <c r="D18" s="223">
        <f>+'[10]CUMUL VOLUMES ET TAXES 2022'!C36</f>
        <v>45360820.664333999</v>
      </c>
      <c r="E18" s="223">
        <f>+'[10]CUMUL VOLUMES ET TAXES 2022'!D36</f>
        <v>45360820.664333999</v>
      </c>
      <c r="F18" s="215">
        <f>+'[10]CUMUL VOLUMES ET TAXES 2022'!B55</f>
        <v>30438473.286925003</v>
      </c>
      <c r="G18" s="215">
        <f>+'[10]CUMUL VOLUMES ET TAXES 2022'!C55</f>
        <v>60876946.573850006</v>
      </c>
      <c r="H18" s="215">
        <f>+'[10]CUMUL VOLUMES ET TAXES 2022'!D55</f>
        <v>30438473.286925003</v>
      </c>
      <c r="I18" s="215">
        <f>+'[11]LOYER 2022'!$D$17</f>
        <v>72730980</v>
      </c>
      <c r="J18" s="215">
        <f>+'[11]LOYER 2022'!$D$18</f>
        <v>31170420</v>
      </c>
      <c r="K18" s="215">
        <f t="shared" si="1"/>
        <v>376858028.69547999</v>
      </c>
    </row>
    <row r="19" spans="1:11" hidden="1">
      <c r="A19" s="216">
        <f t="shared" si="0"/>
        <v>8</v>
      </c>
      <c r="B19" s="216" t="s">
        <v>157</v>
      </c>
      <c r="C19" s="224">
        <f>+'[10]CUMUL VOLUMES ET TAXES 2022'!B34</f>
        <v>16169143.872560004</v>
      </c>
      <c r="D19" s="224">
        <f>+'[10]CUMUL VOLUMES ET TAXES 2022'!C34</f>
        <v>12126857.904420001</v>
      </c>
      <c r="E19" s="224">
        <f>+'[10]CUMUL VOLUMES ET TAXES 2022'!D34</f>
        <v>12126857.904420001</v>
      </c>
      <c r="F19" s="217">
        <f>+'[10]CUMUL VOLUMES ET TAXES 2022'!B53</f>
        <v>12882432.196479999</v>
      </c>
      <c r="G19" s="217">
        <f>+'[10]CUMUL VOLUMES ET TAXES 2022'!C53</f>
        <v>25764864.392959997</v>
      </c>
      <c r="H19" s="217">
        <f>+'[10]CUMUL VOLUMES ET TAXES 2022'!D53</f>
        <v>12882432.196479999</v>
      </c>
      <c r="I19" s="217">
        <f>+'[11]LOYER 2022'!$D$19</f>
        <v>86142000</v>
      </c>
      <c r="J19" s="217">
        <f>+'[11]LOYER 2022'!$D$20</f>
        <v>36918000</v>
      </c>
      <c r="K19" s="217">
        <f t="shared" si="1"/>
        <v>215012588.46732</v>
      </c>
    </row>
    <row r="20" spans="1:11" hidden="1">
      <c r="A20" s="214">
        <f t="shared" si="0"/>
        <v>9</v>
      </c>
      <c r="B20" s="218" t="s">
        <v>159</v>
      </c>
      <c r="C20" s="223">
        <f>+'[10]CUMUL VOLUMES ET TAXES 2022'!B41</f>
        <v>9797431.8400000017</v>
      </c>
      <c r="D20" s="223">
        <f>+'[10]CUMUL VOLUMES ET TAXES 2022'!C41</f>
        <v>7348073.8800000008</v>
      </c>
      <c r="E20" s="223">
        <f>+'[10]CUMUL VOLUMES ET TAXES 2022'!D41</f>
        <v>7348073.8800000008</v>
      </c>
      <c r="F20" s="215">
        <v>0</v>
      </c>
      <c r="G20" s="215">
        <v>0</v>
      </c>
      <c r="H20" s="215">
        <v>0</v>
      </c>
      <c r="I20" s="215">
        <f>+'[11]LOYER 2022'!$D$31+'[11]LOYER 2022'!$D$33</f>
        <v>444949890</v>
      </c>
      <c r="J20" s="215">
        <f>+'[11]LOYER 2022'!$D$34+'[11]LOYER 2022'!$D$32</f>
        <v>190692810</v>
      </c>
      <c r="K20" s="215">
        <f t="shared" si="1"/>
        <v>660136279.60000002</v>
      </c>
    </row>
    <row r="21" spans="1:11" hidden="1">
      <c r="A21" s="216">
        <v>10</v>
      </c>
      <c r="B21" s="216" t="s">
        <v>274</v>
      </c>
      <c r="C21" s="224">
        <f>+'[10]CUMUL VOLUMES ET TAXES 2022'!B40+'[10]CUMUL VOLUMES ET TAXES 2022'!B43</f>
        <v>808579.12800000014</v>
      </c>
      <c r="D21" s="224">
        <f>+'[10]CUMUL VOLUMES ET TAXES 2022'!C40+'[10]CUMUL VOLUMES ET TAXES 2022'!C43</f>
        <v>606434.34600000002</v>
      </c>
      <c r="E21" s="224">
        <f>+'[10]CUMUL VOLUMES ET TAXES 2022'!D40+'[10]CUMUL VOLUMES ET TAXES 2022'!D43</f>
        <v>606434.34600000002</v>
      </c>
      <c r="F21" s="217">
        <f>+'[10]CUMUL VOLUMES ET TAXES 2022'!B58+'[10]CUMUL VOLUMES ET TAXES 2022'!B59+'[10]CUMUL VOLUMES ET TAXES 2022'!B60</f>
        <v>3871309.6405499997</v>
      </c>
      <c r="G21" s="217">
        <f>+'[10]CUMUL VOLUMES ET TAXES 2022'!C58+'[10]CUMUL VOLUMES ET TAXES 2022'!C59+'[10]CUMUL VOLUMES ET TAXES 2022'!C60</f>
        <v>7742619.2810999993</v>
      </c>
      <c r="H21" s="217">
        <f>+'[10]CUMUL VOLUMES ET TAXES 2022'!D58+'[10]CUMUL VOLUMES ET TAXES 2022'!D59+'[10]CUMUL VOLUMES ET TAXES 2022'!D60</f>
        <v>3871309.6405499997</v>
      </c>
      <c r="I21" s="217">
        <f>+'[11]LOYER 2022'!$D$13+'[11]LOYER 2022'!$D$15</f>
        <v>111235840</v>
      </c>
      <c r="J21" s="217">
        <f>+'[11]LOYER 2022'!$D$14+'[11]LOYER 2022'!$D$16</f>
        <v>49815360</v>
      </c>
      <c r="K21" s="217">
        <f t="shared" si="1"/>
        <v>178557886.3822</v>
      </c>
    </row>
    <row r="22" spans="1:11" hidden="1">
      <c r="A22" s="845" t="s">
        <v>1</v>
      </c>
      <c r="B22" s="845"/>
      <c r="C22" s="205">
        <f>SUM(C12:C21)</f>
        <v>750320310.71351683</v>
      </c>
      <c r="D22" s="205">
        <f t="shared" ref="D22:H22" si="2">SUM(D12:D21)</f>
        <v>562740233.03513741</v>
      </c>
      <c r="E22" s="205">
        <f t="shared" si="2"/>
        <v>562740233.03513741</v>
      </c>
      <c r="F22" s="205">
        <f t="shared" si="2"/>
        <v>402837403.64747483</v>
      </c>
      <c r="G22" s="205">
        <f t="shared" si="2"/>
        <v>805674807.29494965</v>
      </c>
      <c r="H22" s="205">
        <f t="shared" si="2"/>
        <v>402837403.64747483</v>
      </c>
      <c r="I22" s="205">
        <f>SUM(I12:I21)</f>
        <v>1337757850</v>
      </c>
      <c r="J22" s="205">
        <f>SUM(J12:J21)</f>
        <v>576105292</v>
      </c>
      <c r="K22" s="205">
        <f t="shared" si="1"/>
        <v>5401013533.3736916</v>
      </c>
    </row>
    <row r="23" spans="1:11" hidden="1"/>
    <row r="24" spans="1:11" hidden="1">
      <c r="H24" s="775">
        <v>965577636.68261218</v>
      </c>
    </row>
    <row r="26" spans="1:11" ht="12.5" thickBot="1">
      <c r="A26" s="894" t="s">
        <v>6</v>
      </c>
      <c r="B26" s="894" t="s">
        <v>55</v>
      </c>
      <c r="C26" s="895" t="s">
        <v>270</v>
      </c>
      <c r="D26" s="895"/>
      <c r="E26" s="895"/>
      <c r="F26" s="895" t="s">
        <v>271</v>
      </c>
      <c r="G26" s="895"/>
      <c r="H26" s="895"/>
      <c r="I26" s="895" t="s">
        <v>265</v>
      </c>
      <c r="J26" s="895"/>
      <c r="K26" s="893" t="s">
        <v>1</v>
      </c>
    </row>
    <row r="27" spans="1:11" ht="13" thickTop="1" thickBot="1">
      <c r="A27" s="894"/>
      <c r="B27" s="894"/>
      <c r="C27" s="222" t="s">
        <v>272</v>
      </c>
      <c r="D27" s="222" t="s">
        <v>273</v>
      </c>
      <c r="E27" s="212" t="s">
        <v>275</v>
      </c>
      <c r="F27" s="212" t="s">
        <v>272</v>
      </c>
      <c r="G27" s="212" t="s">
        <v>273</v>
      </c>
      <c r="H27" s="212" t="s">
        <v>275</v>
      </c>
      <c r="I27" s="212" t="s">
        <v>272</v>
      </c>
      <c r="J27" s="212" t="s">
        <v>273</v>
      </c>
      <c r="K27" s="894"/>
    </row>
    <row r="28" spans="1:11" ht="20.5" thickTop="1">
      <c r="A28" s="214">
        <v>1</v>
      </c>
      <c r="B28" s="214" t="s">
        <v>143</v>
      </c>
      <c r="C28" s="220">
        <f t="shared" ref="C28:K28" si="3">+C12/1000000</f>
        <v>217.59800802324062</v>
      </c>
      <c r="D28" s="220">
        <f t="shared" si="3"/>
        <v>163.19850601743047</v>
      </c>
      <c r="E28" s="220">
        <f t="shared" si="3"/>
        <v>163.19850601743047</v>
      </c>
      <c r="F28" s="220">
        <f t="shared" si="3"/>
        <v>142.99389873921487</v>
      </c>
      <c r="G28" s="220">
        <f t="shared" si="3"/>
        <v>285.98779747842974</v>
      </c>
      <c r="H28" s="220">
        <f t="shared" si="3"/>
        <v>142.99389873921487</v>
      </c>
      <c r="I28" s="220">
        <f t="shared" ref="I28:J37" si="4">+I12/1000000</f>
        <v>227.78196</v>
      </c>
      <c r="J28" s="220">
        <f t="shared" si="4"/>
        <v>97.620840000000001</v>
      </c>
      <c r="K28" s="220">
        <f t="shared" si="3"/>
        <v>1441.3734150149612</v>
      </c>
    </row>
    <row r="29" spans="1:11">
      <c r="A29" s="216">
        <f t="shared" ref="A29:A37" si="5">+A28+1</f>
        <v>2</v>
      </c>
      <c r="B29" s="216" t="s">
        <v>639</v>
      </c>
      <c r="C29" s="221">
        <f t="shared" ref="C29:K29" si="6">+C13/1000000</f>
        <v>206.83723079208005</v>
      </c>
      <c r="D29" s="221">
        <f t="shared" si="6"/>
        <v>155.12792309406001</v>
      </c>
      <c r="E29" s="221">
        <f t="shared" si="6"/>
        <v>155.12792309406001</v>
      </c>
      <c r="F29" s="221">
        <f t="shared" si="6"/>
        <v>77.301349036257491</v>
      </c>
      <c r="G29" s="221">
        <f t="shared" si="6"/>
        <v>154.60269807251498</v>
      </c>
      <c r="H29" s="221">
        <f t="shared" si="6"/>
        <v>77.301349036257491</v>
      </c>
      <c r="I29" s="221">
        <f t="shared" si="4"/>
        <v>78.899519999999995</v>
      </c>
      <c r="J29" s="221">
        <f t="shared" si="4"/>
        <v>33.814079999999997</v>
      </c>
      <c r="K29" s="221">
        <f t="shared" si="6"/>
        <v>939.01207312523002</v>
      </c>
    </row>
    <row r="30" spans="1:11">
      <c r="A30" s="214">
        <f t="shared" si="5"/>
        <v>3</v>
      </c>
      <c r="B30" s="218" t="s">
        <v>147</v>
      </c>
      <c r="C30" s="220">
        <f t="shared" ref="C30:K30" si="7">+C14/1000000</f>
        <v>71.576979681032</v>
      </c>
      <c r="D30" s="220">
        <f t="shared" si="7"/>
        <v>53.682734760774004</v>
      </c>
      <c r="E30" s="220">
        <f t="shared" si="7"/>
        <v>53.682734760774004</v>
      </c>
      <c r="F30" s="220">
        <f t="shared" si="7"/>
        <v>30.063739813284993</v>
      </c>
      <c r="G30" s="220">
        <f t="shared" si="7"/>
        <v>60.127479626569986</v>
      </c>
      <c r="H30" s="220">
        <f t="shared" si="7"/>
        <v>30.063739813284993</v>
      </c>
      <c r="I30" s="220">
        <f t="shared" si="4"/>
        <v>142.77773999999999</v>
      </c>
      <c r="J30" s="220">
        <f t="shared" si="4"/>
        <v>61.190460000000002</v>
      </c>
      <c r="K30" s="220">
        <f t="shared" si="7"/>
        <v>503.16560845571996</v>
      </c>
    </row>
    <row r="31" spans="1:11" ht="20">
      <c r="A31" s="216">
        <f t="shared" si="5"/>
        <v>4</v>
      </c>
      <c r="B31" s="216" t="s">
        <v>149</v>
      </c>
      <c r="C31" s="221">
        <f t="shared" ref="C31:K31" si="8">+C15/1000000</f>
        <v>56.148392561632015</v>
      </c>
      <c r="D31" s="221">
        <f t="shared" si="8"/>
        <v>42.111294421224002</v>
      </c>
      <c r="E31" s="221">
        <f t="shared" si="8"/>
        <v>42.111294421224002</v>
      </c>
      <c r="F31" s="221">
        <f t="shared" si="8"/>
        <v>19.459517460817501</v>
      </c>
      <c r="G31" s="221">
        <f t="shared" si="8"/>
        <v>38.919034921635003</v>
      </c>
      <c r="H31" s="221">
        <f t="shared" si="8"/>
        <v>19.459517460817501</v>
      </c>
      <c r="I31" s="221">
        <f t="shared" si="4"/>
        <v>63.590519999999998</v>
      </c>
      <c r="J31" s="221">
        <f t="shared" si="4"/>
        <v>27.890722</v>
      </c>
      <c r="K31" s="221">
        <f t="shared" si="8"/>
        <v>309.69029324735004</v>
      </c>
    </row>
    <row r="32" spans="1:11">
      <c r="A32" s="214">
        <f t="shared" si="5"/>
        <v>5</v>
      </c>
      <c r="B32" s="214" t="s">
        <v>151</v>
      </c>
      <c r="C32" s="220">
        <f t="shared" ref="C32:K32" si="9">+C16/1000000</f>
        <v>37.45504917752401</v>
      </c>
      <c r="D32" s="220">
        <f t="shared" si="9"/>
        <v>28.091286883143002</v>
      </c>
      <c r="E32" s="220">
        <f t="shared" si="9"/>
        <v>28.091286883143002</v>
      </c>
      <c r="F32" s="220">
        <f t="shared" si="9"/>
        <v>24.571699906145003</v>
      </c>
      <c r="G32" s="220">
        <f t="shared" si="9"/>
        <v>49.143399812290006</v>
      </c>
      <c r="H32" s="220">
        <f t="shared" si="9"/>
        <v>24.571699906145003</v>
      </c>
      <c r="I32" s="220">
        <f t="shared" si="4"/>
        <v>84.811440000000005</v>
      </c>
      <c r="J32" s="220">
        <f t="shared" si="4"/>
        <v>36.347760000000001</v>
      </c>
      <c r="K32" s="220">
        <f t="shared" si="9"/>
        <v>313.08362256839001</v>
      </c>
    </row>
    <row r="33" spans="1:11">
      <c r="A33" s="216">
        <f t="shared" si="5"/>
        <v>6</v>
      </c>
      <c r="B33" s="216" t="s">
        <v>153</v>
      </c>
      <c r="C33" s="221">
        <f t="shared" ref="C33:K33" si="10">+C17/1000000</f>
        <v>73.448401418336005</v>
      </c>
      <c r="D33" s="221">
        <f t="shared" si="10"/>
        <v>55.086301063751996</v>
      </c>
      <c r="E33" s="221">
        <f t="shared" si="10"/>
        <v>55.086301063751996</v>
      </c>
      <c r="F33" s="221">
        <f t="shared" si="10"/>
        <v>61.254983567800004</v>
      </c>
      <c r="G33" s="221">
        <f t="shared" si="10"/>
        <v>122.50996713560001</v>
      </c>
      <c r="H33" s="221">
        <f t="shared" si="10"/>
        <v>61.254983567800004</v>
      </c>
      <c r="I33" s="221">
        <f t="shared" si="4"/>
        <v>24.837959999999999</v>
      </c>
      <c r="J33" s="221">
        <f t="shared" si="4"/>
        <v>10.64484</v>
      </c>
      <c r="K33" s="221">
        <f t="shared" si="10"/>
        <v>464.12373781704002</v>
      </c>
    </row>
    <row r="34" spans="1:11" ht="20">
      <c r="A34" s="214">
        <f t="shared" si="5"/>
        <v>7</v>
      </c>
      <c r="B34" s="218" t="s">
        <v>155</v>
      </c>
      <c r="C34" s="220">
        <f t="shared" ref="C34:K34" si="11">+C18/1000000</f>
        <v>60.481094219112002</v>
      </c>
      <c r="D34" s="220">
        <f t="shared" si="11"/>
        <v>45.360820664334</v>
      </c>
      <c r="E34" s="220">
        <f t="shared" si="11"/>
        <v>45.360820664334</v>
      </c>
      <c r="F34" s="220">
        <f t="shared" si="11"/>
        <v>30.438473286925003</v>
      </c>
      <c r="G34" s="220">
        <f t="shared" si="11"/>
        <v>60.876946573850006</v>
      </c>
      <c r="H34" s="220">
        <f t="shared" si="11"/>
        <v>30.438473286925003</v>
      </c>
      <c r="I34" s="220">
        <f t="shared" si="4"/>
        <v>72.730980000000002</v>
      </c>
      <c r="J34" s="220">
        <f t="shared" si="4"/>
        <v>31.17042</v>
      </c>
      <c r="K34" s="220">
        <f t="shared" si="11"/>
        <v>376.85802869548002</v>
      </c>
    </row>
    <row r="35" spans="1:11">
      <c r="A35" s="216">
        <f t="shared" si="5"/>
        <v>8</v>
      </c>
      <c r="B35" s="216" t="s">
        <v>157</v>
      </c>
      <c r="C35" s="221">
        <f t="shared" ref="C35:K35" si="12">+C19/1000000</f>
        <v>16.169143872560003</v>
      </c>
      <c r="D35" s="221">
        <f t="shared" si="12"/>
        <v>12.126857904420001</v>
      </c>
      <c r="E35" s="221">
        <f t="shared" si="12"/>
        <v>12.126857904420001</v>
      </c>
      <c r="F35" s="221">
        <f t="shared" si="12"/>
        <v>12.882432196479998</v>
      </c>
      <c r="G35" s="221">
        <f t="shared" si="12"/>
        <v>25.764864392959996</v>
      </c>
      <c r="H35" s="221">
        <f t="shared" si="12"/>
        <v>12.882432196479998</v>
      </c>
      <c r="I35" s="221">
        <f t="shared" si="4"/>
        <v>86.141999999999996</v>
      </c>
      <c r="J35" s="221">
        <f t="shared" si="4"/>
        <v>36.917999999999999</v>
      </c>
      <c r="K35" s="221">
        <f t="shared" si="12"/>
        <v>215.01258846732</v>
      </c>
    </row>
    <row r="36" spans="1:11">
      <c r="A36" s="214">
        <f t="shared" si="5"/>
        <v>9</v>
      </c>
      <c r="B36" s="218" t="s">
        <v>159</v>
      </c>
      <c r="C36" s="220">
        <f t="shared" ref="C36:K36" si="13">+C20/1000000</f>
        <v>9.7974318400000016</v>
      </c>
      <c r="D36" s="220">
        <f t="shared" si="13"/>
        <v>7.3480738800000012</v>
      </c>
      <c r="E36" s="220">
        <f t="shared" si="13"/>
        <v>7.3480738800000012</v>
      </c>
      <c r="F36" s="220">
        <f t="shared" si="13"/>
        <v>0</v>
      </c>
      <c r="G36" s="220">
        <f t="shared" si="13"/>
        <v>0</v>
      </c>
      <c r="H36" s="220">
        <f t="shared" si="13"/>
        <v>0</v>
      </c>
      <c r="I36" s="220">
        <f t="shared" si="4"/>
        <v>444.94988999999998</v>
      </c>
      <c r="J36" s="220">
        <f t="shared" si="4"/>
        <v>190.69281000000001</v>
      </c>
      <c r="K36" s="220">
        <f t="shared" si="13"/>
        <v>660.13627960000008</v>
      </c>
    </row>
    <row r="37" spans="1:11">
      <c r="A37" s="216">
        <f t="shared" si="5"/>
        <v>10</v>
      </c>
      <c r="B37" s="216" t="s">
        <v>274</v>
      </c>
      <c r="C37" s="221">
        <f t="shared" ref="C37:K37" si="14">+C21/1000000</f>
        <v>0.80857912800000009</v>
      </c>
      <c r="D37" s="221">
        <f t="shared" si="14"/>
        <v>0.60643434600000001</v>
      </c>
      <c r="E37" s="221">
        <f t="shared" si="14"/>
        <v>0.60643434600000001</v>
      </c>
      <c r="F37" s="221">
        <f t="shared" si="14"/>
        <v>3.8713096405499998</v>
      </c>
      <c r="G37" s="221">
        <f t="shared" si="14"/>
        <v>7.7426192810999996</v>
      </c>
      <c r="H37" s="221">
        <f t="shared" si="14"/>
        <v>3.8713096405499998</v>
      </c>
      <c r="I37" s="221">
        <f t="shared" si="4"/>
        <v>111.23584</v>
      </c>
      <c r="J37" s="221">
        <f t="shared" si="4"/>
        <v>49.815359999999998</v>
      </c>
      <c r="K37" s="221">
        <f t="shared" si="14"/>
        <v>178.5578863822</v>
      </c>
    </row>
    <row r="38" spans="1:11">
      <c r="A38" s="845" t="s">
        <v>1</v>
      </c>
      <c r="B38" s="845"/>
      <c r="C38" s="203">
        <f>SUM(C28:C37)</f>
        <v>750.32031071351662</v>
      </c>
      <c r="D38" s="203">
        <f t="shared" ref="D38" si="15">SUM(D28:D37)</f>
        <v>562.74023303513752</v>
      </c>
      <c r="E38" s="203">
        <f t="shared" ref="E38" si="16">SUM(E28:E37)</f>
        <v>562.74023303513752</v>
      </c>
      <c r="F38" s="203">
        <f t="shared" ref="F38" si="17">SUM(F28:F37)</f>
        <v>402.8374036474749</v>
      </c>
      <c r="G38" s="203">
        <f t="shared" ref="G38" si="18">SUM(G28:G37)</f>
        <v>805.6748072949498</v>
      </c>
      <c r="H38" s="203">
        <f t="shared" ref="H38" si="19">SUM(H28:H37)</f>
        <v>402.8374036474749</v>
      </c>
      <c r="I38" s="203">
        <f t="shared" ref="I38" si="20">SUM(I28:I37)</f>
        <v>1337.7578499999997</v>
      </c>
      <c r="J38" s="203">
        <f t="shared" ref="J38" si="21">SUM(J28:J37)</f>
        <v>576.10529199999996</v>
      </c>
      <c r="K38" s="203">
        <f t="shared" ref="K38" si="22">SUM(K28:K37)</f>
        <v>5401.0135333736916</v>
      </c>
    </row>
  </sheetData>
  <mergeCells count="14">
    <mergeCell ref="K10:K11"/>
    <mergeCell ref="A10:A11"/>
    <mergeCell ref="B10:B11"/>
    <mergeCell ref="C10:E10"/>
    <mergeCell ref="I10:J10"/>
    <mergeCell ref="F10:H10"/>
    <mergeCell ref="K26:K27"/>
    <mergeCell ref="A38:B38"/>
    <mergeCell ref="A22:B22"/>
    <mergeCell ref="A26:A27"/>
    <mergeCell ref="B26:B27"/>
    <mergeCell ref="C26:E26"/>
    <mergeCell ref="I26:J26"/>
    <mergeCell ref="F26:H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1C118-333A-4F15-8FE1-D76D9A4CD96D}">
  <sheetPr codeName="Feuil96"/>
  <dimension ref="A4:B11"/>
  <sheetViews>
    <sheetView zoomScaleNormal="100" workbookViewId="0">
      <selection activeCell="A5" sqref="A5"/>
    </sheetView>
  </sheetViews>
  <sheetFormatPr baseColWidth="10" defaultColWidth="11.453125" defaultRowHeight="14.5"/>
  <cols>
    <col min="1" max="1" width="47.7265625" style="350" customWidth="1"/>
    <col min="2" max="2" width="23.1796875" style="349" bestFit="1" customWidth="1"/>
    <col min="3" max="16384" width="11.453125" style="349"/>
  </cols>
  <sheetData>
    <row r="4" spans="1:2" ht="15.5">
      <c r="A4" s="609" t="s">
        <v>847</v>
      </c>
    </row>
    <row r="6" spans="1:2" ht="15" thickBot="1">
      <c r="A6" s="363" t="s">
        <v>71</v>
      </c>
      <c r="B6" s="363" t="s">
        <v>494</v>
      </c>
    </row>
    <row r="7" spans="1:2" ht="15" thickTop="1">
      <c r="A7" s="364" t="s">
        <v>495</v>
      </c>
      <c r="B7" s="365">
        <v>6000</v>
      </c>
    </row>
    <row r="8" spans="1:2">
      <c r="A8" s="366" t="s">
        <v>496</v>
      </c>
      <c r="B8" s="367">
        <v>6000</v>
      </c>
    </row>
    <row r="9" spans="1:2" s="370" customFormat="1">
      <c r="A9" s="368" t="s">
        <v>367</v>
      </c>
      <c r="B9" s="369">
        <v>6000</v>
      </c>
    </row>
    <row r="10" spans="1:2">
      <c r="A10" s="366" t="s">
        <v>366</v>
      </c>
      <c r="B10" s="367">
        <v>6000</v>
      </c>
    </row>
    <row r="11" spans="1:2">
      <c r="A11" s="371" t="s">
        <v>1</v>
      </c>
      <c r="B11" s="372">
        <f>SUM(B7:B10)</f>
        <v>24000</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0485B-87A8-45F4-8752-CCC9A283CAD9}">
  <dimension ref="B4:F35"/>
  <sheetViews>
    <sheetView topLeftCell="A32" workbookViewId="0">
      <selection activeCell="B57" sqref="B57"/>
    </sheetView>
  </sheetViews>
  <sheetFormatPr baseColWidth="10" defaultRowHeight="12.5"/>
  <cols>
    <col min="2" max="2" width="39" customWidth="1"/>
    <col min="4" max="4" width="11.81640625" bestFit="1" customWidth="1"/>
  </cols>
  <sheetData>
    <row r="4" spans="2:6" ht="15.5">
      <c r="B4" s="609" t="s">
        <v>797</v>
      </c>
    </row>
    <row r="5" spans="2:6" ht="13" thickBot="1"/>
    <row r="6" spans="2:6" ht="13" thickBot="1">
      <c r="B6" s="549" t="s">
        <v>663</v>
      </c>
      <c r="C6" s="550">
        <v>2021</v>
      </c>
      <c r="D6" s="550">
        <v>2022</v>
      </c>
      <c r="E6" s="550" t="s">
        <v>664</v>
      </c>
      <c r="F6" s="550" t="s">
        <v>651</v>
      </c>
    </row>
    <row r="7" spans="2:6">
      <c r="B7" s="551" t="s">
        <v>665</v>
      </c>
      <c r="C7" s="561">
        <v>1.0609999999999999</v>
      </c>
      <c r="D7" s="561">
        <f>'Tableau (1)'!B17/1000</f>
        <v>1.9981761285049997</v>
      </c>
      <c r="E7" s="561">
        <f>+D7-C7</f>
        <v>0.93717612850499976</v>
      </c>
      <c r="F7" s="566">
        <f>+E7/C7</f>
        <v>0.88329512582940606</v>
      </c>
    </row>
    <row r="8" spans="2:6" ht="13" thickBot="1">
      <c r="B8" s="552" t="s">
        <v>666</v>
      </c>
      <c r="C8" s="560">
        <f>+C7/$C$13</f>
        <v>8.4273232724384421E-3</v>
      </c>
      <c r="D8" s="560">
        <f>+D7/$D$13</f>
        <v>1.6140356449959609E-2</v>
      </c>
      <c r="E8" s="560">
        <f t="shared" ref="E8:E13" si="0">+D8-C8</f>
        <v>7.7130331775211673E-3</v>
      </c>
      <c r="F8" s="553"/>
    </row>
    <row r="9" spans="2:6">
      <c r="B9" s="554" t="s">
        <v>667</v>
      </c>
      <c r="C9" s="562">
        <v>5.109</v>
      </c>
      <c r="D9" s="562">
        <f>+'Tableau (1)'!B16/1000</f>
        <v>5.5043518483676257</v>
      </c>
      <c r="E9" s="562">
        <f t="shared" si="0"/>
        <v>0.39535184836762571</v>
      </c>
      <c r="F9" s="567">
        <f>+E9/C9</f>
        <v>7.7383411307031844E-2</v>
      </c>
    </row>
    <row r="10" spans="2:6" ht="13" thickBot="1">
      <c r="B10" s="555" t="s">
        <v>666</v>
      </c>
      <c r="C10" s="563">
        <f>+C9/$C$13</f>
        <v>4.0579825258141383E-2</v>
      </c>
      <c r="D10" s="563">
        <f>+D9/D13</f>
        <v>4.4461646594245764E-2</v>
      </c>
      <c r="E10" s="563">
        <f t="shared" si="0"/>
        <v>3.881821336104381E-3</v>
      </c>
      <c r="F10" s="556"/>
    </row>
    <row r="11" spans="2:6">
      <c r="B11" s="551" t="s">
        <v>668</v>
      </c>
      <c r="C11" s="564">
        <v>0.44600000000000001</v>
      </c>
      <c r="D11" s="564">
        <f ca="1">+'Tableau (1)'!B9/1000</f>
        <v>0.161574519</v>
      </c>
      <c r="E11" s="564">
        <f t="shared" ca="1" si="0"/>
        <v>-0.28442548099999998</v>
      </c>
      <c r="F11" s="566">
        <f ca="1">+E11/C11</f>
        <v>-0.63772529372197306</v>
      </c>
    </row>
    <row r="12" spans="2:6" ht="13" thickBot="1">
      <c r="B12" s="552" t="s">
        <v>666</v>
      </c>
      <c r="C12" s="560">
        <f>+C11/C13</f>
        <v>3.5424940428911834E-3</v>
      </c>
      <c r="D12" s="560">
        <f ca="1">+D11/$D$13</f>
        <v>1.3051253554119547E-3</v>
      </c>
      <c r="E12" s="560">
        <f t="shared" ca="1" si="0"/>
        <v>-2.2373686874792289E-3</v>
      </c>
      <c r="F12" s="553"/>
    </row>
    <row r="13" spans="2:6" ht="13" thickBot="1">
      <c r="B13" s="786" t="s">
        <v>671</v>
      </c>
      <c r="C13" s="557">
        <v>125.9</v>
      </c>
      <c r="D13" s="557">
        <v>123.8</v>
      </c>
      <c r="E13" s="557">
        <f t="shared" si="0"/>
        <v>-2.1000000000000085</v>
      </c>
      <c r="F13" s="557"/>
    </row>
    <row r="14" spans="2:6" ht="13" thickBot="1">
      <c r="B14" s="558" t="s">
        <v>669</v>
      </c>
      <c r="C14" s="565">
        <f>+C12+C10+C8</f>
        <v>5.2549642573471007E-2</v>
      </c>
      <c r="D14" s="565">
        <f ca="1">+D12+D10+D8</f>
        <v>6.1907128399617331E-2</v>
      </c>
      <c r="E14" s="903">
        <f t="shared" ref="E14" ca="1" si="1">+E12+E10+E8</f>
        <v>9.3574858261463202E-3</v>
      </c>
      <c r="F14" s="904"/>
    </row>
    <row r="17" spans="2:6" ht="16" hidden="1" thickBot="1">
      <c r="B17" s="559" t="s">
        <v>670</v>
      </c>
      <c r="E17" s="901"/>
      <c r="F17" s="902"/>
    </row>
    <row r="18" spans="2:6" hidden="1"/>
    <row r="19" spans="2:6" hidden="1"/>
    <row r="20" spans="2:6" hidden="1"/>
    <row r="21" spans="2:6" hidden="1"/>
    <row r="22" spans="2:6" hidden="1"/>
    <row r="23" spans="2:6" hidden="1"/>
    <row r="24" spans="2:6" ht="15.5">
      <c r="B24" s="609" t="s">
        <v>850</v>
      </c>
    </row>
    <row r="25" spans="2:6">
      <c r="B25" s="547"/>
      <c r="C25" s="854">
        <v>2021</v>
      </c>
      <c r="D25" s="854"/>
      <c r="E25" s="854">
        <v>2022</v>
      </c>
      <c r="F25" s="854"/>
    </row>
    <row r="26" spans="2:6" ht="13" thickBot="1">
      <c r="B26" s="384" t="s">
        <v>848</v>
      </c>
      <c r="C26" s="385" t="s">
        <v>765</v>
      </c>
      <c r="D26" s="385" t="s">
        <v>248</v>
      </c>
      <c r="E26" s="385" t="s">
        <v>765</v>
      </c>
      <c r="F26" s="385" t="s">
        <v>248</v>
      </c>
    </row>
    <row r="27" spans="2:6">
      <c r="B27" s="915" t="s">
        <v>250</v>
      </c>
      <c r="C27" s="727">
        <v>18.416</v>
      </c>
      <c r="D27" s="728">
        <v>0.33</v>
      </c>
      <c r="E27" s="727">
        <v>38.970999999999997</v>
      </c>
      <c r="F27" s="728">
        <v>0.46</v>
      </c>
    </row>
    <row r="28" spans="2:6" ht="15.5">
      <c r="B28" s="916" t="s">
        <v>286</v>
      </c>
      <c r="C28" s="917">
        <v>4.2160000000000002</v>
      </c>
      <c r="D28" s="918"/>
      <c r="E28" s="917">
        <v>8.93</v>
      </c>
      <c r="F28" s="918"/>
    </row>
    <row r="29" spans="2:6" ht="15.5">
      <c r="B29" s="916" t="s">
        <v>287</v>
      </c>
      <c r="C29" s="917">
        <v>14.2</v>
      </c>
      <c r="D29" s="918"/>
      <c r="E29" s="917">
        <v>30.041</v>
      </c>
      <c r="F29" s="918"/>
    </row>
    <row r="30" spans="2:6">
      <c r="B30" s="919" t="s">
        <v>288</v>
      </c>
      <c r="C30" s="920">
        <v>26.45</v>
      </c>
      <c r="D30" s="921">
        <v>0.47</v>
      </c>
      <c r="E30" s="920">
        <v>19.853999999999999</v>
      </c>
      <c r="F30" s="921">
        <v>0.24</v>
      </c>
    </row>
    <row r="31" spans="2:6" ht="15.5">
      <c r="B31" s="916" t="s">
        <v>289</v>
      </c>
      <c r="C31" s="917">
        <v>23.67</v>
      </c>
      <c r="D31" s="922"/>
      <c r="E31" s="917">
        <v>15.212999999999999</v>
      </c>
      <c r="F31" s="922"/>
    </row>
    <row r="32" spans="2:6" ht="15.5">
      <c r="B32" s="916" t="s">
        <v>290</v>
      </c>
      <c r="C32" s="917">
        <v>2.78</v>
      </c>
      <c r="D32" s="922"/>
      <c r="E32" s="917">
        <v>4.641</v>
      </c>
      <c r="F32" s="922"/>
    </row>
    <row r="33" spans="2:6">
      <c r="B33" s="915" t="s">
        <v>291</v>
      </c>
      <c r="C33" s="727" t="s">
        <v>296</v>
      </c>
      <c r="D33" s="728">
        <v>0</v>
      </c>
      <c r="E33" s="727" t="s">
        <v>296</v>
      </c>
      <c r="F33" s="728">
        <v>0</v>
      </c>
    </row>
    <row r="34" spans="2:6">
      <c r="B34" s="923" t="s">
        <v>849</v>
      </c>
      <c r="C34" s="924">
        <v>44.866</v>
      </c>
      <c r="D34" s="925">
        <v>0.80410000000000004</v>
      </c>
      <c r="E34" s="924">
        <v>58.825000000000003</v>
      </c>
      <c r="F34" s="925">
        <v>0.70120000000000005</v>
      </c>
    </row>
    <row r="35" spans="2:6">
      <c r="B35" s="547" t="s">
        <v>292</v>
      </c>
      <c r="C35" s="544">
        <v>55.795999999999999</v>
      </c>
      <c r="D35" s="598">
        <v>1</v>
      </c>
      <c r="E35" s="544">
        <v>83.888999999999996</v>
      </c>
      <c r="F35" s="598">
        <v>1</v>
      </c>
    </row>
  </sheetData>
  <mergeCells count="4">
    <mergeCell ref="E17:F17"/>
    <mergeCell ref="E14:F14"/>
    <mergeCell ref="C25:D25"/>
    <mergeCell ref="E25:F25"/>
  </mergeCells>
  <hyperlinks>
    <hyperlink ref="B13" location="_ftn1" display="_ftn1" xr:uid="{135795F3-36C0-45AE-AF1D-387D02910886}"/>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AF2-E5C7-421A-8A55-983170089A61}">
  <sheetPr codeName="Feuil98"/>
  <dimension ref="A2:K15"/>
  <sheetViews>
    <sheetView zoomScaleNormal="100" workbookViewId="0">
      <selection activeCell="J30" sqref="J30"/>
    </sheetView>
  </sheetViews>
  <sheetFormatPr baseColWidth="10" defaultColWidth="11.453125" defaultRowHeight="14.5"/>
  <cols>
    <col min="1" max="1" width="42" style="247" bestFit="1" customWidth="1"/>
    <col min="2" max="2" width="13" style="247" bestFit="1" customWidth="1"/>
    <col min="3" max="3" width="5.54296875" style="257" customWidth="1"/>
    <col min="4" max="4" width="11.453125" style="247"/>
    <col min="5" max="5" width="5.54296875" style="257" customWidth="1"/>
    <col min="6" max="6" width="11.453125" style="247"/>
    <col min="7" max="7" width="5.54296875" style="257" customWidth="1"/>
    <col min="8" max="8" width="11.453125" style="247"/>
    <col min="9" max="9" width="5.54296875" style="257" customWidth="1"/>
    <col min="10" max="10" width="11.453125" style="247"/>
    <col min="11" max="11" width="5.54296875" style="257" customWidth="1"/>
    <col min="12" max="16384" width="11.453125" style="247"/>
  </cols>
  <sheetData>
    <row r="2" spans="1:11">
      <c r="A2" s="815" t="s">
        <v>797</v>
      </c>
      <c r="B2" s="815"/>
      <c r="C2" s="815"/>
      <c r="D2" s="815"/>
      <c r="E2" s="815"/>
      <c r="F2" s="815"/>
      <c r="G2" s="815"/>
      <c r="H2" s="815"/>
      <c r="I2" s="815"/>
      <c r="J2" s="815"/>
      <c r="K2" s="815"/>
    </row>
    <row r="3" spans="1:11">
      <c r="A3" s="248"/>
    </row>
    <row r="4" spans="1:11">
      <c r="A4" s="258"/>
      <c r="B4" s="816">
        <v>2018</v>
      </c>
      <c r="C4" s="816"/>
      <c r="D4" s="816">
        <f>+B4+1</f>
        <v>2019</v>
      </c>
      <c r="E4" s="816"/>
      <c r="F4" s="816">
        <f>+D4+1</f>
        <v>2020</v>
      </c>
      <c r="G4" s="816"/>
      <c r="H4" s="816">
        <f>+F4+1</f>
        <v>2021</v>
      </c>
      <c r="I4" s="816"/>
      <c r="J4" s="816">
        <f t="shared" ref="J4" si="0">+H4+1</f>
        <v>2022</v>
      </c>
      <c r="K4" s="816"/>
    </row>
    <row r="5" spans="1:11" ht="15" thickBot="1">
      <c r="A5" s="249" t="s">
        <v>284</v>
      </c>
      <c r="B5" s="250" t="s">
        <v>285</v>
      </c>
      <c r="C5" s="259" t="s">
        <v>248</v>
      </c>
      <c r="D5" s="250" t="s">
        <v>285</v>
      </c>
      <c r="E5" s="259" t="s">
        <v>248</v>
      </c>
      <c r="F5" s="250" t="s">
        <v>285</v>
      </c>
      <c r="G5" s="259" t="s">
        <v>248</v>
      </c>
      <c r="H5" s="250" t="s">
        <v>285</v>
      </c>
      <c r="I5" s="259" t="s">
        <v>248</v>
      </c>
      <c r="J5" s="250" t="s">
        <v>285</v>
      </c>
      <c r="K5" s="259" t="s">
        <v>248</v>
      </c>
    </row>
    <row r="6" spans="1:11">
      <c r="A6" s="260" t="s">
        <v>250</v>
      </c>
      <c r="B6" s="261">
        <f>+B7+B8</f>
        <v>8.048</v>
      </c>
      <c r="C6" s="262">
        <f>+B6/$B$14</f>
        <v>9.3009280125738197E-2</v>
      </c>
      <c r="D6" s="261">
        <f>+D7+D8</f>
        <v>9.58</v>
      </c>
      <c r="E6" s="262">
        <f>+D6/D$14</f>
        <v>0.10297199978502714</v>
      </c>
      <c r="F6" s="261">
        <f>+F7+F8</f>
        <v>10.873999999999999</v>
      </c>
      <c r="G6" s="262">
        <f>+F6/F$14</f>
        <v>0.18483452601519609</v>
      </c>
      <c r="H6" s="261">
        <f>+H7+H8</f>
        <v>18.416</v>
      </c>
      <c r="I6" s="262">
        <f>+H6/H$14</f>
        <v>0.33005950247329552</v>
      </c>
      <c r="J6" s="261">
        <f>+J7+J8</f>
        <v>38.971000000000004</v>
      </c>
      <c r="K6" s="262">
        <f>+J6/J$14</f>
        <v>0.46455435158364028</v>
      </c>
    </row>
    <row r="7" spans="1:11">
      <c r="A7" s="253" t="s">
        <v>286</v>
      </c>
      <c r="B7" s="263">
        <v>5.9059999999999997</v>
      </c>
      <c r="C7" s="254"/>
      <c r="D7" s="263">
        <v>3.49</v>
      </c>
      <c r="E7" s="254"/>
      <c r="F7" s="263">
        <v>4.024</v>
      </c>
      <c r="G7" s="254"/>
      <c r="H7" s="263">
        <v>4.2160000000000002</v>
      </c>
      <c r="I7" s="254"/>
      <c r="J7" s="263">
        <v>8.93</v>
      </c>
      <c r="K7" s="254"/>
    </row>
    <row r="8" spans="1:11">
      <c r="A8" s="253" t="s">
        <v>287</v>
      </c>
      <c r="B8" s="264">
        <v>2.1419999999999999</v>
      </c>
      <c r="C8" s="265"/>
      <c r="D8" s="264">
        <v>6.09</v>
      </c>
      <c r="E8" s="265"/>
      <c r="F8" s="264">
        <v>6.85</v>
      </c>
      <c r="G8" s="265"/>
      <c r="H8" s="264">
        <v>14.2</v>
      </c>
      <c r="I8" s="265"/>
      <c r="J8" s="264">
        <v>30.041</v>
      </c>
      <c r="K8" s="265"/>
    </row>
    <row r="9" spans="1:11">
      <c r="A9" s="266" t="s">
        <v>288</v>
      </c>
      <c r="B9" s="267">
        <f>+B10+B11</f>
        <v>19.882999999999999</v>
      </c>
      <c r="C9" s="268">
        <f>+B9/$B$14</f>
        <v>0.22978423418738225</v>
      </c>
      <c r="D9" s="267">
        <f>+D10+D11</f>
        <v>16.173999999999999</v>
      </c>
      <c r="E9" s="268">
        <f>+D9/D$14</f>
        <v>0.17384855162035789</v>
      </c>
      <c r="F9" s="267">
        <f>+F10+F11</f>
        <v>26.509999999999998</v>
      </c>
      <c r="G9" s="268">
        <f>+F9/F$14</f>
        <v>0.45061277217793344</v>
      </c>
      <c r="H9" s="267">
        <f>+H10+H11</f>
        <v>26.450000000000003</v>
      </c>
      <c r="I9" s="268">
        <f>+H9/H$14</f>
        <v>0.47404831887590509</v>
      </c>
      <c r="J9" s="267">
        <f>+J10+J11</f>
        <v>19.853999999999999</v>
      </c>
      <c r="K9" s="268">
        <f>+J9/J$14</f>
        <v>0.23666988520545001</v>
      </c>
    </row>
    <row r="10" spans="1:11">
      <c r="A10" s="269" t="s">
        <v>289</v>
      </c>
      <c r="B10" s="270">
        <v>16.303999999999998</v>
      </c>
      <c r="C10" s="271"/>
      <c r="D10" s="270">
        <v>14.829000000000001</v>
      </c>
      <c r="E10" s="271"/>
      <c r="F10" s="270">
        <v>25.09</v>
      </c>
      <c r="G10" s="271"/>
      <c r="H10" s="270">
        <v>23.67</v>
      </c>
      <c r="I10" s="271"/>
      <c r="J10" s="270">
        <v>15.212999999999999</v>
      </c>
      <c r="K10" s="271"/>
    </row>
    <row r="11" spans="1:11">
      <c r="A11" s="269" t="s">
        <v>290</v>
      </c>
      <c r="B11" s="270">
        <v>3.5790000000000002</v>
      </c>
      <c r="C11" s="271"/>
      <c r="D11" s="272">
        <v>1.345</v>
      </c>
      <c r="E11" s="271"/>
      <c r="F11" s="270">
        <v>1.42</v>
      </c>
      <c r="G11" s="271"/>
      <c r="H11" s="270">
        <v>2.78</v>
      </c>
      <c r="I11" s="271"/>
      <c r="J11" s="270">
        <v>4.641</v>
      </c>
      <c r="K11" s="271"/>
    </row>
    <row r="12" spans="1:11">
      <c r="A12" s="253" t="s">
        <v>291</v>
      </c>
      <c r="B12" s="273">
        <v>13</v>
      </c>
      <c r="C12" s="262">
        <f>+B12/$B$14</f>
        <v>0.15023864831443795</v>
      </c>
      <c r="D12" s="273">
        <v>8</v>
      </c>
      <c r="E12" s="262">
        <f>+D12/D$14</f>
        <v>8.5989143870586329E-2</v>
      </c>
      <c r="F12" s="273">
        <v>9</v>
      </c>
      <c r="G12" s="262">
        <f>+F12/F$14</f>
        <v>0.15298057146742366</v>
      </c>
      <c r="H12" s="273">
        <v>0</v>
      </c>
      <c r="I12" s="262">
        <f>+H12/H$14</f>
        <v>0</v>
      </c>
      <c r="J12" s="273">
        <v>0</v>
      </c>
      <c r="K12" s="262">
        <f>+J12/J$14</f>
        <v>0</v>
      </c>
    </row>
    <row r="13" spans="1:11">
      <c r="A13" s="269" t="s">
        <v>247</v>
      </c>
      <c r="B13" s="270">
        <v>45.597999999999999</v>
      </c>
      <c r="C13" s="271">
        <f>+B13/B14</f>
        <v>0.52696783737244157</v>
      </c>
      <c r="D13" s="270">
        <v>59.280999999999999</v>
      </c>
      <c r="E13" s="271">
        <f>+D13/D14</f>
        <v>0.63719030472402849</v>
      </c>
      <c r="F13" s="270">
        <v>12.446999999999999</v>
      </c>
      <c r="G13" s="271">
        <f>+F13/F$14</f>
        <v>0.21157213033944691</v>
      </c>
      <c r="H13" s="270">
        <v>10.93</v>
      </c>
      <c r="I13" s="271">
        <f>+H13/H$14</f>
        <v>0.1958921786507993</v>
      </c>
      <c r="J13" s="270">
        <f>24.231+0.248+0.58+0.005</f>
        <v>25.064</v>
      </c>
      <c r="K13" s="271">
        <f>+J13/J$14</f>
        <v>0.2987757632109096</v>
      </c>
    </row>
    <row r="14" spans="1:11">
      <c r="A14" s="258" t="s">
        <v>292</v>
      </c>
      <c r="B14" s="274">
        <f>+B13+B12+B9+B6</f>
        <v>86.528999999999996</v>
      </c>
      <c r="C14" s="275">
        <f>SUM(C6:C13)</f>
        <v>1</v>
      </c>
      <c r="D14" s="274">
        <f>+D13+D12+D9+D6</f>
        <v>93.035000000000011</v>
      </c>
      <c r="E14" s="275">
        <f>SUM(E6:E13)</f>
        <v>0.99999999999999978</v>
      </c>
      <c r="F14" s="274">
        <f>+F13+F12+F9+F6</f>
        <v>58.830999999999989</v>
      </c>
      <c r="G14" s="275">
        <f>SUM(G6:G13)</f>
        <v>1</v>
      </c>
      <c r="H14" s="274">
        <f>+H13+H12+H9+H6</f>
        <v>55.796000000000006</v>
      </c>
      <c r="I14" s="275">
        <f>SUM(I6:I13)</f>
        <v>0.99999999999999989</v>
      </c>
      <c r="J14" s="274">
        <f>+J13+J12+J9+J6</f>
        <v>83.88900000000001</v>
      </c>
      <c r="K14" s="275">
        <f>SUM(K6:K13)</f>
        <v>0.99999999999999989</v>
      </c>
    </row>
    <row r="15" spans="1:11">
      <c r="B15" s="276"/>
      <c r="D15" s="276"/>
    </row>
  </sheetData>
  <mergeCells count="6">
    <mergeCell ref="A2:K2"/>
    <mergeCell ref="B4:C4"/>
    <mergeCell ref="D4:E4"/>
    <mergeCell ref="F4:G4"/>
    <mergeCell ref="H4:I4"/>
    <mergeCell ref="J4:K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DE0B-BB59-4BCB-AEBB-ADD3C6B3F24A}">
  <sheetPr codeName="Feuil6"/>
  <dimension ref="A6:D22"/>
  <sheetViews>
    <sheetView zoomScaleNormal="100" workbookViewId="0">
      <selection activeCell="C18" sqref="C18"/>
    </sheetView>
  </sheetViews>
  <sheetFormatPr baseColWidth="10" defaultColWidth="11.453125" defaultRowHeight="12"/>
  <cols>
    <col min="1" max="1" width="44.54296875" style="532" bestFit="1" customWidth="1"/>
    <col min="2" max="2" width="18.81640625" style="522" customWidth="1"/>
    <col min="3" max="3" width="17.54296875" style="522" customWidth="1"/>
    <col min="4" max="4" width="14" style="522" bestFit="1" customWidth="1"/>
    <col min="5" max="16384" width="11.453125" style="522"/>
  </cols>
  <sheetData>
    <row r="6" spans="1:4" ht="23.5" hidden="1" thickBot="1">
      <c r="A6" s="521" t="s">
        <v>78</v>
      </c>
      <c r="B6" s="476" t="s">
        <v>242</v>
      </c>
      <c r="C6" s="476" t="s">
        <v>248</v>
      </c>
    </row>
    <row r="7" spans="1:4" ht="12.5" hidden="1" thickTop="1">
      <c r="A7" s="523" t="s">
        <v>249</v>
      </c>
      <c r="B7" s="524">
        <f ca="1">SUMIF('Reporting by Comp'!$L:$L,D7,'Reporting by Comp'!$J:$J)/1000000</f>
        <v>5309.3583429854252</v>
      </c>
      <c r="C7" s="525">
        <f ca="1">+B7/$B$10</f>
        <v>0.79968815747738731</v>
      </c>
      <c r="D7" s="522" t="s">
        <v>145</v>
      </c>
    </row>
    <row r="8" spans="1:4" hidden="1">
      <c r="A8" s="526" t="s">
        <v>250</v>
      </c>
      <c r="B8" s="527">
        <f ca="1">SUMIF('Reporting by Comp'!$L:$L,D8,'Reporting by Comp'!$J:$J)/1000000</f>
        <v>1168.3530813424998</v>
      </c>
      <c r="C8" s="528">
        <f t="shared" ref="C8:C9" ca="1" si="0">+B8/$B$10</f>
        <v>0.17597571355043429</v>
      </c>
      <c r="D8" s="522" t="s">
        <v>79</v>
      </c>
    </row>
    <row r="9" spans="1:4" hidden="1">
      <c r="A9" s="523" t="s">
        <v>251</v>
      </c>
      <c r="B9" s="524">
        <f ca="1">SUMIF('Reporting by Comp'!$L:$L,D9,'Reporting by Comp'!$J:$J)/1000000</f>
        <v>161.57451900000001</v>
      </c>
      <c r="C9" s="525">
        <f t="shared" ca="1" si="0"/>
        <v>2.4336128972178475E-2</v>
      </c>
      <c r="D9" s="522" t="s">
        <v>163</v>
      </c>
    </row>
    <row r="10" spans="1:4" hidden="1">
      <c r="A10" s="529" t="s">
        <v>252</v>
      </c>
      <c r="B10" s="530">
        <f ca="1">SUM(B7:B9)</f>
        <v>6639.2859433279245</v>
      </c>
      <c r="C10" s="531">
        <f ca="1">SUM(C7:C9)</f>
        <v>1</v>
      </c>
    </row>
    <row r="11" spans="1:4" hidden="1">
      <c r="D11" s="701">
        <f ca="1">+'Tableau Général'!BQ1/'Tableau (1)'!B10/1000000</f>
        <v>0.20058903858998675</v>
      </c>
    </row>
    <row r="12" spans="1:4" hidden="1">
      <c r="A12" s="532" t="s">
        <v>236</v>
      </c>
      <c r="B12" s="533">
        <f ca="1">+B10-'Tableau (2)'!H23</f>
        <v>-1024.8165525447012</v>
      </c>
    </row>
    <row r="13" spans="1:4">
      <c r="A13" s="532" t="s">
        <v>672</v>
      </c>
    </row>
    <row r="15" spans="1:4" ht="23.5" thickBot="1">
      <c r="A15" s="521" t="s">
        <v>78</v>
      </c>
      <c r="B15" s="476" t="s">
        <v>242</v>
      </c>
      <c r="C15" s="476" t="s">
        <v>248</v>
      </c>
    </row>
    <row r="16" spans="1:4" ht="12.5" thickTop="1">
      <c r="A16" s="523" t="s">
        <v>249</v>
      </c>
      <c r="B16" s="524">
        <f>+'Tableau Général'!BM39/1000000</f>
        <v>5504.3518483676253</v>
      </c>
      <c r="C16" s="525">
        <f>+B16/$B$19</f>
        <v>0.71819914351770509</v>
      </c>
    </row>
    <row r="17" spans="1:3">
      <c r="A17" s="526" t="s">
        <v>250</v>
      </c>
      <c r="B17" s="527">
        <f>+'Tableau Général'!AW39/1000000</f>
        <v>1998.1761285049997</v>
      </c>
      <c r="C17" s="528">
        <f>+B17/$B$19</f>
        <v>0.26071886820160406</v>
      </c>
    </row>
    <row r="18" spans="1:3">
      <c r="A18" s="523" t="s">
        <v>251</v>
      </c>
      <c r="B18" s="524">
        <f>+'Tableau Général'!BP39/1000000</f>
        <v>161.57451900000001</v>
      </c>
      <c r="C18" s="525">
        <f>+B18/$B$19</f>
        <v>2.1081988280690828E-2</v>
      </c>
    </row>
    <row r="19" spans="1:3">
      <c r="A19" s="529" t="s">
        <v>252</v>
      </c>
      <c r="B19" s="530">
        <f>SUM(B16:B18)</f>
        <v>7664.1024958726248</v>
      </c>
      <c r="C19" s="531">
        <f>SUM(C16:C18)</f>
        <v>1</v>
      </c>
    </row>
    <row r="22" spans="1:3">
      <c r="B22" s="533"/>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B81AD-D638-4872-8574-4013BA188801}">
  <sheetPr>
    <tabColor theme="9"/>
  </sheetPr>
  <dimension ref="A2:D137"/>
  <sheetViews>
    <sheetView workbookViewId="0">
      <selection activeCell="B10" sqref="B10"/>
    </sheetView>
  </sheetViews>
  <sheetFormatPr baseColWidth="10" defaultRowHeight="12.5"/>
  <cols>
    <col min="1" max="1" width="29.54296875" customWidth="1"/>
    <col min="2" max="2" width="13.7265625" customWidth="1"/>
    <col min="3" max="3" width="7.1796875" bestFit="1" customWidth="1"/>
    <col min="4" max="4" width="18.81640625" bestFit="1" customWidth="1"/>
  </cols>
  <sheetData>
    <row r="2" spans="1:3">
      <c r="A2" s="640" t="s">
        <v>798</v>
      </c>
    </row>
    <row r="4" spans="1:3" ht="23.5" thickBot="1">
      <c r="A4" s="592" t="s">
        <v>78</v>
      </c>
      <c r="B4" s="453" t="s">
        <v>242</v>
      </c>
      <c r="C4" s="453" t="s">
        <v>248</v>
      </c>
    </row>
    <row r="5" spans="1:3" ht="13" thickTop="1">
      <c r="A5" s="593" t="s">
        <v>249</v>
      </c>
      <c r="B5" s="594">
        <f>'Tableau (1)'!B16</f>
        <v>5504.3518483676253</v>
      </c>
      <c r="C5" s="595">
        <f>B5/$B$8</f>
        <v>0.71819914351770509</v>
      </c>
    </row>
    <row r="6" spans="1:3">
      <c r="A6" s="596" t="s">
        <v>250</v>
      </c>
      <c r="B6" s="600">
        <f>'Tableau (1)'!B17</f>
        <v>1998.1761285049997</v>
      </c>
      <c r="C6" s="601">
        <f t="shared" ref="C6:C7" si="0">B6/$B$8</f>
        <v>0.26071886820160406</v>
      </c>
    </row>
    <row r="7" spans="1:3">
      <c r="A7" s="593" t="s">
        <v>251</v>
      </c>
      <c r="B7" s="594">
        <f>'Tableau (1)'!B18</f>
        <v>161.57451900000001</v>
      </c>
      <c r="C7" s="595">
        <f t="shared" si="0"/>
        <v>2.1081988280690828E-2</v>
      </c>
    </row>
    <row r="8" spans="1:3">
      <c r="A8" s="498" t="s">
        <v>252</v>
      </c>
      <c r="B8" s="597">
        <f>B7+B6+B5</f>
        <v>7664.1024958726248</v>
      </c>
      <c r="C8" s="598">
        <v>1</v>
      </c>
    </row>
    <row r="14" spans="1:3" ht="13">
      <c r="A14" s="641" t="s">
        <v>799</v>
      </c>
    </row>
    <row r="16" spans="1:3">
      <c r="A16" s="863" t="s">
        <v>55</v>
      </c>
      <c r="B16" s="865" t="s">
        <v>713</v>
      </c>
      <c r="C16" s="865" t="s">
        <v>248</v>
      </c>
    </row>
    <row r="17" spans="1:3" ht="13" thickBot="1">
      <c r="A17" s="864"/>
      <c r="B17" s="866"/>
      <c r="C17" s="866"/>
    </row>
    <row r="18" spans="1:3" ht="13" thickTop="1">
      <c r="A18" s="516" t="s">
        <v>117</v>
      </c>
      <c r="B18" s="587">
        <f>+'Tableau-(41)'!C6/1000000</f>
        <v>334.70304731499999</v>
      </c>
      <c r="C18" s="589">
        <f t="shared" ref="C18:C26" si="1">+B18/$B$27</f>
        <v>0.16750427679536883</v>
      </c>
    </row>
    <row r="19" spans="1:3">
      <c r="A19" s="518" t="s">
        <v>124</v>
      </c>
      <c r="B19" s="588">
        <f>+'Tableau-(41)'!C7/1000000</f>
        <v>230.11760711250002</v>
      </c>
      <c r="C19" s="590">
        <f t="shared" si="1"/>
        <v>0.11516382556560215</v>
      </c>
    </row>
    <row r="20" spans="1:3">
      <c r="A20" s="516" t="s">
        <v>123</v>
      </c>
      <c r="B20" s="587">
        <f>+'Tableau-(41)'!C8/1000000</f>
        <v>127.4213369775</v>
      </c>
      <c r="C20" s="589">
        <f t="shared" si="1"/>
        <v>6.3768821556703506E-2</v>
      </c>
    </row>
    <row r="21" spans="1:3">
      <c r="A21" s="518" t="s">
        <v>121</v>
      </c>
      <c r="B21" s="588">
        <f>+'Tableau-(41)'!C9/1000000</f>
        <v>113.00520647499999</v>
      </c>
      <c r="C21" s="590">
        <f t="shared" si="1"/>
        <v>5.6554177013188767E-2</v>
      </c>
    </row>
    <row r="22" spans="1:3">
      <c r="A22" s="516" t="s">
        <v>119</v>
      </c>
      <c r="B22" s="587">
        <f>+'Tableau-(41)'!C10/1000000</f>
        <v>104.60354869999999</v>
      </c>
      <c r="C22" s="589">
        <f t="shared" si="1"/>
        <v>5.2349513742946434E-2</v>
      </c>
    </row>
    <row r="23" spans="1:3">
      <c r="A23" s="518" t="str">
        <f>'Tableau-(41)'!B11</f>
        <v>GONGA</v>
      </c>
      <c r="B23" s="588">
        <f>+'Tableau-(41)'!C11/1000000</f>
        <v>43.982413950000002</v>
      </c>
      <c r="C23" s="590">
        <f t="shared" si="1"/>
        <v>2.2011279847941566E-2</v>
      </c>
    </row>
    <row r="24" spans="1:3">
      <c r="A24" s="602" t="str">
        <f>'Tableau-(41)'!B12</f>
        <v>UNCMCA(MARIA)</v>
      </c>
      <c r="B24" s="587">
        <f>+'Tableau-(41)'!C12/1000000</f>
        <v>34.686787500000001</v>
      </c>
      <c r="C24" s="589">
        <f t="shared" si="1"/>
        <v>1.7359224247139836E-2</v>
      </c>
    </row>
    <row r="25" spans="1:3">
      <c r="A25" s="518" t="s">
        <v>750</v>
      </c>
      <c r="B25" s="588">
        <f>+'Tableau-(41)'!C52/1000000</f>
        <v>675.41750000000002</v>
      </c>
      <c r="C25" s="590">
        <f t="shared" si="1"/>
        <v>0.33801699978536698</v>
      </c>
    </row>
    <row r="26" spans="1:3">
      <c r="A26" s="602" t="s">
        <v>247</v>
      </c>
      <c r="B26" s="587">
        <f>+B27-SUM(B18:B25)</f>
        <v>334.23868047499968</v>
      </c>
      <c r="C26" s="589">
        <f t="shared" si="1"/>
        <v>0.16727188144574179</v>
      </c>
    </row>
    <row r="27" spans="1:3">
      <c r="A27" s="210" t="s">
        <v>617</v>
      </c>
      <c r="B27" s="203">
        <f>+'Tableau-(41)'!C5/1000000</f>
        <v>1998.176128505</v>
      </c>
      <c r="C27" s="591">
        <f>SUM(C18:C25)</f>
        <v>0.83272811855425799</v>
      </c>
    </row>
    <row r="38" spans="1:3">
      <c r="A38" s="640" t="s">
        <v>800</v>
      </c>
    </row>
    <row r="40" spans="1:3">
      <c r="A40" s="863" t="s">
        <v>55</v>
      </c>
      <c r="B40" s="865" t="s">
        <v>713</v>
      </c>
      <c r="C40" s="865" t="s">
        <v>248</v>
      </c>
    </row>
    <row r="41" spans="1:3" ht="13" thickBot="1">
      <c r="A41" s="864"/>
      <c r="B41" s="866"/>
      <c r="C41" s="866"/>
    </row>
    <row r="42" spans="1:3" ht="13" thickTop="1">
      <c r="A42" s="516" t="str">
        <f>'Tableau-(41)'!B70</f>
        <v>PTI- IAS</v>
      </c>
      <c r="B42" s="587">
        <f>'Tableau-(41)'!C70/1000000</f>
        <v>112.095</v>
      </c>
      <c r="C42" s="589">
        <f>+B42/$B$44</f>
        <v>0.69376657095293592</v>
      </c>
    </row>
    <row r="43" spans="1:3">
      <c r="A43" s="518" t="str">
        <f>'Tableau-(41)'!B71</f>
        <v>PTIAL</v>
      </c>
      <c r="B43" s="588">
        <f>'Tableau-(41)'!C71/1000000</f>
        <v>49.479519000000003</v>
      </c>
      <c r="C43" s="590">
        <f>+B43/$B$44</f>
        <v>0.30623342904706402</v>
      </c>
    </row>
    <row r="44" spans="1:3">
      <c r="A44" s="210" t="s">
        <v>617</v>
      </c>
      <c r="B44" s="203">
        <f>B43+B42</f>
        <v>161.57451900000001</v>
      </c>
      <c r="C44" s="591">
        <f>SUM(C42:C43)</f>
        <v>1</v>
      </c>
    </row>
    <row r="53" spans="1:3" ht="13">
      <c r="A53" s="641" t="s">
        <v>801</v>
      </c>
    </row>
    <row r="55" spans="1:3">
      <c r="A55" s="863" t="s">
        <v>55</v>
      </c>
      <c r="B55" s="865" t="s">
        <v>713</v>
      </c>
      <c r="C55" s="865" t="s">
        <v>248</v>
      </c>
    </row>
    <row r="56" spans="1:3" ht="13" thickBot="1">
      <c r="A56" s="864"/>
      <c r="B56" s="866"/>
      <c r="C56" s="866"/>
    </row>
    <row r="57" spans="1:3" ht="24.5" thickTop="1">
      <c r="A57" s="516" t="s">
        <v>143</v>
      </c>
      <c r="B57" s="587">
        <f>'Tableau-(41)'!C127/1000000</f>
        <v>1659.2672703355727</v>
      </c>
      <c r="C57" s="589">
        <f t="shared" ref="C57:C65" si="2">B57/$B$66</f>
        <v>0.30144644020669686</v>
      </c>
    </row>
    <row r="58" spans="1:3">
      <c r="A58" s="518" t="s">
        <v>639</v>
      </c>
      <c r="B58" s="588">
        <f>'Tableau-(41)'!C128/1000000</f>
        <v>1106.8641812516296</v>
      </c>
      <c r="C58" s="590">
        <f t="shared" si="2"/>
        <v>0.20108892231877984</v>
      </c>
    </row>
    <row r="59" spans="1:3">
      <c r="A59" s="516" t="s">
        <v>147</v>
      </c>
      <c r="B59" s="587">
        <f>'Tableau-(41)'!C129/1000000</f>
        <v>552.90889210426019</v>
      </c>
      <c r="C59" s="589">
        <f t="shared" si="2"/>
        <v>0.10044940936474314</v>
      </c>
    </row>
    <row r="60" spans="1:3">
      <c r="A60" s="518" t="s">
        <v>153</v>
      </c>
      <c r="B60" s="588">
        <f>'Tableau-(41)'!C132/1000000</f>
        <v>533.64338454518975</v>
      </c>
      <c r="C60" s="590">
        <f t="shared" si="2"/>
        <v>9.6949359206288277E-2</v>
      </c>
    </row>
    <row r="61" spans="1:3" ht="24">
      <c r="A61" s="516" t="s">
        <v>155</v>
      </c>
      <c r="B61" s="587">
        <f>'Tableau-(41)'!C133/1000000</f>
        <v>427.765705189443</v>
      </c>
      <c r="C61" s="589">
        <f t="shared" si="2"/>
        <v>7.7714091862841492E-2</v>
      </c>
    </row>
    <row r="62" spans="1:3" ht="24">
      <c r="A62" s="518" t="s">
        <v>149</v>
      </c>
      <c r="B62" s="588">
        <f>'Tableau-(41)'!C130/1000000</f>
        <v>397.67268565347194</v>
      </c>
      <c r="C62" s="590">
        <f t="shared" si="2"/>
        <v>7.2246959607316169E-2</v>
      </c>
    </row>
    <row r="63" spans="1:3">
      <c r="A63" s="516" t="s">
        <v>151</v>
      </c>
      <c r="B63" s="587">
        <f>'Tableau-(41)'!C131/1000000</f>
        <v>355.00529348472099</v>
      </c>
      <c r="C63" s="589">
        <f t="shared" si="2"/>
        <v>6.4495385335877758E-2</v>
      </c>
    </row>
    <row r="64" spans="1:3">
      <c r="A64" s="518" t="s">
        <v>157</v>
      </c>
      <c r="B64" s="588">
        <f>'Tableau-(41)'!C134/1000000</f>
        <v>234.19495354113712</v>
      </c>
      <c r="C64" s="590">
        <f t="shared" si="2"/>
        <v>4.2547235349896857E-2</v>
      </c>
    </row>
    <row r="65" spans="1:3">
      <c r="A65" s="602" t="s">
        <v>247</v>
      </c>
      <c r="B65" s="587">
        <f>B66-SUM(B57:B64)</f>
        <v>237.02948226219996</v>
      </c>
      <c r="C65" s="589">
        <f t="shared" si="2"/>
        <v>4.3062196747559588E-2</v>
      </c>
    </row>
    <row r="66" spans="1:3">
      <c r="A66" s="210" t="s">
        <v>617</v>
      </c>
      <c r="B66" s="203">
        <f>'Tableau-(41)'!C126/1000000</f>
        <v>5504.3518483676253</v>
      </c>
      <c r="C66" s="591">
        <f>SUM(C57:C65)</f>
        <v>1</v>
      </c>
    </row>
    <row r="71" spans="1:3">
      <c r="A71" s="640" t="s">
        <v>802</v>
      </c>
    </row>
    <row r="73" spans="1:3">
      <c r="A73" s="849" t="s">
        <v>241</v>
      </c>
      <c r="B73" s="874" t="s">
        <v>716</v>
      </c>
      <c r="C73" s="874" t="s">
        <v>248</v>
      </c>
    </row>
    <row r="74" spans="1:3">
      <c r="A74" s="849"/>
      <c r="B74" s="874"/>
      <c r="C74" s="874"/>
    </row>
    <row r="75" spans="1:3" ht="13" thickBot="1">
      <c r="A75" s="850"/>
      <c r="B75" s="881"/>
      <c r="C75" s="881"/>
    </row>
    <row r="76" spans="1:3" ht="13" thickTop="1">
      <c r="A76" s="483" t="s">
        <v>243</v>
      </c>
      <c r="B76" s="587">
        <f>('Tableau Général'!BQ6+'Tableau Général'!BQ25+'Tableau Général'!BQ27)/1000000</f>
        <v>1874.1169430952939</v>
      </c>
      <c r="C76" s="589">
        <f t="shared" ref="C76:C83" si="3">B76/$B$84</f>
        <v>0.24453182145000915</v>
      </c>
    </row>
    <row r="77" spans="1:3">
      <c r="A77" s="485" t="s">
        <v>246</v>
      </c>
      <c r="B77" s="588">
        <f>('Tableau Général'!BQ8+'Tableau Général'!BQ24+'Tableau Général'!BQ26)/1000000</f>
        <v>1589.8110518437595</v>
      </c>
      <c r="C77" s="590">
        <f t="shared" si="3"/>
        <v>0.20743603738336303</v>
      </c>
    </row>
    <row r="78" spans="1:3">
      <c r="A78" s="483" t="s">
        <v>265</v>
      </c>
      <c r="B78" s="587">
        <f>'Tableau Général'!BQ7/1000000</f>
        <v>1356.4299314285715</v>
      </c>
      <c r="C78" s="589">
        <f t="shared" si="3"/>
        <v>0.17698483705809709</v>
      </c>
    </row>
    <row r="79" spans="1:3">
      <c r="A79" s="485" t="s">
        <v>718</v>
      </c>
      <c r="B79" s="588">
        <f>('Tableau Général'!BQ21+'Tableau Général'!BQ22)/1000000</f>
        <v>1143.945856115</v>
      </c>
      <c r="C79" s="590">
        <f t="shared" si="3"/>
        <v>0.14926025020294981</v>
      </c>
    </row>
    <row r="80" spans="1:3" ht="24">
      <c r="A80" s="485" t="s">
        <v>751</v>
      </c>
      <c r="B80" s="588">
        <f>+'Tableau Général'!BQ34/1000000</f>
        <v>940.10501899999997</v>
      </c>
      <c r="C80" s="590">
        <f t="shared" si="3"/>
        <v>0.12266341942925189</v>
      </c>
    </row>
    <row r="81" spans="1:4">
      <c r="A81" s="483" t="s">
        <v>717</v>
      </c>
      <c r="B81" s="587">
        <f>('Tableau Général'!BQ9+'Tableau Général'!BQ12+'Tableau Général'!BQ14+'Tableau Général'!BQ15)/1000000</f>
        <v>241.93636000000001</v>
      </c>
      <c r="C81" s="589">
        <f t="shared" si="3"/>
        <v>3.1567474486450413E-2</v>
      </c>
    </row>
    <row r="82" spans="1:4">
      <c r="A82" s="485" t="s">
        <v>262</v>
      </c>
      <c r="B82" s="588">
        <f>'Tableau Général'!BQ31/1000000</f>
        <v>201.94278989000006</v>
      </c>
      <c r="C82" s="590">
        <f t="shared" si="3"/>
        <v>2.634917656682606E-2</v>
      </c>
    </row>
    <row r="83" spans="1:4">
      <c r="A83" s="487" t="s">
        <v>247</v>
      </c>
      <c r="B83" s="587">
        <f>+'Tableau Général'!BQ10/1000000+'Tableau Général'!BQ11/1000000+'Tableau Général'!BQ13/1000000+'Tableau Général'!BQ16/1000000+'Tableau Général'!BQ17/1000000+'Tableau Général'!BQ18/1000000+'Tableau Général'!BQ19/1000000+'Tableau Général'!BQ28/1000000+'Tableau Général'!BQ37/1000000+'Tableau Général'!BQ33/1000000</f>
        <v>315.81454450000001</v>
      </c>
      <c r="C83" s="589">
        <f t="shared" si="3"/>
        <v>4.12069834230527E-2</v>
      </c>
    </row>
    <row r="84" spans="1:4">
      <c r="A84" s="210" t="s">
        <v>1</v>
      </c>
      <c r="B84" s="203">
        <f>SUM(B76:B83)</f>
        <v>7664.1024958726239</v>
      </c>
      <c r="C84" s="591">
        <f>SUM(C76:C83)</f>
        <v>1</v>
      </c>
      <c r="D84" s="586">
        <f>B84-B8</f>
        <v>0</v>
      </c>
    </row>
    <row r="90" spans="1:4">
      <c r="A90" s="640" t="s">
        <v>803</v>
      </c>
    </row>
    <row r="92" spans="1:4">
      <c r="A92" s="849" t="s">
        <v>241</v>
      </c>
      <c r="B92" s="874" t="s">
        <v>716</v>
      </c>
      <c r="C92" s="874" t="s">
        <v>248</v>
      </c>
    </row>
    <row r="93" spans="1:4">
      <c r="A93" s="849"/>
      <c r="B93" s="874"/>
      <c r="C93" s="874"/>
    </row>
    <row r="94" spans="1:4" ht="13" thickBot="1">
      <c r="A94" s="850"/>
      <c r="B94" s="881"/>
      <c r="C94" s="881"/>
    </row>
    <row r="95" spans="1:4" ht="24.5" thickTop="1">
      <c r="A95" s="485" t="s">
        <v>751</v>
      </c>
      <c r="B95" s="588">
        <f>+'Tableau Général'!AW34/1000000</f>
        <v>778.53049999999996</v>
      </c>
      <c r="C95" s="590">
        <f t="shared" ref="C95:C101" si="4">B95/$B$102</f>
        <v>0.38962055891563607</v>
      </c>
    </row>
    <row r="96" spans="1:4">
      <c r="A96" s="487" t="s">
        <v>718</v>
      </c>
      <c r="B96" s="587">
        <f>('Tableau Général'!AW21+'Tableau Général'!AW22)/1000000</f>
        <v>706.79976611500001</v>
      </c>
      <c r="C96" s="589">
        <f t="shared" si="4"/>
        <v>0.35372245520909867</v>
      </c>
    </row>
    <row r="97" spans="1:4">
      <c r="A97" s="485" t="s">
        <v>262</v>
      </c>
      <c r="B97" s="588">
        <f>'Tableau Général'!AW31/1000000</f>
        <v>201.94278989000006</v>
      </c>
      <c r="C97" s="590">
        <f t="shared" si="4"/>
        <v>0.10106355841668976</v>
      </c>
    </row>
    <row r="98" spans="1:4">
      <c r="A98" s="483" t="s">
        <v>717</v>
      </c>
      <c r="B98" s="587">
        <f>('Tableau Général'!AW9+'Tableau Général'!AW12+'Tableau Général'!AW15+'Tableau Général'!AW14)/1000000</f>
        <v>117.40461500000001</v>
      </c>
      <c r="C98" s="589">
        <f t="shared" si="4"/>
        <v>5.8755889095642465E-2</v>
      </c>
    </row>
    <row r="99" spans="1:4">
      <c r="A99" s="485" t="s">
        <v>80</v>
      </c>
      <c r="B99" s="588">
        <f>'Tableau Général'!AW10/1000000</f>
        <v>64.029656000000003</v>
      </c>
      <c r="C99" s="590">
        <f t="shared" si="4"/>
        <v>3.2044050114794366E-2</v>
      </c>
    </row>
    <row r="100" spans="1:4">
      <c r="A100" s="483" t="s">
        <v>261</v>
      </c>
      <c r="B100" s="587">
        <f>+'Tableau Général'!AW38/1000000</f>
        <v>44.648999500000002</v>
      </c>
      <c r="C100" s="589">
        <f t="shared" si="4"/>
        <v>2.2344876841965674E-2</v>
      </c>
    </row>
    <row r="101" spans="1:4">
      <c r="A101" s="485" t="s">
        <v>247</v>
      </c>
      <c r="B101" s="588">
        <f>('Tableau Général'!AW7+'Tableau Général'!AW11+'Tableau Général'!AW13+'Tableau Général'!AW16+'Tableau Général'!AW17+'Tableau Général'!AW18+'Tableau Général'!AW19+'Tableau Général'!AW33)/1000000</f>
        <v>84.819801999999996</v>
      </c>
      <c r="C101" s="590">
        <f t="shared" si="4"/>
        <v>4.2448611406173023E-2</v>
      </c>
    </row>
    <row r="102" spans="1:4">
      <c r="A102" s="210" t="s">
        <v>1</v>
      </c>
      <c r="B102" s="203">
        <f>SUM(B95:B101)</f>
        <v>1998.176128505</v>
      </c>
      <c r="C102" s="591">
        <f>SUM(C95:C101)</f>
        <v>1</v>
      </c>
      <c r="D102" s="586">
        <f>B102-'Tableau Général'!AW39/1000000</f>
        <v>0</v>
      </c>
    </row>
    <row r="110" spans="1:4">
      <c r="A110" s="640" t="s">
        <v>804</v>
      </c>
    </row>
    <row r="112" spans="1:4" ht="8.25" customHeight="1">
      <c r="A112" s="849" t="s">
        <v>241</v>
      </c>
      <c r="B112" s="874" t="s">
        <v>716</v>
      </c>
      <c r="C112" s="874" t="s">
        <v>248</v>
      </c>
    </row>
    <row r="113" spans="1:3" ht="8.25" customHeight="1">
      <c r="A113" s="849"/>
      <c r="B113" s="874"/>
      <c r="C113" s="874"/>
    </row>
    <row r="114" spans="1:3" ht="8.25" customHeight="1" thickBot="1">
      <c r="A114" s="850"/>
      <c r="B114" s="881"/>
      <c r="C114" s="881"/>
    </row>
    <row r="115" spans="1:3" ht="13" thickTop="1">
      <c r="A115" s="485" t="str">
        <f>'Tableau Général'!A36</f>
        <v>Redevances superficiaires</v>
      </c>
      <c r="B115" s="588">
        <f>+'Tableau Général'!BP34/1000000</f>
        <v>161.57451900000001</v>
      </c>
      <c r="C115" s="590">
        <f>B115/B116</f>
        <v>1</v>
      </c>
    </row>
    <row r="116" spans="1:3">
      <c r="A116" s="210" t="s">
        <v>1</v>
      </c>
      <c r="B116" s="203">
        <f>SUM(B115:B115)</f>
        <v>161.57451900000001</v>
      </c>
      <c r="C116" s="591">
        <f>SUM(C110:C115)</f>
        <v>1</v>
      </c>
    </row>
    <row r="126" spans="1:3">
      <c r="A126" s="640" t="s">
        <v>805</v>
      </c>
    </row>
    <row r="128" spans="1:3" ht="9" customHeight="1">
      <c r="A128" s="849" t="s">
        <v>241</v>
      </c>
      <c r="B128" s="874" t="s">
        <v>716</v>
      </c>
      <c r="C128" s="874" t="s">
        <v>248</v>
      </c>
    </row>
    <row r="129" spans="1:4" ht="9" customHeight="1">
      <c r="A129" s="849"/>
      <c r="B129" s="874"/>
      <c r="C129" s="874"/>
    </row>
    <row r="130" spans="1:4" ht="9" customHeight="1" thickBot="1">
      <c r="A130" s="850"/>
      <c r="B130" s="881"/>
      <c r="C130" s="881"/>
    </row>
    <row r="131" spans="1:4" ht="13" thickTop="1">
      <c r="A131" s="483" t="s">
        <v>243</v>
      </c>
      <c r="B131" s="587">
        <f>+('Tableau Général'!BM6+'Tableau Général'!BM25+'Tableau Général'!BM27)/1000000</f>
        <v>1874.1169430952939</v>
      </c>
      <c r="C131" s="589">
        <f t="shared" ref="C131:C136" si="5">B131/$B$137</f>
        <v>0.34047913264321639</v>
      </c>
    </row>
    <row r="132" spans="1:4">
      <c r="A132" s="485" t="s">
        <v>246</v>
      </c>
      <c r="B132" s="588">
        <f>('Tableau Général'!BM8+'Tableau Général'!BM24+'Tableau Général'!BM26)/1000000</f>
        <v>1589.8110518437595</v>
      </c>
      <c r="C132" s="590">
        <f t="shared" si="5"/>
        <v>0.28882802110755967</v>
      </c>
    </row>
    <row r="133" spans="1:4">
      <c r="A133" s="483" t="s">
        <v>265</v>
      </c>
      <c r="B133" s="587">
        <f>'Tableau Général'!BM7/1000000</f>
        <v>1330.0299314285714</v>
      </c>
      <c r="C133" s="589">
        <f t="shared" si="5"/>
        <v>0.24163243340321824</v>
      </c>
    </row>
    <row r="134" spans="1:4">
      <c r="A134" s="485" t="s">
        <v>718</v>
      </c>
      <c r="B134" s="588">
        <f>('Tableau Général'!BM21+'Tableau Général'!BM22)/1000000</f>
        <v>437.14609000000002</v>
      </c>
      <c r="C134" s="590">
        <f t="shared" si="5"/>
        <v>7.941826795277275E-2</v>
      </c>
    </row>
    <row r="135" spans="1:4">
      <c r="A135" s="483" t="s">
        <v>717</v>
      </c>
      <c r="B135" s="587">
        <f>('Tableau Général'!BM9+'Tableau Général'!BM12+'Tableau Général'!BM14+'Tableau Général'!BM15)/1000000</f>
        <v>124.531745</v>
      </c>
      <c r="C135" s="589">
        <f t="shared" si="5"/>
        <v>2.2624234138835297E-2</v>
      </c>
    </row>
    <row r="136" spans="1:4">
      <c r="A136" s="485" t="s">
        <v>247</v>
      </c>
      <c r="B136" s="588">
        <f>+('Tableau Général'!BM13+'Tableau Général'!BM11+'Tableau Général'!BM10+'Tableau Général'!BM16+'Tableau Général'!BM17+'Tableau Général'!BM18+'Tableau Général'!BM19+'Tableau Général'!BM28)/1000000</f>
        <v>148.71608699999999</v>
      </c>
      <c r="C136" s="590">
        <f t="shared" si="5"/>
        <v>2.7017910754397603E-2</v>
      </c>
    </row>
    <row r="137" spans="1:4">
      <c r="A137" s="210" t="s">
        <v>1</v>
      </c>
      <c r="B137" s="203">
        <f>SUM(B131:B136)</f>
        <v>5504.3518483676253</v>
      </c>
      <c r="C137" s="591">
        <f>SUM(C131:C136)</f>
        <v>1</v>
      </c>
      <c r="D137" s="586">
        <f>B137-'Tableau Général'!BM39/1000000</f>
        <v>0</v>
      </c>
    </row>
  </sheetData>
  <mergeCells count="21">
    <mergeCell ref="A128:A130"/>
    <mergeCell ref="B128:B130"/>
    <mergeCell ref="C128:C130"/>
    <mergeCell ref="A92:A94"/>
    <mergeCell ref="B92:B94"/>
    <mergeCell ref="C92:C94"/>
    <mergeCell ref="A112:A114"/>
    <mergeCell ref="B112:B114"/>
    <mergeCell ref="C112:C114"/>
    <mergeCell ref="A55:A56"/>
    <mergeCell ref="B55:B56"/>
    <mergeCell ref="C55:C56"/>
    <mergeCell ref="A73:A75"/>
    <mergeCell ref="B73:B75"/>
    <mergeCell ref="C73:C75"/>
    <mergeCell ref="A16:A17"/>
    <mergeCell ref="B16:B17"/>
    <mergeCell ref="C16:C17"/>
    <mergeCell ref="A40:A41"/>
    <mergeCell ref="B40:B41"/>
    <mergeCell ref="C40:C4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E0A9-DE6B-4573-BB9A-8069644FADE8}">
  <dimension ref="B4:D20"/>
  <sheetViews>
    <sheetView topLeftCell="A24" workbookViewId="0">
      <selection activeCell="D42" sqref="D42"/>
    </sheetView>
  </sheetViews>
  <sheetFormatPr baseColWidth="10" defaultRowHeight="12.5"/>
  <cols>
    <col min="2" max="2" width="26.81640625" customWidth="1"/>
    <col min="3" max="3" width="28.1796875" customWidth="1"/>
  </cols>
  <sheetData>
    <row r="4" spans="2:4">
      <c r="B4" s="640" t="s">
        <v>807</v>
      </c>
    </row>
    <row r="6" spans="2:4" ht="24.5" thickBot="1">
      <c r="B6" s="573" t="s">
        <v>27</v>
      </c>
      <c r="C6" s="573" t="s">
        <v>753</v>
      </c>
      <c r="D6" s="575" t="s">
        <v>755</v>
      </c>
    </row>
    <row r="7" spans="2:4">
      <c r="B7" s="882" t="s">
        <v>673</v>
      </c>
      <c r="C7" s="882"/>
      <c r="D7" s="721">
        <v>3712.55</v>
      </c>
    </row>
    <row r="8" spans="2:4">
      <c r="B8" s="572" t="s">
        <v>265</v>
      </c>
      <c r="C8" s="572" t="s">
        <v>81</v>
      </c>
      <c r="D8" s="722">
        <v>1356.43</v>
      </c>
    </row>
    <row r="9" spans="2:4">
      <c r="B9" s="570" t="s">
        <v>243</v>
      </c>
      <c r="C9" s="570" t="s">
        <v>81</v>
      </c>
      <c r="D9" s="569">
        <v>738.84</v>
      </c>
    </row>
    <row r="10" spans="2:4">
      <c r="B10" s="572" t="s">
        <v>749</v>
      </c>
      <c r="C10" s="572" t="s">
        <v>515</v>
      </c>
      <c r="D10" s="723">
        <v>501.7</v>
      </c>
    </row>
    <row r="11" spans="2:4">
      <c r="B11" s="570" t="s">
        <v>267</v>
      </c>
      <c r="C11" s="570" t="s">
        <v>515</v>
      </c>
      <c r="D11" s="569">
        <v>438.41</v>
      </c>
    </row>
    <row r="12" spans="2:4">
      <c r="B12" s="572" t="s">
        <v>246</v>
      </c>
      <c r="C12" s="572" t="s">
        <v>81</v>
      </c>
      <c r="D12" s="723">
        <v>378.74</v>
      </c>
    </row>
    <row r="13" spans="2:4">
      <c r="B13" s="570" t="s">
        <v>262</v>
      </c>
      <c r="C13" s="570" t="s">
        <v>515</v>
      </c>
      <c r="D13" s="569">
        <v>201.94</v>
      </c>
    </row>
    <row r="14" spans="2:4" ht="24">
      <c r="B14" s="572" t="s">
        <v>172</v>
      </c>
      <c r="C14" s="572" t="s">
        <v>81</v>
      </c>
      <c r="D14" s="723">
        <v>51.84</v>
      </c>
    </row>
    <row r="15" spans="2:4">
      <c r="B15" s="570" t="s">
        <v>261</v>
      </c>
      <c r="C15" s="570" t="s">
        <v>261</v>
      </c>
      <c r="D15" s="569">
        <v>44.65</v>
      </c>
    </row>
    <row r="16" spans="2:4">
      <c r="B16" s="658" t="s">
        <v>687</v>
      </c>
      <c r="C16" s="658"/>
      <c r="D16" s="658">
        <v>0.8</v>
      </c>
    </row>
    <row r="17" spans="2:4" ht="24">
      <c r="B17" s="571" t="s">
        <v>688</v>
      </c>
      <c r="C17" s="572" t="s">
        <v>754</v>
      </c>
      <c r="D17" s="723">
        <v>0.8</v>
      </c>
    </row>
    <row r="18" spans="2:4">
      <c r="B18" s="658" t="s">
        <v>610</v>
      </c>
      <c r="C18" s="658"/>
      <c r="D18" s="658">
        <v>24</v>
      </c>
    </row>
    <row r="19" spans="2:4" ht="24.5" thickBot="1">
      <c r="B19" s="571" t="s">
        <v>266</v>
      </c>
      <c r="C19" s="572" t="s">
        <v>170</v>
      </c>
      <c r="D19" s="723">
        <v>24</v>
      </c>
    </row>
    <row r="20" spans="2:4">
      <c r="B20" s="882" t="s">
        <v>77</v>
      </c>
      <c r="C20" s="882"/>
      <c r="D20" s="724">
        <v>3737.35</v>
      </c>
    </row>
  </sheetData>
  <mergeCells count="2">
    <mergeCell ref="B7:C7"/>
    <mergeCell ref="B20:C2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0E99-FAF9-4E8A-BF40-6BBF22C5A544}">
  <dimension ref="B4:G9"/>
  <sheetViews>
    <sheetView workbookViewId="0">
      <selection activeCell="K22" sqref="K22"/>
    </sheetView>
  </sheetViews>
  <sheetFormatPr baseColWidth="10" defaultRowHeight="12.5"/>
  <sheetData>
    <row r="4" spans="2:7">
      <c r="B4" s="640" t="s">
        <v>808</v>
      </c>
    </row>
    <row r="6" spans="2:7" ht="48.5" thickBot="1">
      <c r="B6" s="573" t="s">
        <v>695</v>
      </c>
      <c r="C6" s="575" t="s">
        <v>723</v>
      </c>
      <c r="D6" s="575" t="s">
        <v>693</v>
      </c>
      <c r="E6" s="575" t="s">
        <v>267</v>
      </c>
      <c r="F6" s="575" t="s">
        <v>1</v>
      </c>
      <c r="G6" s="575" t="s">
        <v>769</v>
      </c>
    </row>
    <row r="7" spans="2:7">
      <c r="B7" s="569" t="s">
        <v>161</v>
      </c>
      <c r="C7" s="574" t="s">
        <v>720</v>
      </c>
      <c r="D7" s="569" t="s">
        <v>722</v>
      </c>
      <c r="E7" s="574">
        <v>112.1</v>
      </c>
      <c r="F7" s="725">
        <v>112.1</v>
      </c>
      <c r="G7" s="726">
        <v>1</v>
      </c>
    </row>
    <row r="8" spans="2:7">
      <c r="B8" s="571" t="s">
        <v>340</v>
      </c>
      <c r="C8" s="576" t="s">
        <v>719</v>
      </c>
      <c r="D8" s="571" t="s">
        <v>721</v>
      </c>
      <c r="E8" s="576">
        <v>49.48</v>
      </c>
      <c r="F8" s="727">
        <v>49.48</v>
      </c>
      <c r="G8" s="728">
        <v>1</v>
      </c>
    </row>
    <row r="9" spans="2:7">
      <c r="B9" s="729" t="s">
        <v>1</v>
      </c>
      <c r="C9" s="607"/>
      <c r="D9" s="607"/>
      <c r="E9" s="607">
        <v>161.57</v>
      </c>
      <c r="F9" s="607">
        <v>161.57</v>
      </c>
      <c r="G9" s="730">
        <v>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D878-12C1-4BAE-B08E-0AC3E3F9B516}">
  <dimension ref="A4:O49"/>
  <sheetViews>
    <sheetView workbookViewId="0">
      <selection activeCell="B31" sqref="B31"/>
    </sheetView>
  </sheetViews>
  <sheetFormatPr baseColWidth="10" defaultRowHeight="13"/>
  <cols>
    <col min="1" max="1" width="27.54296875" customWidth="1"/>
    <col min="2" max="2" width="12.81640625" style="577" customWidth="1"/>
    <col min="3" max="3" width="23.453125" customWidth="1"/>
    <col min="4" max="5" width="14.81640625" customWidth="1"/>
    <col min="6" max="6" width="16.54296875" bestFit="1" customWidth="1"/>
    <col min="7" max="7" width="15.453125" bestFit="1" customWidth="1"/>
    <col min="8" max="8" width="15.453125" customWidth="1"/>
    <col min="9" max="9" width="17" customWidth="1"/>
    <col min="10" max="10" width="13.81640625" customWidth="1"/>
    <col min="11" max="11" width="12.1796875" customWidth="1"/>
    <col min="12" max="12" width="14.453125" customWidth="1"/>
    <col min="13" max="13" width="14.81640625" customWidth="1"/>
    <col min="14" max="14" width="16.54296875" style="583" bestFit="1" customWidth="1"/>
    <col min="15" max="15" width="14" style="584" bestFit="1" customWidth="1"/>
  </cols>
  <sheetData>
    <row r="4" spans="1:15" hidden="1">
      <c r="B4" s="639" t="s">
        <v>806</v>
      </c>
    </row>
    <row r="5" spans="1:15" hidden="1"/>
    <row r="6" spans="1:15" ht="48.5" hidden="1" thickBot="1">
      <c r="A6" s="585" t="s">
        <v>695</v>
      </c>
      <c r="B6" s="575" t="s">
        <v>325</v>
      </c>
      <c r="C6" s="575" t="s">
        <v>693</v>
      </c>
      <c r="D6" s="575" t="s">
        <v>710</v>
      </c>
      <c r="E6" s="575" t="s">
        <v>662</v>
      </c>
      <c r="F6" s="575" t="s">
        <v>711</v>
      </c>
      <c r="G6" s="575" t="s">
        <v>172</v>
      </c>
      <c r="H6" s="575" t="s">
        <v>749</v>
      </c>
      <c r="I6" s="575" t="s">
        <v>267</v>
      </c>
      <c r="J6" s="575" t="s">
        <v>261</v>
      </c>
      <c r="K6" s="575" t="s">
        <v>262</v>
      </c>
      <c r="L6" s="575" t="s">
        <v>688</v>
      </c>
      <c r="M6" s="665" t="s">
        <v>692</v>
      </c>
      <c r="N6" s="575" t="s">
        <v>696</v>
      </c>
      <c r="O6" s="575" t="s">
        <v>712</v>
      </c>
    </row>
    <row r="7" spans="1:15" s="380" customFormat="1" ht="12.5" hidden="1">
      <c r="A7" s="666" t="s">
        <v>621</v>
      </c>
      <c r="B7" s="667" t="s">
        <v>723</v>
      </c>
      <c r="C7" s="667" t="s">
        <v>693</v>
      </c>
      <c r="D7" s="667">
        <f>SUM(D8:D9)</f>
        <v>0</v>
      </c>
      <c r="E7" s="667">
        <f t="shared" ref="E7:M7" si="0">SUM(E8:E9)</f>
        <v>0</v>
      </c>
      <c r="F7" s="667">
        <f t="shared" si="0"/>
        <v>0</v>
      </c>
      <c r="G7" s="667">
        <f t="shared" si="0"/>
        <v>0</v>
      </c>
      <c r="H7" s="667">
        <v>0</v>
      </c>
      <c r="I7" s="667">
        <f>SUM(I8:I9)</f>
        <v>161574519</v>
      </c>
      <c r="J7" s="667">
        <v>0</v>
      </c>
      <c r="K7" s="667">
        <v>0</v>
      </c>
      <c r="L7" s="667">
        <v>0</v>
      </c>
      <c r="M7" s="667">
        <f t="shared" si="0"/>
        <v>0</v>
      </c>
      <c r="N7" s="667">
        <f t="shared" ref="N7:N23" si="1">SUM(D7:M7)</f>
        <v>161574519</v>
      </c>
      <c r="O7" s="672">
        <f>+I7/N7</f>
        <v>1</v>
      </c>
    </row>
    <row r="8" spans="1:15" ht="12.5" hidden="1">
      <c r="A8" s="569" t="s">
        <v>161</v>
      </c>
      <c r="B8" s="574" t="s">
        <v>720</v>
      </c>
      <c r="C8" s="569" t="s">
        <v>722</v>
      </c>
      <c r="D8" s="580">
        <v>0</v>
      </c>
      <c r="E8" s="580">
        <v>0</v>
      </c>
      <c r="F8" s="580">
        <v>0</v>
      </c>
      <c r="G8" s="580">
        <v>0</v>
      </c>
      <c r="H8" s="580">
        <v>0</v>
      </c>
      <c r="I8" s="579">
        <f>+'Tableau-(41)'!C143</f>
        <v>112095000</v>
      </c>
      <c r="J8" s="580">
        <v>0</v>
      </c>
      <c r="K8" s="580">
        <v>0</v>
      </c>
      <c r="L8" s="580">
        <v>0</v>
      </c>
      <c r="M8" s="579">
        <v>0</v>
      </c>
      <c r="N8" s="581">
        <f t="shared" si="1"/>
        <v>112095000</v>
      </c>
      <c r="O8" s="674">
        <v>1</v>
      </c>
    </row>
    <row r="9" spans="1:15" ht="12.5" hidden="1">
      <c r="A9" s="571" t="s">
        <v>340</v>
      </c>
      <c r="B9" s="576" t="s">
        <v>719</v>
      </c>
      <c r="C9" s="571" t="s">
        <v>721</v>
      </c>
      <c r="D9" s="604">
        <v>0</v>
      </c>
      <c r="E9" s="604">
        <v>0</v>
      </c>
      <c r="F9" s="604">
        <v>0</v>
      </c>
      <c r="G9" s="604">
        <v>0</v>
      </c>
      <c r="H9" s="604">
        <v>0</v>
      </c>
      <c r="I9" s="578">
        <f>+'Tableau-(41)'!C144</f>
        <v>49479519</v>
      </c>
      <c r="J9" s="604">
        <v>0</v>
      </c>
      <c r="K9" s="604">
        <v>0</v>
      </c>
      <c r="L9" s="604">
        <v>0</v>
      </c>
      <c r="M9" s="605">
        <v>0</v>
      </c>
      <c r="N9" s="582">
        <f t="shared" si="1"/>
        <v>49479519</v>
      </c>
      <c r="O9" s="673">
        <v>1</v>
      </c>
    </row>
    <row r="10" spans="1:15" s="380" customFormat="1" ht="20.5" hidden="1" thickBot="1">
      <c r="A10" s="666" t="s">
        <v>620</v>
      </c>
      <c r="B10" s="667" t="s">
        <v>700</v>
      </c>
      <c r="C10" s="667" t="s">
        <v>693</v>
      </c>
      <c r="D10" s="667">
        <f>SUM(D11:D22)</f>
        <v>738839045.12800002</v>
      </c>
      <c r="E10" s="667">
        <f t="shared" ref="E10:M10" si="2">SUM(E11:E22)</f>
        <v>378739499.80484998</v>
      </c>
      <c r="F10" s="667">
        <f t="shared" si="2"/>
        <v>1330029931.4285715</v>
      </c>
      <c r="G10" s="667">
        <f t="shared" si="2"/>
        <v>38686913</v>
      </c>
      <c r="H10" s="667">
        <f t="shared" si="2"/>
        <v>0</v>
      </c>
      <c r="I10" s="667">
        <f t="shared" si="2"/>
        <v>0</v>
      </c>
      <c r="J10" s="667">
        <f t="shared" si="2"/>
        <v>0</v>
      </c>
      <c r="K10" s="667">
        <f t="shared" si="2"/>
        <v>0</v>
      </c>
      <c r="L10" s="667">
        <f t="shared" si="2"/>
        <v>0</v>
      </c>
      <c r="M10" s="667">
        <f t="shared" si="2"/>
        <v>24000000</v>
      </c>
      <c r="N10" s="667">
        <f t="shared" si="1"/>
        <v>2510295389.3614216</v>
      </c>
      <c r="O10" s="670" t="e">
        <f>(SUM(D10:M10)-G11-#REF!-M11-G15-#REF!-M15)/N10</f>
        <v>#REF!</v>
      </c>
    </row>
    <row r="11" spans="1:15" ht="30" hidden="1" customHeight="1">
      <c r="A11" s="887" t="s">
        <v>143</v>
      </c>
      <c r="B11" s="574">
        <v>174</v>
      </c>
      <c r="C11" s="569" t="s">
        <v>697</v>
      </c>
      <c r="D11" s="579">
        <f>HLOOKUP(A11,'Tableau Général'!$2:$6,5,0)*'[8]CUMUL VOLUMES ET TAXES 2022'!$F$29</f>
        <v>85563575.102220997</v>
      </c>
      <c r="E11" s="579">
        <f>HLOOKUP(A11,'Tableau Général'!$2:$39,7,0)*'[8]CUMUL VOLUMES ET TAXES 2022'!$F$48</f>
        <v>55544908.576874003</v>
      </c>
      <c r="F11" s="579">
        <f>HLOOKUP(A11,'Tableau Général'!$2:$7,6,0)*'[9]LOYER 2022'!$K$9</f>
        <v>186925824.61904359</v>
      </c>
      <c r="G11" s="889">
        <f>HLOOKUP(A11,'Tableau Général'!$2:$39,12,0)</f>
        <v>3037382</v>
      </c>
      <c r="H11" s="655">
        <v>0</v>
      </c>
      <c r="I11" s="579">
        <v>0</v>
      </c>
      <c r="J11" s="655">
        <v>0</v>
      </c>
      <c r="K11" s="655">
        <v>0</v>
      </c>
      <c r="L11" s="655">
        <v>0</v>
      </c>
      <c r="M11" s="889">
        <f>HLOOKUP(A11,'Tableau Général'!$2:$39,27,0)</f>
        <v>0</v>
      </c>
      <c r="N11" s="581">
        <f t="shared" si="1"/>
        <v>331071690.29813862</v>
      </c>
      <c r="O11" s="883">
        <f>SUM(D11:F12)/(N11+N12)</f>
        <v>0.99559189160208583</v>
      </c>
    </row>
    <row r="12" spans="1:15" ht="24" hidden="1">
      <c r="A12" s="888"/>
      <c r="B12" s="574">
        <v>183</v>
      </c>
      <c r="C12" s="569" t="s">
        <v>698</v>
      </c>
      <c r="D12" s="579">
        <f>HLOOKUP(A11,'Tableau Général'!$2:$6,5,0)*(1-'[8]CUMUL VOLUMES ET TAXES 2022'!$F$29)</f>
        <v>132046610.897779</v>
      </c>
      <c r="E12" s="579">
        <f>HLOOKUP(A11,'Tableau Général'!$2:$39,7,0)*(1-'[8]CUMUL VOLUMES ET TAXES 2022'!$F$48)</f>
        <v>87448988.423126012</v>
      </c>
      <c r="F12" s="579">
        <f>HLOOKUP(A11,'Tableau Général'!$2:$7,6,0)*(1-'[9]LOYER 2022'!$K$9)</f>
        <v>138477018.23809928</v>
      </c>
      <c r="G12" s="890"/>
      <c r="H12" s="656">
        <v>0</v>
      </c>
      <c r="I12" s="579">
        <v>0</v>
      </c>
      <c r="J12" s="656">
        <v>0</v>
      </c>
      <c r="K12" s="656">
        <v>0</v>
      </c>
      <c r="L12" s="656">
        <v>0</v>
      </c>
      <c r="M12" s="890"/>
      <c r="N12" s="581">
        <f t="shared" si="1"/>
        <v>357972617.55900431</v>
      </c>
      <c r="O12" s="884"/>
    </row>
    <row r="13" spans="1:15" ht="36" hidden="1">
      <c r="A13" s="571" t="s">
        <v>639</v>
      </c>
      <c r="B13" s="576">
        <v>184</v>
      </c>
      <c r="C13" s="571" t="s">
        <v>699</v>
      </c>
      <c r="D13" s="578">
        <f>HLOOKUP(A13,'Tableau Général'!$2:$6,5,0)</f>
        <v>213737947</v>
      </c>
      <c r="E13" s="578">
        <f>HLOOKUP(A13,'Tableau Général'!$2:$39,7,0)</f>
        <v>80352245</v>
      </c>
      <c r="F13" s="578">
        <f>HLOOKUP(A13,'Tableau Général'!$2:$7,6,0)</f>
        <v>112713557.14285713</v>
      </c>
      <c r="G13" s="578">
        <f>HLOOKUP(A13,'Tableau Général'!$2:$39,12,0)</f>
        <v>0</v>
      </c>
      <c r="H13" s="578">
        <v>0</v>
      </c>
      <c r="I13" s="578">
        <v>0</v>
      </c>
      <c r="J13" s="578">
        <v>0</v>
      </c>
      <c r="K13" s="578">
        <v>0</v>
      </c>
      <c r="L13" s="578">
        <v>0</v>
      </c>
      <c r="M13" s="578">
        <f>HLOOKUP(A13,'Tableau Général'!$2:$39,27,0)</f>
        <v>6000000</v>
      </c>
      <c r="N13" s="582">
        <f t="shared" si="1"/>
        <v>412803749.14285713</v>
      </c>
      <c r="O13" s="673">
        <v>1</v>
      </c>
    </row>
    <row r="14" spans="1:15" ht="24" hidden="1">
      <c r="A14" s="569" t="s">
        <v>147</v>
      </c>
      <c r="B14" s="574" t="s">
        <v>701</v>
      </c>
      <c r="C14" s="569" t="s">
        <v>702</v>
      </c>
      <c r="D14" s="579">
        <f>HLOOKUP(A14,'Tableau Général'!$2:$6,5,0)</f>
        <v>74046690</v>
      </c>
      <c r="E14" s="579">
        <f>HLOOKUP(A14,'Tableau Général'!$2:$39,7,0)</f>
        <v>34504842</v>
      </c>
      <c r="F14" s="579">
        <f>HLOOKUP(A14,'Tableau Général'!$2:$7,6,0)</f>
        <v>203968157.14285713</v>
      </c>
      <c r="G14" s="579">
        <f>HLOOKUP(A14,'Tableau Général'!$2:$39,12,0)</f>
        <v>9640804</v>
      </c>
      <c r="H14" s="579">
        <v>0</v>
      </c>
      <c r="I14" s="579">
        <v>0</v>
      </c>
      <c r="J14" s="579">
        <v>0</v>
      </c>
      <c r="K14" s="579">
        <v>0</v>
      </c>
      <c r="L14" s="579">
        <v>0</v>
      </c>
      <c r="M14" s="579">
        <f>HLOOKUP(A14,'Tableau Général'!$2:$39,27,0)</f>
        <v>0</v>
      </c>
      <c r="N14" s="581">
        <f t="shared" si="1"/>
        <v>322160493.14285713</v>
      </c>
      <c r="O14" s="674">
        <v>1</v>
      </c>
    </row>
    <row r="15" spans="1:15" ht="30" hidden="1" customHeight="1">
      <c r="A15" s="877" t="s">
        <v>149</v>
      </c>
      <c r="B15" s="576">
        <v>165</v>
      </c>
      <c r="C15" s="571" t="s">
        <v>703</v>
      </c>
      <c r="D15" s="578">
        <f>HLOOKUP(A15,'Tableau Général'!$2:$6,5,0)*'[8]CUMUL VOLUMES ET TAXES 2022'!$F$32</f>
        <v>43280045.126145147</v>
      </c>
      <c r="E15" s="578">
        <f>HLOOKUP(A15,'Tableau Général'!$2:$39,7,0)</f>
        <v>17840355</v>
      </c>
      <c r="F15" s="578">
        <f>HLOOKUP(A15,'Tableau Général'!$2:$7,6,0)*'[9]LOYER 2022'!$K$24</f>
        <v>53197016.470077477</v>
      </c>
      <c r="G15" s="885">
        <f>HLOOKUP(A15,'Tableau Général'!$2:$39,12,0)</f>
        <v>3775237</v>
      </c>
      <c r="H15" s="657">
        <v>0</v>
      </c>
      <c r="I15" s="578">
        <v>0</v>
      </c>
      <c r="J15" s="657">
        <v>0</v>
      </c>
      <c r="K15" s="657">
        <v>0</v>
      </c>
      <c r="L15" s="657">
        <v>0</v>
      </c>
      <c r="M15" s="885">
        <f>HLOOKUP(A15,'Tableau Général'!$2:$39,27,0)</f>
        <v>6000000</v>
      </c>
      <c r="N15" s="582">
        <f t="shared" si="1"/>
        <v>124092653.59622262</v>
      </c>
      <c r="O15" s="886">
        <f>SUM(D15:F16)/(N15+N16)</f>
        <v>0.94060800836207858</v>
      </c>
    </row>
    <row r="16" spans="1:15" ht="12.5" hidden="1">
      <c r="A16" s="877"/>
      <c r="B16" s="576">
        <v>186</v>
      </c>
      <c r="C16" s="571" t="s">
        <v>704</v>
      </c>
      <c r="D16" s="578">
        <f>HLOOKUP(A15,'Tableau Général'!$2:$6,5,0)*(1-'[8]CUMUL VOLUMES ET TAXES 2022'!$F$32)</f>
        <v>2849210.8738548551</v>
      </c>
      <c r="E16" s="578">
        <v>0</v>
      </c>
      <c r="F16" s="578">
        <f>HLOOKUP(A15,'Tableau Général'!$2:$7,6,0)*(1-'[9]LOYER 2022'!$K$24)</f>
        <v>37646604.958493955</v>
      </c>
      <c r="G16" s="885"/>
      <c r="H16" s="657">
        <v>0</v>
      </c>
      <c r="I16" s="578">
        <v>0</v>
      </c>
      <c r="J16" s="657">
        <v>0</v>
      </c>
      <c r="K16" s="657">
        <v>0</v>
      </c>
      <c r="L16" s="657">
        <v>0</v>
      </c>
      <c r="M16" s="885"/>
      <c r="N16" s="582">
        <f t="shared" si="1"/>
        <v>40495815.832348809</v>
      </c>
      <c r="O16" s="886"/>
    </row>
    <row r="17" spans="1:15" ht="12.5" hidden="1">
      <c r="A17" s="569" t="s">
        <v>151</v>
      </c>
      <c r="B17" s="574">
        <v>184</v>
      </c>
      <c r="C17" s="569" t="s">
        <v>705</v>
      </c>
      <c r="D17" s="579">
        <f>HLOOKUP(A17,'Tableau Général'!$2:$6,5,0)</f>
        <v>36559791</v>
      </c>
      <c r="E17" s="579">
        <f>HLOOKUP(A17,'Tableau Général'!$2:$39,7,0)</f>
        <v>25466715</v>
      </c>
      <c r="F17" s="579">
        <f>HLOOKUP(A17,'Tableau Général'!$2:$7,6,0)</f>
        <v>104338800</v>
      </c>
      <c r="G17" s="579">
        <f>HLOOKUP(A17,'Tableau Général'!$2:$39,12,0)</f>
        <v>0</v>
      </c>
      <c r="H17" s="579">
        <v>0</v>
      </c>
      <c r="I17" s="579">
        <v>0</v>
      </c>
      <c r="J17" s="579">
        <v>0</v>
      </c>
      <c r="K17" s="579">
        <v>0</v>
      </c>
      <c r="L17" s="579">
        <v>0</v>
      </c>
      <c r="M17" s="579">
        <f>HLOOKUP(A17,'Tableau Général'!$2:$39,27,0)</f>
        <v>0</v>
      </c>
      <c r="N17" s="581">
        <f t="shared" si="1"/>
        <v>166365306</v>
      </c>
      <c r="O17" s="674">
        <v>1</v>
      </c>
    </row>
    <row r="18" spans="1:15" ht="24" hidden="1">
      <c r="A18" s="571" t="s">
        <v>153</v>
      </c>
      <c r="B18" s="576">
        <v>192</v>
      </c>
      <c r="C18" s="571" t="s">
        <v>706</v>
      </c>
      <c r="D18" s="578">
        <f>HLOOKUP(A18,'Tableau Général'!$2:$6,5,0)</f>
        <v>73448408</v>
      </c>
      <c r="E18" s="578">
        <f>HLOOKUP(A18,'Tableau Général'!$2:$39,7,0)</f>
        <v>62651795</v>
      </c>
      <c r="F18" s="578">
        <f>HLOOKUP(A18,'Tableau Général'!$2:$7,6,0)</f>
        <v>35482795.714285716</v>
      </c>
      <c r="G18" s="578">
        <f>HLOOKUP(A18,'Tableau Général'!$2:$39,12,0)</f>
        <v>21467503</v>
      </c>
      <c r="H18" s="578">
        <v>0</v>
      </c>
      <c r="I18" s="578">
        <v>0</v>
      </c>
      <c r="J18" s="578">
        <v>0</v>
      </c>
      <c r="K18" s="578">
        <v>0</v>
      </c>
      <c r="L18" s="578">
        <v>0</v>
      </c>
      <c r="M18" s="578">
        <f>HLOOKUP(A18,'Tableau Général'!$2:$39,27,0)</f>
        <v>6000000</v>
      </c>
      <c r="N18" s="582">
        <f t="shared" si="1"/>
        <v>199050501.71428573</v>
      </c>
      <c r="O18" s="673">
        <v>1</v>
      </c>
    </row>
    <row r="19" spans="1:15" ht="24" hidden="1">
      <c r="A19" s="569" t="s">
        <v>155</v>
      </c>
      <c r="B19" s="574">
        <v>189</v>
      </c>
      <c r="C19" s="569" t="s">
        <v>707</v>
      </c>
      <c r="D19" s="579">
        <f>HLOOKUP(A19,'Tableau Général'!$2:$6,5,0)</f>
        <v>53077667</v>
      </c>
      <c r="E19" s="579">
        <f>HLOOKUP(A19,'Tableau Général'!$2:$39,7,0)</f>
        <v>0</v>
      </c>
      <c r="F19" s="579">
        <f>HLOOKUP(A19,'Tableau Général'!$2:$7,6,0)</f>
        <v>173169000</v>
      </c>
      <c r="G19" s="579">
        <f>HLOOKUP(A19,'Tableau Général'!$2:$39,12,0)</f>
        <v>0</v>
      </c>
      <c r="H19" s="579">
        <v>0</v>
      </c>
      <c r="I19" s="579">
        <v>0</v>
      </c>
      <c r="J19" s="579">
        <v>0</v>
      </c>
      <c r="K19" s="579">
        <v>0</v>
      </c>
      <c r="L19" s="579">
        <v>0</v>
      </c>
      <c r="M19" s="579">
        <f>HLOOKUP(A19,'Tableau Général'!$2:$39,27,0)</f>
        <v>6000000</v>
      </c>
      <c r="N19" s="581">
        <f t="shared" si="1"/>
        <v>232246667</v>
      </c>
      <c r="O19" s="674">
        <v>1</v>
      </c>
    </row>
    <row r="20" spans="1:15" ht="36" hidden="1">
      <c r="A20" s="571" t="s">
        <v>157</v>
      </c>
      <c r="B20" s="576">
        <v>164</v>
      </c>
      <c r="C20" s="571" t="s">
        <v>708</v>
      </c>
      <c r="D20" s="578">
        <f>HLOOKUP(A20,'Tableau Général'!$2:$6,5,0)</f>
        <v>17284886</v>
      </c>
      <c r="E20" s="578">
        <f>HLOOKUP(A20,'Tableau Général'!$2:$39,7,0)</f>
        <v>11766691</v>
      </c>
      <c r="F20" s="578">
        <f>HLOOKUP(A20,'Tableau Général'!$2:$7,6,0)</f>
        <v>123059957.14285713</v>
      </c>
      <c r="G20" s="578">
        <f>HLOOKUP(A20,'Tableau Général'!$2:$39,12,0)</f>
        <v>0</v>
      </c>
      <c r="H20" s="578">
        <v>0</v>
      </c>
      <c r="I20" s="578">
        <v>0</v>
      </c>
      <c r="J20" s="578">
        <v>0</v>
      </c>
      <c r="K20" s="578">
        <v>0</v>
      </c>
      <c r="L20" s="578">
        <v>0</v>
      </c>
      <c r="M20" s="578">
        <f>HLOOKUP(A20,'Tableau Général'!$2:$39,27,0)</f>
        <v>0</v>
      </c>
      <c r="N20" s="582">
        <f t="shared" si="1"/>
        <v>152111534.14285713</v>
      </c>
      <c r="O20" s="673">
        <v>1</v>
      </c>
    </row>
    <row r="21" spans="1:15" ht="12.5" hidden="1">
      <c r="A21" s="569" t="s">
        <v>159</v>
      </c>
      <c r="B21" s="574">
        <v>193</v>
      </c>
      <c r="C21" s="569" t="s">
        <v>709</v>
      </c>
      <c r="D21" s="580">
        <f>HLOOKUP(A21,'Tableau Général'!$2:$6,5,0)</f>
        <v>6135635</v>
      </c>
      <c r="E21" s="580">
        <f>HLOOKUP(A21,'Tableau Général'!$2:$39,7,0)</f>
        <v>0</v>
      </c>
      <c r="F21" s="580">
        <f>HLOOKUP(A21,'Tableau Général'!$2:$7,6,0)</f>
        <v>0</v>
      </c>
      <c r="G21" s="580">
        <f>HLOOKUP(A21,'Tableau Général'!$2:$39,12,0)</f>
        <v>396000</v>
      </c>
      <c r="H21" s="580">
        <v>0</v>
      </c>
      <c r="I21" s="579">
        <v>0</v>
      </c>
      <c r="J21" s="580">
        <v>0</v>
      </c>
      <c r="K21" s="580">
        <v>0</v>
      </c>
      <c r="L21" s="580">
        <v>0</v>
      </c>
      <c r="M21" s="579">
        <f>HLOOKUP(A21,'Tableau Général'!$2:$39,27,0)</f>
        <v>0</v>
      </c>
      <c r="N21" s="581">
        <f t="shared" si="1"/>
        <v>6531635</v>
      </c>
      <c r="O21" s="674">
        <v>1</v>
      </c>
    </row>
    <row r="22" spans="1:15" ht="12.5" hidden="1">
      <c r="A22" s="877" t="s">
        <v>756</v>
      </c>
      <c r="B22" s="877"/>
      <c r="C22" s="571"/>
      <c r="D22" s="578">
        <f>SUM('Tableau Général'!BG6:BL6)</f>
        <v>808579.12800000003</v>
      </c>
      <c r="E22" s="578">
        <f>SUM('Tableau Général'!BG8:BL8)</f>
        <v>3162959.80485</v>
      </c>
      <c r="F22" s="578">
        <f>SUM('Tableau Général'!BG7:BL7)</f>
        <v>161051200</v>
      </c>
      <c r="G22" s="578">
        <f>SUM('Tableau Général'!BG13:BL13)</f>
        <v>369987</v>
      </c>
      <c r="H22" s="578">
        <v>0</v>
      </c>
      <c r="I22" s="578">
        <v>0</v>
      </c>
      <c r="J22" s="578">
        <v>0</v>
      </c>
      <c r="K22" s="578">
        <v>0</v>
      </c>
      <c r="L22" s="578">
        <v>0</v>
      </c>
      <c r="M22" s="578">
        <v>0</v>
      </c>
      <c r="N22" s="578">
        <f t="shared" si="1"/>
        <v>165392725.93285</v>
      </c>
      <c r="O22" s="671"/>
    </row>
    <row r="23" spans="1:15" s="380" customFormat="1" ht="12.5" hidden="1">
      <c r="A23" s="666" t="s">
        <v>617</v>
      </c>
      <c r="B23" s="667"/>
      <c r="C23" s="667"/>
      <c r="D23" s="667">
        <v>0</v>
      </c>
      <c r="E23" s="667">
        <v>0</v>
      </c>
      <c r="F23" s="667">
        <f>+'Tableau Général'!AW7</f>
        <v>26400000</v>
      </c>
      <c r="G23" s="667">
        <f>+'Tableau Général'!AW13</f>
        <v>13156668</v>
      </c>
      <c r="H23" s="667">
        <f>+'Tableau Général'!AW35</f>
        <v>501700000</v>
      </c>
      <c r="I23" s="667">
        <f>+'Tableau Général'!AW36</f>
        <v>276830500</v>
      </c>
      <c r="J23" s="667">
        <f>+'Tableau Général'!AW37</f>
        <v>44648999.5</v>
      </c>
      <c r="K23" s="667">
        <f>+'Tableau Général'!AW31</f>
        <v>201942789.89000005</v>
      </c>
      <c r="L23" s="667">
        <f>+'Tableau Général'!AW33</f>
        <v>800000</v>
      </c>
      <c r="M23" s="667">
        <v>0</v>
      </c>
      <c r="N23" s="667">
        <f t="shared" si="1"/>
        <v>1065478957.3900001</v>
      </c>
      <c r="O23" s="670">
        <v>0</v>
      </c>
    </row>
    <row r="24" spans="1:15" ht="12.5" hidden="1">
      <c r="A24" s="511" t="s">
        <v>1</v>
      </c>
      <c r="B24" s="512"/>
      <c r="C24" s="512"/>
      <c r="D24" s="606">
        <f t="shared" ref="D24:E24" si="3">+D7+D10+D23</f>
        <v>738839045.12800002</v>
      </c>
      <c r="E24" s="606">
        <f t="shared" si="3"/>
        <v>378739499.80484998</v>
      </c>
      <c r="F24" s="606">
        <f>+F7+F10+F23</f>
        <v>1356429931.4285715</v>
      </c>
      <c r="G24" s="606">
        <f t="shared" ref="G24:N24" si="4">+G7+G10+G23</f>
        <v>51843581</v>
      </c>
      <c r="H24" s="606">
        <f t="shared" ref="H24" si="5">+H7+H10+H23</f>
        <v>501700000</v>
      </c>
      <c r="I24" s="606">
        <f>+I7+I10+I23</f>
        <v>438405019</v>
      </c>
      <c r="J24" s="606">
        <f>+J7+J10+J23</f>
        <v>44648999.5</v>
      </c>
      <c r="K24" s="606">
        <f>+K7+K10+K23</f>
        <v>201942789.89000005</v>
      </c>
      <c r="L24" s="606">
        <f>+L7+L10+L23</f>
        <v>800000</v>
      </c>
      <c r="M24" s="606">
        <f t="shared" si="4"/>
        <v>24000000</v>
      </c>
      <c r="N24" s="606">
        <f t="shared" si="4"/>
        <v>3737348865.7514219</v>
      </c>
      <c r="O24" s="603" t="e">
        <f>(SUM(D24:M24)-G11-#REF!-M11-G15-#REF!-M15-N23)/N24</f>
        <v>#REF!</v>
      </c>
    </row>
    <row r="25" spans="1:15" s="178" customFormat="1" ht="12.5" hidden="1">
      <c r="A25" s="675"/>
      <c r="B25" s="676"/>
      <c r="C25" s="676"/>
      <c r="D25" s="677">
        <f>+D24</f>
        <v>738839045.12800002</v>
      </c>
      <c r="E25" s="677">
        <f t="shared" ref="E25:N25" si="6">+E24</f>
        <v>378739499.80484998</v>
      </c>
      <c r="F25" s="677">
        <f t="shared" si="6"/>
        <v>1356429931.4285715</v>
      </c>
      <c r="G25" s="677">
        <f t="shared" si="6"/>
        <v>51843581</v>
      </c>
      <c r="H25" s="677">
        <f t="shared" si="6"/>
        <v>501700000</v>
      </c>
      <c r="I25" s="677">
        <f t="shared" si="6"/>
        <v>438405019</v>
      </c>
      <c r="J25" s="677">
        <f t="shared" si="6"/>
        <v>44648999.5</v>
      </c>
      <c r="K25" s="677">
        <f t="shared" si="6"/>
        <v>201942789.89000005</v>
      </c>
      <c r="L25" s="677">
        <f t="shared" si="6"/>
        <v>800000</v>
      </c>
      <c r="M25" s="677">
        <f t="shared" si="6"/>
        <v>24000000</v>
      </c>
      <c r="N25" s="751">
        <f t="shared" si="6"/>
        <v>3737348865.7514219</v>
      </c>
      <c r="O25" s="678"/>
    </row>
    <row r="26" spans="1:15" hidden="1"/>
    <row r="27" spans="1:15" hidden="1">
      <c r="C27" t="s">
        <v>236</v>
      </c>
      <c r="D27" s="669">
        <f>+D25-TT!F9</f>
        <v>0</v>
      </c>
      <c r="E27" s="669">
        <f>+E25-TT!F10</f>
        <v>0</v>
      </c>
      <c r="F27" s="669">
        <f>+F25-TT!F8</f>
        <v>0</v>
      </c>
      <c r="G27" s="669">
        <f>+G25-TT!F7</f>
        <v>0</v>
      </c>
      <c r="H27" s="669">
        <f>+H25-'Tableau Général'!AW35</f>
        <v>0</v>
      </c>
      <c r="I27" s="669">
        <f>+I25-'Tableau Général'!BQ36</f>
        <v>0</v>
      </c>
      <c r="J27" s="669">
        <f>+J25-'Tableau Général'!AW37</f>
        <v>0</v>
      </c>
      <c r="K27" s="669">
        <f>+K25-TT!F14</f>
        <v>0</v>
      </c>
      <c r="L27" s="586"/>
      <c r="M27" s="586"/>
      <c r="N27" s="668">
        <f>+N25-TT!F6-TT!F23-TT!F25-TT!F30</f>
        <v>44648999.500000477</v>
      </c>
    </row>
    <row r="28" spans="1:15" hidden="1"/>
    <row r="29" spans="1:15" hidden="1"/>
    <row r="31" spans="1:15" ht="60.5" thickBot="1">
      <c r="A31" s="585" t="s">
        <v>695</v>
      </c>
      <c r="B31" s="575" t="s">
        <v>325</v>
      </c>
      <c r="C31" s="575" t="s">
        <v>693</v>
      </c>
      <c r="D31" s="575" t="s">
        <v>710</v>
      </c>
      <c r="E31" s="575" t="s">
        <v>662</v>
      </c>
      <c r="F31" s="575" t="s">
        <v>583</v>
      </c>
      <c r="G31" s="575" t="s">
        <v>172</v>
      </c>
      <c r="H31" s="575" t="s">
        <v>749</v>
      </c>
      <c r="I31" s="575" t="s">
        <v>267</v>
      </c>
      <c r="J31" s="575" t="s">
        <v>261</v>
      </c>
      <c r="K31" s="575" t="s">
        <v>262</v>
      </c>
      <c r="L31" s="575" t="s">
        <v>760</v>
      </c>
      <c r="M31" s="575" t="s">
        <v>266</v>
      </c>
      <c r="N31" s="575" t="s">
        <v>1</v>
      </c>
      <c r="O31" s="575" t="s">
        <v>769</v>
      </c>
    </row>
    <row r="32" spans="1:15" ht="12.5">
      <c r="A32" s="666" t="s">
        <v>621</v>
      </c>
      <c r="B32" s="667" t="s">
        <v>723</v>
      </c>
      <c r="C32" s="667" t="s">
        <v>693</v>
      </c>
      <c r="D32" s="667">
        <v>0</v>
      </c>
      <c r="E32" s="667">
        <v>0</v>
      </c>
      <c r="F32" s="667">
        <v>0</v>
      </c>
      <c r="G32" s="667">
        <v>0</v>
      </c>
      <c r="H32" s="667">
        <v>0</v>
      </c>
      <c r="I32" s="667">
        <v>161.57451900000001</v>
      </c>
      <c r="J32" s="667">
        <v>0</v>
      </c>
      <c r="K32" s="667">
        <v>0</v>
      </c>
      <c r="L32" s="667">
        <v>0</v>
      </c>
      <c r="M32" s="667">
        <v>0</v>
      </c>
      <c r="N32" s="667">
        <v>161.57451900000001</v>
      </c>
      <c r="O32" s="672">
        <v>1</v>
      </c>
    </row>
    <row r="33" spans="1:15" ht="12.5">
      <c r="A33" s="569" t="s">
        <v>161</v>
      </c>
      <c r="B33" s="574" t="s">
        <v>720</v>
      </c>
      <c r="C33" s="569" t="s">
        <v>722</v>
      </c>
      <c r="D33" s="580">
        <v>0</v>
      </c>
      <c r="E33" s="580">
        <v>0</v>
      </c>
      <c r="F33" s="580">
        <v>0</v>
      </c>
      <c r="G33" s="580">
        <v>0</v>
      </c>
      <c r="H33" s="580">
        <v>0</v>
      </c>
      <c r="I33" s="579">
        <v>112.095</v>
      </c>
      <c r="J33" s="580">
        <v>0</v>
      </c>
      <c r="K33" s="580">
        <v>0</v>
      </c>
      <c r="L33" s="580">
        <v>0</v>
      </c>
      <c r="M33" s="579">
        <v>0</v>
      </c>
      <c r="N33" s="679">
        <v>112.095</v>
      </c>
      <c r="O33" s="674">
        <v>1</v>
      </c>
    </row>
    <row r="34" spans="1:15" ht="12.5">
      <c r="A34" s="571" t="s">
        <v>340</v>
      </c>
      <c r="B34" s="576" t="s">
        <v>719</v>
      </c>
      <c r="C34" s="571" t="s">
        <v>721</v>
      </c>
      <c r="D34" s="604">
        <v>0</v>
      </c>
      <c r="E34" s="604">
        <v>0</v>
      </c>
      <c r="F34" s="604">
        <v>0</v>
      </c>
      <c r="G34" s="604">
        <v>0</v>
      </c>
      <c r="H34" s="604">
        <v>0</v>
      </c>
      <c r="I34" s="578">
        <v>49.479519000000003</v>
      </c>
      <c r="J34" s="604">
        <v>0</v>
      </c>
      <c r="K34" s="604">
        <v>0</v>
      </c>
      <c r="L34" s="604">
        <v>0</v>
      </c>
      <c r="M34" s="605">
        <v>0</v>
      </c>
      <c r="N34" s="680">
        <v>49.479519000000003</v>
      </c>
      <c r="O34" s="673">
        <v>1</v>
      </c>
    </row>
    <row r="35" spans="1:15" ht="20.5" thickBot="1">
      <c r="A35" s="666" t="s">
        <v>620</v>
      </c>
      <c r="B35" s="667" t="s">
        <v>700</v>
      </c>
      <c r="C35" s="667" t="s">
        <v>693</v>
      </c>
      <c r="D35" s="667">
        <v>738.83904512800007</v>
      </c>
      <c r="E35" s="667">
        <v>378.73949980484997</v>
      </c>
      <c r="F35" s="667">
        <v>1330.0299314285714</v>
      </c>
      <c r="G35" s="667">
        <v>38.686912999999997</v>
      </c>
      <c r="H35" s="667">
        <v>0</v>
      </c>
      <c r="I35" s="667">
        <v>0</v>
      </c>
      <c r="J35" s="667">
        <v>0</v>
      </c>
      <c r="K35" s="667">
        <v>0</v>
      </c>
      <c r="L35" s="667">
        <v>0</v>
      </c>
      <c r="M35" s="667">
        <v>24</v>
      </c>
      <c r="N35" s="667">
        <v>2510.2953893614217</v>
      </c>
      <c r="O35" s="670">
        <v>0.99489597158394205</v>
      </c>
    </row>
    <row r="36" spans="1:15" ht="15" customHeight="1">
      <c r="A36" s="887" t="s">
        <v>143</v>
      </c>
      <c r="B36" s="574">
        <v>174</v>
      </c>
      <c r="C36" s="569" t="s">
        <v>697</v>
      </c>
      <c r="D36" s="579">
        <v>85.563575102220994</v>
      </c>
      <c r="E36" s="579">
        <v>55.544908576874001</v>
      </c>
      <c r="F36" s="579">
        <v>186.9258246190436</v>
      </c>
      <c r="G36" s="889">
        <v>3.037382</v>
      </c>
      <c r="H36" s="655">
        <v>0</v>
      </c>
      <c r="I36" s="579">
        <v>0</v>
      </c>
      <c r="J36" s="655">
        <v>0</v>
      </c>
      <c r="K36" s="655">
        <v>0</v>
      </c>
      <c r="L36" s="655">
        <v>0</v>
      </c>
      <c r="M36" s="889">
        <v>0</v>
      </c>
      <c r="N36" s="679">
        <v>331.07169029813861</v>
      </c>
      <c r="O36" s="883">
        <v>0.99559189160208594</v>
      </c>
    </row>
    <row r="37" spans="1:15" ht="24">
      <c r="A37" s="888"/>
      <c r="B37" s="574">
        <v>183</v>
      </c>
      <c r="C37" s="569" t="s">
        <v>698</v>
      </c>
      <c r="D37" s="579">
        <v>132.046610897779</v>
      </c>
      <c r="E37" s="579">
        <v>87.448988423126011</v>
      </c>
      <c r="F37" s="579">
        <v>138.47701823809928</v>
      </c>
      <c r="G37" s="890">
        <v>0</v>
      </c>
      <c r="H37" s="656">
        <v>0</v>
      </c>
      <c r="I37" s="579">
        <v>0</v>
      </c>
      <c r="J37" s="656">
        <v>0</v>
      </c>
      <c r="K37" s="656">
        <v>0</v>
      </c>
      <c r="L37" s="656">
        <v>0</v>
      </c>
      <c r="M37" s="890">
        <v>0</v>
      </c>
      <c r="N37" s="679">
        <v>357.97261755900433</v>
      </c>
      <c r="O37" s="884"/>
    </row>
    <row r="38" spans="1:15" ht="36">
      <c r="A38" s="571" t="s">
        <v>639</v>
      </c>
      <c r="B38" s="576">
        <v>184</v>
      </c>
      <c r="C38" s="571" t="s">
        <v>699</v>
      </c>
      <c r="D38" s="578">
        <v>213.73794699999999</v>
      </c>
      <c r="E38" s="578">
        <v>80.352244999999996</v>
      </c>
      <c r="F38" s="578">
        <v>112.71355714285714</v>
      </c>
      <c r="G38" s="578">
        <v>0</v>
      </c>
      <c r="H38" s="578">
        <v>0</v>
      </c>
      <c r="I38" s="578">
        <v>0</v>
      </c>
      <c r="J38" s="578">
        <v>0</v>
      </c>
      <c r="K38" s="578">
        <v>0</v>
      </c>
      <c r="L38" s="578">
        <v>0</v>
      </c>
      <c r="M38" s="578">
        <v>6</v>
      </c>
      <c r="N38" s="680">
        <v>412.80374914285716</v>
      </c>
      <c r="O38" s="673">
        <v>1</v>
      </c>
    </row>
    <row r="39" spans="1:15" ht="24">
      <c r="A39" s="569" t="s">
        <v>147</v>
      </c>
      <c r="B39" s="574" t="s">
        <v>701</v>
      </c>
      <c r="C39" s="569" t="s">
        <v>702</v>
      </c>
      <c r="D39" s="579">
        <v>74.046689999999998</v>
      </c>
      <c r="E39" s="579">
        <v>34.504841999999996</v>
      </c>
      <c r="F39" s="579">
        <v>203.96815714285714</v>
      </c>
      <c r="G39" s="579">
        <v>9.6408039999999993</v>
      </c>
      <c r="H39" s="579">
        <v>0</v>
      </c>
      <c r="I39" s="579">
        <v>0</v>
      </c>
      <c r="J39" s="579">
        <v>0</v>
      </c>
      <c r="K39" s="579">
        <v>0</v>
      </c>
      <c r="L39" s="579">
        <v>0</v>
      </c>
      <c r="M39" s="579">
        <v>0</v>
      </c>
      <c r="N39" s="679">
        <v>322.16049314285715</v>
      </c>
      <c r="O39" s="674">
        <v>1</v>
      </c>
    </row>
    <row r="40" spans="1:15" ht="15" customHeight="1">
      <c r="A40" s="877" t="s">
        <v>149</v>
      </c>
      <c r="B40" s="576">
        <v>165</v>
      </c>
      <c r="C40" s="571" t="s">
        <v>703</v>
      </c>
      <c r="D40" s="578">
        <v>43.280045126145147</v>
      </c>
      <c r="E40" s="578">
        <v>17.840354999999999</v>
      </c>
      <c r="F40" s="578">
        <v>53.197016470077479</v>
      </c>
      <c r="G40" s="885">
        <v>3.7752370000000002</v>
      </c>
      <c r="H40" s="657">
        <v>0</v>
      </c>
      <c r="I40" s="578">
        <v>0</v>
      </c>
      <c r="J40" s="657">
        <v>0</v>
      </c>
      <c r="K40" s="657">
        <v>0</v>
      </c>
      <c r="L40" s="657">
        <v>0</v>
      </c>
      <c r="M40" s="885">
        <v>6</v>
      </c>
      <c r="N40" s="680">
        <v>124.09265359622262</v>
      </c>
      <c r="O40" s="886">
        <v>0.94060800836207858</v>
      </c>
    </row>
    <row r="41" spans="1:15" ht="12.5">
      <c r="A41" s="877"/>
      <c r="B41" s="576">
        <v>186</v>
      </c>
      <c r="C41" s="571" t="s">
        <v>704</v>
      </c>
      <c r="D41" s="578">
        <v>2.8492108738548549</v>
      </c>
      <c r="E41" s="578">
        <v>0</v>
      </c>
      <c r="F41" s="578">
        <v>37.646604958493953</v>
      </c>
      <c r="G41" s="885">
        <v>0</v>
      </c>
      <c r="H41" s="657">
        <v>0</v>
      </c>
      <c r="I41" s="578">
        <v>0</v>
      </c>
      <c r="J41" s="657">
        <v>0</v>
      </c>
      <c r="K41" s="657">
        <v>0</v>
      </c>
      <c r="L41" s="657">
        <v>0</v>
      </c>
      <c r="M41" s="885">
        <v>0</v>
      </c>
      <c r="N41" s="680">
        <v>40.495815832348811</v>
      </c>
      <c r="O41" s="886"/>
    </row>
    <row r="42" spans="1:15" ht="12.5">
      <c r="A42" s="569" t="s">
        <v>151</v>
      </c>
      <c r="B42" s="574">
        <v>184</v>
      </c>
      <c r="C42" s="569" t="s">
        <v>705</v>
      </c>
      <c r="D42" s="579">
        <v>36.559790999999997</v>
      </c>
      <c r="E42" s="579">
        <v>25.466715000000001</v>
      </c>
      <c r="F42" s="579">
        <v>104.33880000000001</v>
      </c>
      <c r="G42" s="579">
        <v>0</v>
      </c>
      <c r="H42" s="579">
        <v>0</v>
      </c>
      <c r="I42" s="579">
        <v>0</v>
      </c>
      <c r="J42" s="579">
        <v>0</v>
      </c>
      <c r="K42" s="579">
        <v>0</v>
      </c>
      <c r="L42" s="579">
        <v>0</v>
      </c>
      <c r="M42" s="579">
        <v>0</v>
      </c>
      <c r="N42" s="679">
        <v>166.365306</v>
      </c>
      <c r="O42" s="674">
        <v>1</v>
      </c>
    </row>
    <row r="43" spans="1:15" ht="24">
      <c r="A43" s="571" t="s">
        <v>153</v>
      </c>
      <c r="B43" s="576">
        <v>192</v>
      </c>
      <c r="C43" s="571" t="s">
        <v>706</v>
      </c>
      <c r="D43" s="578">
        <v>73.448408000000001</v>
      </c>
      <c r="E43" s="578">
        <v>62.651795</v>
      </c>
      <c r="F43" s="578">
        <v>35.482795714285714</v>
      </c>
      <c r="G43" s="578">
        <v>21.467503000000001</v>
      </c>
      <c r="H43" s="578">
        <v>0</v>
      </c>
      <c r="I43" s="578">
        <v>0</v>
      </c>
      <c r="J43" s="578">
        <v>0</v>
      </c>
      <c r="K43" s="578">
        <v>0</v>
      </c>
      <c r="L43" s="578">
        <v>0</v>
      </c>
      <c r="M43" s="578">
        <v>6</v>
      </c>
      <c r="N43" s="680">
        <v>199.05050171428573</v>
      </c>
      <c r="O43" s="673">
        <v>1</v>
      </c>
    </row>
    <row r="44" spans="1:15" ht="24">
      <c r="A44" s="569" t="s">
        <v>155</v>
      </c>
      <c r="B44" s="574">
        <v>189</v>
      </c>
      <c r="C44" s="569" t="s">
        <v>707</v>
      </c>
      <c r="D44" s="579">
        <v>53.077666999999998</v>
      </c>
      <c r="E44" s="579">
        <v>0</v>
      </c>
      <c r="F44" s="579">
        <v>173.16900000000001</v>
      </c>
      <c r="G44" s="579">
        <v>0</v>
      </c>
      <c r="H44" s="579">
        <v>0</v>
      </c>
      <c r="I44" s="579">
        <v>0</v>
      </c>
      <c r="J44" s="579">
        <v>0</v>
      </c>
      <c r="K44" s="579">
        <v>0</v>
      </c>
      <c r="L44" s="579">
        <v>0</v>
      </c>
      <c r="M44" s="579">
        <v>6</v>
      </c>
      <c r="N44" s="679">
        <v>232.246667</v>
      </c>
      <c r="O44" s="674">
        <v>1</v>
      </c>
    </row>
    <row r="45" spans="1:15" ht="36">
      <c r="A45" s="571" t="s">
        <v>157</v>
      </c>
      <c r="B45" s="576">
        <v>164</v>
      </c>
      <c r="C45" s="571" t="s">
        <v>708</v>
      </c>
      <c r="D45" s="578">
        <v>17.284886</v>
      </c>
      <c r="E45" s="578">
        <v>11.766691</v>
      </c>
      <c r="F45" s="578">
        <v>123.05995714285713</v>
      </c>
      <c r="G45" s="578">
        <v>0</v>
      </c>
      <c r="H45" s="578">
        <v>0</v>
      </c>
      <c r="I45" s="578">
        <v>0</v>
      </c>
      <c r="J45" s="578">
        <v>0</v>
      </c>
      <c r="K45" s="578">
        <v>0</v>
      </c>
      <c r="L45" s="578">
        <v>0</v>
      </c>
      <c r="M45" s="578">
        <v>0</v>
      </c>
      <c r="N45" s="680">
        <v>152.11153414285712</v>
      </c>
      <c r="O45" s="673">
        <v>1</v>
      </c>
    </row>
    <row r="46" spans="1:15" ht="12.5">
      <c r="A46" s="569" t="s">
        <v>159</v>
      </c>
      <c r="B46" s="574">
        <v>193</v>
      </c>
      <c r="C46" s="569" t="s">
        <v>709</v>
      </c>
      <c r="D46" s="580">
        <v>6.1356349999999997</v>
      </c>
      <c r="E46" s="580">
        <v>0</v>
      </c>
      <c r="F46" s="580">
        <v>0</v>
      </c>
      <c r="G46" s="580">
        <v>0.39600000000000002</v>
      </c>
      <c r="H46" s="580">
        <v>0</v>
      </c>
      <c r="I46" s="579">
        <v>0</v>
      </c>
      <c r="J46" s="580">
        <v>0</v>
      </c>
      <c r="K46" s="580">
        <v>0</v>
      </c>
      <c r="L46" s="580">
        <v>0</v>
      </c>
      <c r="M46" s="579">
        <v>0</v>
      </c>
      <c r="N46" s="679">
        <v>6.5316349999999996</v>
      </c>
      <c r="O46" s="674">
        <v>1</v>
      </c>
    </row>
    <row r="47" spans="1:15" ht="12.5">
      <c r="A47" s="877" t="s">
        <v>756</v>
      </c>
      <c r="B47" s="877"/>
      <c r="C47" s="571"/>
      <c r="D47" s="578">
        <v>0.80857912799999998</v>
      </c>
      <c r="E47" s="578">
        <v>3.1629598048499998</v>
      </c>
      <c r="F47" s="578">
        <v>161.05119999999999</v>
      </c>
      <c r="G47" s="578">
        <v>0.36998700000000001</v>
      </c>
      <c r="H47" s="578">
        <v>0</v>
      </c>
      <c r="I47" s="578">
        <v>0</v>
      </c>
      <c r="J47" s="578">
        <v>0</v>
      </c>
      <c r="K47" s="578">
        <v>0</v>
      </c>
      <c r="L47" s="578">
        <v>0</v>
      </c>
      <c r="M47" s="578">
        <v>0</v>
      </c>
      <c r="N47" s="578">
        <v>165.39272593285</v>
      </c>
      <c r="O47" s="671"/>
    </row>
    <row r="48" spans="1:15" ht="12.5">
      <c r="A48" s="666" t="s">
        <v>617</v>
      </c>
      <c r="B48" s="667"/>
      <c r="C48" s="667"/>
      <c r="D48" s="667">
        <v>0</v>
      </c>
      <c r="E48" s="667">
        <v>0</v>
      </c>
      <c r="F48" s="667">
        <v>26.4</v>
      </c>
      <c r="G48" s="667">
        <v>13.156668</v>
      </c>
      <c r="H48" s="667">
        <v>501.7</v>
      </c>
      <c r="I48" s="667">
        <v>276.83049999999997</v>
      </c>
      <c r="J48" s="667">
        <v>44.648999500000002</v>
      </c>
      <c r="K48" s="667">
        <v>201.94278989000006</v>
      </c>
      <c r="L48" s="667">
        <v>0.8</v>
      </c>
      <c r="M48" s="667">
        <v>0</v>
      </c>
      <c r="N48" s="667">
        <v>1065.47895739</v>
      </c>
      <c r="O48" s="670">
        <v>0</v>
      </c>
    </row>
    <row r="49" spans="1:15" ht="15" customHeight="1">
      <c r="A49" s="511" t="s">
        <v>1</v>
      </c>
      <c r="B49" s="512"/>
      <c r="C49" s="512"/>
      <c r="D49" s="203">
        <v>738.83904512800007</v>
      </c>
      <c r="E49" s="203">
        <v>378.73949980484997</v>
      </c>
      <c r="F49" s="203">
        <v>1356.4299314285715</v>
      </c>
      <c r="G49" s="203">
        <v>51.843581</v>
      </c>
      <c r="H49" s="203">
        <v>501.7</v>
      </c>
      <c r="I49" s="203">
        <v>438.40501899999998</v>
      </c>
      <c r="J49" s="203">
        <v>44.648999500000002</v>
      </c>
      <c r="K49" s="203">
        <v>201.94278989000006</v>
      </c>
      <c r="L49" s="203">
        <v>0.8</v>
      </c>
      <c r="M49" s="203">
        <v>24</v>
      </c>
      <c r="N49" s="203">
        <v>3737.3488657514217</v>
      </c>
      <c r="O49" s="603">
        <v>0.71148222573725362</v>
      </c>
    </row>
  </sheetData>
  <mergeCells count="18">
    <mergeCell ref="O11:O12"/>
    <mergeCell ref="G15:G16"/>
    <mergeCell ref="O15:O16"/>
    <mergeCell ref="M11:M12"/>
    <mergeCell ref="M15:M16"/>
    <mergeCell ref="A22:B22"/>
    <mergeCell ref="A36:A37"/>
    <mergeCell ref="G36:G37"/>
    <mergeCell ref="M36:M37"/>
    <mergeCell ref="A11:A12"/>
    <mergeCell ref="A15:A16"/>
    <mergeCell ref="G11:G12"/>
    <mergeCell ref="A47:B47"/>
    <mergeCell ref="O36:O37"/>
    <mergeCell ref="A40:A41"/>
    <mergeCell ref="G40:G41"/>
    <mergeCell ref="M40:M41"/>
    <mergeCell ref="O40:O4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BEAC-AF7F-4F96-9CA1-E9D6F552136C}">
  <dimension ref="B4:G12"/>
  <sheetViews>
    <sheetView workbookViewId="0">
      <selection activeCell="C8" sqref="C8"/>
    </sheetView>
  </sheetViews>
  <sheetFormatPr baseColWidth="10" defaultRowHeight="12.5"/>
  <sheetData>
    <row r="4" spans="2:7">
      <c r="B4" s="740" t="s">
        <v>809</v>
      </c>
    </row>
    <row r="6" spans="2:7" ht="35" thickBot="1">
      <c r="B6" s="453" t="s">
        <v>761</v>
      </c>
      <c r="C6" s="453" t="s">
        <v>249</v>
      </c>
      <c r="D6" s="453" t="s">
        <v>250</v>
      </c>
      <c r="E6" s="453" t="s">
        <v>251</v>
      </c>
      <c r="F6" s="453" t="s">
        <v>242</v>
      </c>
      <c r="G6" s="453" t="s">
        <v>248</v>
      </c>
    </row>
    <row r="7" spans="2:7" ht="13" thickTop="1">
      <c r="B7" s="638" t="s">
        <v>170</v>
      </c>
      <c r="C7" s="731">
        <v>2370.35</v>
      </c>
      <c r="D7" s="638">
        <v>980.47</v>
      </c>
      <c r="E7" s="638">
        <v>161.57</v>
      </c>
      <c r="F7" s="732">
        <v>3512.4</v>
      </c>
      <c r="G7" s="733">
        <v>0.45800000000000002</v>
      </c>
    </row>
    <row r="8" spans="2:7">
      <c r="B8" s="391" t="s">
        <v>81</v>
      </c>
      <c r="C8" s="594">
        <v>2696.86</v>
      </c>
      <c r="D8" s="391">
        <v>265.45</v>
      </c>
      <c r="E8" s="391" t="s">
        <v>296</v>
      </c>
      <c r="F8" s="734">
        <v>2962.31</v>
      </c>
      <c r="G8" s="735">
        <v>0.38700000000000001</v>
      </c>
    </row>
    <row r="9" spans="2:7">
      <c r="B9" s="638" t="s">
        <v>166</v>
      </c>
      <c r="C9" s="638">
        <v>437.15</v>
      </c>
      <c r="D9" s="638">
        <v>706.8</v>
      </c>
      <c r="E9" s="638" t="s">
        <v>296</v>
      </c>
      <c r="F9" s="732">
        <v>1143.95</v>
      </c>
      <c r="G9" s="736">
        <v>0.14899999999999999</v>
      </c>
    </row>
    <row r="10" spans="2:7">
      <c r="B10" s="391" t="s">
        <v>261</v>
      </c>
      <c r="C10" s="391" t="s">
        <v>296</v>
      </c>
      <c r="D10" s="391">
        <v>44.65</v>
      </c>
      <c r="E10" s="391" t="s">
        <v>296</v>
      </c>
      <c r="F10" s="737">
        <v>44.65</v>
      </c>
      <c r="G10" s="735">
        <v>6.0000000000000001E-3</v>
      </c>
    </row>
    <row r="11" spans="2:7" ht="13" thickBot="1">
      <c r="B11" s="453" t="s">
        <v>1</v>
      </c>
      <c r="C11" s="738">
        <v>5504.35</v>
      </c>
      <c r="D11" s="738">
        <v>1997.38</v>
      </c>
      <c r="E11" s="453">
        <v>161.57</v>
      </c>
      <c r="F11" s="738">
        <v>7663.3</v>
      </c>
      <c r="G11" s="739">
        <v>1</v>
      </c>
    </row>
    <row r="12" spans="2:7" ht="13" thickTop="1"/>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8190-4914-4981-9C8E-7518E6C084C2}">
  <dimension ref="A5:F35"/>
  <sheetViews>
    <sheetView workbookViewId="0">
      <selection activeCell="B12" sqref="B12"/>
    </sheetView>
  </sheetViews>
  <sheetFormatPr baseColWidth="10" defaultRowHeight="12.5"/>
  <cols>
    <col min="1" max="1" width="3.1796875" bestFit="1" customWidth="1"/>
    <col min="2" max="2" width="41.7265625" style="661" customWidth="1"/>
    <col min="5" max="5" width="13.81640625" customWidth="1"/>
    <col min="6" max="6" width="17.7265625" bestFit="1" customWidth="1"/>
  </cols>
  <sheetData>
    <row r="5" spans="1:6" ht="24.5" thickBot="1">
      <c r="A5" s="568" t="s">
        <v>6</v>
      </c>
      <c r="B5" s="573" t="s">
        <v>27</v>
      </c>
      <c r="C5" s="573" t="s">
        <v>78</v>
      </c>
      <c r="D5" s="573" t="s">
        <v>752</v>
      </c>
      <c r="E5" s="573" t="s">
        <v>753</v>
      </c>
      <c r="F5" s="575" t="s">
        <v>755</v>
      </c>
    </row>
    <row r="6" spans="1:6" ht="15" customHeight="1">
      <c r="A6" s="891" t="s">
        <v>673</v>
      </c>
      <c r="B6" s="891"/>
      <c r="C6" s="891"/>
      <c r="D6" s="891"/>
      <c r="E6" s="891"/>
      <c r="F6" s="663">
        <f>SUM(F7:F22)</f>
        <v>3667899866.2514215</v>
      </c>
    </row>
    <row r="7" spans="1:6" ht="15" customHeight="1">
      <c r="A7" s="569">
        <v>1</v>
      </c>
      <c r="B7" s="570" t="s">
        <v>172</v>
      </c>
      <c r="C7" s="570" t="s">
        <v>674</v>
      </c>
      <c r="D7" s="570" t="s">
        <v>675</v>
      </c>
      <c r="E7" s="570" t="s">
        <v>81</v>
      </c>
      <c r="F7" s="579">
        <f>IFERROR(VLOOKUP(B7,'Tableau Général'!$A:$BQ,69,0),0)</f>
        <v>51843581</v>
      </c>
    </row>
    <row r="8" spans="1:6" ht="15" customHeight="1">
      <c r="A8" s="571">
        <v>2</v>
      </c>
      <c r="B8" s="572" t="s">
        <v>265</v>
      </c>
      <c r="C8" s="572" t="s">
        <v>145</v>
      </c>
      <c r="D8" s="572" t="s">
        <v>675</v>
      </c>
      <c r="E8" s="572" t="s">
        <v>81</v>
      </c>
      <c r="F8" s="662">
        <f>IFERROR(VLOOKUP(B8,'Tableau Général'!$A:$BQ,69,0),0)</f>
        <v>1356429931.4285715</v>
      </c>
    </row>
    <row r="9" spans="1:6" ht="15" customHeight="1">
      <c r="A9" s="569">
        <v>3</v>
      </c>
      <c r="B9" s="570" t="s">
        <v>243</v>
      </c>
      <c r="C9" s="570" t="s">
        <v>145</v>
      </c>
      <c r="D9" s="570" t="s">
        <v>675</v>
      </c>
      <c r="E9" s="570" t="s">
        <v>81</v>
      </c>
      <c r="F9" s="579">
        <f>IFERROR(VLOOKUP(B9,'Tableau Général'!$A:$BQ,69,0),0)</f>
        <v>738839045.12800002</v>
      </c>
    </row>
    <row r="10" spans="1:6" ht="15" customHeight="1">
      <c r="A10" s="571">
        <v>4</v>
      </c>
      <c r="B10" s="572" t="s">
        <v>246</v>
      </c>
      <c r="C10" s="572" t="s">
        <v>145</v>
      </c>
      <c r="D10" s="572" t="s">
        <v>675</v>
      </c>
      <c r="E10" s="572" t="s">
        <v>81</v>
      </c>
      <c r="F10" s="662">
        <f>IFERROR(VLOOKUP(B10,'Tableau Général'!$A:$BQ,69,0),0)</f>
        <v>378739499.80485004</v>
      </c>
    </row>
    <row r="11" spans="1:6">
      <c r="A11" s="569">
        <v>5</v>
      </c>
      <c r="B11" s="570" t="s">
        <v>749</v>
      </c>
      <c r="C11" s="570" t="s">
        <v>674</v>
      </c>
      <c r="D11" s="570" t="s">
        <v>675</v>
      </c>
      <c r="E11" s="570" t="s">
        <v>515</v>
      </c>
      <c r="F11" s="579">
        <f>IFERROR(VLOOKUP(B11,'Tableau Général'!$A:$BQ,69,0),0)</f>
        <v>501700000</v>
      </c>
    </row>
    <row r="12" spans="1:6" ht="15" customHeight="1">
      <c r="A12" s="571">
        <v>6</v>
      </c>
      <c r="B12" s="572" t="s">
        <v>261</v>
      </c>
      <c r="C12" s="572" t="s">
        <v>676</v>
      </c>
      <c r="D12" s="572" t="s">
        <v>675</v>
      </c>
      <c r="E12" s="572" t="s">
        <v>261</v>
      </c>
      <c r="F12" s="662">
        <f>IFERROR(VLOOKUP(B12,'Tableau Général'!$A:$BQ,69,0),0)</f>
        <v>0</v>
      </c>
    </row>
    <row r="13" spans="1:6" ht="24">
      <c r="A13" s="569">
        <v>7</v>
      </c>
      <c r="B13" s="570" t="s">
        <v>267</v>
      </c>
      <c r="C13" s="570" t="s">
        <v>677</v>
      </c>
      <c r="D13" s="570" t="s">
        <v>675</v>
      </c>
      <c r="E13" s="570" t="s">
        <v>515</v>
      </c>
      <c r="F13" s="579">
        <f>IFERROR(VLOOKUP(B13,'Tableau Général'!$A:$BQ,69,0),0)</f>
        <v>438405019</v>
      </c>
    </row>
    <row r="14" spans="1:6" ht="24">
      <c r="A14" s="571">
        <v>8</v>
      </c>
      <c r="B14" s="572" t="s">
        <v>262</v>
      </c>
      <c r="C14" s="572" t="s">
        <v>676</v>
      </c>
      <c r="D14" s="572" t="s">
        <v>675</v>
      </c>
      <c r="E14" s="572" t="s">
        <v>515</v>
      </c>
      <c r="F14" s="662">
        <f>IFERROR(VLOOKUP(B14,'Tableau Général'!$A:$BQ,69,0),0)</f>
        <v>201942789.89000005</v>
      </c>
    </row>
    <row r="15" spans="1:6" ht="15" customHeight="1">
      <c r="A15" s="569">
        <v>9</v>
      </c>
      <c r="B15" s="570" t="s">
        <v>323</v>
      </c>
      <c r="C15" s="570" t="s">
        <v>678</v>
      </c>
      <c r="D15" s="570" t="s">
        <v>679</v>
      </c>
      <c r="E15" s="570" t="s">
        <v>81</v>
      </c>
      <c r="F15" s="579">
        <f>IFERROR(VLOOKUP(B15,'Tableau Général'!$A:$BQ,69,0),0)</f>
        <v>0</v>
      </c>
    </row>
    <row r="16" spans="1:6" ht="15" customHeight="1">
      <c r="A16" s="571">
        <v>10</v>
      </c>
      <c r="B16" s="572" t="s">
        <v>584</v>
      </c>
      <c r="C16" s="572" t="s">
        <v>676</v>
      </c>
      <c r="D16" s="572" t="s">
        <v>675</v>
      </c>
      <c r="E16" s="572" t="s">
        <v>81</v>
      </c>
      <c r="F16" s="662">
        <f>IFERROR(VLOOKUP(B16,'Tableau Général'!$A:$BQ,69,0),0)</f>
        <v>0</v>
      </c>
    </row>
    <row r="17" spans="1:6" ht="45" customHeight="1">
      <c r="A17" s="569">
        <v>11</v>
      </c>
      <c r="B17" s="570" t="s">
        <v>585</v>
      </c>
      <c r="C17" s="570" t="s">
        <v>676</v>
      </c>
      <c r="D17" s="570" t="s">
        <v>675</v>
      </c>
      <c r="E17" s="570" t="s">
        <v>81</v>
      </c>
      <c r="F17" s="579">
        <f>IFERROR(VLOOKUP(B17,'Tableau Général'!$A:$BQ,69,0),0)</f>
        <v>0</v>
      </c>
    </row>
    <row r="18" spans="1:6" ht="15" customHeight="1">
      <c r="A18" s="571">
        <v>12</v>
      </c>
      <c r="B18" s="572" t="s">
        <v>603</v>
      </c>
      <c r="C18" s="572" t="s">
        <v>676</v>
      </c>
      <c r="D18" s="572" t="s">
        <v>675</v>
      </c>
      <c r="E18" s="572" t="s">
        <v>81</v>
      </c>
      <c r="F18" s="662">
        <f>IFERROR(VLOOKUP(B18,'Tableau Général'!$A:$BQ,69,0),0)</f>
        <v>0</v>
      </c>
    </row>
    <row r="19" spans="1:6" ht="15" customHeight="1">
      <c r="A19" s="569">
        <v>13</v>
      </c>
      <c r="B19" s="570" t="s">
        <v>605</v>
      </c>
      <c r="C19" s="570" t="s">
        <v>676</v>
      </c>
      <c r="D19" s="570" t="s">
        <v>675</v>
      </c>
      <c r="E19" s="570" t="s">
        <v>170</v>
      </c>
      <c r="F19" s="579">
        <f>IFERROR(VLOOKUP(B19,'Tableau Général'!$A:$BQ,69,0),0)</f>
        <v>0</v>
      </c>
    </row>
    <row r="20" spans="1:6" ht="15" customHeight="1">
      <c r="A20" s="571">
        <v>14</v>
      </c>
      <c r="B20" s="572" t="s">
        <v>324</v>
      </c>
      <c r="C20" s="572" t="s">
        <v>145</v>
      </c>
      <c r="D20" s="572" t="s">
        <v>675</v>
      </c>
      <c r="E20" s="572" t="s">
        <v>81</v>
      </c>
      <c r="F20" s="662">
        <f>IFERROR(VLOOKUP(B20,'Tableau Général'!$A:$BQ,69,0),0)</f>
        <v>0</v>
      </c>
    </row>
    <row r="21" spans="1:6" ht="15" customHeight="1">
      <c r="A21" s="569">
        <v>15</v>
      </c>
      <c r="B21" s="570" t="s">
        <v>588</v>
      </c>
      <c r="C21" s="570" t="s">
        <v>145</v>
      </c>
      <c r="D21" s="570" t="s">
        <v>675</v>
      </c>
      <c r="E21" s="570" t="s">
        <v>81</v>
      </c>
      <c r="F21" s="579">
        <f>IFERROR(VLOOKUP(B21,'Tableau Général'!$A:$BQ,69,0),0)</f>
        <v>0</v>
      </c>
    </row>
    <row r="22" spans="1:6" ht="36">
      <c r="A22" s="571">
        <v>16</v>
      </c>
      <c r="B22" s="572" t="s">
        <v>604</v>
      </c>
      <c r="C22" s="572" t="s">
        <v>676</v>
      </c>
      <c r="D22" s="572" t="s">
        <v>675</v>
      </c>
      <c r="E22" s="572" t="s">
        <v>686</v>
      </c>
      <c r="F22" s="662">
        <f>IFERROR(VLOOKUP(B22,'Tableau Général'!$A:$BQ,69,0),0)</f>
        <v>0</v>
      </c>
    </row>
    <row r="23" spans="1:6" ht="15" customHeight="1">
      <c r="A23" s="892" t="s">
        <v>687</v>
      </c>
      <c r="B23" s="892"/>
      <c r="C23" s="892"/>
      <c r="D23" s="892"/>
      <c r="E23" s="658"/>
      <c r="F23" s="664">
        <f>SUM(F24)</f>
        <v>800000</v>
      </c>
    </row>
    <row r="24" spans="1:6" ht="24">
      <c r="A24" s="571">
        <v>17</v>
      </c>
      <c r="B24" s="571" t="s">
        <v>688</v>
      </c>
      <c r="C24" s="572" t="s">
        <v>676</v>
      </c>
      <c r="D24" s="572" t="s">
        <v>675</v>
      </c>
      <c r="E24" s="572" t="s">
        <v>754</v>
      </c>
      <c r="F24" s="662">
        <f>+'Tableau Général'!BQ33</f>
        <v>800000</v>
      </c>
    </row>
    <row r="25" spans="1:6" ht="15" customHeight="1">
      <c r="A25" s="892" t="s">
        <v>613</v>
      </c>
      <c r="B25" s="892"/>
      <c r="C25" s="892"/>
      <c r="D25" s="892"/>
      <c r="E25" s="892"/>
      <c r="F25" s="664">
        <f>SUM(F26:F29)</f>
        <v>0</v>
      </c>
    </row>
    <row r="26" spans="1:6" ht="15" customHeight="1">
      <c r="A26" s="569">
        <v>18</v>
      </c>
      <c r="B26" s="570" t="s">
        <v>67</v>
      </c>
      <c r="C26" s="570" t="s">
        <v>674</v>
      </c>
      <c r="D26" s="570" t="s">
        <v>690</v>
      </c>
      <c r="E26" s="570"/>
      <c r="F26" s="579">
        <f>IFERROR(VLOOKUP(B26,'Tableau Général'!$A:$BQ,69,0),0)</f>
        <v>0</v>
      </c>
    </row>
    <row r="27" spans="1:6" ht="15" customHeight="1">
      <c r="A27" s="571">
        <v>19</v>
      </c>
      <c r="B27" s="572" t="s">
        <v>75</v>
      </c>
      <c r="C27" s="572" t="s">
        <v>674</v>
      </c>
      <c r="D27" s="572" t="s">
        <v>690</v>
      </c>
      <c r="E27" s="572"/>
      <c r="F27" s="662">
        <f>IFERROR(VLOOKUP(B27,'Tableau Général'!$A:$BQ,69,0),0)</f>
        <v>0</v>
      </c>
    </row>
    <row r="28" spans="1:6" ht="15" customHeight="1">
      <c r="A28" s="569">
        <v>20</v>
      </c>
      <c r="B28" s="570" t="s">
        <v>205</v>
      </c>
      <c r="C28" s="570" t="s">
        <v>678</v>
      </c>
      <c r="D28" s="570" t="s">
        <v>675</v>
      </c>
      <c r="E28" s="570" t="s">
        <v>691</v>
      </c>
      <c r="F28" s="579">
        <f>IFERROR(VLOOKUP(B28,'Tableau Général'!$A:$BQ,69,0),0)</f>
        <v>0</v>
      </c>
    </row>
    <row r="29" spans="1:6" ht="24">
      <c r="A29" s="571">
        <v>21</v>
      </c>
      <c r="B29" s="572" t="s">
        <v>207</v>
      </c>
      <c r="C29" s="572" t="s">
        <v>678</v>
      </c>
      <c r="D29" s="572" t="s">
        <v>675</v>
      </c>
      <c r="E29" s="572" t="s">
        <v>691</v>
      </c>
      <c r="F29" s="662">
        <f>IFERROR(VLOOKUP(B29,'Tableau Général'!$A:$BQ,69,0),0)</f>
        <v>0</v>
      </c>
    </row>
    <row r="30" spans="1:6" ht="15" customHeight="1">
      <c r="A30" s="892" t="s">
        <v>610</v>
      </c>
      <c r="B30" s="892"/>
      <c r="C30" s="892"/>
      <c r="D30" s="892"/>
      <c r="E30" s="658"/>
      <c r="F30" s="664">
        <f>SUM(F31:F35)</f>
        <v>24000000</v>
      </c>
    </row>
    <row r="31" spans="1:6">
      <c r="A31" s="569">
        <v>22</v>
      </c>
      <c r="B31" s="569" t="s">
        <v>590</v>
      </c>
      <c r="C31" s="570" t="s">
        <v>674</v>
      </c>
      <c r="D31" s="570" t="s">
        <v>675</v>
      </c>
      <c r="E31" s="570" t="s">
        <v>170</v>
      </c>
      <c r="F31" s="579">
        <f>IFERROR(VLOOKUP(B31,'Tableau Général'!$A:$BQ,69,0),0)</f>
        <v>0</v>
      </c>
    </row>
    <row r="32" spans="1:6" ht="15" customHeight="1">
      <c r="A32" s="571">
        <v>23</v>
      </c>
      <c r="B32" s="571" t="s">
        <v>591</v>
      </c>
      <c r="C32" s="572" t="s">
        <v>674</v>
      </c>
      <c r="D32" s="572" t="s">
        <v>675</v>
      </c>
      <c r="E32" s="572" t="s">
        <v>170</v>
      </c>
      <c r="F32" s="662">
        <f>IFERROR(VLOOKUP(B32,'Tableau Général'!$A:$BQ,69,0),0)</f>
        <v>0</v>
      </c>
    </row>
    <row r="33" spans="1:6" ht="24">
      <c r="A33" s="569">
        <v>24</v>
      </c>
      <c r="B33" s="569" t="s">
        <v>592</v>
      </c>
      <c r="C33" s="570" t="s">
        <v>674</v>
      </c>
      <c r="D33" s="570" t="s">
        <v>675</v>
      </c>
      <c r="E33" s="570" t="s">
        <v>170</v>
      </c>
      <c r="F33" s="579">
        <f>IFERROR(VLOOKUP(B33,'Tableau Général'!$A:$BQ,69,0),0)</f>
        <v>0</v>
      </c>
    </row>
    <row r="34" spans="1:6" ht="15" customHeight="1">
      <c r="A34" s="571">
        <v>25</v>
      </c>
      <c r="B34" s="571" t="str">
        <f>+'Tableau Général'!A28</f>
        <v>Taxes environnementales sur les Stes forestières et Minières</v>
      </c>
      <c r="C34" s="572" t="s">
        <v>674</v>
      </c>
      <c r="D34" s="572" t="s">
        <v>675</v>
      </c>
      <c r="E34" s="572" t="s">
        <v>170</v>
      </c>
      <c r="F34" s="662">
        <f>+'Tableau Général'!BQ28</f>
        <v>24000000</v>
      </c>
    </row>
    <row r="35" spans="1:6" ht="15" customHeight="1">
      <c r="A35" s="569">
        <v>26</v>
      </c>
      <c r="B35" s="569" t="s">
        <v>594</v>
      </c>
      <c r="C35" s="570" t="s">
        <v>674</v>
      </c>
      <c r="D35" s="570" t="s">
        <v>675</v>
      </c>
      <c r="E35" s="570" t="s">
        <v>170</v>
      </c>
      <c r="F35" s="579">
        <f>IFERROR(VLOOKUP(B35,'Tableau Général'!$A:$BQ,69,0),0)</f>
        <v>0</v>
      </c>
    </row>
  </sheetData>
  <mergeCells count="4">
    <mergeCell ref="A6:E6"/>
    <mergeCell ref="A23:D23"/>
    <mergeCell ref="A25:E25"/>
    <mergeCell ref="A30:D3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0BC4-A696-48DA-8407-1BC147C62C98}">
  <sheetPr>
    <tabColor rgb="FF00B050"/>
  </sheetPr>
  <dimension ref="A1"/>
  <sheetViews>
    <sheetView zoomScale="70" zoomScaleNormal="70" workbookViewId="0">
      <selection activeCell="A23" sqref="A23"/>
    </sheetView>
  </sheetViews>
  <sheetFormatPr baseColWidth="10" defaultRowHeight="12.5"/>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C489-B2DE-4A64-9253-8B2B383CBD57}">
  <sheetPr>
    <tabColor theme="6" tint="0.39997558519241921"/>
  </sheetPr>
  <dimension ref="A6:G31"/>
  <sheetViews>
    <sheetView workbookViewId="0">
      <selection activeCell="G12" sqref="G12"/>
    </sheetView>
  </sheetViews>
  <sheetFormatPr baseColWidth="10" defaultRowHeight="12.5"/>
  <cols>
    <col min="2" max="2" width="74.26953125" customWidth="1"/>
    <col min="4" max="4" width="14" bestFit="1" customWidth="1"/>
    <col min="5" max="5" width="16" customWidth="1"/>
  </cols>
  <sheetData>
    <row r="6" spans="1:7" ht="24.5" thickBot="1">
      <c r="A6" s="568" t="s">
        <v>6</v>
      </c>
      <c r="B6" s="573" t="s">
        <v>27</v>
      </c>
      <c r="C6" s="573" t="s">
        <v>78</v>
      </c>
      <c r="D6" s="573" t="s">
        <v>693</v>
      </c>
      <c r="E6" s="573" t="s">
        <v>694</v>
      </c>
      <c r="F6" s="573"/>
      <c r="G6" s="573"/>
    </row>
    <row r="7" spans="1:7" ht="15" customHeight="1">
      <c r="A7" s="897" t="s">
        <v>673</v>
      </c>
      <c r="B7" s="897"/>
      <c r="C7" s="897"/>
      <c r="D7" s="897"/>
      <c r="E7" s="897"/>
      <c r="F7" s="897"/>
      <c r="G7" s="897"/>
    </row>
    <row r="8" spans="1:7" ht="15" customHeight="1">
      <c r="A8" s="569">
        <v>1</v>
      </c>
      <c r="B8" s="570" t="s">
        <v>172</v>
      </c>
      <c r="C8" s="570" t="s">
        <v>674</v>
      </c>
      <c r="D8" s="569" t="s">
        <v>675</v>
      </c>
      <c r="E8" s="569"/>
      <c r="F8" s="569"/>
      <c r="G8" s="569" t="s">
        <v>81</v>
      </c>
    </row>
    <row r="9" spans="1:7" ht="15" customHeight="1">
      <c r="A9" s="569">
        <v>3</v>
      </c>
      <c r="B9" s="570" t="s">
        <v>80</v>
      </c>
      <c r="C9" s="570" t="s">
        <v>674</v>
      </c>
      <c r="D9" s="569" t="s">
        <v>675</v>
      </c>
      <c r="E9" s="569"/>
      <c r="F9" s="569"/>
      <c r="G9" s="569" t="s">
        <v>81</v>
      </c>
    </row>
    <row r="10" spans="1:7">
      <c r="A10" s="571">
        <v>6</v>
      </c>
      <c r="B10" s="572" t="s">
        <v>194</v>
      </c>
      <c r="C10" s="572" t="s">
        <v>674</v>
      </c>
      <c r="D10" s="571" t="s">
        <v>675</v>
      </c>
      <c r="E10" s="571"/>
      <c r="F10" s="571"/>
      <c r="G10" s="571" t="s">
        <v>515</v>
      </c>
    </row>
    <row r="11" spans="1:7" ht="15" customHeight="1">
      <c r="A11" s="569">
        <v>7</v>
      </c>
      <c r="B11" s="570" t="s">
        <v>195</v>
      </c>
      <c r="C11" s="570" t="s">
        <v>676</v>
      </c>
      <c r="D11" s="569" t="s">
        <v>675</v>
      </c>
      <c r="E11" s="569"/>
      <c r="F11" s="569"/>
      <c r="G11" s="569" t="s">
        <v>261</v>
      </c>
    </row>
    <row r="12" spans="1:7" ht="24">
      <c r="A12" s="571">
        <v>8</v>
      </c>
      <c r="B12" s="572" t="s">
        <v>196</v>
      </c>
      <c r="C12" s="572" t="s">
        <v>677</v>
      </c>
      <c r="D12" s="571" t="s">
        <v>675</v>
      </c>
      <c r="E12" s="571"/>
      <c r="F12" s="571"/>
      <c r="G12" s="571" t="s">
        <v>515</v>
      </c>
    </row>
    <row r="13" spans="1:7" ht="24">
      <c r="A13" s="569">
        <v>9</v>
      </c>
      <c r="B13" s="570" t="s">
        <v>197</v>
      </c>
      <c r="C13" s="570" t="s">
        <v>676</v>
      </c>
      <c r="D13" s="569" t="s">
        <v>675</v>
      </c>
      <c r="E13" s="569"/>
      <c r="F13" s="569"/>
      <c r="G13" s="569" t="s">
        <v>515</v>
      </c>
    </row>
    <row r="14" spans="1:7" ht="15" customHeight="1">
      <c r="A14" s="571">
        <v>10</v>
      </c>
      <c r="B14" s="572" t="s">
        <v>323</v>
      </c>
      <c r="C14" s="572" t="s">
        <v>678</v>
      </c>
      <c r="D14" s="571" t="s">
        <v>679</v>
      </c>
      <c r="E14" s="571"/>
      <c r="F14" s="571"/>
      <c r="G14" s="571" t="s">
        <v>81</v>
      </c>
    </row>
    <row r="15" spans="1:7" ht="15" customHeight="1">
      <c r="A15" s="569">
        <v>11</v>
      </c>
      <c r="B15" s="570" t="s">
        <v>584</v>
      </c>
      <c r="C15" s="570" t="s">
        <v>676</v>
      </c>
      <c r="D15" s="569" t="s">
        <v>675</v>
      </c>
      <c r="E15" s="569"/>
      <c r="F15" s="569"/>
      <c r="G15" s="569" t="s">
        <v>81</v>
      </c>
    </row>
    <row r="16" spans="1:7" ht="30" customHeight="1">
      <c r="A16" s="571">
        <v>12</v>
      </c>
      <c r="B16" s="572" t="s">
        <v>585</v>
      </c>
      <c r="C16" s="572" t="s">
        <v>676</v>
      </c>
      <c r="D16" s="571" t="s">
        <v>675</v>
      </c>
      <c r="E16" s="571"/>
      <c r="F16" s="571"/>
      <c r="G16" s="571" t="s">
        <v>81</v>
      </c>
    </row>
    <row r="17" spans="1:7" ht="15" customHeight="1">
      <c r="A17" s="569">
        <v>13</v>
      </c>
      <c r="B17" s="570" t="s">
        <v>603</v>
      </c>
      <c r="C17" s="570" t="s">
        <v>676</v>
      </c>
      <c r="D17" s="569" t="s">
        <v>675</v>
      </c>
      <c r="E17" s="569"/>
      <c r="F17" s="569"/>
      <c r="G17" s="569" t="s">
        <v>81</v>
      </c>
    </row>
    <row r="18" spans="1:7" ht="15" customHeight="1">
      <c r="A18" s="571">
        <v>14</v>
      </c>
      <c r="B18" s="572" t="s">
        <v>605</v>
      </c>
      <c r="C18" s="572" t="s">
        <v>676</v>
      </c>
      <c r="D18" s="571" t="s">
        <v>675</v>
      </c>
      <c r="E18" s="571"/>
      <c r="F18" s="571"/>
      <c r="G18" s="571" t="s">
        <v>170</v>
      </c>
    </row>
    <row r="19" spans="1:7" ht="45" customHeight="1">
      <c r="A19" s="896">
        <v>17</v>
      </c>
      <c r="B19" s="570" t="s">
        <v>684</v>
      </c>
      <c r="C19" s="570" t="s">
        <v>676</v>
      </c>
      <c r="D19" s="569" t="s">
        <v>675</v>
      </c>
      <c r="E19" s="569"/>
      <c r="F19" s="569"/>
      <c r="G19" s="896" t="s">
        <v>686</v>
      </c>
    </row>
    <row r="20" spans="1:7" ht="15" customHeight="1">
      <c r="A20" s="896"/>
      <c r="B20" s="570" t="s">
        <v>685</v>
      </c>
      <c r="C20" s="570"/>
      <c r="D20" s="569"/>
      <c r="E20" s="569"/>
      <c r="F20" s="569"/>
      <c r="G20" s="896"/>
    </row>
    <row r="21" spans="1:7" ht="15" customHeight="1">
      <c r="A21" s="899" t="s">
        <v>687</v>
      </c>
      <c r="B21" s="899"/>
      <c r="C21" s="899"/>
      <c r="D21" s="899"/>
      <c r="E21" s="899"/>
      <c r="F21" s="899"/>
      <c r="G21" s="899"/>
    </row>
    <row r="22" spans="1:7" ht="15" customHeight="1">
      <c r="A22" s="571">
        <v>18</v>
      </c>
      <c r="B22" s="571" t="s">
        <v>688</v>
      </c>
      <c r="C22" s="572" t="s">
        <v>676</v>
      </c>
      <c r="D22" s="898" t="s">
        <v>675</v>
      </c>
      <c r="E22" s="898"/>
      <c r="F22" s="898" t="s">
        <v>689</v>
      </c>
      <c r="G22" s="898"/>
    </row>
    <row r="23" spans="1:7" ht="15" customHeight="1">
      <c r="A23" s="900" t="s">
        <v>613</v>
      </c>
      <c r="B23" s="900"/>
      <c r="C23" s="900"/>
      <c r="D23" s="900"/>
      <c r="E23" s="900"/>
      <c r="F23" s="900"/>
      <c r="G23" s="900"/>
    </row>
    <row r="24" spans="1:7" ht="15" customHeight="1">
      <c r="A24" s="569">
        <v>19</v>
      </c>
      <c r="B24" s="569" t="s">
        <v>67</v>
      </c>
      <c r="C24" s="570" t="s">
        <v>674</v>
      </c>
      <c r="D24" s="896" t="s">
        <v>690</v>
      </c>
      <c r="E24" s="896"/>
      <c r="F24" s="896"/>
      <c r="G24" s="569"/>
    </row>
    <row r="25" spans="1:7" ht="15" customHeight="1">
      <c r="A25" s="571">
        <v>20</v>
      </c>
      <c r="B25" s="571" t="s">
        <v>75</v>
      </c>
      <c r="C25" s="572" t="s">
        <v>674</v>
      </c>
      <c r="D25" s="898" t="s">
        <v>690</v>
      </c>
      <c r="E25" s="898"/>
      <c r="F25" s="898"/>
      <c r="G25" s="571"/>
    </row>
    <row r="26" spans="1:7" ht="15" customHeight="1">
      <c r="A26" s="900" t="s">
        <v>610</v>
      </c>
      <c r="B26" s="900"/>
      <c r="C26" s="900"/>
      <c r="D26" s="900"/>
      <c r="E26" s="900"/>
      <c r="F26" s="900"/>
      <c r="G26" s="900"/>
    </row>
    <row r="27" spans="1:7" ht="15" customHeight="1">
      <c r="A27" s="569">
        <v>23</v>
      </c>
      <c r="B27" s="569" t="s">
        <v>590</v>
      </c>
      <c r="C27" s="570" t="s">
        <v>674</v>
      </c>
      <c r="D27" s="896" t="s">
        <v>675</v>
      </c>
      <c r="E27" s="896"/>
      <c r="F27" s="896"/>
      <c r="G27" s="569" t="s">
        <v>170</v>
      </c>
    </row>
    <row r="28" spans="1:7" ht="15" customHeight="1">
      <c r="A28" s="571">
        <v>24</v>
      </c>
      <c r="B28" s="571" t="s">
        <v>591</v>
      </c>
      <c r="C28" s="572" t="s">
        <v>674</v>
      </c>
      <c r="D28" s="898" t="s">
        <v>675</v>
      </c>
      <c r="E28" s="898"/>
      <c r="F28" s="898"/>
      <c r="G28" s="571" t="s">
        <v>170</v>
      </c>
    </row>
    <row r="29" spans="1:7" ht="15" customHeight="1">
      <c r="A29" s="569">
        <v>25</v>
      </c>
      <c r="B29" s="569" t="s">
        <v>592</v>
      </c>
      <c r="C29" s="570" t="s">
        <v>674</v>
      </c>
      <c r="D29" s="896" t="s">
        <v>675</v>
      </c>
      <c r="E29" s="896"/>
      <c r="F29" s="896"/>
      <c r="G29" s="569" t="s">
        <v>170</v>
      </c>
    </row>
    <row r="30" spans="1:7" ht="15" customHeight="1">
      <c r="A30" s="571">
        <v>26</v>
      </c>
      <c r="B30" s="571" t="s">
        <v>692</v>
      </c>
      <c r="C30" s="572" t="s">
        <v>674</v>
      </c>
      <c r="D30" s="898" t="s">
        <v>675</v>
      </c>
      <c r="E30" s="898"/>
      <c r="F30" s="898"/>
      <c r="G30" s="571" t="s">
        <v>170</v>
      </c>
    </row>
    <row r="31" spans="1:7" ht="15" customHeight="1">
      <c r="A31" s="569">
        <v>27</v>
      </c>
      <c r="B31" s="569" t="s">
        <v>594</v>
      </c>
      <c r="C31" s="570" t="s">
        <v>674</v>
      </c>
      <c r="D31" s="896" t="s">
        <v>675</v>
      </c>
      <c r="E31" s="896"/>
      <c r="F31" s="896"/>
      <c r="G31" s="569" t="s">
        <v>170</v>
      </c>
    </row>
  </sheetData>
  <mergeCells count="15">
    <mergeCell ref="D29:F29"/>
    <mergeCell ref="D30:F30"/>
    <mergeCell ref="D31:F31"/>
    <mergeCell ref="A26:G26"/>
    <mergeCell ref="D22:E22"/>
    <mergeCell ref="F22:G22"/>
    <mergeCell ref="A23:G23"/>
    <mergeCell ref="D24:F24"/>
    <mergeCell ref="A19:A20"/>
    <mergeCell ref="A7:G7"/>
    <mergeCell ref="D28:F28"/>
    <mergeCell ref="D27:F27"/>
    <mergeCell ref="D25:F25"/>
    <mergeCell ref="A21:G21"/>
    <mergeCell ref="G19:G20"/>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96BEF-0193-4EF0-B240-B96FD5087F7F}">
  <sheetPr>
    <tabColor theme="6" tint="0.39997558519241921"/>
  </sheetPr>
  <dimension ref="A6:G40"/>
  <sheetViews>
    <sheetView workbookViewId="0">
      <selection activeCell="G12" sqref="G12"/>
    </sheetView>
  </sheetViews>
  <sheetFormatPr baseColWidth="10" defaultRowHeight="12.5"/>
  <cols>
    <col min="2" max="2" width="74.26953125" customWidth="1"/>
    <col min="4" max="4" width="14" bestFit="1" customWidth="1"/>
    <col min="5" max="5" width="16" customWidth="1"/>
  </cols>
  <sheetData>
    <row r="6" spans="1:7" ht="24.5" thickBot="1">
      <c r="A6" s="568" t="s">
        <v>6</v>
      </c>
      <c r="B6" s="573" t="s">
        <v>27</v>
      </c>
      <c r="C6" s="573" t="s">
        <v>78</v>
      </c>
      <c r="D6" s="573" t="s">
        <v>693</v>
      </c>
      <c r="E6" s="573" t="s">
        <v>694</v>
      </c>
      <c r="F6" s="573"/>
      <c r="G6" s="573"/>
    </row>
    <row r="7" spans="1:7" ht="15" customHeight="1">
      <c r="A7" s="897" t="s">
        <v>673</v>
      </c>
      <c r="B7" s="897"/>
      <c r="C7" s="897"/>
      <c r="D7" s="897"/>
      <c r="E7" s="897"/>
      <c r="F7" s="897"/>
      <c r="G7" s="897"/>
    </row>
    <row r="8" spans="1:7" ht="15" customHeight="1">
      <c r="A8" s="569">
        <v>1</v>
      </c>
      <c r="B8" s="570" t="s">
        <v>172</v>
      </c>
      <c r="C8" s="570" t="s">
        <v>674</v>
      </c>
      <c r="D8" s="569" t="s">
        <v>675</v>
      </c>
      <c r="E8" s="569"/>
      <c r="F8" s="569"/>
      <c r="G8" s="569" t="s">
        <v>81</v>
      </c>
    </row>
    <row r="9" spans="1:7" ht="15" customHeight="1">
      <c r="A9" s="571">
        <v>2</v>
      </c>
      <c r="B9" s="572" t="s">
        <v>583</v>
      </c>
      <c r="C9" s="572" t="s">
        <v>145</v>
      </c>
      <c r="D9" s="571" t="s">
        <v>675</v>
      </c>
      <c r="E9" s="571"/>
      <c r="F9" s="571"/>
      <c r="G9" s="571" t="s">
        <v>81</v>
      </c>
    </row>
    <row r="10" spans="1:7" ht="15" customHeight="1">
      <c r="A10" s="569">
        <v>3</v>
      </c>
      <c r="B10" s="570" t="s">
        <v>80</v>
      </c>
      <c r="C10" s="570" t="s">
        <v>145</v>
      </c>
      <c r="D10" s="569" t="s">
        <v>675</v>
      </c>
      <c r="E10" s="569"/>
      <c r="F10" s="569"/>
      <c r="G10" s="569" t="s">
        <v>81</v>
      </c>
    </row>
    <row r="11" spans="1:7" ht="15" customHeight="1">
      <c r="A11" s="571">
        <v>4</v>
      </c>
      <c r="B11" s="572" t="s">
        <v>177</v>
      </c>
      <c r="C11" s="572" t="s">
        <v>145</v>
      </c>
      <c r="D11" s="571" t="s">
        <v>675</v>
      </c>
      <c r="E11" s="571"/>
      <c r="F11" s="571"/>
      <c r="G11" s="571" t="s">
        <v>81</v>
      </c>
    </row>
    <row r="12" spans="1:7" ht="15" customHeight="1">
      <c r="A12" s="569">
        <v>5</v>
      </c>
      <c r="B12" s="570" t="s">
        <v>178</v>
      </c>
      <c r="C12" s="570" t="s">
        <v>145</v>
      </c>
      <c r="D12" s="569" t="s">
        <v>675</v>
      </c>
      <c r="E12" s="569"/>
      <c r="F12" s="569"/>
      <c r="G12" s="569" t="s">
        <v>81</v>
      </c>
    </row>
    <row r="13" spans="1:7">
      <c r="A13" s="571">
        <v>6</v>
      </c>
      <c r="B13" s="572" t="s">
        <v>194</v>
      </c>
      <c r="C13" s="572" t="s">
        <v>674</v>
      </c>
      <c r="D13" s="571" t="s">
        <v>675</v>
      </c>
      <c r="E13" s="571"/>
      <c r="F13" s="571"/>
      <c r="G13" s="571" t="s">
        <v>515</v>
      </c>
    </row>
    <row r="14" spans="1:7" ht="15" customHeight="1">
      <c r="A14" s="569">
        <v>7</v>
      </c>
      <c r="B14" s="570" t="s">
        <v>195</v>
      </c>
      <c r="C14" s="570" t="s">
        <v>676</v>
      </c>
      <c r="D14" s="569" t="s">
        <v>675</v>
      </c>
      <c r="E14" s="569"/>
      <c r="F14" s="569"/>
      <c r="G14" s="569" t="s">
        <v>261</v>
      </c>
    </row>
    <row r="15" spans="1:7" ht="24">
      <c r="A15" s="571">
        <v>8</v>
      </c>
      <c r="B15" s="572" t="s">
        <v>196</v>
      </c>
      <c r="C15" s="572" t="s">
        <v>677</v>
      </c>
      <c r="D15" s="571" t="s">
        <v>675</v>
      </c>
      <c r="E15" s="571"/>
      <c r="F15" s="571"/>
      <c r="G15" s="571" t="s">
        <v>515</v>
      </c>
    </row>
    <row r="16" spans="1:7" ht="24">
      <c r="A16" s="569">
        <v>9</v>
      </c>
      <c r="B16" s="570" t="s">
        <v>197</v>
      </c>
      <c r="C16" s="570" t="s">
        <v>676</v>
      </c>
      <c r="D16" s="569" t="s">
        <v>675</v>
      </c>
      <c r="E16" s="569"/>
      <c r="F16" s="569"/>
      <c r="G16" s="569" t="s">
        <v>515</v>
      </c>
    </row>
    <row r="17" spans="1:7" ht="15" customHeight="1">
      <c r="A17" s="571">
        <v>10</v>
      </c>
      <c r="B17" s="572" t="s">
        <v>323</v>
      </c>
      <c r="C17" s="572" t="s">
        <v>678</v>
      </c>
      <c r="D17" s="571" t="s">
        <v>679</v>
      </c>
      <c r="E17" s="571"/>
      <c r="F17" s="571"/>
      <c r="G17" s="571" t="s">
        <v>81</v>
      </c>
    </row>
    <row r="18" spans="1:7" ht="15" customHeight="1">
      <c r="A18" s="569">
        <v>11</v>
      </c>
      <c r="B18" s="570" t="s">
        <v>584</v>
      </c>
      <c r="C18" s="570" t="s">
        <v>676</v>
      </c>
      <c r="D18" s="569" t="s">
        <v>675</v>
      </c>
      <c r="E18" s="569"/>
      <c r="F18" s="569"/>
      <c r="G18" s="569" t="s">
        <v>81</v>
      </c>
    </row>
    <row r="19" spans="1:7" ht="30" customHeight="1">
      <c r="A19" s="571">
        <v>12</v>
      </c>
      <c r="B19" s="572" t="s">
        <v>585</v>
      </c>
      <c r="C19" s="572" t="s">
        <v>676</v>
      </c>
      <c r="D19" s="571" t="s">
        <v>675</v>
      </c>
      <c r="E19" s="571"/>
      <c r="F19" s="571"/>
      <c r="G19" s="571" t="s">
        <v>81</v>
      </c>
    </row>
    <row r="20" spans="1:7" ht="15" customHeight="1">
      <c r="A20" s="896">
        <v>13</v>
      </c>
      <c r="B20" s="570" t="s">
        <v>680</v>
      </c>
      <c r="C20" s="570" t="s">
        <v>676</v>
      </c>
      <c r="D20" s="569" t="s">
        <v>675</v>
      </c>
      <c r="E20" s="569"/>
      <c r="F20" s="569"/>
      <c r="G20" s="896" t="s">
        <v>81</v>
      </c>
    </row>
    <row r="21" spans="1:7" ht="15" customHeight="1">
      <c r="A21" s="896"/>
      <c r="B21" s="570" t="s">
        <v>681</v>
      </c>
      <c r="C21" s="570"/>
      <c r="D21" s="569"/>
      <c r="E21" s="569"/>
      <c r="F21" s="569"/>
      <c r="G21" s="896"/>
    </row>
    <row r="22" spans="1:7" ht="15" customHeight="1">
      <c r="A22" s="898">
        <v>14</v>
      </c>
      <c r="B22" s="572" t="s">
        <v>682</v>
      </c>
      <c r="C22" s="572" t="s">
        <v>676</v>
      </c>
      <c r="D22" s="571" t="s">
        <v>675</v>
      </c>
      <c r="E22" s="571"/>
      <c r="F22" s="571"/>
      <c r="G22" s="898" t="s">
        <v>170</v>
      </c>
    </row>
    <row r="23" spans="1:7" ht="15" customHeight="1">
      <c r="A23" s="898"/>
      <c r="B23" s="572" t="s">
        <v>683</v>
      </c>
      <c r="C23" s="572"/>
      <c r="D23" s="571"/>
      <c r="E23" s="571"/>
      <c r="F23" s="571"/>
      <c r="G23" s="898"/>
    </row>
    <row r="24" spans="1:7" ht="15" customHeight="1">
      <c r="A24" s="569">
        <v>15</v>
      </c>
      <c r="B24" s="570" t="s">
        <v>324</v>
      </c>
      <c r="C24" s="570" t="s">
        <v>145</v>
      </c>
      <c r="D24" s="569" t="s">
        <v>675</v>
      </c>
      <c r="E24" s="569"/>
      <c r="F24" s="569"/>
      <c r="G24" s="569" t="s">
        <v>81</v>
      </c>
    </row>
    <row r="25" spans="1:7" ht="15" customHeight="1">
      <c r="A25" s="571">
        <v>16</v>
      </c>
      <c r="B25" s="572" t="s">
        <v>588</v>
      </c>
      <c r="C25" s="572" t="s">
        <v>145</v>
      </c>
      <c r="D25" s="571" t="s">
        <v>675</v>
      </c>
      <c r="E25" s="571"/>
      <c r="F25" s="571"/>
      <c r="G25" s="571" t="s">
        <v>81</v>
      </c>
    </row>
    <row r="26" spans="1:7" ht="45" customHeight="1">
      <c r="A26" s="896">
        <v>17</v>
      </c>
      <c r="B26" s="570" t="s">
        <v>684</v>
      </c>
      <c r="C26" s="570" t="s">
        <v>676</v>
      </c>
      <c r="D26" s="569" t="s">
        <v>675</v>
      </c>
      <c r="E26" s="569"/>
      <c r="F26" s="569"/>
      <c r="G26" s="896" t="s">
        <v>686</v>
      </c>
    </row>
    <row r="27" spans="1:7" ht="15" customHeight="1">
      <c r="A27" s="896"/>
      <c r="B27" s="570" t="s">
        <v>685</v>
      </c>
      <c r="C27" s="570"/>
      <c r="D27" s="569"/>
      <c r="E27" s="569"/>
      <c r="F27" s="569"/>
      <c r="G27" s="896"/>
    </row>
    <row r="28" spans="1:7" ht="15" customHeight="1">
      <c r="A28" s="899" t="s">
        <v>687</v>
      </c>
      <c r="B28" s="899"/>
      <c r="C28" s="899"/>
      <c r="D28" s="899"/>
      <c r="E28" s="899"/>
      <c r="F28" s="899"/>
      <c r="G28" s="899"/>
    </row>
    <row r="29" spans="1:7" ht="15" customHeight="1">
      <c r="A29" s="571">
        <v>18</v>
      </c>
      <c r="B29" s="571" t="s">
        <v>688</v>
      </c>
      <c r="C29" s="572" t="s">
        <v>676</v>
      </c>
      <c r="D29" s="898" t="s">
        <v>675</v>
      </c>
      <c r="E29" s="898"/>
      <c r="F29" s="898" t="s">
        <v>689</v>
      </c>
      <c r="G29" s="898"/>
    </row>
    <row r="30" spans="1:7" ht="15" customHeight="1">
      <c r="A30" s="900" t="s">
        <v>613</v>
      </c>
      <c r="B30" s="900"/>
      <c r="C30" s="900"/>
      <c r="D30" s="900"/>
      <c r="E30" s="900"/>
      <c r="F30" s="900"/>
      <c r="G30" s="900"/>
    </row>
    <row r="31" spans="1:7" ht="15" customHeight="1">
      <c r="A31" s="569">
        <v>19</v>
      </c>
      <c r="B31" s="569" t="s">
        <v>67</v>
      </c>
      <c r="C31" s="570" t="s">
        <v>674</v>
      </c>
      <c r="D31" s="896" t="s">
        <v>690</v>
      </c>
      <c r="E31" s="896"/>
      <c r="F31" s="896"/>
      <c r="G31" s="569"/>
    </row>
    <row r="32" spans="1:7" ht="15" customHeight="1">
      <c r="A32" s="571">
        <v>20</v>
      </c>
      <c r="B32" s="571" t="s">
        <v>75</v>
      </c>
      <c r="C32" s="572" t="s">
        <v>674</v>
      </c>
      <c r="D32" s="898" t="s">
        <v>690</v>
      </c>
      <c r="E32" s="898"/>
      <c r="F32" s="898"/>
      <c r="G32" s="571"/>
    </row>
    <row r="33" spans="1:7" ht="15" customHeight="1">
      <c r="A33" s="569">
        <v>21</v>
      </c>
      <c r="B33" s="569" t="s">
        <v>205</v>
      </c>
      <c r="C33" s="570" t="s">
        <v>678</v>
      </c>
      <c r="D33" s="896" t="s">
        <v>675</v>
      </c>
      <c r="E33" s="896"/>
      <c r="F33" s="896"/>
      <c r="G33" s="569" t="s">
        <v>691</v>
      </c>
    </row>
    <row r="34" spans="1:7" ht="15" customHeight="1">
      <c r="A34" s="571">
        <v>22</v>
      </c>
      <c r="B34" s="571" t="s">
        <v>207</v>
      </c>
      <c r="C34" s="572" t="s">
        <v>678</v>
      </c>
      <c r="D34" s="898" t="s">
        <v>675</v>
      </c>
      <c r="E34" s="898"/>
      <c r="F34" s="898"/>
      <c r="G34" s="571" t="s">
        <v>691</v>
      </c>
    </row>
    <row r="35" spans="1:7" ht="15" customHeight="1">
      <c r="A35" s="900" t="s">
        <v>610</v>
      </c>
      <c r="B35" s="900"/>
      <c r="C35" s="900"/>
      <c r="D35" s="900"/>
      <c r="E35" s="900"/>
      <c r="F35" s="900"/>
      <c r="G35" s="900"/>
    </row>
    <row r="36" spans="1:7" ht="15" customHeight="1">
      <c r="A36" s="569">
        <v>23</v>
      </c>
      <c r="B36" s="569" t="s">
        <v>590</v>
      </c>
      <c r="C36" s="570" t="s">
        <v>674</v>
      </c>
      <c r="D36" s="896" t="s">
        <v>675</v>
      </c>
      <c r="E36" s="896"/>
      <c r="F36" s="896"/>
      <c r="G36" s="569" t="s">
        <v>170</v>
      </c>
    </row>
    <row r="37" spans="1:7" ht="15" customHeight="1">
      <c r="A37" s="571">
        <v>24</v>
      </c>
      <c r="B37" s="571" t="s">
        <v>591</v>
      </c>
      <c r="C37" s="572" t="s">
        <v>674</v>
      </c>
      <c r="D37" s="898" t="s">
        <v>675</v>
      </c>
      <c r="E37" s="898"/>
      <c r="F37" s="898"/>
      <c r="G37" s="571" t="s">
        <v>170</v>
      </c>
    </row>
    <row r="38" spans="1:7" ht="15" customHeight="1">
      <c r="A38" s="569">
        <v>25</v>
      </c>
      <c r="B38" s="569" t="s">
        <v>592</v>
      </c>
      <c r="C38" s="570" t="s">
        <v>674</v>
      </c>
      <c r="D38" s="896" t="s">
        <v>675</v>
      </c>
      <c r="E38" s="896"/>
      <c r="F38" s="896"/>
      <c r="G38" s="569" t="s">
        <v>170</v>
      </c>
    </row>
    <row r="39" spans="1:7" ht="15" customHeight="1">
      <c r="A39" s="571">
        <v>26</v>
      </c>
      <c r="B39" s="571" t="s">
        <v>692</v>
      </c>
      <c r="C39" s="572" t="s">
        <v>674</v>
      </c>
      <c r="D39" s="898" t="s">
        <v>675</v>
      </c>
      <c r="E39" s="898"/>
      <c r="F39" s="898"/>
      <c r="G39" s="571" t="s">
        <v>170</v>
      </c>
    </row>
    <row r="40" spans="1:7" ht="15" customHeight="1">
      <c r="A40" s="569">
        <v>27</v>
      </c>
      <c r="B40" s="569" t="s">
        <v>594</v>
      </c>
      <c r="C40" s="570" t="s">
        <v>674</v>
      </c>
      <c r="D40" s="896" t="s">
        <v>675</v>
      </c>
      <c r="E40" s="896"/>
      <c r="F40" s="896"/>
      <c r="G40" s="569" t="s">
        <v>170</v>
      </c>
    </row>
  </sheetData>
  <mergeCells count="21">
    <mergeCell ref="D39:F39"/>
    <mergeCell ref="D40:F40"/>
    <mergeCell ref="D33:F33"/>
    <mergeCell ref="D34:F34"/>
    <mergeCell ref="A35:G35"/>
    <mergeCell ref="D36:F36"/>
    <mergeCell ref="D37:F37"/>
    <mergeCell ref="D38:F38"/>
    <mergeCell ref="D32:F32"/>
    <mergeCell ref="A7:G7"/>
    <mergeCell ref="A20:A21"/>
    <mergeCell ref="G20:G21"/>
    <mergeCell ref="A22:A23"/>
    <mergeCell ref="G22:G23"/>
    <mergeCell ref="A26:A27"/>
    <mergeCell ref="G26:G27"/>
    <mergeCell ref="A28:G28"/>
    <mergeCell ref="D29:E29"/>
    <mergeCell ref="F29:G29"/>
    <mergeCell ref="A30:G30"/>
    <mergeCell ref="D31:F3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DDBB-B1FF-462A-9C4C-D40707B9C519}">
  <sheetPr codeName="Feuil95"/>
  <dimension ref="E8:G13"/>
  <sheetViews>
    <sheetView workbookViewId="0">
      <selection activeCell="G13" sqref="G13"/>
    </sheetView>
  </sheetViews>
  <sheetFormatPr baseColWidth="10" defaultColWidth="11.54296875" defaultRowHeight="14.5"/>
  <cols>
    <col min="1" max="5" width="11.54296875" style="291"/>
    <col min="6" max="6" width="30.7265625" style="291" customWidth="1"/>
    <col min="7" max="7" width="47.7265625" style="291" customWidth="1"/>
    <col min="8" max="16384" width="11.54296875" style="291"/>
  </cols>
  <sheetData>
    <row r="8" spans="5:7">
      <c r="E8" s="834" t="s">
        <v>489</v>
      </c>
      <c r="F8" s="834"/>
      <c r="G8" s="834"/>
    </row>
    <row r="10" spans="5:7" ht="15" thickBot="1">
      <c r="E10" s="292" t="s">
        <v>71</v>
      </c>
      <c r="F10" s="292" t="s">
        <v>487</v>
      </c>
      <c r="G10" s="292" t="s">
        <v>488</v>
      </c>
    </row>
    <row r="11" spans="5:7" ht="15" thickTop="1">
      <c r="E11" s="360" t="s">
        <v>341</v>
      </c>
      <c r="F11" s="360" t="s">
        <v>490</v>
      </c>
      <c r="G11" s="361" t="s">
        <v>491</v>
      </c>
    </row>
    <row r="12" spans="5:7">
      <c r="E12" s="307" t="s">
        <v>340</v>
      </c>
      <c r="F12" s="307" t="s">
        <v>490</v>
      </c>
      <c r="G12" s="308" t="s">
        <v>491</v>
      </c>
    </row>
    <row r="13" spans="5:7">
      <c r="E13" s="362" t="s">
        <v>1</v>
      </c>
      <c r="F13" s="362" t="s">
        <v>492</v>
      </c>
      <c r="G13" s="362" t="s">
        <v>493</v>
      </c>
    </row>
  </sheetData>
  <mergeCells count="1">
    <mergeCell ref="E8:G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48474-25BF-4850-A7D6-AEE0845020C0}">
  <sheetPr codeName="Feuil7">
    <tabColor theme="4" tint="0.59999389629810485"/>
  </sheetPr>
  <dimension ref="A1:N25"/>
  <sheetViews>
    <sheetView zoomScaleNormal="100" workbookViewId="0">
      <selection activeCell="B3" sqref="B3"/>
    </sheetView>
  </sheetViews>
  <sheetFormatPr baseColWidth="10" defaultColWidth="11.453125" defaultRowHeight="12"/>
  <cols>
    <col min="1" max="1" width="15" style="229" bestFit="1" customWidth="1"/>
    <col min="2" max="2" width="4.54296875" style="229" customWidth="1"/>
    <col min="3" max="3" width="42.26953125" style="245" bestFit="1" customWidth="1"/>
    <col min="4" max="4" width="16.453125" style="229" bestFit="1" customWidth="1"/>
    <col min="5" max="5" width="15.7265625" style="229" bestFit="1" customWidth="1"/>
    <col min="6" max="6" width="14.453125" style="229" bestFit="1" customWidth="1"/>
    <col min="7" max="7" width="15.7265625" style="229" bestFit="1" customWidth="1"/>
    <col min="8" max="8" width="14.26953125" style="229" customWidth="1"/>
    <col min="9" max="9" width="18.453125" style="229" bestFit="1" customWidth="1"/>
    <col min="10" max="10" width="17.1796875" style="693" bestFit="1" customWidth="1"/>
    <col min="11" max="11" width="14.453125" style="694" bestFit="1" customWidth="1"/>
    <col min="12" max="14" width="11.453125" style="694"/>
    <col min="15" max="16384" width="11.453125" style="229"/>
  </cols>
  <sheetData>
    <row r="1" spans="1:14">
      <c r="A1" s="228"/>
    </row>
    <row r="2" spans="1:14">
      <c r="B2" s="608"/>
    </row>
    <row r="3" spans="1:14" ht="15.5">
      <c r="B3" s="609" t="s">
        <v>724</v>
      </c>
    </row>
    <row r="4" spans="1:14" ht="27.75" customHeight="1" thickBot="1">
      <c r="B4" s="453" t="s">
        <v>6</v>
      </c>
      <c r="C4" s="453" t="s">
        <v>241</v>
      </c>
      <c r="D4" s="681" t="s">
        <v>753</v>
      </c>
      <c r="E4" s="453" t="s">
        <v>249</v>
      </c>
      <c r="F4" s="453" t="s">
        <v>250</v>
      </c>
      <c r="G4" s="453" t="s">
        <v>251</v>
      </c>
      <c r="H4" s="453" t="s">
        <v>758</v>
      </c>
    </row>
    <row r="5" spans="1:14" ht="12.5" thickTop="1">
      <c r="B5" s="802">
        <v>1</v>
      </c>
      <c r="C5" s="804" t="s">
        <v>243</v>
      </c>
      <c r="D5" s="682" t="s">
        <v>170</v>
      </c>
      <c r="E5" s="477">
        <f>+'Tableau Général'!BM25/1000000+'Tableau Général'!BM27/1000000</f>
        <v>1135.2778979672939</v>
      </c>
      <c r="F5" s="477">
        <v>0</v>
      </c>
      <c r="G5" s="477">
        <v>0</v>
      </c>
      <c r="H5" s="806">
        <f>SUM(E5:G6)</f>
        <v>1874.1169430952941</v>
      </c>
      <c r="J5" s="695"/>
      <c r="K5" s="696"/>
      <c r="L5" s="696"/>
      <c r="M5" s="696"/>
      <c r="N5" s="696"/>
    </row>
    <row r="6" spans="1:14">
      <c r="B6" s="803"/>
      <c r="C6" s="805"/>
      <c r="D6" s="682" t="s">
        <v>81</v>
      </c>
      <c r="E6" s="477">
        <f>+'Tableau Général'!BM6/1000000</f>
        <v>738.83904512800007</v>
      </c>
      <c r="F6" s="477">
        <v>0</v>
      </c>
      <c r="G6" s="477">
        <v>0</v>
      </c>
      <c r="H6" s="807"/>
      <c r="I6" s="695"/>
      <c r="J6" s="695"/>
      <c r="K6" s="696"/>
      <c r="L6" s="696"/>
      <c r="M6" s="696"/>
      <c r="N6" s="696"/>
    </row>
    <row r="7" spans="1:14">
      <c r="B7" s="808">
        <f>+B5+1</f>
        <v>2</v>
      </c>
      <c r="C7" s="809" t="s">
        <v>246</v>
      </c>
      <c r="D7" s="691" t="s">
        <v>170</v>
      </c>
      <c r="E7" s="692">
        <f>+'Tableau Général'!BM24/1000000+'Tableau Général'!BM26/1000000</f>
        <v>1211.0715520389097</v>
      </c>
      <c r="F7" s="692">
        <v>0</v>
      </c>
      <c r="G7" s="692">
        <v>0</v>
      </c>
      <c r="H7" s="810">
        <f>SUM(E7:G8)</f>
        <v>1589.8110518437597</v>
      </c>
      <c r="J7" s="695"/>
      <c r="K7" s="696"/>
      <c r="L7" s="696"/>
      <c r="M7" s="696"/>
      <c r="N7" s="696"/>
    </row>
    <row r="8" spans="1:14">
      <c r="B8" s="808"/>
      <c r="C8" s="809"/>
      <c r="D8" s="691" t="s">
        <v>81</v>
      </c>
      <c r="E8" s="692">
        <f>+'Tableau Général'!BM8/1000000</f>
        <v>378.73949980485003</v>
      </c>
      <c r="F8" s="692">
        <v>0</v>
      </c>
      <c r="G8" s="692">
        <v>0</v>
      </c>
      <c r="H8" s="810"/>
      <c r="J8" s="695"/>
      <c r="K8" s="696"/>
      <c r="L8" s="696"/>
      <c r="M8" s="696"/>
      <c r="N8" s="696"/>
    </row>
    <row r="9" spans="1:14">
      <c r="B9" s="683">
        <f>+B7+1</f>
        <v>3</v>
      </c>
      <c r="C9" s="478" t="s">
        <v>176</v>
      </c>
      <c r="D9" s="682" t="s">
        <v>81</v>
      </c>
      <c r="E9" s="477">
        <f>+'Tableau Général'!BM7/1000000</f>
        <v>1330.0299314285714</v>
      </c>
      <c r="F9" s="477">
        <f>+'Tableau Général'!AW7/1000000</f>
        <v>26.4</v>
      </c>
      <c r="G9" s="477">
        <v>0</v>
      </c>
      <c r="H9" s="477">
        <f t="shared" ref="H9:H22" si="0">SUM(E9:G9)</f>
        <v>1356.4299314285715</v>
      </c>
      <c r="J9" s="695"/>
      <c r="K9" s="696"/>
      <c r="L9" s="696"/>
      <c r="M9" s="696"/>
      <c r="N9" s="696"/>
    </row>
    <row r="10" spans="1:14">
      <c r="B10" s="687">
        <f t="shared" ref="B10:B22" si="1">+B9+1</f>
        <v>4</v>
      </c>
      <c r="C10" s="690" t="s">
        <v>167</v>
      </c>
      <c r="D10" s="691" t="s">
        <v>166</v>
      </c>
      <c r="E10" s="692">
        <f>+'Tableau Général'!BM22/1000000</f>
        <v>413.54794099999998</v>
      </c>
      <c r="F10" s="692">
        <f>+'Tableau Général'!AW22/1000000</f>
        <v>527.18147547499996</v>
      </c>
      <c r="G10" s="692">
        <f>+'Tableau Général'!BP22</f>
        <v>0</v>
      </c>
      <c r="H10" s="692">
        <f t="shared" si="0"/>
        <v>940.72941647499988</v>
      </c>
      <c r="J10" s="695"/>
      <c r="K10" s="696"/>
      <c r="L10" s="696"/>
      <c r="M10" s="696"/>
      <c r="N10" s="696"/>
    </row>
    <row r="11" spans="1:14" ht="24">
      <c r="B11" s="683">
        <f t="shared" si="1"/>
        <v>5</v>
      </c>
      <c r="C11" s="684" t="s">
        <v>165</v>
      </c>
      <c r="D11" s="685" t="s">
        <v>166</v>
      </c>
      <c r="E11" s="686">
        <f>+'Tableau Général'!BM21/1000000</f>
        <v>23.598148999999999</v>
      </c>
      <c r="F11" s="686">
        <f>+'Tableau Général'!AW21/1000000</f>
        <v>179.61829064000003</v>
      </c>
      <c r="G11" s="686">
        <f>+'Tableau Général'!BP21</f>
        <v>0</v>
      </c>
      <c r="H11" s="686">
        <f t="shared" si="0"/>
        <v>203.21643964000003</v>
      </c>
      <c r="J11" s="695"/>
      <c r="K11" s="696"/>
      <c r="L11" s="696"/>
      <c r="M11" s="696"/>
      <c r="N11" s="696"/>
    </row>
    <row r="12" spans="1:14">
      <c r="B12" s="687">
        <f t="shared" si="1"/>
        <v>6</v>
      </c>
      <c r="C12" s="688" t="s">
        <v>759</v>
      </c>
      <c r="D12" s="689" t="s">
        <v>515</v>
      </c>
      <c r="E12" s="490">
        <f>+'Tableau Général'!BM35/1000000</f>
        <v>0</v>
      </c>
      <c r="F12" s="490">
        <f>+'Tableau Général'!AW35/1000000</f>
        <v>501.7</v>
      </c>
      <c r="G12" s="490">
        <f>+'Tableau Général'!BP35/1000000</f>
        <v>0</v>
      </c>
      <c r="H12" s="490">
        <f t="shared" si="0"/>
        <v>501.7</v>
      </c>
      <c r="J12" s="695"/>
      <c r="K12" s="696"/>
      <c r="L12" s="696"/>
      <c r="M12" s="696"/>
      <c r="N12" s="696"/>
    </row>
    <row r="13" spans="1:14">
      <c r="B13" s="683">
        <f t="shared" si="1"/>
        <v>7</v>
      </c>
      <c r="C13" s="478" t="s">
        <v>267</v>
      </c>
      <c r="D13" s="682" t="s">
        <v>515</v>
      </c>
      <c r="E13" s="477">
        <f>+'Tableau Général'!BM36/1000000</f>
        <v>0</v>
      </c>
      <c r="F13" s="477">
        <f>+'Tableau Général'!AW36/1000000</f>
        <v>276.83049999999997</v>
      </c>
      <c r="G13" s="477">
        <f>+'Tableau Général'!BP36/1000000</f>
        <v>161.57451900000001</v>
      </c>
      <c r="H13" s="477">
        <f t="shared" si="0"/>
        <v>438.40501899999998</v>
      </c>
      <c r="J13" s="695"/>
      <c r="K13" s="696"/>
      <c r="L13" s="696"/>
      <c r="M13" s="696"/>
      <c r="N13" s="696"/>
    </row>
    <row r="14" spans="1:14">
      <c r="B14" s="687">
        <f t="shared" si="1"/>
        <v>8</v>
      </c>
      <c r="C14" s="690" t="s">
        <v>262</v>
      </c>
      <c r="D14" s="691" t="s">
        <v>515</v>
      </c>
      <c r="E14" s="692">
        <f>+'Tableau Général'!BM30/1000000</f>
        <v>0</v>
      </c>
      <c r="F14" s="692">
        <f>+'Tableau Général'!AW30/1000000</f>
        <v>201.94278989000006</v>
      </c>
      <c r="G14" s="692">
        <f>+'Tableau Général'!BP31/1000000</f>
        <v>0</v>
      </c>
      <c r="H14" s="692">
        <f t="shared" si="0"/>
        <v>201.94278989000006</v>
      </c>
      <c r="J14" s="695"/>
      <c r="K14" s="697"/>
      <c r="L14" s="697"/>
      <c r="M14" s="697"/>
      <c r="N14" s="697"/>
    </row>
    <row r="15" spans="1:14">
      <c r="B15" s="683">
        <f t="shared" si="1"/>
        <v>9</v>
      </c>
      <c r="C15" s="478" t="s">
        <v>244</v>
      </c>
      <c r="D15" s="682" t="s">
        <v>81</v>
      </c>
      <c r="E15" s="477">
        <f>+('Tableau Général'!BM9)/1000000</f>
        <v>31.961655</v>
      </c>
      <c r="F15" s="477">
        <f>(+'Tableau Général'!AW9)/1000000</f>
        <v>104.005239</v>
      </c>
      <c r="G15" s="477">
        <v>0</v>
      </c>
      <c r="H15" s="477">
        <f t="shared" si="0"/>
        <v>135.966894</v>
      </c>
      <c r="J15" s="695"/>
    </row>
    <row r="16" spans="1:14">
      <c r="B16" s="687">
        <f t="shared" si="1"/>
        <v>10</v>
      </c>
      <c r="C16" s="688" t="s">
        <v>80</v>
      </c>
      <c r="D16" s="689" t="s">
        <v>81</v>
      </c>
      <c r="E16" s="490">
        <f>'Tableau Général'!BM10/1000000</f>
        <v>21.040254000000001</v>
      </c>
      <c r="F16" s="490">
        <f>+'Tableau Général'!AW10/1000000</f>
        <v>64.029656000000003</v>
      </c>
      <c r="G16" s="490">
        <v>0</v>
      </c>
      <c r="H16" s="490">
        <f t="shared" si="0"/>
        <v>85.069910000000007</v>
      </c>
      <c r="J16" s="695"/>
    </row>
    <row r="17" spans="2:11">
      <c r="B17" s="683">
        <f t="shared" si="1"/>
        <v>11</v>
      </c>
      <c r="C17" s="478" t="s">
        <v>180</v>
      </c>
      <c r="D17" s="682" t="s">
        <v>81</v>
      </c>
      <c r="E17" s="477">
        <f>+'Tableau Général'!BM12/1000000</f>
        <v>43.550545</v>
      </c>
      <c r="F17" s="477">
        <f>+'Tableau Général'!AW12/1000000</f>
        <v>9.9787999999999997</v>
      </c>
      <c r="G17" s="477">
        <v>0</v>
      </c>
      <c r="H17" s="477">
        <f t="shared" si="0"/>
        <v>53.529344999999999</v>
      </c>
      <c r="J17" s="695"/>
    </row>
    <row r="18" spans="2:11">
      <c r="B18" s="687">
        <f t="shared" si="1"/>
        <v>12</v>
      </c>
      <c r="C18" s="688" t="s">
        <v>175</v>
      </c>
      <c r="D18" s="689" t="s">
        <v>81</v>
      </c>
      <c r="E18" s="490">
        <f>+'Tableau Général'!BM15/1000000</f>
        <v>24.416584</v>
      </c>
      <c r="F18" s="490">
        <f>+'Tableau Général'!AW15/1000000</f>
        <v>0</v>
      </c>
      <c r="G18" s="490">
        <v>0</v>
      </c>
      <c r="H18" s="490">
        <f t="shared" si="0"/>
        <v>24.416584</v>
      </c>
      <c r="J18" s="695"/>
    </row>
    <row r="19" spans="2:11">
      <c r="B19" s="683">
        <f t="shared" si="1"/>
        <v>13</v>
      </c>
      <c r="C19" s="684" t="s">
        <v>174</v>
      </c>
      <c r="D19" s="685" t="s">
        <v>81</v>
      </c>
      <c r="E19" s="686">
        <f>+'Tableau Général'!BM11/1000000</f>
        <v>49.666083999999998</v>
      </c>
      <c r="F19" s="686">
        <f>+'Tableau Général'!AW11/1000000</f>
        <v>23.370874000000001</v>
      </c>
      <c r="G19" s="686">
        <v>0</v>
      </c>
      <c r="H19" s="686">
        <f t="shared" si="0"/>
        <v>73.036957999999998</v>
      </c>
      <c r="J19" s="695"/>
    </row>
    <row r="20" spans="2:11">
      <c r="B20" s="687">
        <f t="shared" si="1"/>
        <v>14</v>
      </c>
      <c r="C20" s="688" t="s">
        <v>261</v>
      </c>
      <c r="D20" s="689" t="s">
        <v>261</v>
      </c>
      <c r="E20" s="490">
        <f>+'Tableau Général'!BM37/1000000</f>
        <v>0</v>
      </c>
      <c r="F20" s="490">
        <f>+'Tableau Général'!AW37/1000000</f>
        <v>44.648999500000002</v>
      </c>
      <c r="G20" s="490">
        <f ca="1">(+'26'!K78+'27'!K78)/1000000</f>
        <v>0</v>
      </c>
      <c r="H20" s="490">
        <f t="shared" ca="1" si="0"/>
        <v>44.648999500000002</v>
      </c>
      <c r="J20" s="695"/>
    </row>
    <row r="21" spans="2:11">
      <c r="B21" s="683">
        <f t="shared" si="1"/>
        <v>15</v>
      </c>
      <c r="C21" s="684" t="s">
        <v>757</v>
      </c>
      <c r="D21" s="685" t="s">
        <v>170</v>
      </c>
      <c r="E21" s="686">
        <v>0</v>
      </c>
      <c r="F21" s="686">
        <v>0</v>
      </c>
      <c r="G21" s="686">
        <v>0</v>
      </c>
      <c r="H21" s="686">
        <f t="shared" si="0"/>
        <v>0</v>
      </c>
      <c r="J21" s="695"/>
    </row>
    <row r="22" spans="2:11">
      <c r="B22" s="687">
        <f t="shared" si="1"/>
        <v>16</v>
      </c>
      <c r="C22" s="688" t="s">
        <v>247</v>
      </c>
      <c r="D22" s="689" t="s">
        <v>92</v>
      </c>
      <c r="E22" s="490">
        <f>(+'Tableau Général'!BM32+'Tableau Général'!BM28+'Tableau Général'!BM19+'Tableau Général'!BM18+'Tableau Général'!BM17+'Tableau Général'!BM16+'Tableau Général'!BM14+'Tableau Général'!BM13)/1000000</f>
        <v>102.61271000000001</v>
      </c>
      <c r="F22" s="490">
        <f>(+'Tableau Général'!AW32+'Tableau Général'!AW28+'Tableau Général'!AW19+'Tableau Général'!AW18+'Tableau Général'!AW17+'Tableau Général'!AW16+'Tableau Général'!AW14+'Tableau Général'!AW13)/1000000</f>
        <v>38.469504000000001</v>
      </c>
      <c r="G22" s="490">
        <f ca="1">(+'26'!K19+'27'!K19+'26'!K30+'27'!K30+'26'!K31+'27'!K31+'26'!K32+'27'!K32+'27'!K66+'26'!K74+'27'!K74+'26'!K20+'27'!K20)/1000000</f>
        <v>0</v>
      </c>
      <c r="H22" s="490">
        <f t="shared" ca="1" si="0"/>
        <v>141.08221400000002</v>
      </c>
      <c r="J22" s="695"/>
      <c r="K22" s="246"/>
    </row>
    <row r="23" spans="2:11" ht="23.5" customHeight="1" thickBot="1">
      <c r="B23" s="801" t="s">
        <v>1</v>
      </c>
      <c r="C23" s="801"/>
      <c r="D23" s="479"/>
      <c r="E23" s="479">
        <f>SUM(E5:E22)</f>
        <v>5504.3518483676253</v>
      </c>
      <c r="F23" s="479">
        <f>SUM(F5:F22)</f>
        <v>1998.176128505</v>
      </c>
      <c r="G23" s="479">
        <f ca="1">SUM(G5:G22)</f>
        <v>161.57451900000001</v>
      </c>
      <c r="H23" s="479">
        <f ca="1">SUM(H5:H22)</f>
        <v>7664.1024958726257</v>
      </c>
      <c r="J23" s="695"/>
    </row>
    <row r="24" spans="2:11" ht="12.5" thickTop="1">
      <c r="H24" s="242"/>
    </row>
    <row r="25" spans="2:11">
      <c r="G25" s="243"/>
      <c r="H25" s="244"/>
    </row>
  </sheetData>
  <mergeCells count="7">
    <mergeCell ref="B23:C23"/>
    <mergeCell ref="B5:B6"/>
    <mergeCell ref="C5:C6"/>
    <mergeCell ref="H5:H6"/>
    <mergeCell ref="B7:B8"/>
    <mergeCell ref="C7:C8"/>
    <mergeCell ref="H7:H8"/>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774E-3E6C-4865-8B83-FA4735E8C682}">
  <sheetPr codeName="Feuil97"/>
  <dimension ref="A2:F8"/>
  <sheetViews>
    <sheetView zoomScaleNormal="100" workbookViewId="0">
      <selection activeCell="F27" sqref="F27"/>
    </sheetView>
  </sheetViews>
  <sheetFormatPr baseColWidth="10" defaultColWidth="11.453125" defaultRowHeight="14.5"/>
  <cols>
    <col min="1" max="1" width="42" style="247" bestFit="1" customWidth="1"/>
    <col min="2" max="2" width="13" style="247" bestFit="1" customWidth="1"/>
    <col min="3" max="16384" width="11.453125" style="247"/>
  </cols>
  <sheetData>
    <row r="2" spans="1:6">
      <c r="A2" s="247" t="s">
        <v>497</v>
      </c>
    </row>
    <row r="3" spans="1:6">
      <c r="A3" s="248"/>
    </row>
    <row r="4" spans="1:6" ht="15" thickBot="1">
      <c r="A4" s="249"/>
      <c r="B4" s="250">
        <v>2018</v>
      </c>
      <c r="C4" s="250">
        <f>+B4+1</f>
        <v>2019</v>
      </c>
      <c r="D4" s="250">
        <f t="shared" ref="D4:F4" si="0">+C4+1</f>
        <v>2020</v>
      </c>
      <c r="E4" s="250">
        <f t="shared" si="0"/>
        <v>2021</v>
      </c>
      <c r="F4" s="250">
        <f t="shared" si="0"/>
        <v>2022</v>
      </c>
    </row>
    <row r="5" spans="1:6">
      <c r="A5" s="251" t="s">
        <v>277</v>
      </c>
      <c r="B5" s="252"/>
      <c r="C5" s="252"/>
      <c r="D5" s="252"/>
      <c r="E5" s="252"/>
      <c r="F5" s="252"/>
    </row>
    <row r="6" spans="1:6">
      <c r="A6" s="253" t="s">
        <v>278</v>
      </c>
      <c r="B6" s="254">
        <v>1E-3</v>
      </c>
      <c r="C6" s="254">
        <v>2E-3</v>
      </c>
      <c r="D6" s="254">
        <v>3.0000000000000001E-3</v>
      </c>
      <c r="E6" s="254">
        <v>6.0000000000000001E-3</v>
      </c>
      <c r="F6" s="254">
        <v>1.8800000000000001E-2</v>
      </c>
    </row>
    <row r="7" spans="1:6">
      <c r="A7" s="255" t="s">
        <v>279</v>
      </c>
      <c r="B7" s="252" t="s">
        <v>280</v>
      </c>
      <c r="C7" s="252" t="s">
        <v>281</v>
      </c>
      <c r="D7" s="252" t="s">
        <v>282</v>
      </c>
      <c r="E7" s="252" t="s">
        <v>280</v>
      </c>
      <c r="F7" s="252">
        <v>1.7000000000000001E-2</v>
      </c>
    </row>
    <row r="8" spans="1:6">
      <c r="A8" s="253" t="s">
        <v>283</v>
      </c>
      <c r="B8" s="256">
        <v>1327841.0000000002</v>
      </c>
      <c r="C8" s="256">
        <v>1413231</v>
      </c>
      <c r="D8" s="256">
        <v>1468767</v>
      </c>
      <c r="E8" s="256">
        <v>1530115</v>
      </c>
      <c r="F8" s="256">
        <v>848200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00B050"/>
  </sheetPr>
  <dimension ref="A1:B138"/>
  <sheetViews>
    <sheetView topLeftCell="A69" zoomScaleNormal="100" workbookViewId="0">
      <selection activeCell="A95" sqref="A95"/>
    </sheetView>
  </sheetViews>
  <sheetFormatPr baseColWidth="10" defaultColWidth="11.54296875" defaultRowHeight="10"/>
  <cols>
    <col min="1" max="1" width="154.26953125" style="1" bestFit="1" customWidth="1"/>
    <col min="2" max="16384" width="11.54296875" style="1"/>
  </cols>
  <sheetData>
    <row r="1" spans="1:2" ht="10.5">
      <c r="A1" s="2"/>
      <c r="B1" s="3"/>
    </row>
    <row r="2" spans="1:2" ht="10.5">
      <c r="A2" s="4"/>
      <c r="B2" s="3"/>
    </row>
    <row r="3" spans="1:2">
      <c r="A3" s="9">
        <v>2022</v>
      </c>
    </row>
    <row r="5" spans="1:2" ht="10.5">
      <c r="A5" s="2" t="s">
        <v>35</v>
      </c>
    </row>
    <row r="7" spans="1:2" ht="12.5">
      <c r="A7" t="s">
        <v>165</v>
      </c>
    </row>
    <row r="8" spans="1:2" ht="12.5">
      <c r="A8" t="s">
        <v>167</v>
      </c>
    </row>
    <row r="9" spans="1:2" ht="12.5">
      <c r="A9" t="s">
        <v>168</v>
      </c>
    </row>
    <row r="10" spans="1:2" ht="12.5">
      <c r="A10" t="s">
        <v>169</v>
      </c>
    </row>
    <row r="11" spans="1:2" ht="12.5">
      <c r="A11" t="s">
        <v>223</v>
      </c>
    </row>
    <row r="12" spans="1:2" ht="12.5">
      <c r="A12" t="s">
        <v>171</v>
      </c>
    </row>
    <row r="13" spans="1:2" ht="12.5">
      <c r="A13" t="s">
        <v>172</v>
      </c>
    </row>
    <row r="14" spans="1:2" ht="12.5">
      <c r="A14" t="s">
        <v>173</v>
      </c>
    </row>
    <row r="15" spans="1:2" ht="12.5">
      <c r="A15" t="s">
        <v>174</v>
      </c>
    </row>
    <row r="16" spans="1:2" ht="12.5">
      <c r="A16" t="s">
        <v>175</v>
      </c>
    </row>
    <row r="17" spans="1:1" ht="12.5">
      <c r="A17" t="s">
        <v>176</v>
      </c>
    </row>
    <row r="18" spans="1:1" ht="12.5">
      <c r="A18" t="s">
        <v>80</v>
      </c>
    </row>
    <row r="19" spans="1:1" ht="12.5">
      <c r="A19" t="s">
        <v>177</v>
      </c>
    </row>
    <row r="20" spans="1:1" ht="12.5">
      <c r="A20" t="s">
        <v>178</v>
      </c>
    </row>
    <row r="21" spans="1:1" ht="12.5">
      <c r="A21" t="s">
        <v>179</v>
      </c>
    </row>
    <row r="22" spans="1:1" ht="12.5">
      <c r="A22" t="s">
        <v>180</v>
      </c>
    </row>
    <row r="23" spans="1:1" ht="12.5">
      <c r="A23" t="s">
        <v>181</v>
      </c>
    </row>
    <row r="24" spans="1:1" ht="12.5">
      <c r="A24" t="s">
        <v>182</v>
      </c>
    </row>
    <row r="25" spans="1:1" ht="12.5">
      <c r="A25" t="s">
        <v>183</v>
      </c>
    </row>
    <row r="26" spans="1:1" ht="12.5">
      <c r="A26" t="s">
        <v>184</v>
      </c>
    </row>
    <row r="27" spans="1:1" ht="12.5">
      <c r="A27" t="s">
        <v>185</v>
      </c>
    </row>
    <row r="28" spans="1:1" ht="12.5">
      <c r="A28" t="s">
        <v>186</v>
      </c>
    </row>
    <row r="29" spans="1:1" ht="12.5">
      <c r="A29" t="s">
        <v>187</v>
      </c>
    </row>
    <row r="30" spans="1:1" ht="12.5">
      <c r="A30" t="s">
        <v>188</v>
      </c>
    </row>
    <row r="31" spans="1:1" ht="12.5">
      <c r="A31" t="s">
        <v>189</v>
      </c>
    </row>
    <row r="32" spans="1:1" ht="12.5">
      <c r="A32" t="s">
        <v>190</v>
      </c>
    </row>
    <row r="33" spans="1:1" ht="12.5">
      <c r="A33" t="s">
        <v>191</v>
      </c>
    </row>
    <row r="34" spans="1:1" ht="12.5">
      <c r="A34" t="s">
        <v>192</v>
      </c>
    </row>
    <row r="35" spans="1:1" ht="12.5">
      <c r="A35" t="s">
        <v>194</v>
      </c>
    </row>
    <row r="36" spans="1:1" ht="12.5">
      <c r="A36" t="s">
        <v>195</v>
      </c>
    </row>
    <row r="37" spans="1:1" ht="12.5">
      <c r="A37" t="s">
        <v>196</v>
      </c>
    </row>
    <row r="38" spans="1:1" ht="12.5">
      <c r="A38" t="s">
        <v>197</v>
      </c>
    </row>
    <row r="39" spans="1:1" ht="12.5">
      <c r="A39" t="s">
        <v>200</v>
      </c>
    </row>
    <row r="40" spans="1:1" ht="12.5">
      <c r="A40" t="s">
        <v>201</v>
      </c>
    </row>
    <row r="41" spans="1:1" ht="12.5">
      <c r="A41" t="s">
        <v>202</v>
      </c>
    </row>
    <row r="42" spans="1:1" ht="12.5">
      <c r="A42" t="s">
        <v>203</v>
      </c>
    </row>
    <row r="43" spans="1:1" ht="12.5">
      <c r="A43" t="s">
        <v>204</v>
      </c>
    </row>
    <row r="44" spans="1:1" ht="12.5">
      <c r="A44" t="s">
        <v>217</v>
      </c>
    </row>
    <row r="45" spans="1:1" ht="12.5">
      <c r="A45" t="s">
        <v>216</v>
      </c>
    </row>
    <row r="46" spans="1:1" ht="12.5">
      <c r="A46" t="s">
        <v>226</v>
      </c>
    </row>
    <row r="47" spans="1:1" ht="12.5">
      <c r="A47" t="s">
        <v>219</v>
      </c>
    </row>
    <row r="48" spans="1:1" ht="12.5">
      <c r="A48" t="s">
        <v>220</v>
      </c>
    </row>
    <row r="49" spans="1:1" ht="12.5">
      <c r="A49" t="s">
        <v>221</v>
      </c>
    </row>
    <row r="50" spans="1:1" ht="12.5">
      <c r="A50" t="s">
        <v>203</v>
      </c>
    </row>
    <row r="51" spans="1:1" ht="12.5">
      <c r="A51" t="s">
        <v>222</v>
      </c>
    </row>
    <row r="52" spans="1:1" ht="12.5">
      <c r="A52" t="s">
        <v>205</v>
      </c>
    </row>
    <row r="53" spans="1:1" ht="12.5">
      <c r="A53" t="s">
        <v>207</v>
      </c>
    </row>
    <row r="54" spans="1:1" ht="12.5">
      <c r="A54" t="s">
        <v>67</v>
      </c>
    </row>
    <row r="55" spans="1:1" ht="12.5">
      <c r="A55" t="s">
        <v>75</v>
      </c>
    </row>
    <row r="56" spans="1:1" ht="12.5">
      <c r="A56" t="s">
        <v>208</v>
      </c>
    </row>
    <row r="57" spans="1:1" ht="12.5">
      <c r="A57" t="s">
        <v>209</v>
      </c>
    </row>
    <row r="58" spans="1:1" ht="12.5">
      <c r="A58" t="s">
        <v>210</v>
      </c>
    </row>
    <row r="59" spans="1:1" ht="12.5">
      <c r="A59" t="s">
        <v>211</v>
      </c>
    </row>
    <row r="60" spans="1:1" ht="12.5">
      <c r="A60" t="s">
        <v>212</v>
      </c>
    </row>
    <row r="61" spans="1:1" ht="12.5">
      <c r="A61" t="s">
        <v>204</v>
      </c>
    </row>
    <row r="62" spans="1:1" ht="12.5">
      <c r="A62" t="s">
        <v>213</v>
      </c>
    </row>
    <row r="63" spans="1:1" ht="12.5">
      <c r="A63" t="s">
        <v>214</v>
      </c>
    </row>
    <row r="64" spans="1:1" ht="12.5">
      <c r="A64" t="s">
        <v>225</v>
      </c>
    </row>
    <row r="66" spans="1:1" ht="10.5">
      <c r="A66" s="2" t="s">
        <v>36</v>
      </c>
    </row>
    <row r="68" spans="1:1">
      <c r="A68" s="7" t="s">
        <v>45</v>
      </c>
    </row>
    <row r="69" spans="1:1">
      <c r="A69" s="7" t="s">
        <v>46</v>
      </c>
    </row>
    <row r="70" spans="1:1">
      <c r="A70" s="7" t="s">
        <v>74</v>
      </c>
    </row>
    <row r="71" spans="1:1">
      <c r="A71" s="7" t="s">
        <v>89</v>
      </c>
    </row>
    <row r="72" spans="1:1">
      <c r="A72" s="7" t="s">
        <v>47</v>
      </c>
    </row>
    <row r="73" spans="1:1">
      <c r="A73" s="7" t="s">
        <v>76</v>
      </c>
    </row>
    <row r="74" spans="1:1">
      <c r="A74" s="7" t="s">
        <v>90</v>
      </c>
    </row>
    <row r="75" spans="1:1">
      <c r="A75" s="7" t="s">
        <v>96</v>
      </c>
    </row>
    <row r="76" spans="1:1">
      <c r="A76" s="7" t="s">
        <v>48</v>
      </c>
    </row>
    <row r="78" spans="1:1" ht="10.5">
      <c r="A78" s="2" t="s">
        <v>37</v>
      </c>
    </row>
    <row r="80" spans="1:1">
      <c r="A80" s="7" t="s">
        <v>95</v>
      </c>
    </row>
    <row r="81" spans="1:1">
      <c r="A81" s="7" t="s">
        <v>76</v>
      </c>
    </row>
    <row r="82" spans="1:1">
      <c r="A82" s="7" t="s">
        <v>49</v>
      </c>
    </row>
    <row r="83" spans="1:1">
      <c r="A83" s="7" t="s">
        <v>89</v>
      </c>
    </row>
    <row r="84" spans="1:1">
      <c r="A84" s="7" t="s">
        <v>91</v>
      </c>
    </row>
    <row r="85" spans="1:1">
      <c r="A85" s="7" t="s">
        <v>90</v>
      </c>
    </row>
    <row r="86" spans="1:1">
      <c r="A86" s="7" t="s">
        <v>97</v>
      </c>
    </row>
    <row r="87" spans="1:1">
      <c r="A87" s="7" t="s">
        <v>74</v>
      </c>
    </row>
    <row r="89" spans="1:1" ht="10.5">
      <c r="A89" s="2" t="s">
        <v>31</v>
      </c>
    </row>
    <row r="91" spans="1:1">
      <c r="A91" s="7" t="s">
        <v>51</v>
      </c>
    </row>
    <row r="92" spans="1:1">
      <c r="A92" s="7" t="s">
        <v>50</v>
      </c>
    </row>
    <row r="93" spans="1:1">
      <c r="A93" s="8" t="s">
        <v>87</v>
      </c>
    </row>
    <row r="94" spans="1:1">
      <c r="A94" s="7" t="s">
        <v>240</v>
      </c>
    </row>
    <row r="95" spans="1:1">
      <c r="A95" s="8" t="s">
        <v>85</v>
      </c>
    </row>
    <row r="96" spans="1:1">
      <c r="A96" s="7" t="s">
        <v>52</v>
      </c>
    </row>
    <row r="97" spans="1:1">
      <c r="A97" s="8" t="s">
        <v>53</v>
      </c>
    </row>
    <row r="98" spans="1:1">
      <c r="A98" s="8" t="s">
        <v>54</v>
      </c>
    </row>
    <row r="99" spans="1:1">
      <c r="A99" s="7" t="s">
        <v>86</v>
      </c>
    </row>
    <row r="100" spans="1:1">
      <c r="A100" s="8" t="s">
        <v>84</v>
      </c>
    </row>
    <row r="101" spans="1:1">
      <c r="A101" s="7" t="s">
        <v>88</v>
      </c>
    </row>
    <row r="102" spans="1:1">
      <c r="A102" s="8" t="s">
        <v>229</v>
      </c>
    </row>
    <row r="104" spans="1:1" ht="10.5">
      <c r="A104" s="2" t="s">
        <v>38</v>
      </c>
    </row>
    <row r="106" spans="1:1">
      <c r="A106" s="7" t="s">
        <v>58</v>
      </c>
    </row>
    <row r="107" spans="1:1">
      <c r="A107" s="7" t="s">
        <v>59</v>
      </c>
    </row>
    <row r="108" spans="1:1">
      <c r="A108" s="7" t="s">
        <v>60</v>
      </c>
    </row>
    <row r="110" spans="1:1" ht="10.5">
      <c r="A110" s="2" t="s">
        <v>39</v>
      </c>
    </row>
    <row r="112" spans="1:1">
      <c r="A112" s="7" t="s">
        <v>23</v>
      </c>
    </row>
    <row r="113" spans="1:1">
      <c r="A113" s="7" t="s">
        <v>24</v>
      </c>
    </row>
    <row r="115" spans="1:1" ht="10.5">
      <c r="A115" s="2" t="s">
        <v>40</v>
      </c>
    </row>
    <row r="117" spans="1:1">
      <c r="A117" s="7" t="s">
        <v>41</v>
      </c>
    </row>
    <row r="118" spans="1:1">
      <c r="A118" s="7" t="s">
        <v>42</v>
      </c>
    </row>
    <row r="119" spans="1:1">
      <c r="A119" s="7" t="s">
        <v>44</v>
      </c>
    </row>
    <row r="120" spans="1:1">
      <c r="A120" s="7" t="s">
        <v>43</v>
      </c>
    </row>
    <row r="121" spans="1:1">
      <c r="A121" s="7"/>
    </row>
    <row r="122" spans="1:1">
      <c r="A122" s="7"/>
    </row>
    <row r="123" spans="1:1">
      <c r="A123" s="7" t="s">
        <v>25</v>
      </c>
    </row>
    <row r="126" spans="1:1" ht="10.5">
      <c r="A126" s="2" t="s">
        <v>57</v>
      </c>
    </row>
    <row r="127" spans="1:1">
      <c r="A127" s="1" t="s">
        <v>61</v>
      </c>
    </row>
    <row r="128" spans="1:1">
      <c r="A128" s="1" t="s">
        <v>62</v>
      </c>
    </row>
    <row r="130" spans="1:1" ht="10.5">
      <c r="A130" s="2" t="s">
        <v>63</v>
      </c>
    </row>
    <row r="131" spans="1:1">
      <c r="A131" s="1" t="s">
        <v>68</v>
      </c>
    </row>
    <row r="132" spans="1:1">
      <c r="A132" s="1" t="s">
        <v>69</v>
      </c>
    </row>
    <row r="136" spans="1:1">
      <c r="A136" s="1" t="s">
        <v>65</v>
      </c>
    </row>
    <row r="137" spans="1:1">
      <c r="A137" s="1" t="s">
        <v>66</v>
      </c>
    </row>
    <row r="138" spans="1:1">
      <c r="A138" s="1" t="s">
        <v>64</v>
      </c>
    </row>
  </sheetData>
  <sortState xmlns:xlrd2="http://schemas.microsoft.com/office/spreadsheetml/2017/richdata2" ref="A134:A140">
    <sortCondition ref="A134"/>
  </sortState>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0C10F-7B1B-4AB1-B516-8341B2A48FB6}">
  <sheetPr codeName="Feuil101"/>
  <dimension ref="B17:C27"/>
  <sheetViews>
    <sheetView workbookViewId="0">
      <selection activeCell="C1" sqref="C1"/>
    </sheetView>
  </sheetViews>
  <sheetFormatPr baseColWidth="10" defaultColWidth="11.453125" defaultRowHeight="12"/>
  <cols>
    <col min="1" max="1" width="11.453125" style="21"/>
    <col min="2" max="2" width="38" style="21" bestFit="1" customWidth="1"/>
    <col min="3" max="3" width="7.453125" style="21" bestFit="1" customWidth="1"/>
    <col min="4" max="16384" width="11.453125" style="21"/>
  </cols>
  <sheetData>
    <row r="17" spans="2:3">
      <c r="B17" s="179" t="s">
        <v>16</v>
      </c>
      <c r="C17" s="179" t="s">
        <v>4</v>
      </c>
    </row>
    <row r="18" spans="2:3">
      <c r="B18" s="182" t="s">
        <v>45</v>
      </c>
      <c r="C18" s="183">
        <f>+'1'!S3+'2'!S3+'3'!S3+'4'!S3+'5'!S3+'6'!S3+'7'!S3+'8'!S3+'9'!S3+'10'!S3+'11'!S3+'12'!S3+'13'!S3+'14'!S3+'15'!S3+'16'!S3+'17'!S3+'18'!S3+'19'!S3+'20'!S3+'21'!S3+'22'!S3+'23'!S3+'24'!S3+'25'!S3+'26'!S3+'27'!S3</f>
        <v>0</v>
      </c>
    </row>
    <row r="19" spans="2:3">
      <c r="B19" s="20" t="s">
        <v>46</v>
      </c>
      <c r="C19" s="184">
        <f>+'1'!S4+'2'!S4+'3'!S4+'4'!S4+'5'!S4+'6'!S4+'7'!S4+'8'!S4+'9'!S4+'10'!S4+'11'!S4+'12'!S4+'13'!S4+'14'!S4+'15'!S4+'16'!S4+'17'!S4+'18'!S4+'19'!S4+'20'!S4+'21'!S4+'22'!S4+'23'!S4+'24'!S4+'25'!S4+'26'!S4+'27'!S4</f>
        <v>0</v>
      </c>
    </row>
    <row r="20" spans="2:3">
      <c r="B20" s="182" t="s">
        <v>74</v>
      </c>
      <c r="C20" s="183">
        <f>+'1'!S5+'2'!S5+'3'!S5+'4'!S5+'5'!S5+'6'!S5+'7'!S5+'8'!S5+'9'!S5+'10'!S5+'11'!S5+'12'!S5+'13'!S5+'14'!S5+'15'!S5+'16'!S5+'17'!S5+'18'!S5+'19'!S5+'20'!S5+'21'!S5+'22'!S5+'23'!S5+'24'!S5+'25'!S5+'26'!S5+'27'!S5</f>
        <v>0</v>
      </c>
    </row>
    <row r="21" spans="2:3">
      <c r="B21" s="20" t="s">
        <v>89</v>
      </c>
      <c r="C21" s="184">
        <f>+'1'!S6+'2'!S6+'3'!S6+'4'!S6+'5'!S6+'6'!S6+'7'!S6+'8'!S6+'9'!S6+'10'!S6+'11'!S6+'12'!S6+'13'!S6+'14'!S6+'15'!S6+'16'!S6+'17'!S6+'18'!S6+'19'!S6+'20'!S6+'21'!S6+'22'!S6+'23'!S6+'24'!S6+'25'!S6+'26'!S6+'27'!S6</f>
        <v>0</v>
      </c>
    </row>
    <row r="22" spans="2:3">
      <c r="B22" s="182" t="s">
        <v>47</v>
      </c>
      <c r="C22" s="183">
        <f>+'1'!S7+'2'!S7+'3'!S7+'4'!S7+'5'!S7+'6'!S7+'7'!S7+'8'!S7+'9'!S7+'10'!S7+'11'!S7+'12'!S7+'13'!S7+'14'!S7+'15'!S7+'16'!S7+'17'!S7+'18'!S7+'19'!S7+'20'!S7+'21'!S7+'22'!S7+'23'!S7+'24'!S7+'25'!S7+'26'!S7+'27'!S7</f>
        <v>0</v>
      </c>
    </row>
    <row r="23" spans="2:3">
      <c r="B23" s="20" t="s">
        <v>76</v>
      </c>
      <c r="C23" s="184">
        <f>+'1'!S8+'2'!S8+'3'!S8+'4'!S8+'5'!S8+'6'!S8+'7'!S8+'8'!S8+'9'!S8+'10'!S8+'11'!S8+'12'!S8+'13'!S8+'14'!S8+'15'!S8+'16'!S8+'17'!S8+'18'!S8+'19'!S8+'20'!S8+'21'!S8+'22'!S8+'23'!S8+'24'!S8+'25'!S8+'26'!S8+'27'!S8</f>
        <v>0</v>
      </c>
    </row>
    <row r="24" spans="2:3">
      <c r="B24" s="182" t="s">
        <v>90</v>
      </c>
      <c r="C24" s="183">
        <f>+'1'!S9+'2'!S9+'3'!S9+'4'!S9+'5'!S9+'6'!S9+'7'!S9+'8'!S9+'9'!S9+'10'!S9+'11'!S9+'12'!S9+'13'!S9+'14'!S9+'15'!S9+'16'!S9+'17'!S9+'18'!S9+'19'!S9+'20'!S9+'21'!S9+'22'!S9+'23'!S9+'24'!S9+'25'!S9+'26'!S9+'27'!S9</f>
        <v>0</v>
      </c>
    </row>
    <row r="25" spans="2:3">
      <c r="B25" s="20" t="s">
        <v>96</v>
      </c>
      <c r="C25" s="184">
        <f>+'1'!S10+'2'!S10+'3'!S10+'4'!S10+'5'!S10+'6'!S10+'7'!S10+'8'!S10+'9'!S10+'10'!S10+'11'!S10+'12'!S10+'13'!S10+'14'!S10+'15'!S10+'16'!S10+'17'!S10+'18'!S10+'19'!S10+'20'!S10+'21'!S10+'22'!S10+'23'!S10+'24'!S10+'25'!S10+'26'!S10+'27'!S10</f>
        <v>0</v>
      </c>
    </row>
    <row r="26" spans="2:3">
      <c r="B26" s="182" t="s">
        <v>48</v>
      </c>
      <c r="C26" s="183">
        <f>+'1'!S11+'2'!S11+'3'!S11+'4'!S11+'5'!S11+'6'!S11+'7'!S11+'8'!S11+'9'!S11+'10'!S11+'11'!S11+'12'!S11+'13'!S11+'14'!S11+'15'!S11+'16'!S11+'17'!S11+'18'!S11+'19'!S11+'20'!S11+'21'!S11+'22'!S11+'23'!S11+'24'!S11+'25'!S11+'26'!S11+'27'!S11</f>
        <v>0</v>
      </c>
    </row>
    <row r="27" spans="2:3">
      <c r="B27" s="180" t="s">
        <v>18</v>
      </c>
      <c r="C27" s="181">
        <f>SUM(C18:C26)</f>
        <v>0</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BAF12-1B20-4154-B53E-30E12E93388F}">
  <sheetPr codeName="Feuil102"/>
  <dimension ref="B17:C26"/>
  <sheetViews>
    <sheetView workbookViewId="0">
      <selection activeCell="A19" sqref="A19"/>
    </sheetView>
  </sheetViews>
  <sheetFormatPr baseColWidth="10" defaultColWidth="11.453125" defaultRowHeight="12"/>
  <cols>
    <col min="1" max="1" width="11.453125" style="21"/>
    <col min="2" max="2" width="38" style="21" bestFit="1" customWidth="1"/>
    <col min="3" max="3" width="7.453125" style="21" bestFit="1" customWidth="1"/>
    <col min="4" max="16384" width="11.453125" style="21"/>
  </cols>
  <sheetData>
    <row r="17" spans="2:3">
      <c r="B17" s="179" t="s">
        <v>16</v>
      </c>
      <c r="C17" s="179" t="s">
        <v>4</v>
      </c>
    </row>
    <row r="18" spans="2:3">
      <c r="B18" s="182" t="s">
        <v>95</v>
      </c>
      <c r="C18" s="183">
        <f>+'1'!S25+'2'!S25+'3'!S25+'4'!S25+'5'!S25+'6'!S25+'7'!S25+'8'!S25+'9'!S25+'10'!S25+'11'!S25+'12'!S25+'13'!S25+'14'!S25+'15'!S25+'16'!S25+'17'!S25+'18'!S25+'19'!S25+'20'!S25+'21'!S25+'22'!S25+'23'!S25+'24'!S25+'25'!S25+'26'!S25+'27'!S25</f>
        <v>0</v>
      </c>
    </row>
    <row r="19" spans="2:3">
      <c r="B19" s="20" t="s">
        <v>76</v>
      </c>
      <c r="C19" s="184">
        <f>+'1'!S26+'2'!S26+'3'!S26+'4'!S26+'5'!S26+'6'!S26+'7'!S26+'8'!S26+'9'!S26+'10'!S26+'11'!S26+'12'!S26+'13'!S26+'14'!S26+'15'!S26+'16'!S26+'17'!S26+'18'!S26+'19'!S26+'20'!S26+'21'!S26+'22'!S26+'23'!S26+'24'!S26+'25'!S26+'26'!S26+'27'!S26</f>
        <v>0</v>
      </c>
    </row>
    <row r="20" spans="2:3">
      <c r="B20" s="182" t="s">
        <v>49</v>
      </c>
      <c r="C20" s="183">
        <f>+'1'!S27+'2'!S27+'3'!S27+'4'!S27+'5'!S27+'6'!S27+'7'!S27+'8'!S27+'9'!S27+'10'!S27+'11'!S27+'12'!S27+'13'!S27+'14'!S27+'15'!S27+'16'!S27+'17'!S27+'18'!S27+'19'!S27+'20'!S27+'21'!S27+'22'!S27+'23'!S27+'24'!S27+'25'!S27+'26'!S27+'27'!S27</f>
        <v>0</v>
      </c>
    </row>
    <row r="21" spans="2:3">
      <c r="B21" s="20" t="s">
        <v>89</v>
      </c>
      <c r="C21" s="184">
        <f>+'1'!S28+'2'!S28+'3'!S28+'4'!S28+'5'!S28+'6'!S28+'7'!S28+'8'!S28+'9'!S28+'10'!S28+'11'!S28+'12'!S28+'13'!S28+'14'!S28+'15'!S28+'16'!S28+'17'!S28+'18'!S28+'19'!S28+'20'!S28+'21'!S28+'22'!S28+'23'!S28+'24'!S28+'25'!S28+'26'!S28+'27'!S28</f>
        <v>0</v>
      </c>
    </row>
    <row r="22" spans="2:3">
      <c r="B22" s="182" t="s">
        <v>91</v>
      </c>
      <c r="C22" s="183">
        <f>+'1'!S29+'2'!S29+'3'!S29+'4'!S29+'5'!S29+'6'!S29+'7'!S29+'8'!S29+'9'!S29+'10'!S29+'11'!S29+'12'!S29+'13'!S29+'14'!S29+'15'!S29+'16'!S29+'17'!S29+'18'!S29+'19'!S29+'20'!S29+'21'!S29+'22'!S29+'23'!S29+'24'!S29+'25'!S29+'26'!S29+'27'!S29</f>
        <v>0</v>
      </c>
    </row>
    <row r="23" spans="2:3">
      <c r="B23" s="20" t="s">
        <v>90</v>
      </c>
      <c r="C23" s="184">
        <f>+'1'!S30+'2'!S30+'3'!S30+'4'!S30+'5'!S30+'6'!S30+'7'!S30+'8'!S30+'9'!S30+'10'!S30+'11'!S30+'12'!S30+'13'!S30+'14'!S30+'15'!S30+'16'!S30+'17'!S30+'18'!S30+'19'!S30+'20'!S30+'21'!S30+'22'!S30+'23'!S30+'24'!S30+'25'!S30+'26'!S30+'27'!S30</f>
        <v>0</v>
      </c>
    </row>
    <row r="24" spans="2:3">
      <c r="B24" s="182" t="s">
        <v>97</v>
      </c>
      <c r="C24" s="183">
        <f>+'1'!S31+'2'!S31+'3'!S31+'4'!S31+'5'!S31+'6'!S31+'7'!S31+'8'!S31+'9'!S31+'10'!S31+'11'!S31+'12'!S31+'13'!S31+'14'!S31+'15'!S31+'16'!S31+'17'!S31+'18'!S31+'19'!S31+'20'!S31+'21'!S31+'22'!S31+'23'!S31+'24'!S31+'25'!S31+'26'!S31+'27'!S31</f>
        <v>0</v>
      </c>
    </row>
    <row r="25" spans="2:3">
      <c r="B25" s="20" t="s">
        <v>74</v>
      </c>
      <c r="C25" s="184">
        <f>+'1'!S32+'2'!S32+'3'!S32+'4'!S32+'5'!S32+'6'!S32+'7'!S32+'8'!S32+'9'!S32+'10'!S32+'11'!S32+'12'!S32+'13'!S32+'14'!S32+'15'!S32+'16'!S32+'17'!S32+'18'!S32+'19'!S32+'20'!S32+'21'!S32+'22'!S32+'23'!S32+'24'!S32+'25'!S32+'26'!S32+'27'!S32</f>
        <v>0</v>
      </c>
    </row>
    <row r="26" spans="2:3">
      <c r="B26" s="180" t="s">
        <v>18</v>
      </c>
      <c r="C26" s="181">
        <f>SUM(C18:C25)</f>
        <v>0</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M72"/>
  <sheetViews>
    <sheetView showGridLines="0" zoomScaleNormal="100" workbookViewId="0">
      <pane ySplit="1" topLeftCell="A52" activePane="bottomLeft" state="frozen"/>
      <selection activeCell="M45" sqref="M45"/>
      <selection pane="bottomLeft" activeCell="D66" sqref="D66"/>
    </sheetView>
  </sheetViews>
  <sheetFormatPr baseColWidth="10" defaultColWidth="11.54296875" defaultRowHeight="12"/>
  <cols>
    <col min="1" max="1" width="4.1796875" style="19" bestFit="1" customWidth="1"/>
    <col min="2" max="2" width="92.54296875" style="19" bestFit="1" customWidth="1"/>
    <col min="3" max="4" width="11.54296875" style="19"/>
    <col min="5" max="5" width="4.1796875" style="19" bestFit="1" customWidth="1"/>
    <col min="6" max="6" width="47.453125" style="19" bestFit="1" customWidth="1"/>
    <col min="7" max="7" width="76.7265625" style="19" bestFit="1" customWidth="1"/>
    <col min="8" max="16384" width="11.54296875" style="19"/>
  </cols>
  <sheetData>
    <row r="1" spans="1:2" ht="12.5" thickBot="1">
      <c r="A1" s="65" t="s">
        <v>22</v>
      </c>
      <c r="B1" s="66" t="s">
        <v>26</v>
      </c>
    </row>
    <row r="2" spans="1:2">
      <c r="A2" s="54"/>
      <c r="B2" s="54" t="s">
        <v>166</v>
      </c>
    </row>
    <row r="3" spans="1:2">
      <c r="A3" s="91">
        <v>1</v>
      </c>
      <c r="B3" s="90" t="s">
        <v>165</v>
      </c>
    </row>
    <row r="4" spans="1:2">
      <c r="A4" s="56">
        <v>2</v>
      </c>
      <c r="B4" s="57" t="s">
        <v>167</v>
      </c>
    </row>
    <row r="5" spans="1:2">
      <c r="A5" s="91">
        <v>3</v>
      </c>
      <c r="B5" s="90" t="s">
        <v>168</v>
      </c>
    </row>
    <row r="6" spans="1:2">
      <c r="A6" s="55"/>
      <c r="B6" s="55" t="s">
        <v>170</v>
      </c>
    </row>
    <row r="7" spans="1:2">
      <c r="A7" s="56">
        <v>4</v>
      </c>
      <c r="B7" s="57" t="s">
        <v>169</v>
      </c>
    </row>
    <row r="8" spans="1:2">
      <c r="A8" s="55"/>
      <c r="B8" s="55" t="s">
        <v>198</v>
      </c>
    </row>
    <row r="9" spans="1:2">
      <c r="A9" s="56">
        <v>5</v>
      </c>
      <c r="B9" s="160" t="s">
        <v>223</v>
      </c>
    </row>
    <row r="10" spans="1:2">
      <c r="A10" s="55"/>
      <c r="B10" s="55" t="s">
        <v>81</v>
      </c>
    </row>
    <row r="11" spans="1:2">
      <c r="A11" s="56">
        <v>6</v>
      </c>
      <c r="B11" s="57" t="s">
        <v>171</v>
      </c>
    </row>
    <row r="12" spans="1:2">
      <c r="A12" s="91">
        <v>7</v>
      </c>
      <c r="B12" s="90" t="s">
        <v>172</v>
      </c>
    </row>
    <row r="13" spans="1:2">
      <c r="A13" s="56">
        <v>8</v>
      </c>
      <c r="B13" s="57" t="s">
        <v>173</v>
      </c>
    </row>
    <row r="14" spans="1:2">
      <c r="A14" s="91">
        <v>9</v>
      </c>
      <c r="B14" s="90" t="s">
        <v>174</v>
      </c>
    </row>
    <row r="15" spans="1:2">
      <c r="A15" s="56">
        <v>10</v>
      </c>
      <c r="B15" s="57" t="s">
        <v>175</v>
      </c>
    </row>
    <row r="16" spans="1:2">
      <c r="A16" s="56">
        <v>11</v>
      </c>
      <c r="B16" s="90" t="s">
        <v>176</v>
      </c>
    </row>
    <row r="17" spans="1:2">
      <c r="A17" s="56">
        <v>12</v>
      </c>
      <c r="B17" s="57" t="s">
        <v>80</v>
      </c>
    </row>
    <row r="18" spans="1:2">
      <c r="A18" s="56">
        <v>13</v>
      </c>
      <c r="B18" s="90" t="s">
        <v>177</v>
      </c>
    </row>
    <row r="19" spans="1:2">
      <c r="A19" s="56">
        <v>14</v>
      </c>
      <c r="B19" s="57" t="s">
        <v>178</v>
      </c>
    </row>
    <row r="20" spans="1:2">
      <c r="A20" s="56">
        <v>15</v>
      </c>
      <c r="B20" s="90" t="s">
        <v>179</v>
      </c>
    </row>
    <row r="21" spans="1:2">
      <c r="A21" s="56">
        <v>16</v>
      </c>
      <c r="B21" s="57" t="s">
        <v>180</v>
      </c>
    </row>
    <row r="22" spans="1:2">
      <c r="A22" s="56">
        <v>17</v>
      </c>
      <c r="B22" s="90" t="s">
        <v>181</v>
      </c>
    </row>
    <row r="23" spans="1:2">
      <c r="A23" s="56">
        <v>18</v>
      </c>
      <c r="B23" s="57" t="s">
        <v>182</v>
      </c>
    </row>
    <row r="24" spans="1:2">
      <c r="A24" s="56">
        <v>19</v>
      </c>
      <c r="B24" s="90" t="s">
        <v>183</v>
      </c>
    </row>
    <row r="25" spans="1:2">
      <c r="A25" s="56">
        <v>20</v>
      </c>
      <c r="B25" s="57" t="s">
        <v>184</v>
      </c>
    </row>
    <row r="26" spans="1:2">
      <c r="A26" s="56">
        <v>21</v>
      </c>
      <c r="B26" s="90" t="s">
        <v>185</v>
      </c>
    </row>
    <row r="27" spans="1:2">
      <c r="A27" s="56">
        <v>22</v>
      </c>
      <c r="B27" s="160" t="s">
        <v>186</v>
      </c>
    </row>
    <row r="28" spans="1:2">
      <c r="A28" s="56">
        <v>23</v>
      </c>
      <c r="B28" s="90" t="s">
        <v>187</v>
      </c>
    </row>
    <row r="29" spans="1:2">
      <c r="A29" s="56">
        <v>24</v>
      </c>
      <c r="B29" s="57" t="s">
        <v>188</v>
      </c>
    </row>
    <row r="30" spans="1:2">
      <c r="A30" s="56">
        <v>25</v>
      </c>
      <c r="B30" s="90" t="s">
        <v>189</v>
      </c>
    </row>
    <row r="31" spans="1:2">
      <c r="A31" s="56">
        <v>26</v>
      </c>
      <c r="B31" s="57" t="s">
        <v>190</v>
      </c>
    </row>
    <row r="32" spans="1:2">
      <c r="A32" s="56">
        <v>27</v>
      </c>
      <c r="B32" s="90" t="s">
        <v>191</v>
      </c>
    </row>
    <row r="33" spans="1:13">
      <c r="A33" s="54"/>
      <c r="B33" s="55" t="s">
        <v>515</v>
      </c>
    </row>
    <row r="34" spans="1:13">
      <c r="A34" s="56">
        <v>28</v>
      </c>
      <c r="B34" s="161" t="s">
        <v>192</v>
      </c>
    </row>
    <row r="35" spans="1:13">
      <c r="A35" s="91">
        <v>29</v>
      </c>
      <c r="B35" s="160" t="s">
        <v>194</v>
      </c>
    </row>
    <row r="36" spans="1:13">
      <c r="A36" s="91">
        <v>30</v>
      </c>
      <c r="B36" s="160" t="s">
        <v>196</v>
      </c>
    </row>
    <row r="37" spans="1:13">
      <c r="A37" s="91">
        <v>31</v>
      </c>
      <c r="B37" s="161" t="s">
        <v>197</v>
      </c>
    </row>
    <row r="38" spans="1:13">
      <c r="A38" s="54"/>
      <c r="B38" s="55" t="s">
        <v>517</v>
      </c>
    </row>
    <row r="39" spans="1:13">
      <c r="A39" s="91">
        <v>32</v>
      </c>
      <c r="B39" s="90" t="s">
        <v>200</v>
      </c>
    </row>
    <row r="40" spans="1:13">
      <c r="A40" s="58"/>
      <c r="B40" s="58" t="s">
        <v>518</v>
      </c>
    </row>
    <row r="41" spans="1:13">
      <c r="A41" s="56">
        <v>33</v>
      </c>
      <c r="B41" s="57" t="s">
        <v>201</v>
      </c>
    </row>
    <row r="42" spans="1:13">
      <c r="A42" s="91">
        <v>34</v>
      </c>
      <c r="B42" s="90" t="s">
        <v>202</v>
      </c>
    </row>
    <row r="43" spans="1:13">
      <c r="A43" s="56">
        <v>35</v>
      </c>
      <c r="B43" s="57" t="s">
        <v>203</v>
      </c>
    </row>
    <row r="44" spans="1:13">
      <c r="A44" s="91">
        <v>36</v>
      </c>
      <c r="B44" s="90" t="s">
        <v>204</v>
      </c>
    </row>
    <row r="45" spans="1:13">
      <c r="A45" s="54"/>
      <c r="B45" s="55" t="s">
        <v>215</v>
      </c>
    </row>
    <row r="46" spans="1:13">
      <c r="A46" s="56">
        <v>37</v>
      </c>
      <c r="B46" s="57" t="s">
        <v>217</v>
      </c>
      <c r="I46" s="19">
        <f>+I47</f>
        <v>0</v>
      </c>
      <c r="J46" s="19">
        <f>+J47</f>
        <v>0</v>
      </c>
      <c r="K46" s="19">
        <f>+K47</f>
        <v>0</v>
      </c>
      <c r="M46" s="19">
        <f>+M47</f>
        <v>0</v>
      </c>
    </row>
    <row r="47" spans="1:13">
      <c r="A47" s="91">
        <v>38</v>
      </c>
      <c r="B47" s="90" t="s">
        <v>216</v>
      </c>
    </row>
    <row r="48" spans="1:13">
      <c r="A48" s="54"/>
      <c r="B48" s="55" t="s">
        <v>218</v>
      </c>
    </row>
    <row r="49" spans="1:2">
      <c r="A49" s="56"/>
      <c r="B49" s="160" t="s">
        <v>226</v>
      </c>
    </row>
    <row r="50" spans="1:2">
      <c r="A50" s="91">
        <v>39</v>
      </c>
      <c r="B50" s="161" t="s">
        <v>219</v>
      </c>
    </row>
    <row r="51" spans="1:2">
      <c r="A51" s="56">
        <v>40</v>
      </c>
      <c r="B51" s="160" t="s">
        <v>220</v>
      </c>
    </row>
    <row r="52" spans="1:2">
      <c r="A52" s="56">
        <v>41</v>
      </c>
      <c r="B52" s="161" t="s">
        <v>221</v>
      </c>
    </row>
    <row r="53" spans="1:2">
      <c r="A53" s="91">
        <v>42</v>
      </c>
      <c r="B53" s="160" t="s">
        <v>203</v>
      </c>
    </row>
    <row r="54" spans="1:2">
      <c r="A54" s="56">
        <v>43</v>
      </c>
      <c r="B54" s="160" t="s">
        <v>222</v>
      </c>
    </row>
    <row r="55" spans="1:2">
      <c r="A55" s="54"/>
      <c r="B55" s="55" t="s">
        <v>516</v>
      </c>
    </row>
    <row r="56" spans="1:2">
      <c r="A56" s="56">
        <v>44</v>
      </c>
      <c r="B56" s="57" t="s">
        <v>205</v>
      </c>
    </row>
    <row r="57" spans="1:2">
      <c r="A57" s="91">
        <v>45</v>
      </c>
      <c r="B57" s="90" t="s">
        <v>207</v>
      </c>
    </row>
    <row r="58" spans="1:2">
      <c r="A58" s="54"/>
      <c r="B58" s="54" t="s">
        <v>82</v>
      </c>
    </row>
    <row r="59" spans="1:2">
      <c r="A59" s="56">
        <v>46</v>
      </c>
      <c r="B59" s="57" t="s">
        <v>67</v>
      </c>
    </row>
    <row r="60" spans="1:2">
      <c r="A60" s="91">
        <v>47</v>
      </c>
      <c r="B60" s="90" t="s">
        <v>75</v>
      </c>
    </row>
    <row r="61" spans="1:2">
      <c r="A61" s="55"/>
      <c r="B61" s="55" t="s">
        <v>224</v>
      </c>
    </row>
    <row r="62" spans="1:2">
      <c r="A62" s="56">
        <v>48</v>
      </c>
      <c r="B62" s="57" t="s">
        <v>208</v>
      </c>
    </row>
    <row r="63" spans="1:2">
      <c r="A63" s="56">
        <v>49</v>
      </c>
      <c r="B63" s="90" t="s">
        <v>209</v>
      </c>
    </row>
    <row r="64" spans="1:2">
      <c r="A64" s="56">
        <v>50</v>
      </c>
      <c r="B64" s="160" t="s">
        <v>210</v>
      </c>
    </row>
    <row r="65" spans="1:2">
      <c r="A65" s="56">
        <v>51</v>
      </c>
      <c r="B65" s="90" t="s">
        <v>211</v>
      </c>
    </row>
    <row r="66" spans="1:2">
      <c r="A66" s="56">
        <v>52</v>
      </c>
      <c r="B66" s="57" t="s">
        <v>212</v>
      </c>
    </row>
    <row r="67" spans="1:2">
      <c r="A67" s="56">
        <v>53</v>
      </c>
      <c r="B67" s="90" t="s">
        <v>204</v>
      </c>
    </row>
    <row r="68" spans="1:2">
      <c r="A68" s="56">
        <v>54</v>
      </c>
      <c r="B68" s="57" t="s">
        <v>213</v>
      </c>
    </row>
    <row r="69" spans="1:2">
      <c r="A69" s="56">
        <v>55</v>
      </c>
      <c r="B69" s="90" t="s">
        <v>214</v>
      </c>
    </row>
    <row r="70" spans="1:2">
      <c r="A70" s="55"/>
      <c r="B70" s="55" t="s">
        <v>92</v>
      </c>
    </row>
    <row r="71" spans="1:2">
      <c r="A71" s="56">
        <v>56</v>
      </c>
      <c r="B71" s="161" t="s">
        <v>195</v>
      </c>
    </row>
    <row r="72" spans="1:2">
      <c r="A72" s="56">
        <v>57</v>
      </c>
      <c r="B72" s="162" t="s">
        <v>225</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1ADCD-63D4-42AD-8EAD-21C226FDE0E8}">
  <sheetPr codeName="Feuil103"/>
  <dimension ref="J5:M11"/>
  <sheetViews>
    <sheetView workbookViewId="0">
      <selection activeCell="M15" sqref="M15"/>
    </sheetView>
  </sheetViews>
  <sheetFormatPr baseColWidth="10" defaultRowHeight="12.5"/>
  <cols>
    <col min="10" max="10" width="11.81640625" style="170" bestFit="1" customWidth="1"/>
  </cols>
  <sheetData>
    <row r="5" spans="10:13">
      <c r="J5" s="170">
        <v>591.91200000000003</v>
      </c>
      <c r="M5" t="s">
        <v>227</v>
      </c>
    </row>
    <row r="6" spans="10:13">
      <c r="J6" s="170">
        <v>625.73400000000004</v>
      </c>
      <c r="M6" s="102" t="s">
        <v>228</v>
      </c>
    </row>
    <row r="7" spans="10:13">
      <c r="J7" s="170">
        <v>670.02700000000004</v>
      </c>
    </row>
    <row r="8" spans="10:13">
      <c r="J8" s="170">
        <v>612.41399999999999</v>
      </c>
    </row>
    <row r="10" spans="10:13">
      <c r="J10" s="170">
        <f>SUM(J4:J9)</f>
        <v>2500.0870000000004</v>
      </c>
    </row>
    <row r="11" spans="10:13">
      <c r="J11" s="170">
        <f>+J10/4</f>
        <v>625.02175000000011</v>
      </c>
    </row>
  </sheetData>
  <hyperlinks>
    <hyperlink ref="M6" r:id="rId1" xr:uid="{4CD453FC-DCEF-4DEA-95AA-0208BDD1EA3D}"/>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FF0000"/>
  </sheetPr>
  <dimension ref="A1:E29"/>
  <sheetViews>
    <sheetView showGridLines="0" zoomScaleNormal="100" workbookViewId="0">
      <pane ySplit="2" topLeftCell="A3" activePane="bottomLeft" state="frozen"/>
      <selection activeCell="C45" sqref="C45"/>
      <selection pane="bottomLeft" activeCell="E18" sqref="E18"/>
    </sheetView>
  </sheetViews>
  <sheetFormatPr baseColWidth="10" defaultColWidth="11.54296875" defaultRowHeight="12"/>
  <cols>
    <col min="1" max="1" width="3.54296875" style="105" bestFit="1" customWidth="1"/>
    <col min="2" max="2" width="43" style="104" bestFit="1" customWidth="1"/>
    <col min="3" max="3" width="12.26953125" style="105" bestFit="1" customWidth="1"/>
    <col min="4" max="4" width="8.81640625" style="85" bestFit="1" customWidth="1"/>
    <col min="5" max="5" width="43" style="104" bestFit="1" customWidth="1"/>
    <col min="6" max="16384" width="11.54296875" style="104"/>
  </cols>
  <sheetData>
    <row r="1" spans="1:5">
      <c r="A1" s="787" t="s">
        <v>7</v>
      </c>
      <c r="B1" s="787" t="s">
        <v>55</v>
      </c>
      <c r="C1" s="787" t="s">
        <v>83</v>
      </c>
      <c r="D1" s="787" t="s">
        <v>78</v>
      </c>
      <c r="E1" s="787" t="s">
        <v>55</v>
      </c>
    </row>
    <row r="2" spans="1:5" ht="12.5" thickBot="1">
      <c r="A2" s="788"/>
      <c r="B2" s="788"/>
      <c r="C2" s="788"/>
      <c r="D2" s="788"/>
      <c r="E2" s="788"/>
    </row>
    <row r="3" spans="1:5">
      <c r="A3" s="67">
        <v>1</v>
      </c>
      <c r="B3" s="89" t="s">
        <v>117</v>
      </c>
      <c r="C3" s="89" t="s">
        <v>118</v>
      </c>
      <c r="D3" s="89" t="s">
        <v>79</v>
      </c>
      <c r="E3" s="89" t="s">
        <v>117</v>
      </c>
    </row>
    <row r="4" spans="1:5">
      <c r="A4" s="17">
        <f>A3+1</f>
        <v>2</v>
      </c>
      <c r="B4" s="88" t="s">
        <v>119</v>
      </c>
      <c r="C4" s="88" t="s">
        <v>120</v>
      </c>
      <c r="D4" s="88" t="s">
        <v>79</v>
      </c>
      <c r="E4" s="88" t="s">
        <v>119</v>
      </c>
    </row>
    <row r="5" spans="1:5">
      <c r="A5" s="67">
        <v>3</v>
      </c>
      <c r="B5" s="89" t="s">
        <v>121</v>
      </c>
      <c r="C5" s="89" t="s">
        <v>122</v>
      </c>
      <c r="D5" s="89" t="s">
        <v>79</v>
      </c>
      <c r="E5" s="89" t="s">
        <v>121</v>
      </c>
    </row>
    <row r="6" spans="1:5">
      <c r="A6" s="17">
        <f t="shared" ref="A6:A12" si="0">A5+1</f>
        <v>4</v>
      </c>
      <c r="B6" s="88" t="s">
        <v>123</v>
      </c>
      <c r="C6" s="88"/>
      <c r="D6" s="88" t="s">
        <v>79</v>
      </c>
      <c r="E6" s="88" t="s">
        <v>123</v>
      </c>
    </row>
    <row r="7" spans="1:5">
      <c r="A7" s="67">
        <f t="shared" si="0"/>
        <v>5</v>
      </c>
      <c r="B7" s="89" t="s">
        <v>124</v>
      </c>
      <c r="C7" s="89" t="s">
        <v>125</v>
      </c>
      <c r="D7" s="89" t="s">
        <v>79</v>
      </c>
      <c r="E7" s="89" t="s">
        <v>124</v>
      </c>
    </row>
    <row r="8" spans="1:5">
      <c r="A8" s="17">
        <f t="shared" si="0"/>
        <v>6</v>
      </c>
      <c r="B8" s="88" t="s">
        <v>126</v>
      </c>
      <c r="C8" s="88"/>
      <c r="D8" s="88" t="s">
        <v>79</v>
      </c>
      <c r="E8" s="88" t="s">
        <v>126</v>
      </c>
    </row>
    <row r="9" spans="1:5">
      <c r="A9" s="67">
        <f t="shared" si="0"/>
        <v>7</v>
      </c>
      <c r="B9" s="89" t="s">
        <v>127</v>
      </c>
      <c r="C9" s="89" t="s">
        <v>128</v>
      </c>
      <c r="D9" s="89" t="s">
        <v>79</v>
      </c>
      <c r="E9" s="89" t="s">
        <v>127</v>
      </c>
    </row>
    <row r="10" spans="1:5">
      <c r="A10" s="17">
        <f t="shared" si="0"/>
        <v>8</v>
      </c>
      <c r="B10" s="191" t="s">
        <v>129</v>
      </c>
      <c r="C10" s="191"/>
      <c r="D10" s="191" t="s">
        <v>79</v>
      </c>
      <c r="E10" s="191" t="s">
        <v>129</v>
      </c>
    </row>
    <row r="11" spans="1:5">
      <c r="A11" s="67">
        <f t="shared" si="0"/>
        <v>9</v>
      </c>
      <c r="B11" s="89" t="s">
        <v>130</v>
      </c>
      <c r="C11" s="89" t="s">
        <v>131</v>
      </c>
      <c r="D11" s="89" t="s">
        <v>79</v>
      </c>
      <c r="E11" s="89" t="s">
        <v>130</v>
      </c>
    </row>
    <row r="12" spans="1:5">
      <c r="A12" s="17">
        <f t="shared" si="0"/>
        <v>10</v>
      </c>
      <c r="B12" s="88" t="s">
        <v>132</v>
      </c>
      <c r="C12" s="88" t="s">
        <v>133</v>
      </c>
      <c r="D12" s="88" t="s">
        <v>79</v>
      </c>
      <c r="E12" s="88" t="s">
        <v>132</v>
      </c>
    </row>
    <row r="13" spans="1:5">
      <c r="A13" s="67">
        <v>11</v>
      </c>
      <c r="B13" s="107" t="s">
        <v>134</v>
      </c>
      <c r="C13" s="107" t="s">
        <v>135</v>
      </c>
      <c r="D13" s="89" t="s">
        <v>79</v>
      </c>
      <c r="E13" s="107" t="s">
        <v>134</v>
      </c>
    </row>
    <row r="14" spans="1:5">
      <c r="A14" s="17">
        <f>A13+1</f>
        <v>12</v>
      </c>
      <c r="B14" s="108" t="s">
        <v>136</v>
      </c>
      <c r="C14" s="108" t="s">
        <v>137</v>
      </c>
      <c r="D14" s="88" t="s">
        <v>79</v>
      </c>
      <c r="E14" s="108" t="s">
        <v>136</v>
      </c>
    </row>
    <row r="15" spans="1:5">
      <c r="A15" s="67">
        <v>13</v>
      </c>
      <c r="B15" s="191" t="s">
        <v>138</v>
      </c>
      <c r="C15" s="191"/>
      <c r="D15" s="191" t="s">
        <v>79</v>
      </c>
      <c r="E15" s="191" t="s">
        <v>138</v>
      </c>
    </row>
    <row r="16" spans="1:5">
      <c r="A16" s="17">
        <v>14</v>
      </c>
      <c r="B16" s="192" t="s">
        <v>139</v>
      </c>
      <c r="C16" s="192"/>
      <c r="D16" s="191" t="s">
        <v>79</v>
      </c>
      <c r="E16" s="192" t="s">
        <v>139</v>
      </c>
    </row>
    <row r="17" spans="1:5">
      <c r="A17" s="67">
        <v>15</v>
      </c>
      <c r="B17" s="89" t="s">
        <v>140</v>
      </c>
      <c r="C17" s="89" t="s">
        <v>141</v>
      </c>
      <c r="D17" s="89" t="s">
        <v>79</v>
      </c>
      <c r="E17" s="89" t="s">
        <v>140</v>
      </c>
    </row>
    <row r="18" spans="1:5">
      <c r="A18" s="17">
        <v>16</v>
      </c>
      <c r="B18" s="193" t="s">
        <v>142</v>
      </c>
      <c r="C18" s="193"/>
      <c r="D18" s="193" t="s">
        <v>79</v>
      </c>
      <c r="E18" s="193" t="s">
        <v>142</v>
      </c>
    </row>
    <row r="19" spans="1:5">
      <c r="A19" s="67">
        <v>17</v>
      </c>
      <c r="B19" s="89" t="s">
        <v>143</v>
      </c>
      <c r="C19" s="89" t="s">
        <v>144</v>
      </c>
      <c r="D19" s="89" t="s">
        <v>145</v>
      </c>
      <c r="E19" s="89" t="s">
        <v>143</v>
      </c>
    </row>
    <row r="20" spans="1:5">
      <c r="A20" s="17">
        <v>18</v>
      </c>
      <c r="B20" s="88" t="s">
        <v>639</v>
      </c>
      <c r="C20" s="88" t="s">
        <v>146</v>
      </c>
      <c r="D20" s="88" t="s">
        <v>145</v>
      </c>
      <c r="E20" s="88" t="s">
        <v>639</v>
      </c>
    </row>
    <row r="21" spans="1:5">
      <c r="A21" s="67">
        <v>19</v>
      </c>
      <c r="B21" s="89" t="s">
        <v>147</v>
      </c>
      <c r="C21" s="89" t="s">
        <v>148</v>
      </c>
      <c r="D21" s="89" t="s">
        <v>145</v>
      </c>
      <c r="E21" s="89" t="s">
        <v>147</v>
      </c>
    </row>
    <row r="22" spans="1:5">
      <c r="A22" s="17">
        <v>20</v>
      </c>
      <c r="B22" s="88" t="s">
        <v>149</v>
      </c>
      <c r="C22" s="88" t="s">
        <v>150</v>
      </c>
      <c r="D22" s="88" t="s">
        <v>145</v>
      </c>
      <c r="E22" s="88" t="s">
        <v>149</v>
      </c>
    </row>
    <row r="23" spans="1:5">
      <c r="A23" s="67">
        <v>21</v>
      </c>
      <c r="B23" s="89" t="s">
        <v>151</v>
      </c>
      <c r="C23" s="89" t="s">
        <v>152</v>
      </c>
      <c r="D23" s="89" t="s">
        <v>145</v>
      </c>
      <c r="E23" s="89" t="s">
        <v>151</v>
      </c>
    </row>
    <row r="24" spans="1:5">
      <c r="A24" s="17">
        <v>22</v>
      </c>
      <c r="B24" s="108" t="s">
        <v>153</v>
      </c>
      <c r="C24" s="108" t="s">
        <v>154</v>
      </c>
      <c r="D24" s="88" t="s">
        <v>145</v>
      </c>
      <c r="E24" s="108" t="s">
        <v>153</v>
      </c>
    </row>
    <row r="25" spans="1:5">
      <c r="A25" s="67">
        <v>23</v>
      </c>
      <c r="B25" s="89" t="s">
        <v>155</v>
      </c>
      <c r="C25" s="89" t="s">
        <v>156</v>
      </c>
      <c r="D25" s="89" t="s">
        <v>145</v>
      </c>
      <c r="E25" s="89" t="s">
        <v>155</v>
      </c>
    </row>
    <row r="26" spans="1:5">
      <c r="A26" s="17">
        <v>24</v>
      </c>
      <c r="B26" s="88" t="s">
        <v>157</v>
      </c>
      <c r="C26" s="88" t="s">
        <v>158</v>
      </c>
      <c r="D26" s="88" t="s">
        <v>145</v>
      </c>
      <c r="E26" s="88" t="s">
        <v>157</v>
      </c>
    </row>
    <row r="27" spans="1:5">
      <c r="A27" s="67">
        <v>25</v>
      </c>
      <c r="B27" s="89" t="s">
        <v>159</v>
      </c>
      <c r="C27" s="89" t="s">
        <v>160</v>
      </c>
      <c r="D27" s="89" t="s">
        <v>145</v>
      </c>
      <c r="E27" s="89" t="s">
        <v>159</v>
      </c>
    </row>
    <row r="28" spans="1:5">
      <c r="A28" s="17">
        <v>26</v>
      </c>
      <c r="B28" s="108" t="s">
        <v>161</v>
      </c>
      <c r="C28" s="108" t="s">
        <v>162</v>
      </c>
      <c r="D28" s="88" t="s">
        <v>163</v>
      </c>
      <c r="E28" s="108" t="s">
        <v>161</v>
      </c>
    </row>
    <row r="29" spans="1:5">
      <c r="A29" s="67">
        <v>27</v>
      </c>
      <c r="B29" s="107" t="s">
        <v>340</v>
      </c>
      <c r="C29" s="107" t="s">
        <v>164</v>
      </c>
      <c r="D29" s="89" t="s">
        <v>163</v>
      </c>
      <c r="E29" s="107" t="s">
        <v>340</v>
      </c>
    </row>
  </sheetData>
  <autoFilter ref="A2:D29" xr:uid="{1F7F2CBC-F1C5-4E46-93DC-74C3B12F829F}"/>
  <mergeCells count="5">
    <mergeCell ref="B1:B2"/>
    <mergeCell ref="A1:A2"/>
    <mergeCell ref="D1:D2"/>
    <mergeCell ref="C1:C2"/>
    <mergeCell ref="E1:E2"/>
  </mergeCells>
  <conditionalFormatting sqref="B3:E29">
    <cfRule type="containsText" dxfId="108" priority="1" operator="containsText" text="Not">
      <formula>NOT(ISERROR(SEARCH("Not",B3)))</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BL754"/>
  <sheetViews>
    <sheetView showGridLines="0" zoomScaleNormal="100" workbookViewId="0">
      <selection activeCell="E8" sqref="E8"/>
    </sheetView>
  </sheetViews>
  <sheetFormatPr baseColWidth="10" defaultColWidth="11.54296875" defaultRowHeight="12" outlineLevelCol="1"/>
  <cols>
    <col min="1" max="1" width="28.54296875" style="17" customWidth="1"/>
    <col min="2" max="2" width="4.453125" style="17" customWidth="1"/>
    <col min="3" max="3" width="56"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3.816406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Companies!B3</f>
        <v>CCO</v>
      </c>
      <c r="F1" s="32" t="str">
        <f>Companies!C3</f>
        <v>M361614Q001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3" t="str">
        <f>B5</f>
        <v>Paiements en nature</v>
      </c>
      <c r="AM2" s="813"/>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3" t="str">
        <f>B5</f>
        <v>Paiements en nature</v>
      </c>
      <c r="AY2" s="813"/>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SUMIF($C$84:$C$752,R3,$G$84:$G$752)</f>
        <v>0</v>
      </c>
      <c r="U3" s="21" t="str">
        <f>Lists!A91</f>
        <v>FD non soumis par la Société</v>
      </c>
      <c r="V3" s="18">
        <f t="shared" ref="V3:V14" si="4">SUMIF($N$9:$N$75,U3,$M$9:$M$75)</f>
        <v>0</v>
      </c>
      <c r="Y3" s="19">
        <f>B6</f>
        <v>0</v>
      </c>
      <c r="Z3" s="19">
        <f>C6</f>
        <v>0</v>
      </c>
      <c r="AA3" s="16">
        <f t="shared" ref="AA3:AI4" si="5">SUMPRODUCT(($A$84:$A$752=$Y3&amp;"- "&amp;$Z3)*($C$84:$C$752=AA$1)*($G$84:$G$752))</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-1236846</v>
      </c>
      <c r="BE5" s="81">
        <f t="shared" ca="1" si="15"/>
        <v>0</v>
      </c>
      <c r="BF5" s="81">
        <f t="shared" ca="1" si="15"/>
        <v>0</v>
      </c>
      <c r="BG5" s="81">
        <f t="shared" ca="1" si="15"/>
        <v>0</v>
      </c>
      <c r="BH5" s="81">
        <f t="shared" ca="1" si="15"/>
        <v>0</v>
      </c>
      <c r="BI5" s="81">
        <f t="shared" ca="1" si="15"/>
        <v>0</v>
      </c>
      <c r="BJ5" s="81">
        <f t="shared" ca="1" si="15"/>
        <v>0</v>
      </c>
      <c r="BK5" s="81">
        <f t="shared" ca="1" si="15"/>
        <v>815450.68500000983</v>
      </c>
    </row>
    <row r="6" spans="1:63">
      <c r="B6" s="67"/>
      <c r="C6" s="69"/>
      <c r="E6" s="165"/>
      <c r="F6" s="165">
        <f>SUMIF($A$84:$A$752,B6&amp;"- "&amp;C6,$G$84:$G$752)</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0.3450000062584877</v>
      </c>
    </row>
    <row r="7" spans="1:63">
      <c r="C7" s="24"/>
      <c r="E7" s="114"/>
      <c r="F7" s="114">
        <f>SUMIF($A$84:$A$752,B7&amp;"- "&amp;C7,$G$84:$G$752)</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ca="1" si="4"/>
        <v>-1236846</v>
      </c>
      <c r="Y7" s="15">
        <f>B10</f>
        <v>1</v>
      </c>
      <c r="Z7" s="25" t="str">
        <f t="shared" si="16"/>
        <v>Redevance équipement, informatique et finances (REIF)</v>
      </c>
      <c r="AA7" s="16">
        <f t="shared" ref="AA7:AI11" si="22">SUMPRODUCT(($A$84:$A$752=$Y7&amp;"- "&amp;$Z7)*($C$84:$C$752=AA$1)*($G$84:$G$752))</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0.33500000089406967</v>
      </c>
    </row>
    <row r="8" spans="1:63">
      <c r="B8" s="78" t="s">
        <v>93</v>
      </c>
      <c r="C8" s="77"/>
      <c r="E8" s="164">
        <f>+E9+E13+E15+E17+E40+E45+E47+E52+E55+E62+E65+E68+E77</f>
        <v>334281652</v>
      </c>
      <c r="F8" s="164">
        <f>+F9+F13+F15+F17+F40+F45+F47+F52+F55+F62+F65+F68+F77</f>
        <v>0</v>
      </c>
      <c r="G8" s="164">
        <f>+G9+G13+G15+G17+G40+G45+G47+G52+G55+G62+G65+G68+G77</f>
        <v>334281652</v>
      </c>
      <c r="H8" s="114"/>
      <c r="I8" s="164">
        <f>+I9+I13+I15+I17+I40+I45+I47+I52+I55+I62+I65+I68+I77</f>
        <v>322703047.315</v>
      </c>
      <c r="J8" s="164">
        <f ca="1">+J9+J13+J15+J17+J40+J45+J47+J52+J55+J62+J65+J68+J77</f>
        <v>12000000</v>
      </c>
      <c r="K8" s="164">
        <f ca="1">+K9+K13+K15+K17+K40+K45+K47+K52+K55+K62+K65+K68+K77</f>
        <v>334703047.315</v>
      </c>
      <c r="L8" s="114"/>
      <c r="M8" s="164">
        <f ca="1">+M9+M13+M15+M17+M40+M45+M52+M55+M62+M65+M68+M77+M47</f>
        <v>-421395.31499999017</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1.000000536441803E-2</v>
      </c>
    </row>
    <row r="9" spans="1:63">
      <c r="B9" s="58"/>
      <c r="C9" s="58" t="str">
        <f>+'Taxes RCA 2022'!B2</f>
        <v>DGDDI</v>
      </c>
      <c r="E9" s="166">
        <f>SUM(E10:E12)</f>
        <v>124595714</v>
      </c>
      <c r="F9" s="166">
        <f t="shared" ref="F9:G9" si="25">SUM(F10:F12)</f>
        <v>0</v>
      </c>
      <c r="G9" s="166">
        <f t="shared" si="25"/>
        <v>124595714</v>
      </c>
      <c r="H9" s="114"/>
      <c r="I9" s="166">
        <f>SUM(I10:I12)</f>
        <v>124595713.655</v>
      </c>
      <c r="J9" s="166">
        <f t="shared" ref="J9" ca="1" si="26">SUM(J10:J12)</f>
        <v>0</v>
      </c>
      <c r="K9" s="166">
        <f t="shared" ref="K9" ca="1" si="27">SUM(K10:K12)</f>
        <v>124595713.655</v>
      </c>
      <c r="L9" s="114"/>
      <c r="M9" s="166">
        <f t="shared" ref="M9" ca="1" si="28">SUM(M10:M12)</f>
        <v>0.3450000062584877</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v>17799388</v>
      </c>
      <c r="F10" s="165">
        <f>SUMIF($A$84:$A$752,B10&amp;"- "&amp;C10,$G$84:$G$752)</f>
        <v>0</v>
      </c>
      <c r="G10" s="165">
        <f>E10+F10</f>
        <v>17799388</v>
      </c>
      <c r="H10" s="114"/>
      <c r="I10" s="165">
        <v>17799387.664999999</v>
      </c>
      <c r="J10" s="165">
        <f>SUMIF($J$83:$J$1048576,C10,$Q$83:$Q$1048576)</f>
        <v>0</v>
      </c>
      <c r="K10" s="165">
        <f>I10+J10</f>
        <v>17799387.664999999</v>
      </c>
      <c r="L10" s="114"/>
      <c r="M10" s="165">
        <f>+G10-K10</f>
        <v>0.33500000089406967</v>
      </c>
      <c r="N10" s="68" t="s">
        <v>229</v>
      </c>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v>106796326</v>
      </c>
      <c r="F11" s="114">
        <f>SUMIF($A$84:$A$752,B11&amp;"- "&amp;C11,$G$84:$G$752)</f>
        <v>0</v>
      </c>
      <c r="G11" s="114">
        <f>E11+F11</f>
        <v>106796326</v>
      </c>
      <c r="H11" s="114"/>
      <c r="I11" s="114">
        <v>106796325.98999999</v>
      </c>
      <c r="J11" s="114">
        <f>SUMIF($J$83:$J$1048576,C11,$Q$83:$Q$1048576)</f>
        <v>0</v>
      </c>
      <c r="K11" s="114">
        <f>I11+J11</f>
        <v>106796325.98999999</v>
      </c>
      <c r="L11" s="114"/>
      <c r="M11" s="114">
        <f>+G11-K11</f>
        <v>1.000000536441803E-2</v>
      </c>
      <c r="N11" s="18" t="s">
        <v>229</v>
      </c>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SUMIF($A$84:$A$752,B12&amp;"- "&amp;C12,$G$84:$G$752)</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815452</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SUMPRODUCT(($A$84:$A$752=$Y13&amp;"- "&amp;$Z13)*($C$84:$C$752=AA$1)*($G$84:$G$752))</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SUMIF($A$84:$A$752,B14&amp;"- "&amp;C14,$G$84:$G$752)</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ca="1" si="4"/>
        <v>815450.68500000983</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 ca="1">SUM(V3:V14)</f>
        <v>-421395.31499999017</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SUMIF($A$84:$A$752,B16&amp;"- "&amp;C16,$G$84:$G$752)</f>
        <v>0</v>
      </c>
      <c r="G16" s="165">
        <f>E16+F16</f>
        <v>0</v>
      </c>
      <c r="H16" s="114"/>
      <c r="I16" s="165"/>
      <c r="J16" s="165">
        <f ca="1">SUMIF($J$84:$M$749,B16&amp;"- "&amp;C16,$Q$84:$Q$749)</f>
        <v>0</v>
      </c>
      <c r="K16" s="165">
        <f ca="1">I16+J16</f>
        <v>0</v>
      </c>
      <c r="L16" s="114"/>
      <c r="M16" s="165">
        <f ca="1">+G16-K16</f>
        <v>0</v>
      </c>
      <c r="N16" s="68"/>
      <c r="O16" s="38" t="str">
        <f t="shared" ref="O16:O24" ca="1" si="46">IF(M16=0,"",IF(N16=0,"ERROR",""))</f>
        <v/>
      </c>
      <c r="P16" s="39" t="str">
        <f t="shared" ref="P16:P24"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815452</v>
      </c>
    </row>
    <row r="17" spans="1:63">
      <c r="A17" s="80">
        <f t="shared" si="29"/>
        <v>0</v>
      </c>
      <c r="B17" s="163"/>
      <c r="C17" s="58" t="str">
        <f>+'Taxes RCA 2022'!B10</f>
        <v>DGID</v>
      </c>
      <c r="E17" s="166">
        <f>SUM(E18:E39)</f>
        <v>138488388</v>
      </c>
      <c r="F17" s="166">
        <f t="shared" ref="F17:G17" si="51">SUM(F18:F39)</f>
        <v>0</v>
      </c>
      <c r="G17" s="166">
        <f t="shared" si="51"/>
        <v>138488388</v>
      </c>
      <c r="H17" s="114"/>
      <c r="I17" s="166">
        <f>SUM(I18:I39)</f>
        <v>126909783</v>
      </c>
      <c r="J17" s="166">
        <f t="shared" ref="J17" ca="1" si="52">SUM(J18:J39)</f>
        <v>12000000</v>
      </c>
      <c r="K17" s="166">
        <f t="shared" ref="K17" ca="1" si="53">SUM(K18:K39)</f>
        <v>138909783</v>
      </c>
      <c r="L17" s="114"/>
      <c r="M17" s="166">
        <f t="shared" ref="M17" ca="1" si="54">SUM(M18:M39)</f>
        <v>-421395</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SUMIF($A$84:$A$752,B18&amp;"- "&amp;C18,$G$84:$G$752)</f>
        <v>0</v>
      </c>
      <c r="G18" s="114">
        <f t="shared" ref="G18:G39" si="56">E18+F18</f>
        <v>0</v>
      </c>
      <c r="H18" s="114"/>
      <c r="I18" s="114"/>
      <c r="J18" s="114">
        <f ca="1">SUMIF($J$84:$M$749,C18,$Q$84:$Q$749)</f>
        <v>0</v>
      </c>
      <c r="K18" s="114">
        <f t="shared" ref="K18:K39" ca="1" si="57">I18+J18</f>
        <v>0</v>
      </c>
      <c r="L18" s="114"/>
      <c r="M18" s="114">
        <f t="shared" ref="M18:M39" ca="1" si="58">+G18-K18</f>
        <v>0</v>
      </c>
      <c r="N18" s="18"/>
      <c r="O18" s="38" t="str">
        <f t="shared" ca="1" si="46"/>
        <v/>
      </c>
      <c r="P18" s="39" t="str">
        <f t="shared" ca="1" si="47"/>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v>3809384</v>
      </c>
      <c r="F19" s="165">
        <f t="shared" si="55"/>
        <v>0</v>
      </c>
      <c r="G19" s="165">
        <f t="shared" si="56"/>
        <v>3809384</v>
      </c>
      <c r="H19" s="114"/>
      <c r="I19" s="165">
        <v>2993932</v>
      </c>
      <c r="J19" s="165">
        <f ca="1">SUMIF($J$84:$M$749,C19,$Q$84:$Q$749)</f>
        <v>0</v>
      </c>
      <c r="K19" s="165">
        <f t="shared" ca="1" si="57"/>
        <v>2993932</v>
      </c>
      <c r="L19" s="114"/>
      <c r="M19" s="165">
        <f t="shared" ca="1" si="58"/>
        <v>815452</v>
      </c>
      <c r="N19" s="68" t="s">
        <v>229</v>
      </c>
      <c r="O19" s="38" t="str">
        <f t="shared" ca="1" si="46"/>
        <v/>
      </c>
      <c r="P19" s="39" t="str">
        <f t="shared" ca="1" si="47"/>
        <v/>
      </c>
      <c r="Q19" s="35"/>
      <c r="W19" s="41" t="str">
        <f ca="1">IF(M8=V15,"","ERROR")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v>1440000</v>
      </c>
      <c r="F20" s="114">
        <f t="shared" si="55"/>
        <v>0</v>
      </c>
      <c r="G20" s="114">
        <f t="shared" si="56"/>
        <v>1440000</v>
      </c>
      <c r="H20" s="114"/>
      <c r="I20" s="114">
        <v>1440000</v>
      </c>
      <c r="J20" s="114">
        <f ca="1">SUMIF($J$84:$M$749,C20,$Q$84:$Q$749)</f>
        <v>0</v>
      </c>
      <c r="K20" s="114">
        <f t="shared" ca="1" si="57"/>
        <v>1440000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v>3987816</v>
      </c>
      <c r="F21" s="165">
        <f t="shared" si="55"/>
        <v>0</v>
      </c>
      <c r="G21" s="165">
        <f t="shared" si="56"/>
        <v>3987816</v>
      </c>
      <c r="H21" s="114"/>
      <c r="I21" s="165">
        <v>3987816</v>
      </c>
      <c r="J21" s="165">
        <f ca="1">SUMIF($J$84:$M$749,B21&amp;"- "&amp;C21,$Q$84:$Q$749)</f>
        <v>0</v>
      </c>
      <c r="K21" s="165">
        <f t="shared" ca="1" si="57"/>
        <v>3987816</v>
      </c>
      <c r="L21" s="114"/>
      <c r="M21" s="165">
        <f t="shared" ca="1" si="58"/>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-1236846</v>
      </c>
      <c r="BE22" s="29">
        <f t="shared" ca="1" si="64"/>
        <v>0</v>
      </c>
      <c r="BF22" s="29">
        <f t="shared" ca="1" si="64"/>
        <v>0</v>
      </c>
      <c r="BG22" s="29">
        <f t="shared" ca="1" si="64"/>
        <v>0</v>
      </c>
      <c r="BH22" s="29">
        <f t="shared" ca="1" si="64"/>
        <v>0</v>
      </c>
      <c r="BI22" s="29">
        <f t="shared" ca="1" si="64"/>
        <v>0</v>
      </c>
      <c r="BJ22" s="29">
        <f t="shared" ca="1" si="64"/>
        <v>0</v>
      </c>
      <c r="BK22" s="29">
        <f t="shared" ca="1" si="64"/>
        <v>-1</v>
      </c>
    </row>
    <row r="23" spans="1:63">
      <c r="A23" s="80">
        <f t="shared" si="29"/>
        <v>11</v>
      </c>
      <c r="B23" s="64">
        <f>+'Taxes RCA 2022'!A16</f>
        <v>11</v>
      </c>
      <c r="C23" s="68" t="str">
        <f>+'Taxes RCA 2022'!B16</f>
        <v>Loyer annuel</v>
      </c>
      <c r="E23" s="165">
        <v>12000000</v>
      </c>
      <c r="F23" s="165">
        <f t="shared" si="55"/>
        <v>0</v>
      </c>
      <c r="G23" s="165">
        <f t="shared" si="56"/>
        <v>12000000</v>
      </c>
      <c r="H23" s="114"/>
      <c r="I23" s="165"/>
      <c r="J23" s="165">
        <f ca="1">SUMIF($J$84:$M$749,C23,$Q$84:$Q$749)</f>
        <v>12000000</v>
      </c>
      <c r="K23" s="165">
        <f t="shared" ca="1" si="57"/>
        <v>12000000</v>
      </c>
      <c r="L23" s="114"/>
      <c r="M23" s="165">
        <f t="shared" ca="1" si="58"/>
        <v>0</v>
      </c>
      <c r="N23" s="68"/>
      <c r="O23" s="38" t="str">
        <f t="shared" ca="1" si="46"/>
        <v/>
      </c>
      <c r="P23" s="39" t="str">
        <f t="shared" ca="1" si="47"/>
        <v/>
      </c>
      <c r="Q23" s="35"/>
      <c r="Y23" s="15">
        <f t="shared" ref="Y23:Y32" si="65">B26</f>
        <v>14</v>
      </c>
      <c r="Z23" s="25" t="str">
        <f t="shared" si="59"/>
        <v xml:space="preserve">Taxe de reboisement  </v>
      </c>
      <c r="AA23" s="16">
        <f t="shared" ref="AA23:AI32" si="66">SUMPRODUCT(($A$84:$A$752=$Y23&amp;"- "&amp;$Z23)*($C$84:$C$752=AA$1)*($G$84:$G$752))</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v>25861360</v>
      </c>
      <c r="F24" s="114">
        <f t="shared" si="55"/>
        <v>0</v>
      </c>
      <c r="G24" s="114">
        <f t="shared" si="56"/>
        <v>25861360</v>
      </c>
      <c r="H24" s="114"/>
      <c r="I24" s="114">
        <v>25861360</v>
      </c>
      <c r="J24" s="114">
        <f ca="1">SUMIF($J$84:$M$749,B24&amp;"- "&amp;C24,$Q$84:$Q$749)</f>
        <v>0</v>
      </c>
      <c r="K24" s="114">
        <f t="shared" ca="1" si="57"/>
        <v>25861360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ca="1">SUMIF($J$84:$M$749,C25,$Q$84:$Q$749)</f>
        <v>0</v>
      </c>
      <c r="K25" s="165">
        <f t="shared" ca="1" si="57"/>
        <v>0</v>
      </c>
      <c r="L25" s="114"/>
      <c r="M25" s="165">
        <f t="shared" ca="1" si="58"/>
        <v>0</v>
      </c>
      <c r="N25" s="68"/>
      <c r="O25" s="38" t="str">
        <f t="shared" ref="O25:O71" ca="1" si="73">IF(M25=0,"",IF(N25=0,"ERROR",""))</f>
        <v/>
      </c>
      <c r="P25" s="39" t="str">
        <f t="shared" ref="P25:P35" ca="1" si="74">IF(O25="ERROR","Please insert comment","")</f>
        <v/>
      </c>
      <c r="Q25" s="35"/>
      <c r="R25" s="21" t="str">
        <f>Lists!A80</f>
        <v>Taxes perçues non reportées par l'Etat</v>
      </c>
      <c r="S25" s="18">
        <f t="shared" ref="S25:S32" si="75">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0</v>
      </c>
      <c r="K26" s="114">
        <f t="shared" ca="1" si="57"/>
        <v>0</v>
      </c>
      <c r="L26" s="114"/>
      <c r="M26" s="114">
        <f t="shared" ca="1" si="58"/>
        <v>0</v>
      </c>
      <c r="N26" s="18"/>
      <c r="O26" s="38" t="str">
        <f t="shared" ca="1" si="73"/>
        <v/>
      </c>
      <c r="P26" s="39" t="str">
        <f t="shared" ca="1" si="74"/>
        <v/>
      </c>
      <c r="Q26" s="35"/>
      <c r="R26" s="21" t="str">
        <f>Lists!A81</f>
        <v>Montant doublement déclaré</v>
      </c>
      <c r="S26" s="18">
        <f t="shared" si="75"/>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-1</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ca="1">SUMIF($J$84:$M$749,B27&amp;"- "&amp;C27,$Q$84:$Q$749)</f>
        <v>0</v>
      </c>
      <c r="K27" s="165">
        <f t="shared" ca="1" si="57"/>
        <v>0</v>
      </c>
      <c r="L27" s="114"/>
      <c r="M27" s="165">
        <f t="shared" ca="1" si="58"/>
        <v>0</v>
      </c>
      <c r="N27" s="68"/>
      <c r="O27" s="38" t="str">
        <f t="shared" ca="1" si="73"/>
        <v/>
      </c>
      <c r="P27" s="39" t="str">
        <f t="shared" ca="1" si="74"/>
        <v/>
      </c>
      <c r="Q27" s="35"/>
      <c r="R27" s="21" t="str">
        <f>Lists!A82</f>
        <v>Taxes perçues hors de la période de réconciliation</v>
      </c>
      <c r="S27" s="18">
        <f t="shared" si="75"/>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-1236846</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v>11314605</v>
      </c>
      <c r="J28" s="114">
        <f>+Q85</f>
        <v>-11314605</v>
      </c>
      <c r="K28" s="114">
        <f t="shared" si="57"/>
        <v>0</v>
      </c>
      <c r="L28" s="114"/>
      <c r="M28" s="114">
        <f t="shared" si="58"/>
        <v>0</v>
      </c>
      <c r="N28" s="18"/>
      <c r="O28" s="38" t="str">
        <f t="shared" si="73"/>
        <v/>
      </c>
      <c r="P28" s="39" t="str">
        <f t="shared" si="74"/>
        <v/>
      </c>
      <c r="Q28" s="35"/>
      <c r="R28" s="21" t="str">
        <f>Lists!A83</f>
        <v>Erreur de reporting (montant et détail)</v>
      </c>
      <c r="S28" s="18">
        <f t="shared" si="75"/>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v>88996938</v>
      </c>
      <c r="F29" s="165">
        <f t="shared" si="55"/>
        <v>0</v>
      </c>
      <c r="G29" s="165">
        <f t="shared" si="56"/>
        <v>88996938</v>
      </c>
      <c r="H29" s="114"/>
      <c r="I29" s="165">
        <v>77682334</v>
      </c>
      <c r="J29" s="165">
        <f>+Q84</f>
        <v>11314605</v>
      </c>
      <c r="K29" s="165">
        <f t="shared" si="57"/>
        <v>88996939</v>
      </c>
      <c r="L29" s="114"/>
      <c r="M29" s="165">
        <f t="shared" si="58"/>
        <v>-1</v>
      </c>
      <c r="N29" s="68" t="s">
        <v>229</v>
      </c>
      <c r="O29" s="38" t="str">
        <f t="shared" si="73"/>
        <v/>
      </c>
      <c r="P29" s="39" t="str">
        <f t="shared" si="74"/>
        <v/>
      </c>
      <c r="Q29" s="35"/>
      <c r="R29" s="21" t="str">
        <f>Lists!A84</f>
        <v>Taxe reportée par l'Etat non réellement encaissée</v>
      </c>
      <c r="S29" s="18">
        <f t="shared" si="75"/>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v>2032890</v>
      </c>
      <c r="F30" s="114">
        <f t="shared" si="55"/>
        <v>0</v>
      </c>
      <c r="G30" s="114">
        <f t="shared" si="56"/>
        <v>2032890</v>
      </c>
      <c r="H30" s="114"/>
      <c r="I30" s="114">
        <v>3269736</v>
      </c>
      <c r="J30" s="114">
        <f t="shared" ref="J30:J37" ca="1" si="76">SUMIF($J$84:$M$749,B30&amp;"- "&amp;C30,$Q$84:$Q$749)</f>
        <v>0</v>
      </c>
      <c r="K30" s="114">
        <f t="shared" ca="1" si="57"/>
        <v>3269736</v>
      </c>
      <c r="L30" s="114"/>
      <c r="M30" s="114">
        <f t="shared" ca="1" si="58"/>
        <v>-1236846</v>
      </c>
      <c r="N30" s="18" t="s">
        <v>85</v>
      </c>
      <c r="O30" s="38" t="str">
        <f t="shared" ca="1" si="73"/>
        <v/>
      </c>
      <c r="P30" s="39" t="str">
        <f t="shared" ca="1" si="74"/>
        <v/>
      </c>
      <c r="Q30" s="35"/>
      <c r="R30" s="21" t="str">
        <f>Lists!A85</f>
        <v>Erreur de classification</v>
      </c>
      <c r="S30" s="18">
        <f t="shared" si="75"/>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6"/>
        <v>0</v>
      </c>
      <c r="K31" s="165">
        <f t="shared" ca="1" si="57"/>
        <v>0</v>
      </c>
      <c r="L31" s="114"/>
      <c r="M31" s="165">
        <f t="shared" ca="1" si="58"/>
        <v>0</v>
      </c>
      <c r="N31" s="68"/>
      <c r="O31" s="38" t="str">
        <f t="shared" ca="1" si="73"/>
        <v/>
      </c>
      <c r="P31" s="39" t="str">
        <f t="shared" ca="1" si="74"/>
        <v/>
      </c>
      <c r="Q31" s="35"/>
      <c r="R31" s="21" t="str">
        <f>Lists!A86</f>
        <v>Taxes payées par la Ste sur un autre NINEA non reporté par l'Etat</v>
      </c>
      <c r="S31" s="18">
        <f t="shared" si="75"/>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v>360000</v>
      </c>
      <c r="F32" s="114">
        <f t="shared" si="55"/>
        <v>0</v>
      </c>
      <c r="G32" s="114">
        <f t="shared" si="56"/>
        <v>360000</v>
      </c>
      <c r="H32" s="114"/>
      <c r="I32" s="114">
        <v>360000</v>
      </c>
      <c r="J32" s="114">
        <f t="shared" ca="1" si="76"/>
        <v>0</v>
      </c>
      <c r="K32" s="114">
        <f t="shared" ca="1" si="57"/>
        <v>360000</v>
      </c>
      <c r="L32" s="114"/>
      <c r="M32" s="114">
        <f t="shared" ca="1" si="58"/>
        <v>0</v>
      </c>
      <c r="N32" s="18"/>
      <c r="O32" s="38" t="str">
        <f t="shared" ca="1" si="73"/>
        <v/>
      </c>
      <c r="P32" s="39" t="str">
        <f t="shared" ca="1" si="74"/>
        <v/>
      </c>
      <c r="Q32" s="35"/>
      <c r="R32" s="21" t="str">
        <f>Lists!A87</f>
        <v>Taxes hors périmètre de réconciliation</v>
      </c>
      <c r="S32" s="18">
        <f t="shared" si="75"/>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6"/>
        <v>0</v>
      </c>
      <c r="K33" s="165">
        <f t="shared" ca="1" si="57"/>
        <v>0</v>
      </c>
      <c r="L33" s="114"/>
      <c r="M33" s="165">
        <f t="shared" ca="1" si="58"/>
        <v>0</v>
      </c>
      <c r="N33" s="68"/>
      <c r="O33" s="38" t="str">
        <f t="shared" ca="1" si="73"/>
        <v/>
      </c>
      <c r="P33" s="39" t="str">
        <f t="shared" ca="1" si="74"/>
        <v/>
      </c>
      <c r="Q33" s="35"/>
      <c r="R33" s="40" t="s">
        <v>18</v>
      </c>
      <c r="S33" s="22">
        <f>SUM(S25:S32)</f>
        <v>0</v>
      </c>
      <c r="Y33" s="28"/>
      <c r="Z33" s="28" t="str">
        <f t="shared" si="59"/>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1"/>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3"/>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-0.65999999642372131</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6"/>
        <v>0</v>
      </c>
      <c r="K34" s="114">
        <f t="shared" ca="1" si="57"/>
        <v>0</v>
      </c>
      <c r="L34" s="114"/>
      <c r="M34" s="114">
        <f t="shared" ca="1" si="58"/>
        <v>0</v>
      </c>
      <c r="N34" s="18"/>
      <c r="O34" s="38" t="str">
        <f t="shared" ca="1" si="73"/>
        <v/>
      </c>
      <c r="P34" s="39" t="str">
        <f t="shared" ca="1" si="74"/>
        <v/>
      </c>
      <c r="Q34" s="35"/>
      <c r="R34" s="43"/>
      <c r="S34" s="27"/>
      <c r="Y34" s="15">
        <f t="shared" ref="Y34:Y49" si="80">B37</f>
        <v>25</v>
      </c>
      <c r="Z34" s="25" t="str">
        <f t="shared" si="59"/>
        <v>Amendes et pénalités payées à la DGID (+)</v>
      </c>
      <c r="AA34" s="16">
        <f t="shared" ref="AA34:AI46" si="81">SUMPRODUCT(($A$84:$A$752=$Y34&amp;"- "&amp;$Z34)*($C$84:$C$752=AA$1)*($G$84:$G$752))</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1"/>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3"/>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6"/>
        <v>0</v>
      </c>
      <c r="K35" s="165">
        <f t="shared" ca="1" si="57"/>
        <v>0</v>
      </c>
      <c r="L35" s="114"/>
      <c r="M35" s="165">
        <f t="shared" ca="1" si="58"/>
        <v>0</v>
      </c>
      <c r="N35" s="68"/>
      <c r="O35" s="71" t="str">
        <f t="shared" ca="1" si="73"/>
        <v/>
      </c>
      <c r="P35" s="72" t="str">
        <f t="shared" ca="1" si="74"/>
        <v/>
      </c>
      <c r="Q35" s="73"/>
      <c r="Y35" s="15">
        <f t="shared" si="80"/>
        <v>26</v>
      </c>
      <c r="Z35" s="25" t="str">
        <f t="shared" si="59"/>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1"/>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3"/>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6"/>
        <v>0</v>
      </c>
      <c r="K36" s="114">
        <f t="shared" ca="1" si="57"/>
        <v>0</v>
      </c>
      <c r="L36" s="114"/>
      <c r="M36" s="114">
        <f t="shared" ca="1" si="58"/>
        <v>0</v>
      </c>
      <c r="N36" s="18"/>
      <c r="O36" s="38"/>
      <c r="P36" s="39"/>
      <c r="Q36" s="35"/>
      <c r="S36" s="18"/>
      <c r="Y36" s="15">
        <f t="shared" si="80"/>
        <v>27</v>
      </c>
      <c r="Z36" s="25" t="str">
        <f t="shared" si="59"/>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1"/>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3"/>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6"/>
        <v>0</v>
      </c>
      <c r="K37" s="165">
        <f t="shared" ca="1" si="57"/>
        <v>0</v>
      </c>
      <c r="L37" s="114"/>
      <c r="M37" s="165">
        <f t="shared" ca="1" si="58"/>
        <v>0</v>
      </c>
      <c r="N37" s="68"/>
      <c r="O37" s="38" t="str">
        <f t="shared" ca="1" si="73"/>
        <v/>
      </c>
      <c r="P37" s="39" t="str">
        <f t="shared" ref="P37:P51" ca="1" si="88">IF(O37="ERROR","Please insert comment","")</f>
        <v/>
      </c>
      <c r="Q37" s="35"/>
      <c r="Y37" s="15">
        <f t="shared" si="80"/>
        <v>0</v>
      </c>
      <c r="Z37" s="25" t="str">
        <f t="shared" si="59"/>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1"/>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3"/>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-0.32999999821186066</v>
      </c>
    </row>
    <row r="38" spans="1:63">
      <c r="A38" s="80">
        <f t="shared" si="29"/>
        <v>26</v>
      </c>
      <c r="B38" s="53">
        <f>+'Taxes RCA 2022'!A31</f>
        <v>26</v>
      </c>
      <c r="C38" s="18" t="str">
        <f>+'Taxes RCA 2022'!B31</f>
        <v>Redevance de déboisement (+)</v>
      </c>
      <c r="E38" s="114"/>
      <c r="F38" s="114">
        <f t="shared" si="55"/>
        <v>0</v>
      </c>
      <c r="G38" s="114">
        <f t="shared" si="56"/>
        <v>0</v>
      </c>
      <c r="H38" s="114"/>
      <c r="I38" s="114"/>
      <c r="J38" s="114">
        <f ca="1">SUMIF($J$84:$M$749,C38,$Q$84:$Q$749)</f>
        <v>0</v>
      </c>
      <c r="K38" s="114">
        <f t="shared" ca="1" si="57"/>
        <v>0</v>
      </c>
      <c r="L38" s="114"/>
      <c r="M38" s="114">
        <f t="shared" ca="1" si="58"/>
        <v>0</v>
      </c>
      <c r="N38" s="18"/>
      <c r="O38" s="38" t="str">
        <f t="shared" ca="1" si="73"/>
        <v/>
      </c>
      <c r="P38" s="39" t="str">
        <f t="shared" ca="1" si="88"/>
        <v/>
      </c>
      <c r="Q38" s="35"/>
      <c r="Y38" s="15">
        <f t="shared" si="80"/>
        <v>28</v>
      </c>
      <c r="Z38" s="25" t="str">
        <f t="shared" si="59"/>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1"/>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3"/>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73"/>
        <v/>
      </c>
      <c r="P39" s="39" t="str">
        <f t="shared" ca="1" si="88"/>
        <v/>
      </c>
      <c r="Q39" s="35"/>
      <c r="Y39" s="15">
        <f t="shared" si="80"/>
        <v>29</v>
      </c>
      <c r="Z39" s="25" t="str">
        <f t="shared" si="59"/>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1"/>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3"/>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35598775</v>
      </c>
      <c r="F40" s="166">
        <f>SUM(F41:F44)</f>
        <v>0</v>
      </c>
      <c r="G40" s="166">
        <f>SUM(G41:G44)</f>
        <v>35598775</v>
      </c>
      <c r="H40" s="114"/>
      <c r="I40" s="166">
        <f>SUM(I41:I44)</f>
        <v>35598775.329999998</v>
      </c>
      <c r="J40" s="166">
        <f ca="1">SUM(J41:J44)</f>
        <v>0</v>
      </c>
      <c r="K40" s="166">
        <f ca="1">SUM(K41:K44)</f>
        <v>35598775.329999998</v>
      </c>
      <c r="L40" s="114"/>
      <c r="M40" s="166">
        <f ca="1">SUM(M41:M44)</f>
        <v>-0.32999999821186066</v>
      </c>
      <c r="N40" s="58" t="s">
        <v>229</v>
      </c>
      <c r="O40" s="38" t="str">
        <f t="shared" ca="1" si="73"/>
        <v/>
      </c>
      <c r="P40" s="39" t="str">
        <f t="shared" ca="1" si="88"/>
        <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SUMIF($A$84:$A$752,B41&amp;"- "&amp;C41,$G$84:$G$752)</f>
        <v>0</v>
      </c>
      <c r="G41" s="114">
        <f>E41+F41</f>
        <v>0</v>
      </c>
      <c r="H41" s="114"/>
      <c r="I41" s="114"/>
      <c r="J41" s="114">
        <f ca="1">SUMIF($J$84:$M$749,B41&amp;"- "&amp;C41,$Q$84:$Q$749)</f>
        <v>0</v>
      </c>
      <c r="K41" s="114">
        <f ca="1">I41+J41</f>
        <v>0</v>
      </c>
      <c r="L41" s="114"/>
      <c r="M41" s="114">
        <f ca="1">+G41-K41</f>
        <v>0</v>
      </c>
      <c r="N41" s="18"/>
      <c r="O41" s="38" t="str">
        <f t="shared" ca="1" si="73"/>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SUMIF($A$84:$A$752,B42&amp;"- "&amp;C42,$G$84:$G$752)</f>
        <v>0</v>
      </c>
      <c r="G42" s="165">
        <f>E42+F42</f>
        <v>0</v>
      </c>
      <c r="H42" s="114"/>
      <c r="I42" s="165"/>
      <c r="J42" s="165">
        <f ca="1">SUMIF($J$84:$M$749,B42&amp;"- "&amp;C42,$Q$84:$Q$749)</f>
        <v>0</v>
      </c>
      <c r="K42" s="165">
        <f ca="1">I42+J42</f>
        <v>0</v>
      </c>
      <c r="L42" s="114"/>
      <c r="M42" s="165">
        <f ca="1">+G42-K42</f>
        <v>0</v>
      </c>
      <c r="N42" s="68"/>
      <c r="O42" s="38" t="str">
        <f t="shared" ca="1" si="73"/>
        <v/>
      </c>
      <c r="P42" s="39" t="str">
        <f t="shared" ca="1" si="88"/>
        <v/>
      </c>
      <c r="Q42" s="35"/>
      <c r="T42" s="41" t="str">
        <f ca="1">IF(J76=S33,"","ERROR")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-0.32999999821186066</v>
      </c>
    </row>
    <row r="43" spans="1:63">
      <c r="A43" s="80">
        <f t="shared" si="29"/>
        <v>30</v>
      </c>
      <c r="B43" s="53">
        <f>+'Taxes RCA 2022'!A36</f>
        <v>30</v>
      </c>
      <c r="C43" s="18" t="str">
        <f>+'Taxes RCA 2022'!B36</f>
        <v xml:space="preserve">Redevance superficiaire   </v>
      </c>
      <c r="E43" s="114"/>
      <c r="F43" s="114">
        <f>SUMIF($A$84:$A$752,B43&amp;"- "&amp;C43,$G$84:$G$752)</f>
        <v>0</v>
      </c>
      <c r="G43" s="114">
        <f>E43+F43</f>
        <v>0</v>
      </c>
      <c r="H43" s="114"/>
      <c r="I43" s="114"/>
      <c r="J43" s="114">
        <f ca="1">SUMIF($J$84:$M$749,B43&amp;"- "&amp;C43,$Q$84:$Q$749)</f>
        <v>0</v>
      </c>
      <c r="K43" s="114">
        <f ca="1">I43+J43</f>
        <v>0</v>
      </c>
      <c r="L43" s="114"/>
      <c r="M43" s="114">
        <f ca="1">+G43-K43</f>
        <v>0</v>
      </c>
      <c r="N43" s="18"/>
      <c r="O43" s="38" t="str">
        <f t="shared" ca="1" si="73"/>
        <v/>
      </c>
      <c r="P43" s="39" t="str">
        <f t="shared" ca="1" si="88"/>
        <v/>
      </c>
      <c r="Q43" s="35"/>
      <c r="Y43" s="15">
        <f t="shared" si="80"/>
        <v>32</v>
      </c>
      <c r="Z43" s="25" t="str">
        <f t="shared" si="59"/>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1"/>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3"/>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v>35598775</v>
      </c>
      <c r="F44" s="165">
        <f>SUMIF($A$84:$A$752,B44&amp;"- "&amp;C44,$G$84:$G$752)</f>
        <v>0</v>
      </c>
      <c r="G44" s="165">
        <f>E44+F44</f>
        <v>35598775</v>
      </c>
      <c r="H44" s="114"/>
      <c r="I44" s="165">
        <v>35598775.329999998</v>
      </c>
      <c r="J44" s="165">
        <f ca="1">SUMIF($J$84:$M$749,B44&amp;"- "&amp;C44,$Q$84:$Q$749)</f>
        <v>0</v>
      </c>
      <c r="K44" s="165">
        <f ca="1">I44+J44</f>
        <v>35598775.329999998</v>
      </c>
      <c r="L44" s="114"/>
      <c r="M44" s="165">
        <f ca="1">+G44-K44</f>
        <v>-0.32999999821186066</v>
      </c>
      <c r="N44" s="68" t="s">
        <v>229</v>
      </c>
      <c r="O44" s="38" t="str">
        <f t="shared" ca="1" si="73"/>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73"/>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SUMIF($A$84:$A$752,B46&amp;"- "&amp;C46,$G$84:$G$752)</f>
        <v>0</v>
      </c>
      <c r="G46" s="165">
        <f>E46+F46</f>
        <v>0</v>
      </c>
      <c r="H46" s="114"/>
      <c r="I46" s="165"/>
      <c r="J46" s="165">
        <f ca="1">SUMIF($J$84:$M$749,B46&amp;"- "&amp;C46,$Q$84:$Q$749)</f>
        <v>0</v>
      </c>
      <c r="K46" s="165">
        <f ca="1">I46+J46</f>
        <v>0</v>
      </c>
      <c r="L46" s="114"/>
      <c r="M46" s="165">
        <f ca="1">+G46-K46</f>
        <v>0</v>
      </c>
      <c r="N46" s="68"/>
      <c r="O46" s="38" t="str">
        <f t="shared" ca="1" si="73"/>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SUMIF($A$84:$A$752,B48&amp;"- "&amp;C48,$G$84:$G$752)</f>
        <v>0</v>
      </c>
      <c r="G48" s="114">
        <f>E48+F48</f>
        <v>0</v>
      </c>
      <c r="H48" s="114"/>
      <c r="I48" s="114"/>
      <c r="J48" s="114">
        <f ca="1">SUMIF($J$84:$M$749,B48&amp;"- "&amp;C48,$Q$84:$Q$749)</f>
        <v>0</v>
      </c>
      <c r="K48" s="114">
        <f ca="1">I48+J48</f>
        <v>0</v>
      </c>
      <c r="L48" s="114"/>
      <c r="M48" s="114">
        <f ca="1">+G48-K48</f>
        <v>0</v>
      </c>
      <c r="N48" s="18"/>
      <c r="O48" s="38" t="str">
        <f t="shared" ca="1" si="73"/>
        <v/>
      </c>
      <c r="P48" s="39" t="str">
        <f t="shared" ca="1" si="88"/>
        <v/>
      </c>
      <c r="Y48" s="15">
        <f t="shared" si="80"/>
        <v>36</v>
      </c>
      <c r="Z48" s="25" t="str">
        <f t="shared" si="59"/>
        <v>Taxes environnementales sur les Stes forestières et Minières (+)</v>
      </c>
      <c r="AA48" s="16">
        <f t="shared" ref="AA48:AI49" si="92">SUMPRODUCT(($A$84:$A$752=$Y48&amp;"- "&amp;$Z48)*($C$84:$C$752=AA$1)*($G$84:$G$752))</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1"/>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3"/>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SUMIF($A$84:$A$752,B49&amp;"- "&amp;C49,$G$84:$G$752)</f>
        <v>0</v>
      </c>
      <c r="G49" s="165">
        <f>E49+F49</f>
        <v>0</v>
      </c>
      <c r="H49" s="114"/>
      <c r="I49" s="165"/>
      <c r="J49" s="165">
        <f ca="1">SUMIF($J$84:$M$749,B49&amp;"- "&amp;C49,$Q$84:$Q$749)</f>
        <v>0</v>
      </c>
      <c r="K49" s="165">
        <f ca="1">I49+J49</f>
        <v>0</v>
      </c>
      <c r="L49" s="114"/>
      <c r="M49" s="165">
        <f ca="1">+G49-K49</f>
        <v>0</v>
      </c>
      <c r="N49" s="68"/>
      <c r="O49" s="38" t="str">
        <f t="shared" ca="1" si="73"/>
        <v/>
      </c>
      <c r="P49" s="39" t="str">
        <f t="shared" ca="1" si="88"/>
        <v/>
      </c>
      <c r="Y49" s="15">
        <f t="shared" si="80"/>
        <v>0</v>
      </c>
      <c r="Z49" s="25" t="str">
        <f t="shared" si="59"/>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1"/>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3"/>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SUMIF($A$84:$A$752,B50&amp;"- "&amp;C50,$G$84:$G$752)</f>
        <v>0</v>
      </c>
      <c r="G50" s="114">
        <f>E50+F50</f>
        <v>0</v>
      </c>
      <c r="H50" s="114"/>
      <c r="I50" s="114"/>
      <c r="J50" s="114">
        <f ca="1">SUMIF($J$84:$M$749,B50&amp;"- "&amp;C50,$Q$84:$Q$749)</f>
        <v>0</v>
      </c>
      <c r="K50" s="114">
        <f ca="1">I50+J50</f>
        <v>0</v>
      </c>
      <c r="L50" s="114"/>
      <c r="M50" s="114">
        <f ca="1">+G50-K50</f>
        <v>0</v>
      </c>
      <c r="N50" s="18"/>
      <c r="O50" s="38" t="str">
        <f t="shared" ca="1" si="73"/>
        <v/>
      </c>
      <c r="P50" s="39" t="str">
        <f t="shared" ca="1" si="88"/>
        <v/>
      </c>
      <c r="Y50" s="28"/>
      <c r="Z50" s="28" t="str">
        <f t="shared" si="59"/>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1"/>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3"/>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SUMIF($A$84:$A$752,B51&amp;"- "&amp;C51,$G$84:$G$752)</f>
        <v>0</v>
      </c>
      <c r="G51" s="165">
        <f>E51+F51</f>
        <v>0</v>
      </c>
      <c r="H51" s="114"/>
      <c r="I51" s="165"/>
      <c r="J51" s="165">
        <f ca="1">SUMIF($J$84:$M$749,B51&amp;"- "&amp;C51,$Q$84:$Q$749)</f>
        <v>0</v>
      </c>
      <c r="K51" s="165">
        <f ca="1">I51+J51</f>
        <v>0</v>
      </c>
      <c r="L51" s="114"/>
      <c r="M51" s="165">
        <f ca="1">+G51-K51</f>
        <v>0</v>
      </c>
      <c r="N51" s="68"/>
      <c r="O51" s="38" t="str">
        <f t="shared" ca="1" si="73"/>
        <v/>
      </c>
      <c r="P51" s="39" t="str">
        <f t="shared" ca="1" si="88"/>
        <v/>
      </c>
      <c r="Y51" s="15">
        <f t="shared" ref="Y51:Y58" si="98">B54</f>
        <v>38</v>
      </c>
      <c r="Z51" s="25" t="str">
        <f t="shared" si="59"/>
        <v>Affectation au titre de taxe d’abattage (+)</v>
      </c>
      <c r="AA51" s="16">
        <f t="shared" ref="AA51:AI59" si="99">SUMPRODUCT(($A$84:$A$752=$Y51&amp;"- "&amp;$Z51)*($C$84:$C$752=AA$1)*($G$84:$G$752))</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1"/>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3"/>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c r="P52" s="39"/>
      <c r="Y52" s="15">
        <f t="shared" si="98"/>
        <v>0</v>
      </c>
      <c r="Z52" s="25" t="str">
        <f t="shared" si="59"/>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1"/>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3"/>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SUMIF($A$84:$A$752,B53&amp;"- "&amp;C53,$G$84:$G$752)</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59"/>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1"/>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3"/>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SUMIF($A$84:$A$752,B54&amp;"- "&amp;C54,$G$84:$G$752)</f>
        <v>0</v>
      </c>
      <c r="G54" s="165">
        <f>E54+F54</f>
        <v>0</v>
      </c>
      <c r="H54" s="114"/>
      <c r="I54" s="165"/>
      <c r="J54" s="165">
        <f ca="1">SUMIF($J$84:$M$749,B54&amp;"- "&amp;C54,$Q$84:$Q$749)</f>
        <v>0</v>
      </c>
      <c r="K54" s="165">
        <f ca="1">I54+J54</f>
        <v>0</v>
      </c>
      <c r="L54" s="114"/>
      <c r="M54" s="165">
        <f ca="1">+G54-K54</f>
        <v>0</v>
      </c>
      <c r="N54" s="68"/>
      <c r="O54" s="38" t="str">
        <f t="shared" ca="1" si="73"/>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73"/>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SUMIF($A$84:$A$752,B56&amp;"- "&amp;C56,$G$84:$G$752)</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SUMPRODUCT(($A$84:$A$752=$Y61&amp;"- "&amp;$Z61)*($C$84:$C$752=AA$1)*($G$84:$G$752))</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SUMPRODUCT(($J$84:$M$748=$AL61&amp;"- "&amp;$AM61)*($N$84:$N$748=AN$1)*($Q$84:$Q$748))</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SUMIF($A$84:$A$752,B63&amp;"- "&amp;C63,$G$84:$G$752)</f>
        <v>0</v>
      </c>
      <c r="G63" s="114">
        <f>E63+F63</f>
        <v>0</v>
      </c>
      <c r="H63" s="114"/>
      <c r="I63" s="114"/>
      <c r="J63" s="114">
        <f ca="1">SUMIF($J$84:$M$749,B63&amp;"- "&amp;C63,$Q$84:$Q$749)</f>
        <v>0</v>
      </c>
      <c r="K63" s="114">
        <f ca="1">I63+J63</f>
        <v>0</v>
      </c>
      <c r="L63" s="114"/>
      <c r="M63" s="114">
        <f ca="1">+G63-K63</f>
        <v>0</v>
      </c>
      <c r="N63" s="18"/>
      <c r="O63" s="38" t="str">
        <f t="shared" ca="1" si="73"/>
        <v/>
      </c>
      <c r="P63" s="39"/>
      <c r="Q63" s="23"/>
      <c r="Y63" s="15">
        <f>B65</f>
        <v>0</v>
      </c>
      <c r="Z63" s="25" t="str">
        <f>C65</f>
        <v xml:space="preserve">Paiements Sociaux </v>
      </c>
      <c r="AA63" s="16">
        <f t="shared" ref="AA63:AI64" si="132">SUMPRODUCT(($A$84:$A$752=$Y63&amp;"- "&amp;$Z63)*($C$84:$C$752=AA$1)*($G$84:$G$752))</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SUMPRODUCT(($J$84:$M$748=$AL63&amp;"- "&amp;$AM63)*($N$84:$N$748=AN$1)*($Q$84:$Q$748))</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SUMIF($A$84:$A$752,B64&amp;"- "&amp;C64,$G$84:$G$752)</f>
        <v>0</v>
      </c>
      <c r="G64" s="165">
        <f>E64+F64</f>
        <v>0</v>
      </c>
      <c r="H64" s="114"/>
      <c r="I64" s="165"/>
      <c r="J64" s="165">
        <f ca="1">SUMIF($J$84:$M$749,B64&amp;"- "&amp;C64,$Q$84:$Q$749)</f>
        <v>0</v>
      </c>
      <c r="K64" s="165">
        <f ca="1">I64+J64</f>
        <v>0</v>
      </c>
      <c r="L64" s="114"/>
      <c r="M64" s="165">
        <f ca="1">+G64-K64</f>
        <v>0</v>
      </c>
      <c r="N64" s="68"/>
      <c r="O64" s="38" t="str">
        <f t="shared" ca="1" si="73"/>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73"/>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SUMIF($A$84:$A$752,B66&amp;"- "&amp;C66,$G$84:$G$752)</f>
        <v>0</v>
      </c>
      <c r="G66" s="114">
        <f>E66+F66</f>
        <v>0</v>
      </c>
      <c r="H66" s="114"/>
      <c r="I66" s="114"/>
      <c r="J66" s="114">
        <f ca="1">SUMIF($J$84:$M$749,B66&amp;"- "&amp;C66,$Q$84:$Q$749)</f>
        <v>0</v>
      </c>
      <c r="K66" s="114">
        <f ca="1">I66+J66</f>
        <v>0</v>
      </c>
      <c r="L66" s="114"/>
      <c r="M66" s="114">
        <f ca="1">+G66-K66</f>
        <v>0</v>
      </c>
      <c r="N66" s="18"/>
      <c r="O66" s="38" t="str">
        <f t="shared" ca="1" si="73"/>
        <v/>
      </c>
      <c r="P66" s="39" t="str">
        <f ca="1">IF(O66="ERROR","Please insert comment","")</f>
        <v/>
      </c>
      <c r="Y66" s="15">
        <f>B68</f>
        <v>0</v>
      </c>
      <c r="Z66" s="25" t="str">
        <f t="shared" si="139"/>
        <v>Paiements environnementaux - DGTCP (FNE)</v>
      </c>
      <c r="AA66" s="16">
        <f t="shared" ref="AA66:AI67" si="145">SUMPRODUCT(($A$84:$A$752=$Y66&amp;"- "&amp;$Z66)*($C$84:$C$752=AA$1)*($G$84:$G$752))</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SUMPRODUCT(($J$84:$M$748=$AL66&amp;"- "&amp;$AM66)*($N$84:$N$748=AN$1)*($Q$84:$Q$748))</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SUMIF($A$84:$A$752,B67&amp;"- "&amp;C67,$G$84:$G$752)</f>
        <v>0</v>
      </c>
      <c r="G67" s="165">
        <f>E67+F67</f>
        <v>0</v>
      </c>
      <c r="H67" s="114"/>
      <c r="I67" s="165"/>
      <c r="J67" s="165">
        <f ca="1">SUMIF($J$84:$M$749,B67&amp;"- "&amp;C67,$Q$84:$Q$749)</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SUMIF($A$84:$A$752,B69&amp;"- "&amp;C69,$G$84:$G$752)</f>
        <v>0</v>
      </c>
      <c r="G69" s="114">
        <f t="shared" ref="G69:G76" si="156">E69+F69</f>
        <v>0</v>
      </c>
      <c r="H69" s="114"/>
      <c r="I69" s="114"/>
      <c r="J69" s="114">
        <f t="shared" ref="J69:J76" ca="1" si="157">SUMIF($J$84:$M$749,B69&amp;"- "&amp;C69,$Q$84:$Q$749)</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SUMPRODUCT(($A$84:$A$752=$Y69&amp;"- "&amp;$Z69)*($C$84:$C$752=AA$1)*($G$84:$G$752))</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SUMPRODUCT(($J$84:$M$748=$AL69&amp;"- "&amp;$AM69)*($N$84:$N$748=AN$1)*($Q$84:$Q$748))</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t="str">
        <f t="shared" ca="1" si="73"/>
        <v/>
      </c>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73"/>
        <v/>
      </c>
      <c r="P71" s="39" t="str">
        <f ca="1">IF(O71="ERROR","Please insert comment","")</f>
        <v/>
      </c>
      <c r="Y71" s="15">
        <f>B73</f>
        <v>52</v>
      </c>
      <c r="Z71" s="25" t="str">
        <f t="shared" si="139"/>
        <v>Taxes de remise en état (+)</v>
      </c>
      <c r="AA71" s="16">
        <f t="shared" ref="AA71:AI73" si="166">SUMPRODUCT(($A$84:$A$752=$Y71&amp;"- "&amp;$Z71)*($C$84:$C$752=AA$1)*($G$84:$G$752))</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SUMPRODUCT(($J$84:$M$748=$AL71&amp;"- "&amp;$AM71)*($N$84:$N$748=AN$1)*($Q$84:$Q$748))</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SUMPRODUCT(($J$84:$M$748=$AL73&amp;"- "&amp;$AM73)*($N$84:$N$748=AN$1)*($Q$84:$Q$748))</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35598775</v>
      </c>
      <c r="F77" s="166">
        <f t="shared" ref="F77:G77" si="173">+F78+F79</f>
        <v>0</v>
      </c>
      <c r="G77" s="166">
        <f t="shared" si="173"/>
        <v>35598775</v>
      </c>
      <c r="H77" s="169"/>
      <c r="I77" s="166">
        <f t="shared" ref="I77:K77" si="174">+I78+I79</f>
        <v>35598775.329999998</v>
      </c>
      <c r="J77" s="166">
        <f t="shared" ca="1" si="174"/>
        <v>0</v>
      </c>
      <c r="K77" s="166">
        <f t="shared" ca="1" si="174"/>
        <v>35598775.329999998</v>
      </c>
      <c r="L77" s="169"/>
      <c r="M77" s="166">
        <f ca="1">+M78+M79</f>
        <v>-0.32999999821186066</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v>35598775</v>
      </c>
      <c r="F78" s="114">
        <f>SUMIF($A$84:$A$752,B78&amp;"- "&amp;C78,$G$84:$G$752)</f>
        <v>0</v>
      </c>
      <c r="G78" s="114">
        <f>E78+F78</f>
        <v>35598775</v>
      </c>
      <c r="H78" s="114"/>
      <c r="I78" s="114">
        <v>35598775.329999998</v>
      </c>
      <c r="J78" s="114">
        <f ca="1">SUMIF($J$84:$M$749,B78&amp;"- "&amp;C78,$Q$84:$Q$749)</f>
        <v>0</v>
      </c>
      <c r="K78" s="114">
        <f ca="1">I78+J78</f>
        <v>35598775.329999998</v>
      </c>
      <c r="L78" s="114"/>
      <c r="M78" s="114">
        <f ca="1">+G78-K78</f>
        <v>-0.32999999821186066</v>
      </c>
      <c r="N78" s="18" t="s">
        <v>229</v>
      </c>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SUMPRODUCT(($A$84:$A$752=$Y78&amp;"- "&amp;$Z78)*($C$84:$C$752=AA$1)*($G$84:$G$752))</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SUMPRODUCT(($J$84:$M$748=$AL78&amp;"- "&amp;$AM78)*($N$84:$N$748=AN$1)*($Q$84:$Q$748))</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SUMIF($A$84:$A$752,B79&amp;"- "&amp;C79,$G$84:$G$752)</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IF(F8=G754,"","ERROR")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F84" s="120"/>
      <c r="G84" s="144"/>
      <c r="J84" s="61" t="s">
        <v>181</v>
      </c>
      <c r="L84" s="60"/>
      <c r="M84" s="61" t="s">
        <v>509</v>
      </c>
      <c r="N84" s="97"/>
      <c r="O84" s="121"/>
      <c r="P84" s="129"/>
      <c r="Q84" s="145">
        <v>11314605</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4"/>
      <c r="J85" s="61" t="s">
        <v>180</v>
      </c>
      <c r="L85" s="60"/>
      <c r="M85" s="61" t="s">
        <v>509</v>
      </c>
      <c r="N85" s="97"/>
      <c r="O85" s="121"/>
      <c r="P85" s="129"/>
      <c r="Q85" s="145">
        <v>-11314605</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F86" s="120"/>
      <c r="G86" s="144"/>
      <c r="J86" s="61" t="s">
        <v>176</v>
      </c>
      <c r="L86" s="60"/>
      <c r="M86" s="61" t="s">
        <v>514</v>
      </c>
      <c r="N86" s="97"/>
      <c r="O86" s="121"/>
      <c r="P86" s="129"/>
      <c r="Q86" s="145">
        <v>12000000</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20"/>
      <c r="G87" s="144"/>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F88" s="120"/>
      <c r="G88" s="144"/>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F89" s="120"/>
      <c r="G89" s="144"/>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F90" s="120"/>
      <c r="G90" s="144"/>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F91" s="120"/>
      <c r="G91" s="144"/>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F92" s="120"/>
      <c r="G92" s="144"/>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F93" s="120"/>
      <c r="G93" s="144"/>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0"/>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0"/>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0"/>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0"/>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0"/>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12000000</v>
      </c>
    </row>
    <row r="752" spans="1:17">
      <c r="B752" s="24"/>
      <c r="C752" s="60"/>
      <c r="E752" s="47"/>
      <c r="F752" s="48"/>
      <c r="G752" s="47"/>
    </row>
    <row r="753" spans="2:7">
      <c r="B753" s="24"/>
      <c r="E753" s="47"/>
      <c r="F753" s="48"/>
      <c r="G753" s="47"/>
    </row>
    <row r="754" spans="2:7" ht="15">
      <c r="E754" s="49"/>
      <c r="F754" s="50"/>
      <c r="G754" s="51">
        <f>SUM(G84:G753)</f>
        <v>0</v>
      </c>
    </row>
  </sheetData>
  <mergeCells count="14">
    <mergeCell ref="AX5:AY5"/>
    <mergeCell ref="AL5:AM5"/>
    <mergeCell ref="Y5:Z5"/>
    <mergeCell ref="AX2:AY2"/>
    <mergeCell ref="AL2:AM2"/>
    <mergeCell ref="Y2:Z2"/>
    <mergeCell ref="A82:G82"/>
    <mergeCell ref="J82:Q82"/>
    <mergeCell ref="B3:B4"/>
    <mergeCell ref="C3:C4"/>
    <mergeCell ref="E3:G3"/>
    <mergeCell ref="I3:K3"/>
    <mergeCell ref="M3:M4"/>
    <mergeCell ref="N3:N4"/>
  </mergeCells>
  <conditionalFormatting sqref="T17">
    <cfRule type="containsText" dxfId="107" priority="6" operator="containsText" text="ERROR">
      <formula>NOT(ISERROR(SEARCH("ERROR",T17)))</formula>
    </cfRule>
  </conditionalFormatting>
  <conditionalFormatting sqref="T42">
    <cfRule type="containsText" dxfId="106" priority="5" operator="containsText" text="ERROR">
      <formula>NOT(ISERROR(SEARCH("ERROR",T42)))</formula>
    </cfRule>
  </conditionalFormatting>
  <conditionalFormatting sqref="W19">
    <cfRule type="containsText" dxfId="105" priority="1" operator="containsText" text="ERROR">
      <formula>NOT(ISERROR(SEARCH("ERROR",W19)))</formula>
    </cfRule>
  </conditionalFormatting>
  <conditionalFormatting sqref="BL72">
    <cfRule type="containsText" dxfId="104" priority="2" operator="containsText" text="ERROR">
      <formula>NOT(ISERROR(SEARCH("ERROR",BL72)))</formula>
    </cfRule>
  </conditionalFormatting>
  <dataValidations count="6">
    <dataValidation type="list" allowBlank="1" showErrorMessage="1" errorTitle="Taxes" error="Non valid entry. Please check the tax list" promptTitle="Taxes" prompt="Please select the tax subject to adjustment" sqref="A752" xr:uid="{BF949764-D178-40F3-BD1A-EF67279049EB}">
      <formula1>Taxes</formula1>
    </dataValidation>
    <dataValidation type="list" allowBlank="1" showInputMessage="1" showErrorMessage="1" sqref="M93:M95 L84:L96 M131:M748 L97:M98 L100:L748" xr:uid="{8845263F-8F5F-4E50-9E53-0B55AB2BC2AA}">
      <formula1>Taxes</formula1>
    </dataValidation>
    <dataValidation type="list" allowBlank="1" showInputMessage="1" showErrorMessage="1" sqref="N5:N8 N73 N75 N77:N79 N10:N71" xr:uid="{93544280-C2CC-4829-9F54-2C95F1FF2648}">
      <formula1>FinalDiff</formula1>
    </dataValidation>
    <dataValidation type="list" allowBlank="1" showInputMessage="1" showErrorMessage="1" sqref="N84:N749" xr:uid="{BB4A67CE-7928-45FF-9889-CD16C687C7B2}">
      <formula1>Govadjust</formula1>
    </dataValidation>
    <dataValidation type="list" allowBlank="1" showErrorMessage="1" errorTitle="Taxes" error="Non valid entry. Please check the tax list" promptTitle="Taxes" prompt="Please select the tax subject to adjustment" sqref="B92:B93 B100:B106" xr:uid="{D9040251-60E8-492F-84B2-173B2CA37D20}">
      <formula1>$A$136:$A$137</formula1>
    </dataValidation>
    <dataValidation type="list" allowBlank="1" showInputMessage="1" showErrorMessage="1" sqref="C84:C752" xr:uid="{B272EDA3-7C69-4EE6-9A81-550BDD9C88B0}">
      <formula1>Compadjust</formula1>
    </dataValidation>
  </dataValidations>
  <pageMargins left="0.7" right="0.7" top="0.75" bottom="0.75" header="0.3" footer="0.3"/>
  <pageSetup paperSize="9" orientation="landscape" r:id="rId1"/>
  <ignoredErrors>
    <ignoredError sqref="H15 H36 L36" formula="1"/>
  </ignoredErrors>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5DF57B23-97DB-4815-8FA2-54CE9210C2F4}">
          <x14:formula1>
            <xm:f>Lists!$A$131:$A$132</xm:f>
          </x14:formula1>
          <xm:sqref>K84:K749 B84:B91 B94:B99</xm:sqref>
        </x14:dataValidation>
        <x14:dataValidation type="list" allowBlank="1" showInputMessage="1" showErrorMessage="1" xr:uid="{3C7B6A12-2E71-42E2-8F11-3F0D21C49703}">
          <x14:formula1>
            <xm:f>Lists!$A$7:$A$64</xm:f>
          </x14:formula1>
          <xm:sqref>J84:J749</xm:sqref>
        </x14:dataValidation>
        <x14:dataValidation type="list" allowBlank="1" showErrorMessage="1" errorTitle="Taxes" error="Non valid entry. Please check the tax list" promptTitle="Taxes" prompt="Please select the tax subject to adjustment" xr:uid="{0BDC6572-6663-4516-84FA-F094CC8A7B05}">
          <x14:formula1>
            <xm:f>Lists!$A$7:$A$64</xm:f>
          </x14:formula1>
          <xm:sqref>A84:A751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BL752"/>
  <sheetViews>
    <sheetView showGridLines="0" zoomScaleNormal="100" zoomScaleSheetLayoutView="100" workbookViewId="0">
      <selection activeCell="I11" sqref="I11"/>
    </sheetView>
  </sheetViews>
  <sheetFormatPr baseColWidth="10" defaultColWidth="11.54296875" defaultRowHeight="12" outlineLevelCol="1"/>
  <cols>
    <col min="1" max="1" width="28.54296875" style="17" customWidth="1"/>
    <col min="2" max="2" width="4.453125" style="17" customWidth="1"/>
    <col min="3" max="3" width="55.816406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52.54296875" style="19" hidden="1" customWidth="1"/>
    <col min="27" max="27" width="10.26953125" style="19" hidden="1" customWidth="1" outlineLevel="1"/>
    <col min="28" max="28" width="11.54296875" style="19" hidden="1" customWidth="1" outlineLevel="1"/>
    <col min="29" max="29" width="10.26953125" style="19" hidden="1" customWidth="1" outlineLevel="1"/>
    <col min="30" max="30" width="8.7265625" style="19" hidden="1" customWidth="1" outlineLevel="1"/>
    <col min="31" max="31" width="11.7265625" style="19" hidden="1" customWidth="1" outlineLevel="1"/>
    <col min="32" max="32" width="8.81640625" style="19" hidden="1" customWidth="1" outlineLevel="1"/>
    <col min="33" max="33" width="9.7265625" style="19" hidden="1" customWidth="1" outlineLevel="1"/>
    <col min="34" max="34" width="10.1796875" style="19" hidden="1" customWidth="1" outlineLevel="1"/>
    <col min="35" max="35" width="10" style="19" hidden="1" customWidth="1" outlineLevel="1"/>
    <col min="36" max="36" width="11.5429687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Companies!B4</f>
        <v xml:space="preserve">Kotto Mines </v>
      </c>
      <c r="F1" s="32" t="str">
        <f>Companies!C4</f>
        <v>M351212N001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SUMIF($C$84:$C$730,R3,$G$84:$G$730)</f>
        <v>0</v>
      </c>
      <c r="U3" s="21" t="str">
        <f>Lists!A91</f>
        <v>FD non soumis par la Société</v>
      </c>
      <c r="V3" s="18">
        <f t="shared" ref="V3:V14" si="4">SUMIF($N$9:$N$75,U3,$M$9:$M$75)</f>
        <v>0</v>
      </c>
      <c r="Y3" s="19">
        <f>B6</f>
        <v>0</v>
      </c>
      <c r="Z3" s="19">
        <f>C6</f>
        <v>0</v>
      </c>
      <c r="AA3" s="16">
        <f t="shared" ref="AA3:AI4" si="5">SUMPRODUCT(($A$84:$A$730=$Y3&amp;"- "&amp;$Z3)*($C$84:$C$730=AA$1)*($G$84:$G$730))</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SUMPRODUCT(($J$84:$M$727=$AL3&amp;"- "&amp;$AM3)*($N$84:$N$727=AN$1)*($Q$84:$Q$727))</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SUMIF($A$84:$A$730,B6&amp;"- "&amp;C6,$G$84:$G$730)</f>
        <v>0</v>
      </c>
      <c r="G6" s="165">
        <f>E6+F6</f>
        <v>0</v>
      </c>
      <c r="H6" s="114"/>
      <c r="I6" s="165"/>
      <c r="J6" s="165">
        <f ca="1">SUMIF($J$84:$M$728,B6&amp;"- "&amp;C6,$Q$84:$Q$728)</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SUMIF($A$84:$A$730,B7&amp;"- "&amp;C7,$G$84:$G$730)</f>
        <v>0</v>
      </c>
      <c r="G7" s="114">
        <f>E7+F7</f>
        <v>0</v>
      </c>
      <c r="H7" s="114"/>
      <c r="I7" s="114"/>
      <c r="J7" s="114">
        <f ca="1">SUMIF($J$84:$M$728,B7&amp;"- "&amp;C7,$Q$84:$Q$728)</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SUMPRODUCT(($A$84:$A$730=$Y7&amp;"- "&amp;$Z7)*($C$84:$C$730=AA$1)*($G$84:$G$730))</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SUMPRODUCT(($J$84:$M$727=$AL7&amp;"- "&amp;$AM7)*($N$84:$N$727=AN$1)*($Q$84:$Q$727))</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104603548.69999999</v>
      </c>
      <c r="J8" s="164">
        <f ca="1">+J9+J13+J15+J17+J40+J45+J47+J52+J55+J62+J65+J68+J77</f>
        <v>0</v>
      </c>
      <c r="K8" s="164">
        <f ca="1">+K9+K13+K15+K17+K40+K45+K47+K52+K55+K62+K65+K68+K77</f>
        <v>104603548.69999999</v>
      </c>
      <c r="L8" s="114"/>
      <c r="M8" s="164">
        <f ca="1">+M9+M13+M15+M17+M40+M45+M52+M55+M62+M65+M68+M77+M47</f>
        <v>-104603548.69999999</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71588841.099999994</v>
      </c>
      <c r="J9" s="166">
        <f t="shared" ref="J9" ca="1" si="26">SUM(J10:J12)</f>
        <v>0</v>
      </c>
      <c r="K9" s="166">
        <f t="shared" ref="K9" ca="1" si="27">SUM(K10:K12)</f>
        <v>71588841.099999994</v>
      </c>
      <c r="L9" s="114"/>
      <c r="M9" s="166">
        <f t="shared" ref="M9" ca="1" si="28">SUM(M10:M12)</f>
        <v>-71588841.099999994</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SUMIF($A$84:$A$730,B10&amp;"- "&amp;C10,$G$84:$G$730)</f>
        <v>0</v>
      </c>
      <c r="G10" s="165">
        <f>E10+F10</f>
        <v>0</v>
      </c>
      <c r="H10" s="114"/>
      <c r="I10" s="165">
        <v>20453954.600000001</v>
      </c>
      <c r="J10" s="165">
        <f>SUMIF($J$83:$J$1048576,C10,$Q$83:$Q$1048576)</f>
        <v>0</v>
      </c>
      <c r="K10" s="165">
        <f>I10+J10</f>
        <v>20453954.600000001</v>
      </c>
      <c r="L10" s="114"/>
      <c r="M10" s="165">
        <f>+G10-K10</f>
        <v>-20453954.600000001</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SUMIF($A$84:$A$730,B11&amp;"- "&amp;C11,$G$84:$G$730)</f>
        <v>0</v>
      </c>
      <c r="G11" s="114">
        <f>E11+F11</f>
        <v>0</v>
      </c>
      <c r="H11" s="114"/>
      <c r="I11" s="114">
        <v>51134886.5</v>
      </c>
      <c r="J11" s="114">
        <f>SUMIF($J$83:$J$1048576,C11,$Q$83:$Q$1048576)</f>
        <v>0</v>
      </c>
      <c r="K11" s="114">
        <f>I11+J11</f>
        <v>51134886.5</v>
      </c>
      <c r="L11" s="114"/>
      <c r="M11" s="114">
        <f>+G11-K11</f>
        <v>-51134886.5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SUMIF($A$84:$A$730,B12&amp;"- "&amp;C12,$G$84:$G$730)</f>
        <v>0</v>
      </c>
      <c r="G12" s="165">
        <f>E12+F12</f>
        <v>0</v>
      </c>
      <c r="H12" s="114"/>
      <c r="I12" s="165"/>
      <c r="J12" s="165">
        <f ca="1">SUMIF($J$84:$M$728,B12&amp;"- "&amp;C12,$Q$84:$Q$728)</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SUMPRODUCT(($A$84:$A$730=$Y13&amp;"- "&amp;$Z13)*($C$84:$C$730=AA$1)*($G$84:$G$730))</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SUMPRODUCT(($J$84:$M$727=$AL13&amp;"- "&amp;$AM13)*($N$84:$N$727=AN$1)*($Q$84:$Q$727))</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SUMIF($A$84:$A$730,B14&amp;"- "&amp;C14,$G$84:$G$730)</f>
        <v>0</v>
      </c>
      <c r="G14" s="114">
        <f>E14+F14</f>
        <v>0</v>
      </c>
      <c r="H14" s="114"/>
      <c r="I14" s="114"/>
      <c r="J14" s="114">
        <f ca="1">SUMIF($J$84:$M$728,B14&amp;"- "&amp;C14,$Q$84:$Q$728)</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SUMIF($A$84:$A$730,B16&amp;"- "&amp;C16,$G$84:$G$730)</f>
        <v>0</v>
      </c>
      <c r="G16" s="165">
        <f>E16+F16</f>
        <v>0</v>
      </c>
      <c r="H16" s="114"/>
      <c r="I16" s="165"/>
      <c r="J16" s="165">
        <f ca="1">SUMIF($J$84:$M$728,B16&amp;"- "&amp;C16,$Q$84:$Q$728)</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12560753</v>
      </c>
      <c r="J17" s="166">
        <f t="shared" ref="J17" ca="1" si="52">SUM(J18:J39)</f>
        <v>0</v>
      </c>
      <c r="K17" s="166">
        <f t="shared" ref="K17" ca="1" si="53">SUM(K18:K39)</f>
        <v>12560753</v>
      </c>
      <c r="L17" s="114"/>
      <c r="M17" s="166">
        <f t="shared" ref="M17" ca="1" si="54">SUM(M18:M39)</f>
        <v>-12560753</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SUMIF($A$84:$A$730,B18&amp;"- "&amp;C18,$G$84:$G$730)</f>
        <v>0</v>
      </c>
      <c r="G18" s="114">
        <f t="shared" ref="G18:G39" si="56">E18+F18</f>
        <v>0</v>
      </c>
      <c r="H18" s="114"/>
      <c r="I18" s="114"/>
      <c r="J18" s="114">
        <f t="shared" ref="J18:J39" ca="1" si="57">SUMIF($J$84:$M$728,B18&amp;"- "&amp;C18,$Q$84:$Q$728)</f>
        <v>0</v>
      </c>
      <c r="K18" s="114">
        <f t="shared" ref="K18:K39" ca="1" si="58">I18+J18</f>
        <v>0</v>
      </c>
      <c r="L18" s="114"/>
      <c r="M18" s="114">
        <f t="shared" ref="M18:M39" ca="1" si="59">+G18-K18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1414453</v>
      </c>
      <c r="J19" s="165">
        <f t="shared" ca="1" si="57"/>
        <v>0</v>
      </c>
      <c r="K19" s="165">
        <f t="shared" ca="1" si="58"/>
        <v>1414453</v>
      </c>
      <c r="L19" s="114"/>
      <c r="M19" s="165">
        <f t="shared" ca="1" si="59"/>
        <v>-1414453</v>
      </c>
      <c r="N19" s="68"/>
      <c r="O19" s="38" t="str">
        <f t="shared" ca="1" si="46"/>
        <v>ERROR</v>
      </c>
      <c r="P19" s="39" t="str">
        <f t="shared" ca="1" si="47"/>
        <v>Please insert comment</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172800</v>
      </c>
      <c r="J20" s="114">
        <f t="shared" ca="1" si="57"/>
        <v>0</v>
      </c>
      <c r="K20" s="114">
        <f t="shared" ca="1" si="58"/>
        <v>172800</v>
      </c>
      <c r="L20" s="114"/>
      <c r="M20" s="114">
        <f t="shared" ca="1" si="59"/>
        <v>-172800</v>
      </c>
      <c r="N20" s="18"/>
      <c r="O20" s="38" t="str">
        <f t="shared" ca="1" si="46"/>
        <v>ERROR</v>
      </c>
      <c r="P20" s="39" t="str">
        <f t="shared" ca="1" si="47"/>
        <v>Please insert comment</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247450</v>
      </c>
      <c r="J21" s="165">
        <f t="shared" ca="1" si="57"/>
        <v>0</v>
      </c>
      <c r="K21" s="165">
        <f t="shared" ca="1" si="58"/>
        <v>247450</v>
      </c>
      <c r="L21" s="114"/>
      <c r="M21" s="165">
        <f t="shared" ca="1" si="59"/>
        <v>-247450</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ca="1">I22+J22</f>
        <v>0</v>
      </c>
      <c r="L22" s="114"/>
      <c r="M22" s="114">
        <f t="shared" ca="1" si="59"/>
        <v>0</v>
      </c>
      <c r="N22" s="18"/>
      <c r="O22" s="38" t="str">
        <f t="shared" ca="1" si="46"/>
        <v/>
      </c>
      <c r="P22" s="39" t="str">
        <f t="shared" ca="1" si="47"/>
        <v/>
      </c>
      <c r="Q22" s="35"/>
      <c r="Y22" s="28"/>
      <c r="Z22" s="28" t="str">
        <f t="shared" ref="Z22:Z53"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53"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53"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ca="1">I23+J23</f>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SUMPRODUCT(($A$84:$A$730=$Y23&amp;"- "&amp;$Z23)*($C$84:$C$730=AA$1)*($G$84:$G$730))</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SUMPRODUCT(($J$84:$M$727=$AL23&amp;"- "&amp;$AM23)*($N$84:$N$727=AN$1)*($Q$84:$Q$727))</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v>8629800</v>
      </c>
      <c r="J24" s="114">
        <f t="shared" ca="1" si="57"/>
        <v>0</v>
      </c>
      <c r="K24" s="114">
        <f t="shared" ca="1" si="58"/>
        <v>8629800</v>
      </c>
      <c r="L24" s="114"/>
      <c r="M24" s="114">
        <f t="shared" ca="1" si="59"/>
        <v>-8629800</v>
      </c>
      <c r="N24" s="18"/>
      <c r="O24" s="38" t="str">
        <f t="shared" ca="1" si="46"/>
        <v>ERROR</v>
      </c>
      <c r="P24" s="39" t="str">
        <f t="shared" ca="1" si="47"/>
        <v>Please insert comment</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4">SUMIF($N$84:$N$728,R25,$Q$84:$Q$728)</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v>2053050</v>
      </c>
      <c r="J31" s="165">
        <f t="shared" ca="1" si="57"/>
        <v>0</v>
      </c>
      <c r="K31" s="165">
        <f t="shared" ca="1" si="58"/>
        <v>2053050</v>
      </c>
      <c r="L31" s="114"/>
      <c r="M31" s="165">
        <f t="shared" ca="1" si="59"/>
        <v>-2053050</v>
      </c>
      <c r="N31" s="68"/>
      <c r="O31" s="38" t="str">
        <f t="shared" ca="1" si="46"/>
        <v>ERROR</v>
      </c>
      <c r="P31" s="39" t="str">
        <f t="shared" ca="1" si="47"/>
        <v>Please insert comment</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43200</v>
      </c>
      <c r="J32" s="114">
        <f t="shared" ca="1" si="57"/>
        <v>0</v>
      </c>
      <c r="K32" s="114">
        <f t="shared" ca="1" si="58"/>
        <v>43200</v>
      </c>
      <c r="L32" s="114"/>
      <c r="M32" s="114">
        <f t="shared" ca="1" si="59"/>
        <v>-43200</v>
      </c>
      <c r="N32" s="18"/>
      <c r="O32" s="38" t="str">
        <f t="shared" ca="1" si="46"/>
        <v>ERROR</v>
      </c>
      <c r="P32" s="39" t="str">
        <f t="shared" ca="1" si="47"/>
        <v>Please insert comment</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0"/>
        <v>Taxe de Développement Artisanal (TDA) (+)</v>
      </c>
      <c r="AA33" s="29">
        <f t="shared" ref="AA33:AJ33" si="75">SUM(AA34:AA48)</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2"/>
        <v>Taxe de Développement Artisanal (TDA) (+)</v>
      </c>
      <c r="AN33" s="29">
        <f t="shared" ref="AN33:AV33" si="76">SUM(AN34:AN48)</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4"/>
        <v>Taxe de Développement Artisanal (TDA) (+)</v>
      </c>
      <c r="AZ33" s="29">
        <f t="shared" ref="AZ33:BK33" ca="1" si="77">SUM(AZ34:AZ48)</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78">B37</f>
        <v>25</v>
      </c>
      <c r="Z34" s="25" t="str">
        <f t="shared" si="60"/>
        <v>Amendes et pénalités payées à la DGID (+)</v>
      </c>
      <c r="AA34" s="16">
        <f t="shared" ref="AA34:AI46" si="79">SUMPRODUCT(($A$84:$A$730=$Y34&amp;"- "&amp;$Z34)*($C$84:$C$730=AA$1)*($G$84:$G$730))</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2"/>
        <v>Amendes et pénalités payées à la DGID (+)</v>
      </c>
      <c r="AN34" s="18">
        <f t="shared" ref="AN34:AU46" si="82">SUMPRODUCT(($J$84:$M$727=$AL34&amp;"- "&amp;$AM34)*($N$84:$N$727=AN$1)*($Q$84:$Q$727))</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4"/>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78"/>
        <v>26</v>
      </c>
      <c r="Z35" s="25" t="str">
        <f t="shared" si="60"/>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2"/>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4"/>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78"/>
        <v>27</v>
      </c>
      <c r="Z36" s="25" t="str">
        <f t="shared" si="60"/>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2"/>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4"/>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6">IF(O37="ERROR","Please insert comment","")</f>
        <v/>
      </c>
      <c r="Q37" s="35"/>
      <c r="Y37" s="15">
        <f t="shared" si="78"/>
        <v>0</v>
      </c>
      <c r="Z37" s="25" t="str">
        <f t="shared" si="60"/>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2"/>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4"/>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6"/>
        <v/>
      </c>
      <c r="Q38" s="35"/>
      <c r="Y38" s="15">
        <f t="shared" si="78"/>
        <v>28</v>
      </c>
      <c r="Z38" s="25" t="str">
        <f t="shared" si="60"/>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2"/>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4"/>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6"/>
        <v/>
      </c>
      <c r="Q39" s="35"/>
      <c r="Y39" s="15">
        <f t="shared" si="78"/>
        <v>29</v>
      </c>
      <c r="Z39" s="25" t="str">
        <f t="shared" si="60"/>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2"/>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4"/>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20453954.600000001</v>
      </c>
      <c r="J40" s="166">
        <f ca="1">SUM(J41:J44)</f>
        <v>0</v>
      </c>
      <c r="K40" s="166">
        <f ca="1">SUM(K41:K44)</f>
        <v>20453954.600000001</v>
      </c>
      <c r="L40" s="114"/>
      <c r="M40" s="166">
        <f ca="1">SUM(M41:M44)</f>
        <v>-20453954.600000001</v>
      </c>
      <c r="N40" s="58"/>
      <c r="O40" s="38" t="str">
        <f t="shared" ca="1" si="46"/>
        <v>ERROR</v>
      </c>
      <c r="P40" s="39" t="str">
        <f t="shared" ca="1" si="86"/>
        <v>Please insert comment</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SUMIF($A$84:$A$730,B41&amp;"- "&amp;C41,$G$84:$G$730)</f>
        <v>0</v>
      </c>
      <c r="G41" s="114">
        <f>E41+F41</f>
        <v>0</v>
      </c>
      <c r="H41" s="114"/>
      <c r="I41" s="114"/>
      <c r="J41" s="114">
        <f ca="1">SUMIF($J$84:$M$728,B41&amp;"- "&amp;C41,$Q$84:$Q$728)</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SUMIF($A$84:$A$730,B42&amp;"- "&amp;C42,$G$84:$G$730)</f>
        <v>0</v>
      </c>
      <c r="G42" s="165">
        <f>E42+F42</f>
        <v>0</v>
      </c>
      <c r="H42" s="114"/>
      <c r="I42" s="165"/>
      <c r="J42" s="165">
        <f ca="1">SUMIF($J$84:$M$728,B42&amp;"- "&amp;C42,$Q$84:$Q$728)</f>
        <v>0</v>
      </c>
      <c r="K42" s="165">
        <f ca="1">I42+J42</f>
        <v>0</v>
      </c>
      <c r="L42" s="114"/>
      <c r="M42" s="165">
        <f ca="1">+G42-K42</f>
        <v>0</v>
      </c>
      <c r="N42" s="68"/>
      <c r="O42" s="38" t="str">
        <f t="shared" ca="1" si="46"/>
        <v/>
      </c>
      <c r="P42" s="39" t="str">
        <f t="shared" ca="1" si="86"/>
        <v/>
      </c>
      <c r="Q42" s="35"/>
      <c r="T42" s="41" t="str">
        <f ca="1">IF(J8=S33,"","ERROR")</f>
        <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SUMIF($A$84:$A$730,B43&amp;"- "&amp;C43,$G$84:$G$730)</f>
        <v>0</v>
      </c>
      <c r="G43" s="114">
        <f>E43+F43</f>
        <v>0</v>
      </c>
      <c r="H43" s="114"/>
      <c r="I43" s="114"/>
      <c r="J43" s="114">
        <f ca="1">SUMIF($J$84:$M$728,B43&amp;"- "&amp;C43,$Q$84:$Q$728)</f>
        <v>0</v>
      </c>
      <c r="K43" s="114">
        <f ca="1">I43+J43</f>
        <v>0</v>
      </c>
      <c r="L43" s="114"/>
      <c r="M43" s="114">
        <f ca="1">+G43-K43</f>
        <v>0</v>
      </c>
      <c r="N43" s="18"/>
      <c r="O43" s="38" t="str">
        <f t="shared" ca="1" si="46"/>
        <v/>
      </c>
      <c r="P43" s="39" t="str">
        <f t="shared" ca="1" si="86"/>
        <v/>
      </c>
      <c r="Q43" s="35"/>
      <c r="Y43" s="15">
        <f t="shared" si="78"/>
        <v>32</v>
      </c>
      <c r="Z43" s="25" t="str">
        <f t="shared" si="60"/>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2"/>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4"/>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SUMIF($A$84:$A$730,B44&amp;"- "&amp;C44,$G$84:$G$730)</f>
        <v>0</v>
      </c>
      <c r="G44" s="165">
        <f>E44+F44</f>
        <v>0</v>
      </c>
      <c r="H44" s="114"/>
      <c r="I44" s="165">
        <v>20453954.600000001</v>
      </c>
      <c r="J44" s="165">
        <f ca="1">SUMIF($J$84:$M$728,B44&amp;"- "&amp;C44,$Q$84:$Q$728)</f>
        <v>0</v>
      </c>
      <c r="K44" s="165">
        <f ca="1">I44+J44</f>
        <v>20453954.600000001</v>
      </c>
      <c r="L44" s="114"/>
      <c r="M44" s="165">
        <f ca="1">+G44-K44</f>
        <v>-20453954.600000001</v>
      </c>
      <c r="N44" s="68"/>
      <c r="O44" s="38" t="str">
        <f t="shared" ca="1" si="46"/>
        <v>ERROR</v>
      </c>
      <c r="P44" s="39" t="str">
        <f t="shared" ca="1" si="86"/>
        <v>Please insert comment</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SUMIF($A$84:$A$730,B46&amp;"- "&amp;C46,$G$84:$G$730)</f>
        <v>0</v>
      </c>
      <c r="G46" s="165">
        <f>E46+F46</f>
        <v>0</v>
      </c>
      <c r="H46" s="114"/>
      <c r="I46" s="165"/>
      <c r="J46" s="165">
        <f ca="1">SUMIF($J$84:$M$728,B46&amp;"- "&amp;C46,$Q$84:$Q$728)</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SUMIF($A$84:$A$730,B48&amp;"- "&amp;C48,$G$84:$G$730)</f>
        <v>0</v>
      </c>
      <c r="G48" s="114">
        <f>E48+F48</f>
        <v>0</v>
      </c>
      <c r="H48" s="114"/>
      <c r="I48" s="114"/>
      <c r="J48" s="114">
        <f ca="1">SUMIF($J$84:$M$728,B48&amp;"- "&amp;C48,$Q$84:$Q$728)</f>
        <v>0</v>
      </c>
      <c r="K48" s="114">
        <f ca="1">I48+J48</f>
        <v>0</v>
      </c>
      <c r="L48" s="114"/>
      <c r="M48" s="114">
        <f ca="1">+G48-K48</f>
        <v>0</v>
      </c>
      <c r="N48" s="18"/>
      <c r="O48" s="38" t="str">
        <f t="shared" ca="1" si="46"/>
        <v/>
      </c>
      <c r="P48" s="39" t="str">
        <f t="shared" ca="1" si="86"/>
        <v/>
      </c>
      <c r="Y48" s="15">
        <f t="shared" si="78"/>
        <v>36</v>
      </c>
      <c r="Z48" s="25" t="str">
        <f t="shared" si="60"/>
        <v>Taxes environnementales sur les Stes forestières et Minières (+)</v>
      </c>
      <c r="AA48" s="16">
        <f t="shared" ref="AA48:AI49" si="90">SUMPRODUCT(($A$84:$A$730=$Y48&amp;"- "&amp;$Z48)*($C$84:$C$730=AA$1)*($G$84:$G$730))</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2"/>
        <v>Taxes environnementales sur les Stes forestières et Minières (+)</v>
      </c>
      <c r="AN48" s="18">
        <f t="shared" ref="AN48:AU49" si="91">SUMPRODUCT(($J$84:$M$727=$AL48&amp;"- "&amp;$AM48)*($N$84:$N$727=AN$1)*($Q$84:$Q$727))</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4"/>
        <v>Taxes environnementales sur les Stes forestières et Minières (+)</v>
      </c>
      <c r="AZ48" s="18">
        <f t="shared" ref="AZ48:BK48"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SUMIF($A$84:$A$730,B49&amp;"- "&amp;C49,$G$84:$G$730)</f>
        <v>0</v>
      </c>
      <c r="G49" s="165">
        <f>E49+F49</f>
        <v>0</v>
      </c>
      <c r="H49" s="114"/>
      <c r="I49" s="165"/>
      <c r="J49" s="165">
        <f ca="1">SUMIF($J$84:$M$728,B49&amp;"- "&amp;C49,$Q$84:$Q$728)</f>
        <v>0</v>
      </c>
      <c r="K49" s="165">
        <f ca="1">I49+J49</f>
        <v>0</v>
      </c>
      <c r="L49" s="114"/>
      <c r="M49" s="165">
        <f ca="1">+G49-K49</f>
        <v>0</v>
      </c>
      <c r="N49" s="68"/>
      <c r="O49" s="38" t="str">
        <f t="shared" ca="1" si="46"/>
        <v/>
      </c>
      <c r="P49" s="39" t="str">
        <f t="shared" ca="1" si="86"/>
        <v/>
      </c>
      <c r="Y49" s="15">
        <f t="shared" si="78"/>
        <v>0</v>
      </c>
      <c r="Z49" s="24" t="str">
        <f t="shared" si="60"/>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2"/>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115" t="str">
        <f t="shared" si="64"/>
        <v>Affectations spéciales</v>
      </c>
      <c r="AZ49" s="18" cm="1">
        <f t="array" aca="1" ref="AZ49" ca="1">SUMPRODUCT(($C$10:$C$75=$AY49)*($N$10:$N$75=AZ$1)*($M$10:$M$75))</f>
        <v>0</v>
      </c>
      <c r="BA49" s="18">
        <f t="shared" ref="BA49:BK49" ca="1" si="93">SUMPRODUCT(($C$10:$C$75=$AY49)*($N$10:$N$75=BA$1)*($M$10:$M$75))</f>
        <v>0</v>
      </c>
      <c r="BB49" s="18">
        <f t="shared" ca="1" si="93"/>
        <v>0</v>
      </c>
      <c r="BC49" s="18">
        <f t="shared" ca="1" si="93"/>
        <v>0</v>
      </c>
      <c r="BD49" s="18">
        <f t="shared" ca="1" si="93"/>
        <v>0</v>
      </c>
      <c r="BE49" s="18">
        <f t="shared" ca="1" si="93"/>
        <v>0</v>
      </c>
      <c r="BF49" s="18">
        <f t="shared" ca="1" si="93"/>
        <v>0</v>
      </c>
      <c r="BG49" s="18">
        <f t="shared" ca="1" si="93"/>
        <v>0</v>
      </c>
      <c r="BH49" s="18">
        <f t="shared" ca="1" si="93"/>
        <v>0</v>
      </c>
      <c r="BI49" s="18">
        <f t="shared" ca="1" si="93"/>
        <v>0</v>
      </c>
      <c r="BJ49" s="18">
        <f t="shared" ca="1" si="93"/>
        <v>0</v>
      </c>
      <c r="BK49" s="18">
        <f t="shared" ca="1" si="93"/>
        <v>0</v>
      </c>
    </row>
    <row r="50" spans="1:63">
      <c r="A50" s="80">
        <f t="shared" si="29"/>
        <v>35</v>
      </c>
      <c r="B50" s="53">
        <f>+'Taxes RCA 2022'!A43</f>
        <v>35</v>
      </c>
      <c r="C50" s="18" t="str">
        <f>+'Taxes RCA 2022'!B43</f>
        <v>Droit de sortie (DS)/Taxe Export (+)</v>
      </c>
      <c r="E50" s="114"/>
      <c r="F50" s="114">
        <f>SUMIF($A$84:$A$730,B50&amp;"- "&amp;C50,$G$84:$G$730)</f>
        <v>0</v>
      </c>
      <c r="G50" s="114">
        <f>E50+F50</f>
        <v>0</v>
      </c>
      <c r="H50" s="114"/>
      <c r="I50" s="114"/>
      <c r="J50" s="114">
        <f ca="1">SUMIF($J$84:$M$728,B50&amp;"- "&amp;C50,$Q$84:$Q$728)</f>
        <v>0</v>
      </c>
      <c r="K50" s="114">
        <f ca="1">I50+J50</f>
        <v>0</v>
      </c>
      <c r="L50" s="114"/>
      <c r="M50" s="114">
        <f ca="1">+G50-K50</f>
        <v>0</v>
      </c>
      <c r="N50" s="18"/>
      <c r="O50" s="38" t="str">
        <f t="shared" ca="1" si="46"/>
        <v/>
      </c>
      <c r="P50" s="39" t="str">
        <f t="shared" ca="1" si="86"/>
        <v/>
      </c>
      <c r="Y50" s="28"/>
      <c r="Z50" s="28" t="str">
        <f t="shared" si="60"/>
        <v>Affectation au titre la taxe de reboisement (+)</v>
      </c>
      <c r="AA50" s="29">
        <f t="shared" ref="AA50:AJ50" si="94">SUM(AA51:AA59)</f>
        <v>0</v>
      </c>
      <c r="AB50" s="29">
        <f t="shared" si="94"/>
        <v>0</v>
      </c>
      <c r="AC50" s="29">
        <f t="shared" si="94"/>
        <v>0</v>
      </c>
      <c r="AD50" s="29">
        <f t="shared" si="94"/>
        <v>0</v>
      </c>
      <c r="AE50" s="29">
        <f t="shared" si="94"/>
        <v>0</v>
      </c>
      <c r="AF50" s="29">
        <f t="shared" si="94"/>
        <v>0</v>
      </c>
      <c r="AG50" s="29">
        <f t="shared" si="94"/>
        <v>0</v>
      </c>
      <c r="AH50" s="29">
        <f t="shared" si="94"/>
        <v>0</v>
      </c>
      <c r="AI50" s="29">
        <f t="shared" si="94"/>
        <v>0</v>
      </c>
      <c r="AJ50" s="29">
        <f t="shared" si="94"/>
        <v>0</v>
      </c>
      <c r="AL50" s="28"/>
      <c r="AM50" s="28" t="str">
        <f t="shared" si="62"/>
        <v>Affectation au titre la taxe de reboisement (+)</v>
      </c>
      <c r="AN50" s="29">
        <f t="shared" ref="AN50:AV50" si="95">SUM(AN51:AN59)</f>
        <v>0</v>
      </c>
      <c r="AO50" s="29">
        <f t="shared" si="95"/>
        <v>0</v>
      </c>
      <c r="AP50" s="29">
        <f t="shared" si="95"/>
        <v>0</v>
      </c>
      <c r="AQ50" s="29">
        <f t="shared" si="95"/>
        <v>0</v>
      </c>
      <c r="AR50" s="29">
        <f t="shared" si="95"/>
        <v>0</v>
      </c>
      <c r="AS50" s="29">
        <f t="shared" si="95"/>
        <v>0</v>
      </c>
      <c r="AT50" s="29">
        <f t="shared" si="95"/>
        <v>0</v>
      </c>
      <c r="AU50" s="29">
        <f t="shared" si="95"/>
        <v>0</v>
      </c>
      <c r="AV50" s="29">
        <f t="shared" si="95"/>
        <v>0</v>
      </c>
      <c r="AW50" s="18"/>
      <c r="AX50" s="28"/>
      <c r="AY50" s="28" t="str">
        <f t="shared" si="64"/>
        <v>Affectation au titre la taxe de reboisement (+)</v>
      </c>
      <c r="AZ50" s="29">
        <f t="shared" ref="AZ50:BK50" ca="1" si="96">SUM(AZ51:AZ59)</f>
        <v>0</v>
      </c>
      <c r="BA50" s="29">
        <f t="shared" ca="1" si="96"/>
        <v>0</v>
      </c>
      <c r="BB50" s="29">
        <f t="shared" ca="1" si="96"/>
        <v>0</v>
      </c>
      <c r="BC50" s="29">
        <f t="shared" ca="1" si="96"/>
        <v>0</v>
      </c>
      <c r="BD50" s="29">
        <f t="shared" ca="1" si="96"/>
        <v>0</v>
      </c>
      <c r="BE50" s="29">
        <f t="shared" ca="1" si="96"/>
        <v>0</v>
      </c>
      <c r="BF50" s="29">
        <f t="shared" ca="1" si="96"/>
        <v>0</v>
      </c>
      <c r="BG50" s="29">
        <f t="shared" ca="1" si="96"/>
        <v>0</v>
      </c>
      <c r="BH50" s="29">
        <f t="shared" ca="1" si="96"/>
        <v>0</v>
      </c>
      <c r="BI50" s="29">
        <f t="shared" ca="1" si="96"/>
        <v>0</v>
      </c>
      <c r="BJ50" s="29">
        <f t="shared" ca="1" si="96"/>
        <v>0</v>
      </c>
      <c r="BK50" s="29">
        <f t="shared" ca="1" si="96"/>
        <v>0</v>
      </c>
    </row>
    <row r="51" spans="1:63">
      <c r="A51" s="80">
        <f t="shared" si="29"/>
        <v>36</v>
      </c>
      <c r="B51" s="64">
        <f>+'Taxes RCA 2022'!A44</f>
        <v>36</v>
      </c>
      <c r="C51" s="68" t="str">
        <f>+'Taxes RCA 2022'!B44</f>
        <v>Taxes environnementales sur les Stes forestières et Minières (+)</v>
      </c>
      <c r="E51" s="165"/>
      <c r="F51" s="165">
        <f>SUMIF($A$84:$A$730,B51&amp;"- "&amp;C51,$G$84:$G$730)</f>
        <v>0</v>
      </c>
      <c r="G51" s="165">
        <f>E51+F51</f>
        <v>0</v>
      </c>
      <c r="H51" s="114"/>
      <c r="I51" s="165"/>
      <c r="J51" s="165">
        <f ca="1">SUMIF($J$84:$M$728,B51&amp;"- "&amp;C51,$Q$84:$Q$728)</f>
        <v>0</v>
      </c>
      <c r="K51" s="165">
        <f ca="1">I51+J51</f>
        <v>0</v>
      </c>
      <c r="L51" s="114"/>
      <c r="M51" s="165">
        <f ca="1">+G51-K51</f>
        <v>0</v>
      </c>
      <c r="N51" s="68"/>
      <c r="O51" s="38" t="str">
        <f t="shared" ca="1" si="46"/>
        <v/>
      </c>
      <c r="P51" s="39" t="str">
        <f t="shared" ca="1" si="86"/>
        <v/>
      </c>
      <c r="Y51" s="15">
        <f t="shared" ref="Y51:Y58" si="97">B54</f>
        <v>38</v>
      </c>
      <c r="Z51" s="25" t="str">
        <f t="shared" si="60"/>
        <v>Affectation au titre de taxe d’abattage (+)</v>
      </c>
      <c r="AA51" s="16">
        <f t="shared" ref="AA51:AI59" si="98">SUMPRODUCT(($A$84:$A$730=$Y51&amp;"- "&amp;$Z51)*($C$84:$C$730=AA$1)*($G$84:$G$730))</f>
        <v>0</v>
      </c>
      <c r="AB51" s="16">
        <f t="shared" si="98"/>
        <v>0</v>
      </c>
      <c r="AC51" s="16">
        <f t="shared" si="98"/>
        <v>0</v>
      </c>
      <c r="AD51" s="16">
        <f t="shared" si="98"/>
        <v>0</v>
      </c>
      <c r="AE51" s="16">
        <f t="shared" si="98"/>
        <v>0</v>
      </c>
      <c r="AF51" s="16">
        <f t="shared" si="98"/>
        <v>0</v>
      </c>
      <c r="AG51" s="16">
        <f t="shared" si="98"/>
        <v>0</v>
      </c>
      <c r="AH51" s="16">
        <f t="shared" si="98"/>
        <v>0</v>
      </c>
      <c r="AI51" s="16">
        <f t="shared" si="98"/>
        <v>0</v>
      </c>
      <c r="AJ51" s="16">
        <f t="shared" ref="AJ51:AJ59" si="99">SUM(AA51:AI51)</f>
        <v>0</v>
      </c>
      <c r="AL51" s="17">
        <f t="shared" ref="AL51:AL57" si="100">+B54</f>
        <v>38</v>
      </c>
      <c r="AM51" s="26" t="str">
        <f t="shared" si="62"/>
        <v>Affectation au titre de taxe d’abattage (+)</v>
      </c>
      <c r="AN51" s="18">
        <f t="shared" ref="AN51:AU59" si="101">SUMPRODUCT(($J$84:$M$727=$AL51&amp;"- "&amp;$AM51)*($N$84:$N$727=AN$1)*($Q$84:$Q$727))</f>
        <v>0</v>
      </c>
      <c r="AO51" s="18">
        <f t="shared" si="101"/>
        <v>0</v>
      </c>
      <c r="AP51" s="18">
        <f t="shared" si="101"/>
        <v>0</v>
      </c>
      <c r="AQ51" s="18">
        <f t="shared" si="101"/>
        <v>0</v>
      </c>
      <c r="AR51" s="18">
        <f t="shared" si="101"/>
        <v>0</v>
      </c>
      <c r="AS51" s="18">
        <f t="shared" si="101"/>
        <v>0</v>
      </c>
      <c r="AT51" s="18">
        <f t="shared" si="101"/>
        <v>0</v>
      </c>
      <c r="AU51" s="18">
        <f t="shared" si="101"/>
        <v>0</v>
      </c>
      <c r="AV51" s="18">
        <f t="shared" ref="AV51:AV59" si="102">SUM(AN51:AU51)</f>
        <v>0</v>
      </c>
      <c r="AW51" s="18"/>
      <c r="AX51" s="17">
        <f t="shared" ref="AX51:AX57" si="103">B54</f>
        <v>38</v>
      </c>
      <c r="AY51" s="26" t="str">
        <f t="shared" si="64"/>
        <v>Affectation au titre de taxe d’abattage (+)</v>
      </c>
      <c r="AZ51" s="18">
        <f t="shared" ref="AZ51:BK59" ca="1" si="104">SUMPRODUCT(($C$10:$C$75=$AY51)*($N$10:$N$75=AZ$1)*($M$10:$M$75))</f>
        <v>0</v>
      </c>
      <c r="BA51" s="18">
        <f t="shared" ca="1" si="104"/>
        <v>0</v>
      </c>
      <c r="BB51" s="18">
        <f t="shared" ca="1" si="104"/>
        <v>0</v>
      </c>
      <c r="BC51" s="18">
        <f t="shared" ca="1" si="104"/>
        <v>0</v>
      </c>
      <c r="BD51" s="18">
        <f t="shared" ca="1" si="104"/>
        <v>0</v>
      </c>
      <c r="BE51" s="18">
        <f t="shared" ca="1" si="104"/>
        <v>0</v>
      </c>
      <c r="BF51" s="18">
        <f t="shared" ca="1" si="104"/>
        <v>0</v>
      </c>
      <c r="BG51" s="18">
        <f t="shared" ca="1" si="104"/>
        <v>0</v>
      </c>
      <c r="BH51" s="18">
        <f t="shared" ca="1" si="104"/>
        <v>0</v>
      </c>
      <c r="BI51" s="18">
        <f t="shared" ca="1" si="104"/>
        <v>0</v>
      </c>
      <c r="BJ51" s="18">
        <f t="shared" ca="1" si="104"/>
        <v>0</v>
      </c>
      <c r="BK51" s="18">
        <f t="shared" ca="1" si="104"/>
        <v>0</v>
      </c>
    </row>
    <row r="52" spans="1:63">
      <c r="A52" s="80"/>
      <c r="B52" s="163"/>
      <c r="C52" s="58" t="str">
        <f>+'Taxes RCA 2022'!B45</f>
        <v>Affectations spéciales</v>
      </c>
      <c r="E52" s="166">
        <f>+E53+E54</f>
        <v>0</v>
      </c>
      <c r="F52" s="166">
        <f t="shared" ref="F52:G52" si="105">+F53+F54</f>
        <v>0</v>
      </c>
      <c r="G52" s="166">
        <f t="shared" si="105"/>
        <v>0</v>
      </c>
      <c r="H52" s="114"/>
      <c r="I52" s="166">
        <f>+I53+I54</f>
        <v>0</v>
      </c>
      <c r="J52" s="166">
        <f t="shared" ref="J52" ca="1" si="106">+J53+J54</f>
        <v>0</v>
      </c>
      <c r="K52" s="166">
        <f t="shared" ref="K52" ca="1" si="107">+K53+K54</f>
        <v>0</v>
      </c>
      <c r="L52" s="114"/>
      <c r="M52" s="166">
        <f t="shared" ref="M52" ca="1" si="108">+M53+M54</f>
        <v>0</v>
      </c>
      <c r="N52" s="58"/>
      <c r="O52" s="38"/>
      <c r="P52" s="39"/>
      <c r="Y52" s="15">
        <f t="shared" si="97"/>
        <v>0</v>
      </c>
      <c r="Z52" s="25" t="str">
        <f t="shared" si="60"/>
        <v xml:space="preserve">Transferts du Trésor aux communes </v>
      </c>
      <c r="AA52" s="16">
        <f t="shared" si="98"/>
        <v>0</v>
      </c>
      <c r="AB52" s="16">
        <f t="shared" si="98"/>
        <v>0</v>
      </c>
      <c r="AC52" s="16">
        <f t="shared" si="98"/>
        <v>0</v>
      </c>
      <c r="AD52" s="16">
        <f t="shared" si="98"/>
        <v>0</v>
      </c>
      <c r="AE52" s="16">
        <f t="shared" si="98"/>
        <v>0</v>
      </c>
      <c r="AF52" s="16">
        <f t="shared" si="98"/>
        <v>0</v>
      </c>
      <c r="AG52" s="16">
        <f t="shared" si="98"/>
        <v>0</v>
      </c>
      <c r="AH52" s="16">
        <f t="shared" si="98"/>
        <v>0</v>
      </c>
      <c r="AI52" s="16">
        <f t="shared" si="98"/>
        <v>0</v>
      </c>
      <c r="AJ52" s="16">
        <f t="shared" si="99"/>
        <v>0</v>
      </c>
      <c r="AL52" s="17">
        <f t="shared" si="100"/>
        <v>0</v>
      </c>
      <c r="AM52" s="26" t="str">
        <f t="shared" si="62"/>
        <v xml:space="preserve">Transferts du Trésor aux communes </v>
      </c>
      <c r="AN52" s="18">
        <f t="shared" si="101"/>
        <v>0</v>
      </c>
      <c r="AO52" s="18">
        <f t="shared" si="101"/>
        <v>0</v>
      </c>
      <c r="AP52" s="18">
        <f t="shared" si="101"/>
        <v>0</v>
      </c>
      <c r="AQ52" s="18">
        <f t="shared" si="101"/>
        <v>0</v>
      </c>
      <c r="AR52" s="18">
        <f t="shared" si="101"/>
        <v>0</v>
      </c>
      <c r="AS52" s="18">
        <f t="shared" si="101"/>
        <v>0</v>
      </c>
      <c r="AT52" s="18">
        <f t="shared" si="101"/>
        <v>0</v>
      </c>
      <c r="AU52" s="18">
        <f t="shared" si="101"/>
        <v>0</v>
      </c>
      <c r="AV52" s="18">
        <f t="shared" si="102"/>
        <v>0</v>
      </c>
      <c r="AW52" s="38"/>
      <c r="AX52" s="17">
        <f t="shared" si="103"/>
        <v>0</v>
      </c>
      <c r="AY52" s="26" t="str">
        <f t="shared" si="64"/>
        <v xml:space="preserve">Transferts du Trésor aux communes </v>
      </c>
      <c r="AZ52" s="18">
        <f t="shared" ca="1" si="104"/>
        <v>0</v>
      </c>
      <c r="BA52" s="18">
        <f t="shared" ca="1" si="104"/>
        <v>0</v>
      </c>
      <c r="BB52" s="18">
        <f t="shared" ca="1" si="104"/>
        <v>0</v>
      </c>
      <c r="BC52" s="18">
        <f t="shared" ca="1" si="104"/>
        <v>0</v>
      </c>
      <c r="BD52" s="18">
        <f t="shared" ca="1" si="104"/>
        <v>0</v>
      </c>
      <c r="BE52" s="18">
        <f t="shared" ca="1" si="104"/>
        <v>0</v>
      </c>
      <c r="BF52" s="18">
        <f t="shared" ca="1" si="104"/>
        <v>0</v>
      </c>
      <c r="BG52" s="18">
        <f t="shared" ca="1" si="104"/>
        <v>0</v>
      </c>
      <c r="BH52" s="18">
        <f t="shared" ca="1" si="104"/>
        <v>0</v>
      </c>
      <c r="BI52" s="18">
        <f t="shared" ca="1" si="104"/>
        <v>0</v>
      </c>
      <c r="BJ52" s="18">
        <f t="shared" ca="1" si="104"/>
        <v>0</v>
      </c>
      <c r="BK52" s="18">
        <f t="shared" ca="1" si="104"/>
        <v>0</v>
      </c>
    </row>
    <row r="53" spans="1:63">
      <c r="A53" s="80">
        <f t="shared" si="29"/>
        <v>37</v>
      </c>
      <c r="B53" s="53">
        <f>+'Taxes RCA 2022'!A46</f>
        <v>37</v>
      </c>
      <c r="C53" s="18" t="str">
        <f>+'Taxes RCA 2022'!B46</f>
        <v>Affectation au titre la taxe de reboisement (+)</v>
      </c>
      <c r="E53" s="114"/>
      <c r="F53" s="114">
        <f>SUMIF($A$84:$A$730,B53&amp;"- "&amp;C53,$G$84:$G$730)</f>
        <v>0</v>
      </c>
      <c r="G53" s="114">
        <f>E53+F53</f>
        <v>0</v>
      </c>
      <c r="H53" s="114"/>
      <c r="I53" s="114"/>
      <c r="J53" s="114">
        <f ca="1">SUMIF($J$84:$M$728,B53&amp;"- "&amp;C53,$Q$84:$Q$728)</f>
        <v>0</v>
      </c>
      <c r="K53" s="114">
        <f ca="1">I53+J53</f>
        <v>0</v>
      </c>
      <c r="L53" s="114"/>
      <c r="M53" s="114">
        <f ca="1">+G53-K53</f>
        <v>0</v>
      </c>
      <c r="N53" s="18"/>
      <c r="O53" s="38"/>
      <c r="P53" s="39"/>
      <c r="Y53" s="15">
        <f t="shared" si="97"/>
        <v>0</v>
      </c>
      <c r="Z53" s="25" t="str">
        <f t="shared" si="60"/>
        <v>Transfert du trésor aux communes</v>
      </c>
      <c r="AA53" s="16">
        <f t="shared" si="98"/>
        <v>0</v>
      </c>
      <c r="AB53" s="16">
        <f t="shared" si="98"/>
        <v>0</v>
      </c>
      <c r="AC53" s="16">
        <f t="shared" si="98"/>
        <v>0</v>
      </c>
      <c r="AD53" s="16">
        <f t="shared" si="98"/>
        <v>0</v>
      </c>
      <c r="AE53" s="16">
        <f t="shared" si="98"/>
        <v>0</v>
      </c>
      <c r="AF53" s="16">
        <f t="shared" si="98"/>
        <v>0</v>
      </c>
      <c r="AG53" s="16">
        <f t="shared" si="98"/>
        <v>0</v>
      </c>
      <c r="AH53" s="16">
        <f t="shared" si="98"/>
        <v>0</v>
      </c>
      <c r="AI53" s="16">
        <f t="shared" si="98"/>
        <v>0</v>
      </c>
      <c r="AJ53" s="16">
        <f t="shared" si="99"/>
        <v>0</v>
      </c>
      <c r="AL53" s="17">
        <f t="shared" si="100"/>
        <v>0</v>
      </c>
      <c r="AM53" s="26" t="str">
        <f t="shared" si="62"/>
        <v>Transfert du trésor aux communes</v>
      </c>
      <c r="AN53" s="18">
        <f t="shared" si="101"/>
        <v>0</v>
      </c>
      <c r="AO53" s="18">
        <f t="shared" si="101"/>
        <v>0</v>
      </c>
      <c r="AP53" s="18">
        <f t="shared" si="101"/>
        <v>0</v>
      </c>
      <c r="AQ53" s="18">
        <f t="shared" si="101"/>
        <v>0</v>
      </c>
      <c r="AR53" s="18">
        <f t="shared" si="101"/>
        <v>0</v>
      </c>
      <c r="AS53" s="18">
        <f t="shared" si="101"/>
        <v>0</v>
      </c>
      <c r="AT53" s="18">
        <f t="shared" si="101"/>
        <v>0</v>
      </c>
      <c r="AU53" s="18">
        <f t="shared" si="101"/>
        <v>0</v>
      </c>
      <c r="AV53" s="18">
        <f t="shared" si="102"/>
        <v>0</v>
      </c>
      <c r="AW53" s="18"/>
      <c r="AX53" s="17">
        <f t="shared" si="103"/>
        <v>0</v>
      </c>
      <c r="AY53" s="26" t="str">
        <f t="shared" si="64"/>
        <v>Transfert du trésor aux communes</v>
      </c>
      <c r="AZ53" s="18">
        <f t="shared" ca="1" si="104"/>
        <v>0</v>
      </c>
      <c r="BA53" s="18">
        <f t="shared" ca="1" si="104"/>
        <v>0</v>
      </c>
      <c r="BB53" s="18">
        <f t="shared" ca="1" si="104"/>
        <v>0</v>
      </c>
      <c r="BC53" s="18">
        <f t="shared" ca="1" si="104"/>
        <v>0</v>
      </c>
      <c r="BD53" s="18">
        <f t="shared" ca="1" si="104"/>
        <v>0</v>
      </c>
      <c r="BE53" s="18">
        <f t="shared" ca="1" si="104"/>
        <v>0</v>
      </c>
      <c r="BF53" s="18">
        <f t="shared" ca="1" si="104"/>
        <v>0</v>
      </c>
      <c r="BG53" s="18">
        <f t="shared" ca="1" si="104"/>
        <v>0</v>
      </c>
      <c r="BH53" s="18">
        <f t="shared" ca="1" si="104"/>
        <v>0</v>
      </c>
      <c r="BI53" s="18">
        <f t="shared" ca="1" si="104"/>
        <v>0</v>
      </c>
      <c r="BJ53" s="18">
        <f t="shared" ca="1" si="104"/>
        <v>0</v>
      </c>
      <c r="BK53" s="18">
        <f t="shared" ca="1" si="104"/>
        <v>0</v>
      </c>
    </row>
    <row r="54" spans="1:63">
      <c r="A54" s="80">
        <f t="shared" si="29"/>
        <v>38</v>
      </c>
      <c r="B54" s="64">
        <f>+'Taxes RCA 2022'!A47</f>
        <v>38</v>
      </c>
      <c r="C54" s="68" t="str">
        <f>+'Taxes RCA 2022'!B47</f>
        <v>Affectation au titre de taxe d’abattage (+)</v>
      </c>
      <c r="E54" s="165"/>
      <c r="F54" s="165">
        <f>SUMIF($A$84:$A$730,B54&amp;"- "&amp;C54,$G$84:$G$730)</f>
        <v>0</v>
      </c>
      <c r="G54" s="165">
        <f>E54+F54</f>
        <v>0</v>
      </c>
      <c r="H54" s="114"/>
      <c r="I54" s="165"/>
      <c r="J54" s="165">
        <f ca="1">SUMIF($J$84:$M$728,B54&amp;"- "&amp;C54,$Q$84:$Q$728)</f>
        <v>0</v>
      </c>
      <c r="K54" s="165">
        <f ca="1">I54+J54</f>
        <v>0</v>
      </c>
      <c r="L54" s="114"/>
      <c r="M54" s="165">
        <f ca="1">+G54-K54</f>
        <v>0</v>
      </c>
      <c r="N54" s="68"/>
      <c r="O54" s="38" t="str">
        <f t="shared" ca="1" si="46"/>
        <v/>
      </c>
      <c r="P54" s="39" t="str">
        <f ca="1">IF(O54="ERROR","Please insert comment","")</f>
        <v/>
      </c>
      <c r="Y54" s="15">
        <f t="shared" si="97"/>
        <v>39</v>
      </c>
      <c r="Z54" s="25" t="str">
        <f t="shared" ref="Z54:Z61" si="109">C57</f>
        <v>Transfert infranational au titre de la taxe d'abattage (+)</v>
      </c>
      <c r="AA54" s="16">
        <f t="shared" si="98"/>
        <v>0</v>
      </c>
      <c r="AB54" s="16">
        <f t="shared" si="98"/>
        <v>0</v>
      </c>
      <c r="AC54" s="16">
        <f t="shared" si="98"/>
        <v>0</v>
      </c>
      <c r="AD54" s="16">
        <f t="shared" si="98"/>
        <v>0</v>
      </c>
      <c r="AE54" s="16">
        <f t="shared" si="98"/>
        <v>0</v>
      </c>
      <c r="AF54" s="16">
        <f t="shared" si="98"/>
        <v>0</v>
      </c>
      <c r="AG54" s="16">
        <f t="shared" si="98"/>
        <v>0</v>
      </c>
      <c r="AH54" s="16">
        <f t="shared" si="98"/>
        <v>0</v>
      </c>
      <c r="AI54" s="16">
        <f t="shared" si="98"/>
        <v>0</v>
      </c>
      <c r="AJ54" s="16">
        <f t="shared" si="99"/>
        <v>0</v>
      </c>
      <c r="AL54" s="17">
        <f t="shared" si="100"/>
        <v>39</v>
      </c>
      <c r="AM54" s="26" t="str">
        <f t="shared" ref="AM54:AM61" si="110">+C57</f>
        <v>Transfert infranational au titre de la taxe d'abattage (+)</v>
      </c>
      <c r="AN54" s="18">
        <f t="shared" si="101"/>
        <v>0</v>
      </c>
      <c r="AO54" s="18">
        <f t="shared" si="101"/>
        <v>0</v>
      </c>
      <c r="AP54" s="18">
        <f t="shared" si="101"/>
        <v>0</v>
      </c>
      <c r="AQ54" s="18">
        <f t="shared" si="101"/>
        <v>0</v>
      </c>
      <c r="AR54" s="18">
        <f t="shared" si="101"/>
        <v>0</v>
      </c>
      <c r="AS54" s="18">
        <f t="shared" si="101"/>
        <v>0</v>
      </c>
      <c r="AT54" s="18">
        <f t="shared" si="101"/>
        <v>0</v>
      </c>
      <c r="AU54" s="18">
        <f t="shared" si="101"/>
        <v>0</v>
      </c>
      <c r="AV54" s="18">
        <f t="shared" si="102"/>
        <v>0</v>
      </c>
      <c r="AW54" s="18"/>
      <c r="AX54" s="17">
        <f t="shared" si="103"/>
        <v>39</v>
      </c>
      <c r="AY54" s="26" t="str">
        <f t="shared" ref="AY54:AY61" si="111">C57</f>
        <v>Transfert infranational au titre de la taxe d'abattage (+)</v>
      </c>
      <c r="AZ54" s="18">
        <f t="shared" ca="1" si="104"/>
        <v>0</v>
      </c>
      <c r="BA54" s="18">
        <f t="shared" ca="1" si="104"/>
        <v>0</v>
      </c>
      <c r="BB54" s="18">
        <f t="shared" ca="1" si="104"/>
        <v>0</v>
      </c>
      <c r="BC54" s="18">
        <f t="shared" ca="1" si="104"/>
        <v>0</v>
      </c>
      <c r="BD54" s="18">
        <f t="shared" ca="1" si="104"/>
        <v>0</v>
      </c>
      <c r="BE54" s="18">
        <f t="shared" ca="1" si="104"/>
        <v>0</v>
      </c>
      <c r="BF54" s="18">
        <f t="shared" ca="1" si="104"/>
        <v>0</v>
      </c>
      <c r="BG54" s="18">
        <f t="shared" ca="1" si="104"/>
        <v>0</v>
      </c>
      <c r="BH54" s="18">
        <f t="shared" ca="1" si="104"/>
        <v>0</v>
      </c>
      <c r="BI54" s="18">
        <f t="shared" ca="1" si="104"/>
        <v>0</v>
      </c>
      <c r="BJ54" s="18">
        <f t="shared" ca="1" si="104"/>
        <v>0</v>
      </c>
      <c r="BK54" s="18">
        <f t="shared" ca="1" si="104"/>
        <v>0</v>
      </c>
    </row>
    <row r="55" spans="1:63">
      <c r="A55" s="80">
        <f t="shared" si="29"/>
        <v>0</v>
      </c>
      <c r="B55" s="163"/>
      <c r="C55" s="58" t="str">
        <f>+'Taxes RCA 2022'!B48</f>
        <v xml:space="preserve">Transferts du Trésor aux communes </v>
      </c>
      <c r="E55" s="166">
        <f>SUM(E56:E61)</f>
        <v>0</v>
      </c>
      <c r="F55" s="166">
        <f t="shared" ref="F55:G55" si="112">SUM(F56:F61)</f>
        <v>0</v>
      </c>
      <c r="G55" s="166">
        <f t="shared" si="112"/>
        <v>0</v>
      </c>
      <c r="H55" s="114"/>
      <c r="I55" s="166">
        <f>SUM(I56:I61)</f>
        <v>0</v>
      </c>
      <c r="J55" s="166">
        <f t="shared" ref="J55" ca="1" si="113">SUM(J56:J61)</f>
        <v>0</v>
      </c>
      <c r="K55" s="166">
        <f t="shared" ref="K55" ca="1" si="114">SUM(K56:K61)</f>
        <v>0</v>
      </c>
      <c r="L55" s="114"/>
      <c r="M55" s="166">
        <f t="shared" ref="M55" ca="1" si="115">SUM(M56:M61)</f>
        <v>0</v>
      </c>
      <c r="N55" s="58"/>
      <c r="O55" s="38" t="str">
        <f t="shared" ca="1" si="46"/>
        <v/>
      </c>
      <c r="P55" s="39" t="str">
        <f ca="1">IF(O55="ERROR","Please insert comment","")</f>
        <v/>
      </c>
      <c r="Y55" s="15">
        <f t="shared" si="97"/>
        <v>40</v>
      </c>
      <c r="Z55" s="25" t="str">
        <f t="shared" si="109"/>
        <v>Transfert infranational au titre de la taxe reboisement (+)</v>
      </c>
      <c r="AA55" s="16">
        <f t="shared" si="98"/>
        <v>0</v>
      </c>
      <c r="AB55" s="16">
        <f t="shared" si="98"/>
        <v>0</v>
      </c>
      <c r="AC55" s="16">
        <f t="shared" si="98"/>
        <v>0</v>
      </c>
      <c r="AD55" s="16">
        <f t="shared" si="98"/>
        <v>0</v>
      </c>
      <c r="AE55" s="16">
        <f t="shared" si="98"/>
        <v>0</v>
      </c>
      <c r="AF55" s="16">
        <f t="shared" si="98"/>
        <v>0</v>
      </c>
      <c r="AG55" s="16">
        <f t="shared" si="98"/>
        <v>0</v>
      </c>
      <c r="AH55" s="16">
        <f t="shared" si="98"/>
        <v>0</v>
      </c>
      <c r="AI55" s="16">
        <f t="shared" si="98"/>
        <v>0</v>
      </c>
      <c r="AJ55" s="16">
        <f t="shared" si="99"/>
        <v>0</v>
      </c>
      <c r="AL55" s="17">
        <f t="shared" si="100"/>
        <v>40</v>
      </c>
      <c r="AM55" s="26" t="str">
        <f t="shared" si="110"/>
        <v>Transfert infranational au titre de la taxe reboisement (+)</v>
      </c>
      <c r="AN55" s="18">
        <f t="shared" si="101"/>
        <v>0</v>
      </c>
      <c r="AO55" s="18">
        <f t="shared" si="101"/>
        <v>0</v>
      </c>
      <c r="AP55" s="18">
        <f t="shared" si="101"/>
        <v>0</v>
      </c>
      <c r="AQ55" s="18">
        <f t="shared" si="101"/>
        <v>0</v>
      </c>
      <c r="AR55" s="18">
        <f t="shared" si="101"/>
        <v>0</v>
      </c>
      <c r="AS55" s="18">
        <f t="shared" si="101"/>
        <v>0</v>
      </c>
      <c r="AT55" s="18">
        <f t="shared" si="101"/>
        <v>0</v>
      </c>
      <c r="AU55" s="18">
        <f t="shared" si="101"/>
        <v>0</v>
      </c>
      <c r="AV55" s="18">
        <f t="shared" si="102"/>
        <v>0</v>
      </c>
      <c r="AW55" s="18"/>
      <c r="AX55" s="17">
        <f t="shared" si="103"/>
        <v>40</v>
      </c>
      <c r="AY55" s="26" t="str">
        <f t="shared" si="111"/>
        <v>Transfert infranational au titre de la taxe reboisement (+)</v>
      </c>
      <c r="AZ55" s="18">
        <f t="shared" ca="1" si="104"/>
        <v>0</v>
      </c>
      <c r="BA55" s="18">
        <f t="shared" ca="1" si="104"/>
        <v>0</v>
      </c>
      <c r="BB55" s="18">
        <f t="shared" ca="1" si="104"/>
        <v>0</v>
      </c>
      <c r="BC55" s="18">
        <f t="shared" ca="1" si="104"/>
        <v>0</v>
      </c>
      <c r="BD55" s="18">
        <f t="shared" ca="1" si="104"/>
        <v>0</v>
      </c>
      <c r="BE55" s="18">
        <f t="shared" ca="1" si="104"/>
        <v>0</v>
      </c>
      <c r="BF55" s="18">
        <f t="shared" ca="1" si="104"/>
        <v>0</v>
      </c>
      <c r="BG55" s="18">
        <f t="shared" ca="1" si="104"/>
        <v>0</v>
      </c>
      <c r="BH55" s="18">
        <f t="shared" ca="1" si="104"/>
        <v>0</v>
      </c>
      <c r="BI55" s="18">
        <f t="shared" ca="1" si="104"/>
        <v>0</v>
      </c>
      <c r="BJ55" s="18">
        <f t="shared" ca="1" si="104"/>
        <v>0</v>
      </c>
      <c r="BK55" s="18">
        <f t="shared" ca="1" si="104"/>
        <v>0</v>
      </c>
    </row>
    <row r="56" spans="1:63">
      <c r="A56" s="80"/>
      <c r="B56" s="53">
        <f>+'Taxes RCA 2022'!A49</f>
        <v>0</v>
      </c>
      <c r="C56" s="18" t="str">
        <f>+'Taxes RCA 2022'!B49</f>
        <v>Transfert du trésor aux communes</v>
      </c>
      <c r="E56" s="114"/>
      <c r="F56" s="114">
        <f t="shared" ref="F56:F61" si="116">SUMIF($A$84:$A$730,B56&amp;"- "&amp;C56,$G$84:$G$730)</f>
        <v>0</v>
      </c>
      <c r="G56" s="114">
        <f t="shared" ref="G56:G61" si="117">E56+F56</f>
        <v>0</v>
      </c>
      <c r="H56" s="114"/>
      <c r="I56" s="114"/>
      <c r="J56" s="114">
        <f t="shared" ref="J56:J61" ca="1" si="118">SUMIF($J$84:$M$728,B56&amp;"- "&amp;C56,$Q$84:$Q$728)</f>
        <v>0</v>
      </c>
      <c r="K56" s="114">
        <f t="shared" ref="K56:K61" ca="1" si="119">I56+J56</f>
        <v>0</v>
      </c>
      <c r="L56" s="114"/>
      <c r="M56" s="114">
        <f t="shared" ref="M56:M61" ca="1" si="120">+G56-K56</f>
        <v>0</v>
      </c>
      <c r="N56" s="18"/>
      <c r="O56" s="38"/>
      <c r="P56" s="39"/>
      <c r="Y56" s="15">
        <f t="shared" si="97"/>
        <v>41</v>
      </c>
      <c r="Z56" s="25" t="str">
        <f t="shared" si="109"/>
        <v>Transfert infranational au titre de la taxe environnementale (+)</v>
      </c>
      <c r="AA56" s="16">
        <f t="shared" si="98"/>
        <v>0</v>
      </c>
      <c r="AB56" s="16">
        <f t="shared" si="98"/>
        <v>0</v>
      </c>
      <c r="AC56" s="16">
        <f t="shared" si="98"/>
        <v>0</v>
      </c>
      <c r="AD56" s="16">
        <f t="shared" si="98"/>
        <v>0</v>
      </c>
      <c r="AE56" s="16">
        <f t="shared" si="98"/>
        <v>0</v>
      </c>
      <c r="AF56" s="16">
        <f t="shared" si="98"/>
        <v>0</v>
      </c>
      <c r="AG56" s="16">
        <f t="shared" si="98"/>
        <v>0</v>
      </c>
      <c r="AH56" s="16">
        <f t="shared" si="98"/>
        <v>0</v>
      </c>
      <c r="AI56" s="16">
        <f t="shared" si="98"/>
        <v>0</v>
      </c>
      <c r="AJ56" s="16">
        <f t="shared" si="99"/>
        <v>0</v>
      </c>
      <c r="AL56" s="17">
        <f t="shared" si="100"/>
        <v>41</v>
      </c>
      <c r="AM56" s="26" t="str">
        <f t="shared" si="110"/>
        <v>Transfert infranational au titre de la taxe environnementale (+)</v>
      </c>
      <c r="AN56" s="18">
        <f t="shared" si="101"/>
        <v>0</v>
      </c>
      <c r="AO56" s="18">
        <f t="shared" si="101"/>
        <v>0</v>
      </c>
      <c r="AP56" s="18">
        <f t="shared" si="101"/>
        <v>0</v>
      </c>
      <c r="AQ56" s="18">
        <f t="shared" si="101"/>
        <v>0</v>
      </c>
      <c r="AR56" s="18">
        <f t="shared" si="101"/>
        <v>0</v>
      </c>
      <c r="AS56" s="18">
        <f t="shared" si="101"/>
        <v>0</v>
      </c>
      <c r="AT56" s="18">
        <f t="shared" si="101"/>
        <v>0</v>
      </c>
      <c r="AU56" s="18">
        <f t="shared" si="101"/>
        <v>0</v>
      </c>
      <c r="AV56" s="18">
        <f t="shared" si="102"/>
        <v>0</v>
      </c>
      <c r="AW56" s="18"/>
      <c r="AX56" s="17">
        <f t="shared" si="103"/>
        <v>41</v>
      </c>
      <c r="AY56" s="26" t="str">
        <f t="shared" si="111"/>
        <v>Transfert infranational au titre de la taxe environnementale (+)</v>
      </c>
      <c r="AZ56" s="18">
        <f t="shared" ca="1" si="104"/>
        <v>0</v>
      </c>
      <c r="BA56" s="18">
        <f t="shared" ca="1" si="104"/>
        <v>0</v>
      </c>
      <c r="BB56" s="18">
        <f t="shared" ca="1" si="104"/>
        <v>0</v>
      </c>
      <c r="BC56" s="18">
        <f t="shared" ca="1" si="104"/>
        <v>0</v>
      </c>
      <c r="BD56" s="18">
        <f t="shared" ca="1" si="104"/>
        <v>0</v>
      </c>
      <c r="BE56" s="18">
        <f t="shared" ca="1" si="104"/>
        <v>0</v>
      </c>
      <c r="BF56" s="18">
        <f t="shared" ca="1" si="104"/>
        <v>0</v>
      </c>
      <c r="BG56" s="18">
        <f t="shared" ca="1" si="104"/>
        <v>0</v>
      </c>
      <c r="BH56" s="18">
        <f t="shared" ca="1" si="104"/>
        <v>0</v>
      </c>
      <c r="BI56" s="18">
        <f t="shared" ca="1" si="104"/>
        <v>0</v>
      </c>
      <c r="BJ56" s="18">
        <f t="shared" ca="1" si="104"/>
        <v>0</v>
      </c>
      <c r="BK56" s="18">
        <f t="shared" ca="1" si="104"/>
        <v>0</v>
      </c>
    </row>
    <row r="57" spans="1:63">
      <c r="A57" s="80"/>
      <c r="B57" s="64">
        <f>+'Taxes RCA 2022'!A50</f>
        <v>39</v>
      </c>
      <c r="C57" s="68" t="str">
        <f>+'Taxes RCA 2022'!B50</f>
        <v>Transfert infranational au titre de la taxe d'abattage (+)</v>
      </c>
      <c r="E57" s="165"/>
      <c r="F57" s="165">
        <f t="shared" si="116"/>
        <v>0</v>
      </c>
      <c r="G57" s="165">
        <f t="shared" si="117"/>
        <v>0</v>
      </c>
      <c r="H57" s="114"/>
      <c r="I57" s="165"/>
      <c r="J57" s="165">
        <f t="shared" ca="1" si="118"/>
        <v>0</v>
      </c>
      <c r="K57" s="165">
        <f t="shared" ca="1" si="119"/>
        <v>0</v>
      </c>
      <c r="L57" s="114"/>
      <c r="M57" s="165">
        <f t="shared" ca="1" si="120"/>
        <v>0</v>
      </c>
      <c r="N57" s="68"/>
      <c r="O57" s="38"/>
      <c r="P57" s="39"/>
      <c r="Y57" s="15">
        <f t="shared" si="97"/>
        <v>42</v>
      </c>
      <c r="Z57" s="25" t="str">
        <f t="shared" si="109"/>
        <v>Droit de sortie (DS)/Taxe Export (+)</v>
      </c>
      <c r="AA57" s="16">
        <f t="shared" si="98"/>
        <v>0</v>
      </c>
      <c r="AB57" s="16">
        <f t="shared" si="98"/>
        <v>0</v>
      </c>
      <c r="AC57" s="16">
        <f t="shared" si="98"/>
        <v>0</v>
      </c>
      <c r="AD57" s="16">
        <f t="shared" si="98"/>
        <v>0</v>
      </c>
      <c r="AE57" s="16">
        <f t="shared" si="98"/>
        <v>0</v>
      </c>
      <c r="AF57" s="16">
        <f t="shared" si="98"/>
        <v>0</v>
      </c>
      <c r="AG57" s="16">
        <f t="shared" si="98"/>
        <v>0</v>
      </c>
      <c r="AH57" s="16">
        <f t="shared" si="98"/>
        <v>0</v>
      </c>
      <c r="AI57" s="16">
        <f t="shared" si="98"/>
        <v>0</v>
      </c>
      <c r="AJ57" s="16">
        <f t="shared" si="99"/>
        <v>0</v>
      </c>
      <c r="AL57" s="17">
        <f t="shared" si="100"/>
        <v>42</v>
      </c>
      <c r="AM57" s="26" t="str">
        <f t="shared" si="110"/>
        <v>Droit de sortie (DS)/Taxe Export (+)</v>
      </c>
      <c r="AN57" s="18">
        <f t="shared" si="101"/>
        <v>0</v>
      </c>
      <c r="AO57" s="18">
        <f t="shared" si="101"/>
        <v>0</v>
      </c>
      <c r="AP57" s="18">
        <f t="shared" si="101"/>
        <v>0</v>
      </c>
      <c r="AQ57" s="18">
        <f t="shared" si="101"/>
        <v>0</v>
      </c>
      <c r="AR57" s="18">
        <f t="shared" si="101"/>
        <v>0</v>
      </c>
      <c r="AS57" s="18">
        <f t="shared" si="101"/>
        <v>0</v>
      </c>
      <c r="AT57" s="18">
        <f t="shared" si="101"/>
        <v>0</v>
      </c>
      <c r="AU57" s="18">
        <f t="shared" si="101"/>
        <v>0</v>
      </c>
      <c r="AV57" s="18">
        <f t="shared" si="102"/>
        <v>0</v>
      </c>
      <c r="AW57" s="18"/>
      <c r="AX57" s="17">
        <f t="shared" si="103"/>
        <v>42</v>
      </c>
      <c r="AY57" s="26" t="str">
        <f t="shared" si="111"/>
        <v>Droit de sortie (DS)/Taxe Export (+)</v>
      </c>
      <c r="AZ57" s="18">
        <f t="shared" ca="1" si="104"/>
        <v>0</v>
      </c>
      <c r="BA57" s="18">
        <f t="shared" ca="1" si="104"/>
        <v>0</v>
      </c>
      <c r="BB57" s="18">
        <f t="shared" ca="1" si="104"/>
        <v>0</v>
      </c>
      <c r="BC57" s="18">
        <f t="shared" ca="1" si="104"/>
        <v>0</v>
      </c>
      <c r="BD57" s="18">
        <f t="shared" ca="1" si="104"/>
        <v>0</v>
      </c>
      <c r="BE57" s="18">
        <f t="shared" ca="1" si="104"/>
        <v>0</v>
      </c>
      <c r="BF57" s="18">
        <f t="shared" ca="1" si="104"/>
        <v>0</v>
      </c>
      <c r="BG57" s="18">
        <f t="shared" ca="1" si="104"/>
        <v>0</v>
      </c>
      <c r="BH57" s="18">
        <f t="shared" ca="1" si="104"/>
        <v>0</v>
      </c>
      <c r="BI57" s="18">
        <f t="shared" ca="1" si="104"/>
        <v>0</v>
      </c>
      <c r="BJ57" s="18">
        <f t="shared" ca="1" si="104"/>
        <v>0</v>
      </c>
      <c r="BK57" s="18">
        <f t="shared" ca="1" si="104"/>
        <v>0</v>
      </c>
    </row>
    <row r="58" spans="1:63">
      <c r="A58" s="80"/>
      <c r="B58" s="53">
        <f>+'Taxes RCA 2022'!A51</f>
        <v>40</v>
      </c>
      <c r="C58" s="18" t="str">
        <f>+'Taxes RCA 2022'!B51</f>
        <v>Transfert infranational au titre de la taxe reboisement (+)</v>
      </c>
      <c r="E58" s="114"/>
      <c r="F58" s="114">
        <f t="shared" si="116"/>
        <v>0</v>
      </c>
      <c r="G58" s="114">
        <f t="shared" si="117"/>
        <v>0</v>
      </c>
      <c r="H58" s="114"/>
      <c r="I58" s="114"/>
      <c r="J58" s="114">
        <f t="shared" ca="1" si="118"/>
        <v>0</v>
      </c>
      <c r="K58" s="114">
        <f t="shared" ca="1" si="119"/>
        <v>0</v>
      </c>
      <c r="L58" s="114"/>
      <c r="M58" s="114">
        <f t="shared" ca="1" si="120"/>
        <v>0</v>
      </c>
      <c r="N58" s="18"/>
      <c r="O58" s="38"/>
      <c r="P58" s="39"/>
      <c r="Y58" s="15">
        <f t="shared" si="97"/>
        <v>43</v>
      </c>
      <c r="Z58" s="25" t="str">
        <f t="shared" si="109"/>
        <v xml:space="preserve">Autres transferts au profit des communes </v>
      </c>
      <c r="AA58" s="16">
        <f t="shared" si="98"/>
        <v>0</v>
      </c>
      <c r="AB58" s="16">
        <f t="shared" si="98"/>
        <v>0</v>
      </c>
      <c r="AC58" s="16">
        <f t="shared" si="98"/>
        <v>0</v>
      </c>
      <c r="AD58" s="16">
        <f t="shared" si="98"/>
        <v>0</v>
      </c>
      <c r="AE58" s="16">
        <f t="shared" si="98"/>
        <v>0</v>
      </c>
      <c r="AF58" s="16">
        <f t="shared" si="98"/>
        <v>0</v>
      </c>
      <c r="AG58" s="16">
        <f t="shared" si="98"/>
        <v>0</v>
      </c>
      <c r="AH58" s="16">
        <f t="shared" si="98"/>
        <v>0</v>
      </c>
      <c r="AI58" s="16">
        <f t="shared" si="98"/>
        <v>0</v>
      </c>
      <c r="AJ58" s="16">
        <f t="shared" si="99"/>
        <v>0</v>
      </c>
      <c r="AL58" s="17">
        <f>+B61</f>
        <v>43</v>
      </c>
      <c r="AM58" s="26" t="str">
        <f t="shared" si="110"/>
        <v xml:space="preserve">Autres transferts au profit des communes </v>
      </c>
      <c r="AN58" s="18">
        <f t="shared" si="101"/>
        <v>0</v>
      </c>
      <c r="AO58" s="18">
        <f t="shared" si="101"/>
        <v>0</v>
      </c>
      <c r="AP58" s="18">
        <f t="shared" si="101"/>
        <v>0</v>
      </c>
      <c r="AQ58" s="18">
        <f t="shared" si="101"/>
        <v>0</v>
      </c>
      <c r="AR58" s="18">
        <f t="shared" si="101"/>
        <v>0</v>
      </c>
      <c r="AS58" s="18">
        <f t="shared" si="101"/>
        <v>0</v>
      </c>
      <c r="AT58" s="18">
        <f t="shared" si="101"/>
        <v>0</v>
      </c>
      <c r="AU58" s="18">
        <f t="shared" si="101"/>
        <v>0</v>
      </c>
      <c r="AV58" s="18">
        <f t="shared" si="102"/>
        <v>0</v>
      </c>
      <c r="AW58" s="18"/>
      <c r="AX58" s="17">
        <f>B61</f>
        <v>43</v>
      </c>
      <c r="AY58" s="26" t="str">
        <f t="shared" si="111"/>
        <v xml:space="preserve">Autres transferts au profit des communes </v>
      </c>
      <c r="AZ58" s="18">
        <f t="shared" ca="1" si="104"/>
        <v>0</v>
      </c>
      <c r="BA58" s="18">
        <f t="shared" ca="1" si="104"/>
        <v>0</v>
      </c>
      <c r="BB58" s="18">
        <f t="shared" ca="1" si="104"/>
        <v>0</v>
      </c>
      <c r="BC58" s="18">
        <f t="shared" ca="1" si="104"/>
        <v>0</v>
      </c>
      <c r="BD58" s="18">
        <f t="shared" ca="1" si="104"/>
        <v>0</v>
      </c>
      <c r="BE58" s="18">
        <f t="shared" ca="1" si="104"/>
        <v>0</v>
      </c>
      <c r="BF58" s="18">
        <f t="shared" ca="1" si="104"/>
        <v>0</v>
      </c>
      <c r="BG58" s="18">
        <f t="shared" ca="1" si="104"/>
        <v>0</v>
      </c>
      <c r="BH58" s="18">
        <f t="shared" ca="1" si="104"/>
        <v>0</v>
      </c>
      <c r="BI58" s="18">
        <f t="shared" ca="1" si="104"/>
        <v>0</v>
      </c>
      <c r="BJ58" s="18">
        <f t="shared" ca="1" si="104"/>
        <v>0</v>
      </c>
      <c r="BK58" s="18">
        <f t="shared" ca="1" si="104"/>
        <v>0</v>
      </c>
    </row>
    <row r="59" spans="1:63">
      <c r="A59" s="80"/>
      <c r="B59" s="64">
        <f>+'Taxes RCA 2022'!A52</f>
        <v>41</v>
      </c>
      <c r="C59" s="68" t="str">
        <f>+'Taxes RCA 2022'!B52</f>
        <v>Transfert infranational au titre de la taxe environnementale (+)</v>
      </c>
      <c r="E59" s="165"/>
      <c r="F59" s="165">
        <f t="shared" si="116"/>
        <v>0</v>
      </c>
      <c r="G59" s="165">
        <f t="shared" si="117"/>
        <v>0</v>
      </c>
      <c r="H59" s="114"/>
      <c r="I59" s="165"/>
      <c r="J59" s="165">
        <f t="shared" ca="1" si="118"/>
        <v>0</v>
      </c>
      <c r="K59" s="165">
        <f t="shared" ca="1" si="119"/>
        <v>0</v>
      </c>
      <c r="L59" s="114"/>
      <c r="M59" s="165">
        <f t="shared" ca="1" si="120"/>
        <v>0</v>
      </c>
      <c r="N59" s="68"/>
      <c r="O59" s="38"/>
      <c r="P59" s="39"/>
      <c r="Y59" s="15">
        <f>B62</f>
        <v>0</v>
      </c>
      <c r="Z59" s="25" t="str">
        <f t="shared" si="109"/>
        <v>DGTCP (DGP)</v>
      </c>
      <c r="AA59" s="16">
        <f t="shared" si="98"/>
        <v>0</v>
      </c>
      <c r="AB59" s="16">
        <f t="shared" si="98"/>
        <v>0</v>
      </c>
      <c r="AC59" s="16">
        <f t="shared" si="98"/>
        <v>0</v>
      </c>
      <c r="AD59" s="16">
        <f t="shared" si="98"/>
        <v>0</v>
      </c>
      <c r="AE59" s="16">
        <f t="shared" si="98"/>
        <v>0</v>
      </c>
      <c r="AF59" s="16">
        <f t="shared" si="98"/>
        <v>0</v>
      </c>
      <c r="AG59" s="16">
        <f t="shared" si="98"/>
        <v>0</v>
      </c>
      <c r="AH59" s="16">
        <f t="shared" si="98"/>
        <v>0</v>
      </c>
      <c r="AI59" s="16">
        <f t="shared" si="98"/>
        <v>0</v>
      </c>
      <c r="AJ59" s="16">
        <f t="shared" si="99"/>
        <v>0</v>
      </c>
      <c r="AL59" s="17">
        <f>+B62</f>
        <v>0</v>
      </c>
      <c r="AM59" s="26" t="str">
        <f t="shared" si="110"/>
        <v>DGTCP (DGP)</v>
      </c>
      <c r="AN59" s="18">
        <f t="shared" si="101"/>
        <v>0</v>
      </c>
      <c r="AO59" s="18">
        <f t="shared" si="101"/>
        <v>0</v>
      </c>
      <c r="AP59" s="18">
        <f t="shared" si="101"/>
        <v>0</v>
      </c>
      <c r="AQ59" s="18">
        <f t="shared" si="101"/>
        <v>0</v>
      </c>
      <c r="AR59" s="18">
        <f t="shared" si="101"/>
        <v>0</v>
      </c>
      <c r="AS59" s="18">
        <f t="shared" si="101"/>
        <v>0</v>
      </c>
      <c r="AT59" s="18">
        <f t="shared" si="101"/>
        <v>0</v>
      </c>
      <c r="AU59" s="18">
        <f t="shared" si="101"/>
        <v>0</v>
      </c>
      <c r="AV59" s="18">
        <f t="shared" si="102"/>
        <v>0</v>
      </c>
      <c r="AW59" s="18"/>
      <c r="AX59" s="17">
        <f>B62</f>
        <v>0</v>
      </c>
      <c r="AY59" s="26" t="str">
        <f t="shared" si="111"/>
        <v>DGTCP (DGP)</v>
      </c>
      <c r="AZ59" s="18">
        <f t="shared" ca="1" si="104"/>
        <v>0</v>
      </c>
      <c r="BA59" s="18">
        <f t="shared" ca="1" si="104"/>
        <v>0</v>
      </c>
      <c r="BB59" s="18">
        <f t="shared" ca="1" si="104"/>
        <v>0</v>
      </c>
      <c r="BC59" s="18">
        <f t="shared" ca="1" si="104"/>
        <v>0</v>
      </c>
      <c r="BD59" s="18">
        <f t="shared" ca="1" si="104"/>
        <v>0</v>
      </c>
      <c r="BE59" s="18">
        <f t="shared" ca="1" si="104"/>
        <v>0</v>
      </c>
      <c r="BF59" s="18">
        <f t="shared" ca="1" si="104"/>
        <v>0</v>
      </c>
      <c r="BG59" s="18">
        <f t="shared" ca="1" si="104"/>
        <v>0</v>
      </c>
      <c r="BH59" s="18">
        <f t="shared" ca="1" si="104"/>
        <v>0</v>
      </c>
      <c r="BI59" s="18">
        <f t="shared" ca="1" si="104"/>
        <v>0</v>
      </c>
      <c r="BJ59" s="18">
        <f t="shared" ca="1" si="104"/>
        <v>0</v>
      </c>
      <c r="BK59" s="18">
        <f t="shared" ca="1" si="104"/>
        <v>0</v>
      </c>
    </row>
    <row r="60" spans="1:63">
      <c r="A60" s="80"/>
      <c r="B60" s="53">
        <f>+'Taxes RCA 2022'!A53</f>
        <v>42</v>
      </c>
      <c r="C60" s="18" t="str">
        <f>+'Taxes RCA 2022'!B53</f>
        <v>Droit de sortie (DS)/Taxe Export (+)</v>
      </c>
      <c r="E60" s="114"/>
      <c r="F60" s="114">
        <f t="shared" si="116"/>
        <v>0</v>
      </c>
      <c r="G60" s="114">
        <f t="shared" si="117"/>
        <v>0</v>
      </c>
      <c r="H60" s="114"/>
      <c r="I60" s="114"/>
      <c r="J60" s="114">
        <f t="shared" ca="1" si="118"/>
        <v>0</v>
      </c>
      <c r="K60" s="114">
        <f t="shared" ca="1" si="119"/>
        <v>0</v>
      </c>
      <c r="L60" s="114"/>
      <c r="M60" s="114">
        <f t="shared" ca="1" si="120"/>
        <v>0</v>
      </c>
      <c r="N60" s="18"/>
      <c r="O60" s="38"/>
      <c r="P60" s="39"/>
      <c r="Y60" s="15"/>
      <c r="Z60" s="25" t="str">
        <f t="shared" si="109"/>
        <v xml:space="preserve">Fonds du soutien à la Promotion Pétrolière </v>
      </c>
      <c r="AA60" s="16">
        <f>SUM(AA61:AA64)</f>
        <v>0</v>
      </c>
      <c r="AB60" s="16">
        <f t="shared" ref="AB60:AJ60" si="121">SUM(AB61:AB64)</f>
        <v>0</v>
      </c>
      <c r="AC60" s="16">
        <f t="shared" si="121"/>
        <v>0</v>
      </c>
      <c r="AD60" s="16">
        <f t="shared" si="121"/>
        <v>0</v>
      </c>
      <c r="AE60" s="16">
        <f t="shared" si="121"/>
        <v>0</v>
      </c>
      <c r="AF60" s="16">
        <f t="shared" si="121"/>
        <v>0</v>
      </c>
      <c r="AG60" s="16">
        <f t="shared" si="121"/>
        <v>0</v>
      </c>
      <c r="AH60" s="16">
        <f t="shared" si="121"/>
        <v>0</v>
      </c>
      <c r="AI60" s="16">
        <f t="shared" si="121"/>
        <v>0</v>
      </c>
      <c r="AJ60" s="16">
        <f t="shared" si="121"/>
        <v>0</v>
      </c>
      <c r="AL60" s="17"/>
      <c r="AM60" s="26" t="str">
        <f t="shared" si="110"/>
        <v xml:space="preserve">Fonds du soutien à la Promotion Pétrolière </v>
      </c>
      <c r="AN60" s="18">
        <f t="shared" ref="AN60:AV60" si="122">SUM(AN61:AN64)</f>
        <v>0</v>
      </c>
      <c r="AO60" s="18">
        <f t="shared" si="122"/>
        <v>0</v>
      </c>
      <c r="AP60" s="18">
        <f t="shared" si="122"/>
        <v>0</v>
      </c>
      <c r="AQ60" s="18">
        <f t="shared" si="122"/>
        <v>0</v>
      </c>
      <c r="AR60" s="18">
        <f t="shared" si="122"/>
        <v>0</v>
      </c>
      <c r="AS60" s="18">
        <f t="shared" si="122"/>
        <v>0</v>
      </c>
      <c r="AT60" s="18">
        <f t="shared" si="122"/>
        <v>0</v>
      </c>
      <c r="AU60" s="18">
        <f t="shared" si="122"/>
        <v>0</v>
      </c>
      <c r="AV60" s="18">
        <f t="shared" si="122"/>
        <v>0</v>
      </c>
      <c r="AW60" s="18"/>
      <c r="AX60" s="17"/>
      <c r="AY60" s="26" t="str">
        <f t="shared" si="111"/>
        <v xml:space="preserve">Fonds du soutien à la Promotion Pétrolière </v>
      </c>
      <c r="AZ60" s="18">
        <f t="shared" ref="AZ60:BK60" ca="1" si="123">SUM(AZ61:AZ64)</f>
        <v>0</v>
      </c>
      <c r="BA60" s="18">
        <f t="shared" ca="1" si="123"/>
        <v>0</v>
      </c>
      <c r="BB60" s="18">
        <f t="shared" ca="1" si="123"/>
        <v>0</v>
      </c>
      <c r="BC60" s="18">
        <f t="shared" ca="1" si="123"/>
        <v>0</v>
      </c>
      <c r="BD60" s="18">
        <f t="shared" ca="1" si="123"/>
        <v>0</v>
      </c>
      <c r="BE60" s="18">
        <f t="shared" ca="1" si="123"/>
        <v>0</v>
      </c>
      <c r="BF60" s="18">
        <f t="shared" ca="1" si="123"/>
        <v>0</v>
      </c>
      <c r="BG60" s="18">
        <f t="shared" ca="1" si="123"/>
        <v>0</v>
      </c>
      <c r="BH60" s="18">
        <f t="shared" ca="1" si="123"/>
        <v>0</v>
      </c>
      <c r="BI60" s="18">
        <f t="shared" ca="1" si="123"/>
        <v>0</v>
      </c>
      <c r="BJ60" s="18">
        <f t="shared" ca="1" si="123"/>
        <v>0</v>
      </c>
      <c r="BK60" s="18">
        <f t="shared" ca="1" si="123"/>
        <v>0</v>
      </c>
    </row>
    <row r="61" spans="1:63">
      <c r="A61" s="80"/>
      <c r="B61" s="64">
        <f>+'Taxes RCA 2022'!A54</f>
        <v>43</v>
      </c>
      <c r="C61" s="68" t="str">
        <f>+'Taxes RCA 2022'!B54</f>
        <v xml:space="preserve">Autres transferts au profit des communes </v>
      </c>
      <c r="E61" s="165"/>
      <c r="F61" s="165">
        <f t="shared" si="116"/>
        <v>0</v>
      </c>
      <c r="G61" s="165">
        <f t="shared" si="117"/>
        <v>0</v>
      </c>
      <c r="H61" s="114"/>
      <c r="I61" s="165"/>
      <c r="J61" s="165">
        <f t="shared" ca="1" si="118"/>
        <v>0</v>
      </c>
      <c r="K61" s="165">
        <f t="shared" ca="1" si="119"/>
        <v>0</v>
      </c>
      <c r="L61" s="114"/>
      <c r="M61" s="165">
        <f t="shared" ca="1" si="120"/>
        <v>0</v>
      </c>
      <c r="N61" s="68"/>
      <c r="O61" s="38"/>
      <c r="P61" s="39"/>
      <c r="Y61" s="15">
        <f>B64</f>
        <v>45</v>
      </c>
      <c r="Z61" s="25" t="str">
        <f t="shared" si="109"/>
        <v>Fonds de Soutien aux projets de Développement Communautaire</v>
      </c>
      <c r="AA61" s="16">
        <f t="shared" ref="AA61:AI61" si="124">SUMPRODUCT(($A$84:$A$730=$Y61&amp;"- "&amp;$Z61)*($C$84:$C$730=AA$1)*($G$84:$G$730))</f>
        <v>0</v>
      </c>
      <c r="AB61" s="16">
        <f t="shared" si="124"/>
        <v>0</v>
      </c>
      <c r="AC61" s="16">
        <f t="shared" si="124"/>
        <v>0</v>
      </c>
      <c r="AD61" s="16">
        <f t="shared" si="124"/>
        <v>0</v>
      </c>
      <c r="AE61" s="16">
        <f t="shared" si="124"/>
        <v>0</v>
      </c>
      <c r="AF61" s="16">
        <f t="shared" si="124"/>
        <v>0</v>
      </c>
      <c r="AG61" s="16">
        <f t="shared" si="124"/>
        <v>0</v>
      </c>
      <c r="AH61" s="16">
        <f t="shared" si="124"/>
        <v>0</v>
      </c>
      <c r="AI61" s="16">
        <f t="shared" si="124"/>
        <v>0</v>
      </c>
      <c r="AJ61" s="16">
        <f>SUM(AA61:AI61)</f>
        <v>0</v>
      </c>
      <c r="AL61" s="17">
        <f>+B64</f>
        <v>45</v>
      </c>
      <c r="AM61" s="26" t="str">
        <f t="shared" si="110"/>
        <v>Fonds de Soutien aux projets de Développement Communautaire</v>
      </c>
      <c r="AN61" s="18">
        <f t="shared" ref="AN61:AU61" si="125">SUMPRODUCT(($J$84:$M$727=$AL61&amp;"- "&amp;$AM61)*($N$84:$N$727=AN$1)*($Q$84:$Q$727))</f>
        <v>0</v>
      </c>
      <c r="AO61" s="18">
        <f t="shared" si="125"/>
        <v>0</v>
      </c>
      <c r="AP61" s="18">
        <f t="shared" si="125"/>
        <v>0</v>
      </c>
      <c r="AQ61" s="18">
        <f t="shared" si="125"/>
        <v>0</v>
      </c>
      <c r="AR61" s="18">
        <f t="shared" si="125"/>
        <v>0</v>
      </c>
      <c r="AS61" s="18">
        <f t="shared" si="125"/>
        <v>0</v>
      </c>
      <c r="AT61" s="18">
        <f t="shared" si="125"/>
        <v>0</v>
      </c>
      <c r="AU61" s="18">
        <f t="shared" si="125"/>
        <v>0</v>
      </c>
      <c r="AV61" s="18">
        <f>SUM(AN61:AU61)</f>
        <v>0</v>
      </c>
      <c r="AW61" s="18"/>
      <c r="AX61" s="17">
        <f>B64</f>
        <v>45</v>
      </c>
      <c r="AY61" s="26" t="str">
        <f t="shared" si="111"/>
        <v>Fonds de Soutien aux projets de Développement Communautaire</v>
      </c>
      <c r="AZ61" s="18">
        <f t="shared" ref="AZ61:BK61" ca="1" si="126">SUMPRODUCT(($C$10:$C$75=$AY61)*($N$10:$N$75=AZ$1)*($M$10:$M$75))</f>
        <v>0</v>
      </c>
      <c r="BA61" s="18">
        <f t="shared" ca="1" si="126"/>
        <v>0</v>
      </c>
      <c r="BB61" s="18">
        <f t="shared" ca="1" si="126"/>
        <v>0</v>
      </c>
      <c r="BC61" s="18">
        <f t="shared" ca="1" si="126"/>
        <v>0</v>
      </c>
      <c r="BD61" s="18">
        <f t="shared" ca="1" si="126"/>
        <v>0</v>
      </c>
      <c r="BE61" s="18">
        <f t="shared" ca="1" si="126"/>
        <v>0</v>
      </c>
      <c r="BF61" s="18">
        <f t="shared" ca="1" si="126"/>
        <v>0</v>
      </c>
      <c r="BG61" s="18">
        <f t="shared" ca="1" si="126"/>
        <v>0</v>
      </c>
      <c r="BH61" s="18">
        <f t="shared" ca="1" si="126"/>
        <v>0</v>
      </c>
      <c r="BI61" s="18">
        <f t="shared" ca="1" si="126"/>
        <v>0</v>
      </c>
      <c r="BJ61" s="18">
        <f t="shared" ca="1" si="126"/>
        <v>0</v>
      </c>
      <c r="BK61" s="18">
        <f t="shared" ca="1" si="126"/>
        <v>0</v>
      </c>
    </row>
    <row r="62" spans="1:63">
      <c r="A62" s="80"/>
      <c r="B62" s="163"/>
      <c r="C62" s="58" t="str">
        <f>+'Taxes RCA 2022'!B55</f>
        <v>DGTCP (DGP)</v>
      </c>
      <c r="E62" s="166">
        <f>+E64+E63</f>
        <v>0</v>
      </c>
      <c r="F62" s="166">
        <f t="shared" ref="F62:G62" si="127">+F64+F63</f>
        <v>0</v>
      </c>
      <c r="G62" s="166">
        <f t="shared" si="127"/>
        <v>0</v>
      </c>
      <c r="H62" s="114"/>
      <c r="I62" s="166">
        <f>+I64+I63</f>
        <v>0</v>
      </c>
      <c r="J62" s="166">
        <f t="shared" ref="J62" ca="1" si="128">+J64+J63</f>
        <v>0</v>
      </c>
      <c r="K62" s="166">
        <f t="shared" ref="K62" ca="1" si="129">+K64+K63</f>
        <v>0</v>
      </c>
      <c r="L62" s="114"/>
      <c r="M62" s="166">
        <f t="shared" ref="M62" ca="1" si="130">+M64+M63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SUMIF($A$84:$A$730,B63&amp;"- "&amp;C63,$G$84:$G$730)</f>
        <v>0</v>
      </c>
      <c r="G63" s="114">
        <f>E63+F63</f>
        <v>0</v>
      </c>
      <c r="H63" s="114"/>
      <c r="I63" s="114"/>
      <c r="J63" s="114">
        <f ca="1">SUMIF($J$84:$M$728,B63&amp;"- "&amp;C63,$Q$84:$Q$728)</f>
        <v>0</v>
      </c>
      <c r="K63" s="114">
        <f ca="1">I63+J63</f>
        <v>0</v>
      </c>
      <c r="L63" s="114"/>
      <c r="M63" s="114">
        <f ca="1">+G63-K63</f>
        <v>0</v>
      </c>
      <c r="N63" s="18"/>
      <c r="O63" s="38" t="str">
        <f t="shared" ca="1" si="46"/>
        <v/>
      </c>
      <c r="P63" s="39"/>
      <c r="Q63" s="23"/>
      <c r="Y63" s="15">
        <f>B65</f>
        <v>0</v>
      </c>
      <c r="Z63" s="25" t="str">
        <f>C65</f>
        <v xml:space="preserve">Paiements Sociaux </v>
      </c>
      <c r="AA63" s="16">
        <f t="shared" ref="AA63:AI64" si="131">SUMPRODUCT(($A$84:$A$730=$Y63&amp;"- "&amp;$Z63)*($C$84:$C$730=AA$1)*($G$84:$G$730))</f>
        <v>0</v>
      </c>
      <c r="AB63" s="16">
        <f t="shared" si="131"/>
        <v>0</v>
      </c>
      <c r="AC63" s="16">
        <f t="shared" si="131"/>
        <v>0</v>
      </c>
      <c r="AD63" s="16">
        <f t="shared" si="131"/>
        <v>0</v>
      </c>
      <c r="AE63" s="16">
        <f t="shared" si="131"/>
        <v>0</v>
      </c>
      <c r="AF63" s="16">
        <f t="shared" si="131"/>
        <v>0</v>
      </c>
      <c r="AG63" s="16">
        <f t="shared" si="131"/>
        <v>0</v>
      </c>
      <c r="AH63" s="16">
        <f t="shared" si="131"/>
        <v>0</v>
      </c>
      <c r="AI63" s="16">
        <f t="shared" si="131"/>
        <v>0</v>
      </c>
      <c r="AJ63" s="16">
        <f>SUM(AA63:AI63)</f>
        <v>0</v>
      </c>
      <c r="AL63" s="17">
        <f>+B65</f>
        <v>0</v>
      </c>
      <c r="AM63" s="26" t="str">
        <f>+C65</f>
        <v xml:space="preserve">Paiements Sociaux </v>
      </c>
      <c r="AN63" s="18">
        <f t="shared" ref="AN63:AU64" si="132">SUMPRODUCT(($J$84:$M$727=$AL63&amp;"- "&amp;$AM63)*($N$84:$N$727=AN$1)*($Q$84:$Q$727))</f>
        <v>0</v>
      </c>
      <c r="AO63" s="18">
        <f t="shared" si="132"/>
        <v>0</v>
      </c>
      <c r="AP63" s="18">
        <f t="shared" si="132"/>
        <v>0</v>
      </c>
      <c r="AQ63" s="18">
        <f t="shared" si="132"/>
        <v>0</v>
      </c>
      <c r="AR63" s="18">
        <f t="shared" si="132"/>
        <v>0</v>
      </c>
      <c r="AS63" s="18">
        <f t="shared" si="132"/>
        <v>0</v>
      </c>
      <c r="AT63" s="18">
        <f t="shared" si="132"/>
        <v>0</v>
      </c>
      <c r="AU63" s="18">
        <f t="shared" si="132"/>
        <v>0</v>
      </c>
      <c r="AV63" s="18">
        <f>SUM(AN63:AU63)</f>
        <v>0</v>
      </c>
      <c r="AW63" s="18"/>
      <c r="AX63" s="17">
        <f>B65</f>
        <v>0</v>
      </c>
      <c r="AY63" s="26" t="str">
        <f>C65</f>
        <v xml:space="preserve">Paiements Sociaux </v>
      </c>
      <c r="AZ63" s="18">
        <f t="shared" ref="AZ63:BK64" ca="1" si="133">SUMPRODUCT(($C$10:$C$75=$AY63)*($N$10:$N$75=AZ$1)*($M$10:$M$75))</f>
        <v>0</v>
      </c>
      <c r="BA63" s="18">
        <f t="shared" ca="1" si="133"/>
        <v>0</v>
      </c>
      <c r="BB63" s="18">
        <f t="shared" ca="1" si="133"/>
        <v>0</v>
      </c>
      <c r="BC63" s="18">
        <f t="shared" ca="1" si="133"/>
        <v>0</v>
      </c>
      <c r="BD63" s="18">
        <f t="shared" ca="1" si="133"/>
        <v>0</v>
      </c>
      <c r="BE63" s="18">
        <f t="shared" ca="1" si="133"/>
        <v>0</v>
      </c>
      <c r="BF63" s="18">
        <f t="shared" ca="1" si="133"/>
        <v>0</v>
      </c>
      <c r="BG63" s="18">
        <f t="shared" ca="1" si="133"/>
        <v>0</v>
      </c>
      <c r="BH63" s="18">
        <f t="shared" ca="1" si="133"/>
        <v>0</v>
      </c>
      <c r="BI63" s="18">
        <f t="shared" ca="1" si="133"/>
        <v>0</v>
      </c>
      <c r="BJ63" s="18">
        <f t="shared" ca="1" si="133"/>
        <v>0</v>
      </c>
      <c r="BK63" s="18">
        <f t="shared" ca="1" si="133"/>
        <v>0</v>
      </c>
    </row>
    <row r="64" spans="1:63">
      <c r="A64" s="80">
        <f t="shared" si="29"/>
        <v>45</v>
      </c>
      <c r="B64" s="64">
        <f>+'Taxes RCA 2022'!A57</f>
        <v>45</v>
      </c>
      <c r="C64" s="68" t="str">
        <f>+'Taxes RCA 2022'!B57</f>
        <v>Fonds de Soutien aux projets de Développement Communautaire</v>
      </c>
      <c r="E64" s="165"/>
      <c r="F64" s="165">
        <f>SUMIF($A$84:$A$730,B64&amp;"- "&amp;C64,$G$84:$G$730)</f>
        <v>0</v>
      </c>
      <c r="G64" s="165">
        <f>E64+F64</f>
        <v>0</v>
      </c>
      <c r="H64" s="114"/>
      <c r="I64" s="165"/>
      <c r="J64" s="165">
        <f ca="1">SUMIF($J$84:$M$728,B64&amp;"- "&amp;C64,$Q$84:$Q$728)</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1"/>
        <v>0</v>
      </c>
      <c r="AB64" s="16">
        <f t="shared" si="131"/>
        <v>0</v>
      </c>
      <c r="AC64" s="16">
        <f t="shared" si="131"/>
        <v>0</v>
      </c>
      <c r="AD64" s="16">
        <f t="shared" si="131"/>
        <v>0</v>
      </c>
      <c r="AE64" s="16">
        <f t="shared" si="131"/>
        <v>0</v>
      </c>
      <c r="AF64" s="16">
        <f t="shared" si="131"/>
        <v>0</v>
      </c>
      <c r="AG64" s="16">
        <f t="shared" si="131"/>
        <v>0</v>
      </c>
      <c r="AH64" s="16">
        <f t="shared" si="131"/>
        <v>0</v>
      </c>
      <c r="AI64" s="16">
        <f t="shared" si="131"/>
        <v>0</v>
      </c>
      <c r="AJ64" s="16">
        <f>SUM(AA64:AI64)</f>
        <v>0</v>
      </c>
      <c r="AL64" s="17">
        <f>+B66</f>
        <v>46</v>
      </c>
      <c r="AM64" s="26" t="str">
        <f>+C66</f>
        <v>Paiements sociaux obligatoires</v>
      </c>
      <c r="AN64" s="18">
        <f t="shared" si="132"/>
        <v>0</v>
      </c>
      <c r="AO64" s="18">
        <f t="shared" si="132"/>
        <v>0</v>
      </c>
      <c r="AP64" s="18">
        <f t="shared" si="132"/>
        <v>0</v>
      </c>
      <c r="AQ64" s="18">
        <f t="shared" si="132"/>
        <v>0</v>
      </c>
      <c r="AR64" s="18">
        <f t="shared" si="132"/>
        <v>0</v>
      </c>
      <c r="AS64" s="18">
        <f t="shared" si="132"/>
        <v>0</v>
      </c>
      <c r="AT64" s="18">
        <f t="shared" si="132"/>
        <v>0</v>
      </c>
      <c r="AU64" s="18">
        <f t="shared" si="132"/>
        <v>0</v>
      </c>
      <c r="AV64" s="18">
        <f>SUM(AN64:AU64)</f>
        <v>0</v>
      </c>
      <c r="AW64" s="38"/>
      <c r="AX64" s="17">
        <f>B66</f>
        <v>46</v>
      </c>
      <c r="AY64" s="26" t="str">
        <f>C66</f>
        <v>Paiements sociaux obligatoires</v>
      </c>
      <c r="AZ64" s="18">
        <f t="shared" ca="1" si="133"/>
        <v>0</v>
      </c>
      <c r="BA64" s="18">
        <f t="shared" ca="1" si="133"/>
        <v>0</v>
      </c>
      <c r="BB64" s="18">
        <f t="shared" ca="1" si="133"/>
        <v>0</v>
      </c>
      <c r="BC64" s="18">
        <f t="shared" ca="1" si="133"/>
        <v>0</v>
      </c>
      <c r="BD64" s="18">
        <f t="shared" ca="1" si="133"/>
        <v>0</v>
      </c>
      <c r="BE64" s="18">
        <f t="shared" ca="1" si="133"/>
        <v>0</v>
      </c>
      <c r="BF64" s="18">
        <f t="shared" ca="1" si="133"/>
        <v>0</v>
      </c>
      <c r="BG64" s="18">
        <f t="shared" ca="1" si="133"/>
        <v>0</v>
      </c>
      <c r="BH64" s="18">
        <f t="shared" ca="1" si="133"/>
        <v>0</v>
      </c>
      <c r="BI64" s="18">
        <f t="shared" ca="1" si="133"/>
        <v>0</v>
      </c>
      <c r="BJ64" s="18">
        <f t="shared" ca="1" si="133"/>
        <v>0</v>
      </c>
      <c r="BK64" s="18">
        <f t="shared" ca="1" si="133"/>
        <v>0</v>
      </c>
    </row>
    <row r="65" spans="1:64">
      <c r="A65" s="80">
        <f t="shared" si="29"/>
        <v>0</v>
      </c>
      <c r="B65" s="163"/>
      <c r="C65" s="58" t="str">
        <f>+'Taxes RCA 2022'!B58</f>
        <v xml:space="preserve">Paiements Sociaux </v>
      </c>
      <c r="E65" s="166">
        <f>+E67+E66</f>
        <v>0</v>
      </c>
      <c r="F65" s="166">
        <f t="shared" ref="F65:G65" si="134">+F67+F66</f>
        <v>0</v>
      </c>
      <c r="G65" s="166">
        <f t="shared" si="134"/>
        <v>0</v>
      </c>
      <c r="H65" s="114"/>
      <c r="I65" s="166">
        <f>+I67+I66</f>
        <v>0</v>
      </c>
      <c r="J65" s="166">
        <f t="shared" ref="J65" ca="1" si="135">+J67+J66</f>
        <v>0</v>
      </c>
      <c r="K65" s="166">
        <f t="shared" ref="K65" ca="1" si="136">+K67+K66</f>
        <v>0</v>
      </c>
      <c r="L65" s="114"/>
      <c r="M65" s="166">
        <f t="shared" ref="M65" ca="1" si="137">+M67+M66</f>
        <v>0</v>
      </c>
      <c r="N65" s="58"/>
      <c r="O65" s="38" t="str">
        <f t="shared" ca="1" si="46"/>
        <v/>
      </c>
      <c r="P65" s="39" t="str">
        <f ca="1">IF(O65="ERROR","Please insert comment","")</f>
        <v/>
      </c>
      <c r="Y65" s="15"/>
      <c r="Z65" s="25" t="str">
        <f t="shared" ref="Z65:Z73" si="138">C67</f>
        <v>Paiements sociaux volontaires</v>
      </c>
      <c r="AA65" s="16">
        <f>SUM(AA66:AA67)</f>
        <v>0</v>
      </c>
      <c r="AB65" s="16">
        <f t="shared" ref="AB65:AJ65" si="139">SUM(AB66:AB67)</f>
        <v>0</v>
      </c>
      <c r="AC65" s="16">
        <f t="shared" si="139"/>
        <v>0</v>
      </c>
      <c r="AD65" s="16">
        <f t="shared" si="139"/>
        <v>0</v>
      </c>
      <c r="AE65" s="16">
        <f t="shared" si="139"/>
        <v>0</v>
      </c>
      <c r="AF65" s="16">
        <f t="shared" si="139"/>
        <v>0</v>
      </c>
      <c r="AG65" s="16">
        <f t="shared" si="139"/>
        <v>0</v>
      </c>
      <c r="AH65" s="16">
        <f t="shared" si="139"/>
        <v>0</v>
      </c>
      <c r="AI65" s="16">
        <f t="shared" si="139"/>
        <v>0</v>
      </c>
      <c r="AJ65" s="16">
        <f t="shared" si="139"/>
        <v>0</v>
      </c>
      <c r="AL65" s="17"/>
      <c r="AM65" s="26" t="str">
        <f t="shared" ref="AM65:AM73" si="140">+C67</f>
        <v>Paiements sociaux volontaires</v>
      </c>
      <c r="AN65" s="18">
        <f>SUM(AN66:AN67)</f>
        <v>0</v>
      </c>
      <c r="AO65" s="18">
        <f t="shared" ref="AO65:AV65" si="141">SUM(AO66:AO67)</f>
        <v>0</v>
      </c>
      <c r="AP65" s="18">
        <f t="shared" si="141"/>
        <v>0</v>
      </c>
      <c r="AQ65" s="18">
        <f t="shared" si="141"/>
        <v>0</v>
      </c>
      <c r="AR65" s="18">
        <f t="shared" si="141"/>
        <v>0</v>
      </c>
      <c r="AS65" s="18">
        <f t="shared" si="141"/>
        <v>0</v>
      </c>
      <c r="AT65" s="18">
        <f t="shared" si="141"/>
        <v>0</v>
      </c>
      <c r="AU65" s="18">
        <f t="shared" si="141"/>
        <v>0</v>
      </c>
      <c r="AV65" s="18">
        <f t="shared" si="141"/>
        <v>0</v>
      </c>
      <c r="AW65" s="18"/>
      <c r="AX65" s="17"/>
      <c r="AY65" s="26" t="str">
        <f t="shared" ref="AY65:AY73" si="142">C67</f>
        <v>Paiements sociaux volontaires</v>
      </c>
      <c r="AZ65" s="18">
        <f ca="1">SUM(AZ66:AZ67)</f>
        <v>0</v>
      </c>
      <c r="BA65" s="18">
        <f t="shared" ref="BA65:BK65" ca="1" si="143">SUM(BA66:BA67)</f>
        <v>0</v>
      </c>
      <c r="BB65" s="18">
        <f t="shared" ca="1" si="143"/>
        <v>0</v>
      </c>
      <c r="BC65" s="18">
        <f t="shared" ca="1" si="143"/>
        <v>0</v>
      </c>
      <c r="BD65" s="18">
        <f t="shared" ca="1" si="143"/>
        <v>0</v>
      </c>
      <c r="BE65" s="18">
        <f t="shared" ca="1" si="143"/>
        <v>0</v>
      </c>
      <c r="BF65" s="18">
        <f t="shared" ca="1" si="143"/>
        <v>0</v>
      </c>
      <c r="BG65" s="18">
        <f t="shared" ca="1" si="143"/>
        <v>0</v>
      </c>
      <c r="BH65" s="18">
        <f t="shared" ca="1" si="143"/>
        <v>0</v>
      </c>
      <c r="BI65" s="18">
        <f t="shared" ca="1" si="143"/>
        <v>0</v>
      </c>
      <c r="BJ65" s="18">
        <f t="shared" ca="1" si="143"/>
        <v>0</v>
      </c>
      <c r="BK65" s="18">
        <f t="shared" ca="1" si="143"/>
        <v>0</v>
      </c>
    </row>
    <row r="66" spans="1:64">
      <c r="A66" s="80">
        <f t="shared" si="29"/>
        <v>46</v>
      </c>
      <c r="B66" s="53">
        <f>+'Taxes RCA 2022'!A59</f>
        <v>46</v>
      </c>
      <c r="C66" s="18" t="str">
        <f>+'Taxes RCA 2022'!B59</f>
        <v>Paiements sociaux obligatoires</v>
      </c>
      <c r="E66" s="114"/>
      <c r="F66" s="114">
        <f>SUMIF($A$84:$A$730,B66&amp;"- "&amp;C66,$G$84:$G$730)</f>
        <v>0</v>
      </c>
      <c r="G66" s="114">
        <f>E66+F66</f>
        <v>0</v>
      </c>
      <c r="H66" s="114"/>
      <c r="I66" s="114"/>
      <c r="J66" s="114">
        <f ca="1">SUMIF($J$84:$M$728,B66&amp;"- "&amp;C66,$Q$84:$Q$728)</f>
        <v>0</v>
      </c>
      <c r="K66" s="114">
        <f ca="1">I66+J66</f>
        <v>0</v>
      </c>
      <c r="L66" s="114"/>
      <c r="M66" s="114">
        <f ca="1">+G66-K66</f>
        <v>0</v>
      </c>
      <c r="N66" s="18"/>
      <c r="O66" s="38" t="str">
        <f t="shared" ca="1" si="46"/>
        <v/>
      </c>
      <c r="P66" s="39" t="str">
        <f ca="1">IF(O66="ERROR","Please insert comment","")</f>
        <v/>
      </c>
      <c r="Y66" s="15">
        <f>B68</f>
        <v>0</v>
      </c>
      <c r="Z66" s="25" t="str">
        <f t="shared" si="138"/>
        <v>Paiements environnementaux - DGTCP (FNE)</v>
      </c>
      <c r="AA66" s="16">
        <f t="shared" ref="AA66:AI67" si="144">SUMPRODUCT(($A$84:$A$730=$Y66&amp;"- "&amp;$Z66)*($C$84:$C$730=AA$1)*($G$84:$G$730))</f>
        <v>0</v>
      </c>
      <c r="AB66" s="16">
        <f t="shared" si="144"/>
        <v>0</v>
      </c>
      <c r="AC66" s="16">
        <f t="shared" si="144"/>
        <v>0</v>
      </c>
      <c r="AD66" s="16">
        <f t="shared" si="144"/>
        <v>0</v>
      </c>
      <c r="AE66" s="16">
        <f t="shared" si="144"/>
        <v>0</v>
      </c>
      <c r="AF66" s="16">
        <f t="shared" si="144"/>
        <v>0</v>
      </c>
      <c r="AG66" s="16">
        <f t="shared" si="144"/>
        <v>0</v>
      </c>
      <c r="AH66" s="16">
        <f t="shared" si="144"/>
        <v>0</v>
      </c>
      <c r="AI66" s="16">
        <f t="shared" si="144"/>
        <v>0</v>
      </c>
      <c r="AJ66" s="16">
        <f>SUM(AA66:AI66)</f>
        <v>0</v>
      </c>
      <c r="AL66" s="17">
        <f>+B68</f>
        <v>0</v>
      </c>
      <c r="AM66" s="26" t="str">
        <f t="shared" si="140"/>
        <v>Paiements environnementaux - DGTCP (FNE)</v>
      </c>
      <c r="AN66" s="18">
        <f t="shared" ref="AN66:AU67" si="145">SUMPRODUCT(($J$84:$M$727=$AL66&amp;"- "&amp;$AM66)*($N$84:$N$727=AN$1)*($Q$84:$Q$727))</f>
        <v>0</v>
      </c>
      <c r="AO66" s="18">
        <f t="shared" si="145"/>
        <v>0</v>
      </c>
      <c r="AP66" s="18">
        <f t="shared" si="145"/>
        <v>0</v>
      </c>
      <c r="AQ66" s="18">
        <f t="shared" si="145"/>
        <v>0</v>
      </c>
      <c r="AR66" s="18">
        <f t="shared" si="145"/>
        <v>0</v>
      </c>
      <c r="AS66" s="18">
        <f t="shared" si="145"/>
        <v>0</v>
      </c>
      <c r="AT66" s="18">
        <f t="shared" si="145"/>
        <v>0</v>
      </c>
      <c r="AU66" s="18">
        <f t="shared" si="145"/>
        <v>0</v>
      </c>
      <c r="AV66" s="18">
        <f>SUM(AN66:AU66)</f>
        <v>0</v>
      </c>
      <c r="AW66" s="18"/>
      <c r="AX66" s="17">
        <f>B68</f>
        <v>0</v>
      </c>
      <c r="AY66" s="26" t="str">
        <f t="shared" si="142"/>
        <v>Paiements environnementaux - DGTCP (FNE)</v>
      </c>
      <c r="AZ66" s="18">
        <f t="shared" ref="AZ66:BK67" ca="1" si="146">SUMPRODUCT(($C$10:$C$75=$AY66)*($N$10:$N$75=AZ$1)*($M$10:$M$75))</f>
        <v>0</v>
      </c>
      <c r="BA66" s="18">
        <f t="shared" ca="1" si="146"/>
        <v>0</v>
      </c>
      <c r="BB66" s="18">
        <f t="shared" ca="1" si="146"/>
        <v>0</v>
      </c>
      <c r="BC66" s="18">
        <f t="shared" ca="1" si="146"/>
        <v>0</v>
      </c>
      <c r="BD66" s="18">
        <f t="shared" ca="1" si="146"/>
        <v>0</v>
      </c>
      <c r="BE66" s="18">
        <f t="shared" ca="1" si="146"/>
        <v>0</v>
      </c>
      <c r="BF66" s="18">
        <f t="shared" ca="1" si="146"/>
        <v>0</v>
      </c>
      <c r="BG66" s="18">
        <f t="shared" ca="1" si="146"/>
        <v>0</v>
      </c>
      <c r="BH66" s="18">
        <f t="shared" ca="1" si="146"/>
        <v>0</v>
      </c>
      <c r="BI66" s="18">
        <f t="shared" ca="1" si="146"/>
        <v>0</v>
      </c>
      <c r="BJ66" s="18">
        <f t="shared" ca="1" si="146"/>
        <v>0</v>
      </c>
      <c r="BK66" s="18">
        <f t="shared" ca="1" si="146"/>
        <v>0</v>
      </c>
    </row>
    <row r="67" spans="1:64">
      <c r="A67" s="80"/>
      <c r="B67" s="64">
        <f>+'Taxes RCA 2022'!A60</f>
        <v>47</v>
      </c>
      <c r="C67" s="68" t="str">
        <f>+'Taxes RCA 2022'!B60</f>
        <v>Paiements sociaux volontaires</v>
      </c>
      <c r="E67" s="165"/>
      <c r="F67" s="165">
        <f>SUMIF($A$84:$A$730,B67&amp;"- "&amp;C67,$G$84:$G$730)</f>
        <v>0</v>
      </c>
      <c r="G67" s="165">
        <f>E67+F67</f>
        <v>0</v>
      </c>
      <c r="H67" s="114"/>
      <c r="I67" s="165"/>
      <c r="J67" s="165">
        <f ca="1">SUMIF($J$84:$M$728,B67&amp;"- "&amp;C67,$Q$84:$Q$728)</f>
        <v>0</v>
      </c>
      <c r="K67" s="165">
        <f ca="1">I67+J67</f>
        <v>0</v>
      </c>
      <c r="L67" s="114"/>
      <c r="M67" s="165">
        <f ca="1">+G67-K67</f>
        <v>0</v>
      </c>
      <c r="N67" s="68"/>
      <c r="O67" s="38"/>
      <c r="P67" s="39"/>
      <c r="Y67" s="15">
        <f>B69</f>
        <v>48</v>
      </c>
      <c r="Z67" s="25" t="str">
        <f t="shared" si="138"/>
        <v>Taxes sur les appareils à pression de vapeur et de gaz (+)</v>
      </c>
      <c r="AA67" s="16">
        <f t="shared" si="144"/>
        <v>0</v>
      </c>
      <c r="AB67" s="16">
        <f t="shared" si="144"/>
        <v>0</v>
      </c>
      <c r="AC67" s="16">
        <f t="shared" si="144"/>
        <v>0</v>
      </c>
      <c r="AD67" s="16">
        <f t="shared" si="144"/>
        <v>0</v>
      </c>
      <c r="AE67" s="16">
        <f t="shared" si="144"/>
        <v>0</v>
      </c>
      <c r="AF67" s="16">
        <f t="shared" si="144"/>
        <v>0</v>
      </c>
      <c r="AG67" s="16">
        <f t="shared" si="144"/>
        <v>0</v>
      </c>
      <c r="AH67" s="16">
        <f t="shared" si="144"/>
        <v>0</v>
      </c>
      <c r="AI67" s="16">
        <f t="shared" si="144"/>
        <v>0</v>
      </c>
      <c r="AJ67" s="16">
        <f>SUM(AA67:AI67)</f>
        <v>0</v>
      </c>
      <c r="AL67" s="17">
        <f>+B69</f>
        <v>48</v>
      </c>
      <c r="AM67" s="26" t="str">
        <f t="shared" si="140"/>
        <v>Taxes sur les appareils à pression de vapeur et de gaz (+)</v>
      </c>
      <c r="AN67" s="18">
        <f t="shared" si="145"/>
        <v>0</v>
      </c>
      <c r="AO67" s="18">
        <f t="shared" si="145"/>
        <v>0</v>
      </c>
      <c r="AP67" s="18">
        <f t="shared" si="145"/>
        <v>0</v>
      </c>
      <c r="AQ67" s="18">
        <f t="shared" si="145"/>
        <v>0</v>
      </c>
      <c r="AR67" s="18">
        <f t="shared" si="145"/>
        <v>0</v>
      </c>
      <c r="AS67" s="18">
        <f t="shared" si="145"/>
        <v>0</v>
      </c>
      <c r="AT67" s="18">
        <f t="shared" si="145"/>
        <v>0</v>
      </c>
      <c r="AU67" s="18">
        <f t="shared" si="145"/>
        <v>0</v>
      </c>
      <c r="AV67" s="18">
        <f>SUM(AN67:AU67)</f>
        <v>0</v>
      </c>
      <c r="AW67" s="18"/>
      <c r="AX67" s="17">
        <f>B69</f>
        <v>48</v>
      </c>
      <c r="AY67" s="26" t="str">
        <f t="shared" si="142"/>
        <v>Taxes sur les appareils à pression de vapeur et de gaz (+)</v>
      </c>
      <c r="AZ67" s="18">
        <f t="shared" ca="1" si="146"/>
        <v>0</v>
      </c>
      <c r="BA67" s="18">
        <f t="shared" ca="1" si="146"/>
        <v>0</v>
      </c>
      <c r="BB67" s="18">
        <f t="shared" ca="1" si="146"/>
        <v>0</v>
      </c>
      <c r="BC67" s="18">
        <f t="shared" ca="1" si="146"/>
        <v>0</v>
      </c>
      <c r="BD67" s="18">
        <f t="shared" ca="1" si="146"/>
        <v>0</v>
      </c>
      <c r="BE67" s="18">
        <f t="shared" ca="1" si="146"/>
        <v>0</v>
      </c>
      <c r="BF67" s="18">
        <f t="shared" ca="1" si="146"/>
        <v>0</v>
      </c>
      <c r="BG67" s="18">
        <f t="shared" ca="1" si="146"/>
        <v>0</v>
      </c>
      <c r="BH67" s="18">
        <f t="shared" ca="1" si="146"/>
        <v>0</v>
      </c>
      <c r="BI67" s="18">
        <f t="shared" ca="1" si="146"/>
        <v>0</v>
      </c>
      <c r="BJ67" s="18">
        <f t="shared" ca="1" si="146"/>
        <v>0</v>
      </c>
      <c r="BK67" s="18">
        <f t="shared" ca="1" si="146"/>
        <v>0</v>
      </c>
    </row>
    <row r="68" spans="1:64">
      <c r="A68" s="80"/>
      <c r="B68" s="163"/>
      <c r="C68" s="58" t="str">
        <f>+'Taxes RCA 2022'!B61</f>
        <v>Paiements environnementaux - DGTCP (FNE)</v>
      </c>
      <c r="E68" s="166">
        <f>SUM(E69:E76)</f>
        <v>0</v>
      </c>
      <c r="F68" s="166">
        <f t="shared" ref="F68:G68" si="147">SUM(F69:F76)</f>
        <v>0</v>
      </c>
      <c r="G68" s="166">
        <f t="shared" si="147"/>
        <v>0</v>
      </c>
      <c r="H68" s="114"/>
      <c r="I68" s="166">
        <f>SUM(I69:I76)</f>
        <v>0</v>
      </c>
      <c r="J68" s="166">
        <f t="shared" ref="J68" ca="1" si="148">SUM(J69:J76)</f>
        <v>0</v>
      </c>
      <c r="K68" s="166">
        <f t="shared" ref="K68" ca="1" si="149">SUM(K69:K76)</f>
        <v>0</v>
      </c>
      <c r="L68" s="114"/>
      <c r="M68" s="166">
        <f t="shared" ref="M68" ca="1" si="150">SUM(M69:M76)</f>
        <v>0</v>
      </c>
      <c r="N68" s="58"/>
      <c r="O68" s="38"/>
      <c r="P68" s="39"/>
      <c r="Y68" s="28"/>
      <c r="Z68" s="28" t="str">
        <f t="shared" si="138"/>
        <v>Taxes à la pollution (+)</v>
      </c>
      <c r="AA68" s="29">
        <f>SUM(AA69:AA69)</f>
        <v>0</v>
      </c>
      <c r="AB68" s="29">
        <f t="shared" ref="AB68:AJ68" si="151">SUM(AB69:AB69)</f>
        <v>0</v>
      </c>
      <c r="AC68" s="29">
        <f t="shared" si="151"/>
        <v>0</v>
      </c>
      <c r="AD68" s="29">
        <f t="shared" si="151"/>
        <v>0</v>
      </c>
      <c r="AE68" s="29">
        <f t="shared" si="151"/>
        <v>0</v>
      </c>
      <c r="AF68" s="29">
        <f t="shared" si="151"/>
        <v>0</v>
      </c>
      <c r="AG68" s="29">
        <f t="shared" si="151"/>
        <v>0</v>
      </c>
      <c r="AH68" s="29">
        <f t="shared" si="151"/>
        <v>0</v>
      </c>
      <c r="AI68" s="29">
        <f t="shared" si="151"/>
        <v>0</v>
      </c>
      <c r="AJ68" s="29">
        <f t="shared" si="151"/>
        <v>0</v>
      </c>
      <c r="AL68" s="28"/>
      <c r="AM68" s="28" t="str">
        <f t="shared" si="140"/>
        <v>Taxes à la pollution (+)</v>
      </c>
      <c r="AN68" s="29">
        <f t="shared" ref="AN68:AV68" si="152">SUM(AN69:AN70)</f>
        <v>0</v>
      </c>
      <c r="AO68" s="29">
        <f t="shared" si="152"/>
        <v>0</v>
      </c>
      <c r="AP68" s="29">
        <f t="shared" si="152"/>
        <v>0</v>
      </c>
      <c r="AQ68" s="29">
        <f t="shared" si="152"/>
        <v>0</v>
      </c>
      <c r="AR68" s="29">
        <f t="shared" si="152"/>
        <v>0</v>
      </c>
      <c r="AS68" s="29">
        <f t="shared" si="152"/>
        <v>0</v>
      </c>
      <c r="AT68" s="29">
        <f t="shared" si="152"/>
        <v>0</v>
      </c>
      <c r="AU68" s="29">
        <f t="shared" si="152"/>
        <v>0</v>
      </c>
      <c r="AV68" s="29">
        <f t="shared" si="152"/>
        <v>0</v>
      </c>
      <c r="AW68" s="38"/>
      <c r="AX68" s="28"/>
      <c r="AY68" s="28" t="str">
        <f t="shared" si="142"/>
        <v>Taxes à la pollution (+)</v>
      </c>
      <c r="AZ68" s="29">
        <f t="shared" ref="AZ68:BK68" ca="1" si="153">SUM(AZ69:AZ70)</f>
        <v>0</v>
      </c>
      <c r="BA68" s="29">
        <f t="shared" ca="1" si="153"/>
        <v>0</v>
      </c>
      <c r="BB68" s="29">
        <f t="shared" ca="1" si="153"/>
        <v>0</v>
      </c>
      <c r="BC68" s="29">
        <f t="shared" ca="1" si="153"/>
        <v>0</v>
      </c>
      <c r="BD68" s="29">
        <f t="shared" ca="1" si="153"/>
        <v>0</v>
      </c>
      <c r="BE68" s="29">
        <f t="shared" ca="1" si="153"/>
        <v>0</v>
      </c>
      <c r="BF68" s="29">
        <f t="shared" ca="1" si="153"/>
        <v>0</v>
      </c>
      <c r="BG68" s="29">
        <f t="shared" ca="1" si="153"/>
        <v>0</v>
      </c>
      <c r="BH68" s="29">
        <f t="shared" ca="1" si="153"/>
        <v>0</v>
      </c>
      <c r="BI68" s="29">
        <f t="shared" ca="1" si="153"/>
        <v>0</v>
      </c>
      <c r="BJ68" s="29">
        <f t="shared" ca="1" si="153"/>
        <v>0</v>
      </c>
      <c r="BK68" s="29">
        <f t="shared" ca="1" si="153"/>
        <v>0</v>
      </c>
    </row>
    <row r="69" spans="1:64">
      <c r="A69" s="80"/>
      <c r="B69" s="53">
        <f>+'Taxes RCA 2022'!A62</f>
        <v>48</v>
      </c>
      <c r="C69" s="18" t="str">
        <f>+'Taxes RCA 2022'!B62</f>
        <v>Taxes sur les appareils à pression de vapeur et de gaz (+)</v>
      </c>
      <c r="E69" s="114"/>
      <c r="F69" s="114">
        <f t="shared" ref="F69:F76" si="154">SUMIF($A$84:$A$730,B69&amp;"- "&amp;C69,$G$84:$G$730)</f>
        <v>0</v>
      </c>
      <c r="G69" s="114">
        <f t="shared" ref="G69:G76" si="155">E69+F69</f>
        <v>0</v>
      </c>
      <c r="H69" s="114"/>
      <c r="I69" s="114"/>
      <c r="J69" s="114">
        <f t="shared" ref="J69:J76" ca="1" si="156">SUMIF($J$84:$M$728,B69&amp;"- "&amp;C69,$Q$84:$Q$728)</f>
        <v>0</v>
      </c>
      <c r="K69" s="114">
        <f t="shared" ref="K69:K76" ca="1" si="157">I69+J69</f>
        <v>0</v>
      </c>
      <c r="L69" s="114"/>
      <c r="M69" s="114">
        <f t="shared" ref="M69:M76" ca="1" si="158">+G69-K69</f>
        <v>0</v>
      </c>
      <c r="N69" s="18"/>
      <c r="O69" s="38"/>
      <c r="P69" s="39"/>
      <c r="Y69" s="15">
        <f>B71</f>
        <v>50</v>
      </c>
      <c r="Z69" s="25" t="str">
        <f t="shared" si="138"/>
        <v>Redevances annuelles résultant des inspections et contrôle des installations classées (+)</v>
      </c>
      <c r="AA69" s="16">
        <f t="shared" ref="AA69:AI69" si="159">SUMPRODUCT(($A$84:$A$730=$Y69&amp;"- "&amp;$Z69)*($C$84:$C$730=AA$1)*($G$84:$G$730))</f>
        <v>0</v>
      </c>
      <c r="AB69" s="16">
        <f t="shared" si="159"/>
        <v>0</v>
      </c>
      <c r="AC69" s="16">
        <f t="shared" si="159"/>
        <v>0</v>
      </c>
      <c r="AD69" s="16">
        <f t="shared" si="159"/>
        <v>0</v>
      </c>
      <c r="AE69" s="16">
        <f t="shared" si="159"/>
        <v>0</v>
      </c>
      <c r="AF69" s="16">
        <f t="shared" si="159"/>
        <v>0</v>
      </c>
      <c r="AG69" s="16">
        <f t="shared" si="159"/>
        <v>0</v>
      </c>
      <c r="AH69" s="16">
        <f t="shared" si="159"/>
        <v>0</v>
      </c>
      <c r="AI69" s="16">
        <f t="shared" si="159"/>
        <v>0</v>
      </c>
      <c r="AJ69" s="16">
        <f>SUM(AA69:AI69)</f>
        <v>0</v>
      </c>
      <c r="AL69" s="17">
        <f>+B71</f>
        <v>50</v>
      </c>
      <c r="AM69" s="26" t="str">
        <f t="shared" si="140"/>
        <v>Redevances annuelles résultant des inspections et contrôle des installations classées (+)</v>
      </c>
      <c r="AN69" s="18">
        <f t="shared" ref="AN69:AU69" si="160">SUMPRODUCT(($J$84:$M$727=$AL69&amp;"- "&amp;$AM69)*($N$84:$N$727=AN$1)*($Q$84:$Q$727))</f>
        <v>0</v>
      </c>
      <c r="AO69" s="18">
        <f t="shared" si="160"/>
        <v>0</v>
      </c>
      <c r="AP69" s="18">
        <f t="shared" si="160"/>
        <v>0</v>
      </c>
      <c r="AQ69" s="18">
        <f t="shared" si="160"/>
        <v>0</v>
      </c>
      <c r="AR69" s="18">
        <f t="shared" si="160"/>
        <v>0</v>
      </c>
      <c r="AS69" s="18">
        <f t="shared" si="160"/>
        <v>0</v>
      </c>
      <c r="AT69" s="18">
        <f t="shared" si="160"/>
        <v>0</v>
      </c>
      <c r="AU69" s="18">
        <f t="shared" si="160"/>
        <v>0</v>
      </c>
      <c r="AV69" s="18">
        <f>SUM(AN69:AU69)</f>
        <v>0</v>
      </c>
      <c r="AW69" s="18"/>
      <c r="AX69" s="17">
        <f>B71</f>
        <v>50</v>
      </c>
      <c r="AY69" s="26" t="str">
        <f t="shared" si="142"/>
        <v>Redevances annuelles résultant des inspections et contrôle des installations classées (+)</v>
      </c>
      <c r="AZ69" s="18">
        <f t="shared" ref="AZ69:BK69" ca="1" si="161">SUMPRODUCT(($C$10:$C$75=$AY69)*($N$10:$N$75=AZ$1)*($M$10:$M$75))</f>
        <v>0</v>
      </c>
      <c r="BA69" s="18">
        <f t="shared" ca="1" si="161"/>
        <v>0</v>
      </c>
      <c r="BB69" s="18">
        <f t="shared" ca="1" si="161"/>
        <v>0</v>
      </c>
      <c r="BC69" s="18">
        <f t="shared" ca="1" si="161"/>
        <v>0</v>
      </c>
      <c r="BD69" s="18">
        <f t="shared" ca="1" si="161"/>
        <v>0</v>
      </c>
      <c r="BE69" s="18">
        <f t="shared" ca="1" si="161"/>
        <v>0</v>
      </c>
      <c r="BF69" s="18">
        <f t="shared" ca="1" si="161"/>
        <v>0</v>
      </c>
      <c r="BG69" s="18">
        <f t="shared" ca="1" si="161"/>
        <v>0</v>
      </c>
      <c r="BH69" s="18">
        <f t="shared" ca="1" si="161"/>
        <v>0</v>
      </c>
      <c r="BI69" s="18">
        <f t="shared" ca="1" si="161"/>
        <v>0</v>
      </c>
      <c r="BJ69" s="18">
        <f t="shared" ca="1" si="161"/>
        <v>0</v>
      </c>
      <c r="BK69" s="18">
        <f t="shared" ca="1" si="161"/>
        <v>0</v>
      </c>
    </row>
    <row r="70" spans="1:64">
      <c r="A70" s="80">
        <f t="shared" si="29"/>
        <v>49</v>
      </c>
      <c r="B70" s="64">
        <f>+'Taxes RCA 2022'!A63</f>
        <v>49</v>
      </c>
      <c r="C70" s="68" t="str">
        <f>+'Taxes RCA 2022'!B63</f>
        <v>Taxes à la pollution (+)</v>
      </c>
      <c r="E70" s="165"/>
      <c r="F70" s="165">
        <f t="shared" si="154"/>
        <v>0</v>
      </c>
      <c r="G70" s="165">
        <f t="shared" si="155"/>
        <v>0</v>
      </c>
      <c r="H70" s="114"/>
      <c r="I70" s="165"/>
      <c r="J70" s="165">
        <f t="shared" ca="1" si="156"/>
        <v>0</v>
      </c>
      <c r="K70" s="165">
        <f t="shared" ca="1" si="157"/>
        <v>0</v>
      </c>
      <c r="L70" s="114"/>
      <c r="M70" s="165">
        <f t="shared" ca="1" si="158"/>
        <v>0</v>
      </c>
      <c r="N70" s="68"/>
      <c r="O70" s="38" t="str">
        <f t="shared" ca="1" si="46"/>
        <v/>
      </c>
      <c r="P70" s="39"/>
      <c r="Y70" s="15"/>
      <c r="Z70" s="25" t="str">
        <f t="shared" si="138"/>
        <v>Taxes superficiaires encaissées par le FNE (+)</v>
      </c>
      <c r="AA70" s="16">
        <f t="shared" ref="AA70:AJ70" si="162">SUM(AA71:AA71)</f>
        <v>0</v>
      </c>
      <c r="AB70" s="16">
        <f t="shared" si="162"/>
        <v>0</v>
      </c>
      <c r="AC70" s="16">
        <f t="shared" si="162"/>
        <v>0</v>
      </c>
      <c r="AD70" s="16">
        <f t="shared" si="162"/>
        <v>0</v>
      </c>
      <c r="AE70" s="16">
        <f t="shared" si="162"/>
        <v>0</v>
      </c>
      <c r="AF70" s="16">
        <f t="shared" si="162"/>
        <v>0</v>
      </c>
      <c r="AG70" s="16">
        <f t="shared" si="162"/>
        <v>0</v>
      </c>
      <c r="AH70" s="16">
        <f t="shared" si="162"/>
        <v>0</v>
      </c>
      <c r="AI70" s="16">
        <f t="shared" si="162"/>
        <v>0</v>
      </c>
      <c r="AJ70" s="16">
        <f t="shared" si="162"/>
        <v>0</v>
      </c>
      <c r="AL70" s="17"/>
      <c r="AM70" s="26" t="str">
        <f t="shared" si="140"/>
        <v>Taxes superficiaires encaissées par le FNE (+)</v>
      </c>
      <c r="AN70" s="18">
        <f t="shared" ref="AN70:AU70" si="163">SUM(AN71:AN71)</f>
        <v>0</v>
      </c>
      <c r="AO70" s="18">
        <f t="shared" si="163"/>
        <v>0</v>
      </c>
      <c r="AP70" s="18">
        <f t="shared" si="163"/>
        <v>0</v>
      </c>
      <c r="AQ70" s="18">
        <f t="shared" si="163"/>
        <v>0</v>
      </c>
      <c r="AR70" s="18">
        <f t="shared" si="163"/>
        <v>0</v>
      </c>
      <c r="AS70" s="18">
        <f t="shared" si="163"/>
        <v>0</v>
      </c>
      <c r="AT70" s="18">
        <f t="shared" si="163"/>
        <v>0</v>
      </c>
      <c r="AU70" s="18">
        <f t="shared" si="163"/>
        <v>0</v>
      </c>
      <c r="AV70" s="18">
        <f>SUM(AV71:AV71)</f>
        <v>0</v>
      </c>
      <c r="AW70" s="18"/>
      <c r="AX70" s="17"/>
      <c r="AY70" s="26" t="str">
        <f t="shared" si="142"/>
        <v>Taxes superficiaires encaissées par le FNE (+)</v>
      </c>
      <c r="AZ70" s="18">
        <f t="shared" ref="AZ70:BK70" ca="1" si="164">SUM(AZ71:AZ71)</f>
        <v>0</v>
      </c>
      <c r="BA70" s="18">
        <f t="shared" ca="1" si="164"/>
        <v>0</v>
      </c>
      <c r="BB70" s="18">
        <f t="shared" ca="1" si="164"/>
        <v>0</v>
      </c>
      <c r="BC70" s="18">
        <f t="shared" ca="1" si="164"/>
        <v>0</v>
      </c>
      <c r="BD70" s="18">
        <f t="shared" ca="1" si="164"/>
        <v>0</v>
      </c>
      <c r="BE70" s="18">
        <f t="shared" ca="1" si="164"/>
        <v>0</v>
      </c>
      <c r="BF70" s="18">
        <f t="shared" ca="1" si="164"/>
        <v>0</v>
      </c>
      <c r="BG70" s="18">
        <f t="shared" ca="1" si="164"/>
        <v>0</v>
      </c>
      <c r="BH70" s="18">
        <f t="shared" ca="1" si="164"/>
        <v>0</v>
      </c>
      <c r="BI70" s="18">
        <f t="shared" ca="1" si="164"/>
        <v>0</v>
      </c>
      <c r="BJ70" s="18">
        <f t="shared" ca="1" si="164"/>
        <v>0</v>
      </c>
      <c r="BK70" s="18">
        <f t="shared" ca="1" si="164"/>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4"/>
        <v>0</v>
      </c>
      <c r="G71" s="114">
        <f t="shared" si="155"/>
        <v>0</v>
      </c>
      <c r="H71" s="114"/>
      <c r="I71" s="114"/>
      <c r="J71" s="114">
        <f t="shared" ca="1" si="156"/>
        <v>0</v>
      </c>
      <c r="K71" s="114">
        <f t="shared" ca="1" si="157"/>
        <v>0</v>
      </c>
      <c r="L71" s="114"/>
      <c r="M71" s="114">
        <f t="shared" ca="1" si="158"/>
        <v>0</v>
      </c>
      <c r="N71" s="18"/>
      <c r="O71" s="38" t="str">
        <f t="shared" ca="1" si="46"/>
        <v/>
      </c>
      <c r="P71" s="39" t="str">
        <f ca="1">IF(O71="ERROR","Please insert comment","")</f>
        <v/>
      </c>
      <c r="Y71" s="15">
        <f>B73</f>
        <v>52</v>
      </c>
      <c r="Z71" s="25" t="str">
        <f t="shared" si="138"/>
        <v>Taxes de remise en état (+)</v>
      </c>
      <c r="AA71" s="16">
        <f t="shared" ref="AA71:AI73" si="165">SUMPRODUCT(($A$84:$A$730=$Y71&amp;"- "&amp;$Z71)*($C$84:$C$730=AA$1)*($G$84:$G$730))</f>
        <v>0</v>
      </c>
      <c r="AB71" s="16">
        <f t="shared" si="165"/>
        <v>0</v>
      </c>
      <c r="AC71" s="16">
        <f t="shared" si="165"/>
        <v>0</v>
      </c>
      <c r="AD71" s="16">
        <f t="shared" si="165"/>
        <v>0</v>
      </c>
      <c r="AE71" s="16">
        <f t="shared" si="165"/>
        <v>0</v>
      </c>
      <c r="AF71" s="16">
        <f t="shared" si="165"/>
        <v>0</v>
      </c>
      <c r="AG71" s="16">
        <f t="shared" si="165"/>
        <v>0</v>
      </c>
      <c r="AH71" s="16">
        <f t="shared" si="165"/>
        <v>0</v>
      </c>
      <c r="AI71" s="16">
        <f t="shared" si="165"/>
        <v>0</v>
      </c>
      <c r="AJ71" s="16">
        <f>SUM(AA71:AI71)</f>
        <v>0</v>
      </c>
      <c r="AL71" s="17">
        <f>+B73</f>
        <v>52</v>
      </c>
      <c r="AM71" s="26" t="str">
        <f t="shared" si="140"/>
        <v>Taxes de remise en état (+)</v>
      </c>
      <c r="AN71" s="18">
        <f t="shared" ref="AN71:AU71" si="166">SUMPRODUCT(($J$84:$M$727=$AL71&amp;"- "&amp;$AM71)*($N$84:$N$727=AN$1)*($Q$84:$Q$727))</f>
        <v>0</v>
      </c>
      <c r="AO71" s="18">
        <f t="shared" si="166"/>
        <v>0</v>
      </c>
      <c r="AP71" s="18">
        <f t="shared" si="166"/>
        <v>0</v>
      </c>
      <c r="AQ71" s="18">
        <f t="shared" si="166"/>
        <v>0</v>
      </c>
      <c r="AR71" s="18">
        <f t="shared" si="166"/>
        <v>0</v>
      </c>
      <c r="AS71" s="18">
        <f t="shared" si="166"/>
        <v>0</v>
      </c>
      <c r="AT71" s="18">
        <f t="shared" si="166"/>
        <v>0</v>
      </c>
      <c r="AU71" s="18">
        <f t="shared" si="166"/>
        <v>0</v>
      </c>
      <c r="AV71" s="18">
        <f>SUM(AN71:AU71)</f>
        <v>0</v>
      </c>
      <c r="AW71" s="18"/>
      <c r="AX71" s="17">
        <f>B73</f>
        <v>52</v>
      </c>
      <c r="AY71" s="26" t="str">
        <f t="shared" si="142"/>
        <v>Taxes de remise en état (+)</v>
      </c>
      <c r="AZ71" s="18">
        <f t="shared" ref="AZ71:BK71" ca="1" si="167">SUMPRODUCT(($C$10:$C$75=$AY71)*($N$10:$N$75=AZ$1)*($M$10:$M$75))</f>
        <v>0</v>
      </c>
      <c r="BA71" s="18">
        <f t="shared" ca="1" si="167"/>
        <v>0</v>
      </c>
      <c r="BB71" s="18">
        <f t="shared" ca="1" si="167"/>
        <v>0</v>
      </c>
      <c r="BC71" s="18">
        <f t="shared" ca="1" si="167"/>
        <v>0</v>
      </c>
      <c r="BD71" s="18">
        <f t="shared" ca="1" si="167"/>
        <v>0</v>
      </c>
      <c r="BE71" s="18">
        <f t="shared" ca="1" si="167"/>
        <v>0</v>
      </c>
      <c r="BF71" s="18">
        <f t="shared" ca="1" si="167"/>
        <v>0</v>
      </c>
      <c r="BG71" s="18">
        <f t="shared" ca="1" si="167"/>
        <v>0</v>
      </c>
      <c r="BH71" s="18">
        <f t="shared" ca="1" si="167"/>
        <v>0</v>
      </c>
      <c r="BI71" s="18">
        <f t="shared" ca="1" si="167"/>
        <v>0</v>
      </c>
      <c r="BJ71" s="18">
        <f t="shared" ca="1" si="167"/>
        <v>0</v>
      </c>
      <c r="BK71" s="18">
        <f t="shared" ca="1" si="167"/>
        <v>0</v>
      </c>
    </row>
    <row r="72" spans="1:64">
      <c r="A72" s="80">
        <f t="shared" si="29"/>
        <v>51</v>
      </c>
      <c r="B72" s="64">
        <f>+'Taxes RCA 2022'!A65</f>
        <v>51</v>
      </c>
      <c r="C72" s="68" t="str">
        <f>+'Taxes RCA 2022'!B65</f>
        <v>Taxes superficiaires encaissées par le FNE (+)</v>
      </c>
      <c r="E72" s="165"/>
      <c r="F72" s="165">
        <f t="shared" si="154"/>
        <v>0</v>
      </c>
      <c r="G72" s="165">
        <f t="shared" si="155"/>
        <v>0</v>
      </c>
      <c r="H72" s="114"/>
      <c r="I72" s="165"/>
      <c r="J72" s="165">
        <f t="shared" ca="1" si="156"/>
        <v>0</v>
      </c>
      <c r="K72" s="165">
        <f t="shared" ca="1" si="157"/>
        <v>0</v>
      </c>
      <c r="L72" s="114"/>
      <c r="M72" s="165">
        <f t="shared" ca="1" si="158"/>
        <v>0</v>
      </c>
      <c r="N72" s="68"/>
      <c r="Y72" s="15"/>
      <c r="Z72" s="25" t="str">
        <f t="shared" si="138"/>
        <v>Taxes environnementales sur les Stes forestières et Minières (+)</v>
      </c>
      <c r="AA72" s="16">
        <f t="shared" si="165"/>
        <v>0</v>
      </c>
      <c r="AB72" s="16">
        <f t="shared" si="165"/>
        <v>0</v>
      </c>
      <c r="AC72" s="16">
        <f t="shared" si="165"/>
        <v>0</v>
      </c>
      <c r="AD72" s="16">
        <f t="shared" si="165"/>
        <v>0</v>
      </c>
      <c r="AE72" s="16">
        <f t="shared" si="165"/>
        <v>0</v>
      </c>
      <c r="AF72" s="16">
        <f t="shared" si="165"/>
        <v>0</v>
      </c>
      <c r="AG72" s="16">
        <f t="shared" si="165"/>
        <v>0</v>
      </c>
      <c r="AH72" s="16">
        <f t="shared" si="165"/>
        <v>0</v>
      </c>
      <c r="AI72" s="16">
        <f t="shared" si="165"/>
        <v>0</v>
      </c>
      <c r="AJ72" s="16">
        <f>SUM(AA72:AI72)</f>
        <v>0</v>
      </c>
      <c r="AL72" s="17"/>
      <c r="AM72" s="26" t="str">
        <f t="shared" si="140"/>
        <v>Taxes environnementales sur les Stes forestières et Minières (+)</v>
      </c>
      <c r="AN72" s="18">
        <f t="shared" ref="AN72:AV72" si="168">SUM(AN73:AN73)</f>
        <v>0</v>
      </c>
      <c r="AO72" s="18">
        <f t="shared" si="168"/>
        <v>0</v>
      </c>
      <c r="AP72" s="18">
        <f t="shared" si="168"/>
        <v>0</v>
      </c>
      <c r="AQ72" s="18">
        <f t="shared" si="168"/>
        <v>0</v>
      </c>
      <c r="AR72" s="18">
        <f t="shared" si="168"/>
        <v>0</v>
      </c>
      <c r="AS72" s="18">
        <f t="shared" si="168"/>
        <v>0</v>
      </c>
      <c r="AT72" s="18">
        <f t="shared" si="168"/>
        <v>0</v>
      </c>
      <c r="AU72" s="18">
        <f t="shared" si="168"/>
        <v>0</v>
      </c>
      <c r="AV72" s="18">
        <f t="shared" si="168"/>
        <v>0</v>
      </c>
      <c r="AW72" s="18"/>
      <c r="AX72" s="17"/>
      <c r="AY72" s="26" t="str">
        <f t="shared" si="142"/>
        <v>Taxes environnementales sur les Stes forestières et Minières (+)</v>
      </c>
      <c r="AZ72" s="18">
        <f t="shared" ref="AZ72:BK72" ca="1" si="169">SUM(AZ73:AZ73)</f>
        <v>0</v>
      </c>
      <c r="BA72" s="18">
        <f t="shared" ca="1" si="169"/>
        <v>0</v>
      </c>
      <c r="BB72" s="18">
        <f t="shared" ca="1" si="169"/>
        <v>0</v>
      </c>
      <c r="BC72" s="18">
        <f t="shared" ca="1" si="169"/>
        <v>0</v>
      </c>
      <c r="BD72" s="18">
        <f t="shared" ca="1" si="169"/>
        <v>0</v>
      </c>
      <c r="BE72" s="18">
        <f t="shared" ca="1" si="169"/>
        <v>0</v>
      </c>
      <c r="BF72" s="18">
        <f t="shared" ca="1" si="169"/>
        <v>0</v>
      </c>
      <c r="BG72" s="18">
        <f t="shared" ca="1" si="169"/>
        <v>0</v>
      </c>
      <c r="BH72" s="18">
        <f t="shared" ca="1" si="169"/>
        <v>0</v>
      </c>
      <c r="BI72" s="18">
        <f t="shared" ca="1" si="169"/>
        <v>0</v>
      </c>
      <c r="BJ72" s="18">
        <f t="shared" ca="1" si="169"/>
        <v>0</v>
      </c>
      <c r="BK72" s="18">
        <f t="shared" ca="1" si="169"/>
        <v>0</v>
      </c>
      <c r="BL72" s="41"/>
    </row>
    <row r="73" spans="1:64">
      <c r="A73" s="80">
        <f t="shared" si="29"/>
        <v>52</v>
      </c>
      <c r="B73" s="53">
        <f>+'Taxes RCA 2022'!A66</f>
        <v>52</v>
      </c>
      <c r="C73" s="18" t="str">
        <f>+'Taxes RCA 2022'!B66</f>
        <v>Taxes de remise en état (+)</v>
      </c>
      <c r="E73" s="114"/>
      <c r="F73" s="114">
        <f t="shared" si="154"/>
        <v>0</v>
      </c>
      <c r="G73" s="114">
        <f t="shared" si="155"/>
        <v>0</v>
      </c>
      <c r="H73" s="114"/>
      <c r="I73" s="114"/>
      <c r="J73" s="114">
        <f t="shared" ca="1" si="156"/>
        <v>0</v>
      </c>
      <c r="K73" s="114">
        <f t="shared" ca="1" si="157"/>
        <v>0</v>
      </c>
      <c r="L73" s="114"/>
      <c r="M73" s="114">
        <f t="shared" ca="1" si="158"/>
        <v>0</v>
      </c>
      <c r="N73" s="18"/>
      <c r="O73" s="38" t="str">
        <f ca="1">IF(M73=0,"",IF(N73=0,"ERROR",""))</f>
        <v/>
      </c>
      <c r="P73" s="39" t="str">
        <f ca="1">IF(O73="ERROR","Please insert comment","")</f>
        <v/>
      </c>
      <c r="Y73" s="15">
        <f>B75</f>
        <v>54</v>
      </c>
      <c r="Z73" s="25" t="str">
        <f t="shared" si="138"/>
        <v xml:space="preserve">Amendes environnementales </v>
      </c>
      <c r="AA73" s="16">
        <f t="shared" si="165"/>
        <v>0</v>
      </c>
      <c r="AB73" s="16">
        <f t="shared" si="165"/>
        <v>0</v>
      </c>
      <c r="AC73" s="16">
        <f t="shared" si="165"/>
        <v>0</v>
      </c>
      <c r="AD73" s="16">
        <f t="shared" si="165"/>
        <v>0</v>
      </c>
      <c r="AE73" s="16">
        <f t="shared" si="165"/>
        <v>0</v>
      </c>
      <c r="AF73" s="16">
        <f t="shared" si="165"/>
        <v>0</v>
      </c>
      <c r="AG73" s="16">
        <f t="shared" si="165"/>
        <v>0</v>
      </c>
      <c r="AH73" s="16">
        <f t="shared" si="165"/>
        <v>0</v>
      </c>
      <c r="AI73" s="16">
        <f t="shared" si="165"/>
        <v>0</v>
      </c>
      <c r="AJ73" s="16">
        <f>SUM(AA73:AI73)</f>
        <v>0</v>
      </c>
      <c r="AL73" s="17">
        <f>+B75</f>
        <v>54</v>
      </c>
      <c r="AM73" s="26" t="str">
        <f t="shared" si="140"/>
        <v xml:space="preserve">Amendes environnementales </v>
      </c>
      <c r="AN73" s="18">
        <f t="shared" ref="AN73:AU73" si="170">SUMPRODUCT(($J$84:$M$727=$AL73&amp;"- "&amp;$AM73)*($N$84:$N$727=AN$1)*($Q$84:$Q$727))</f>
        <v>0</v>
      </c>
      <c r="AO73" s="18">
        <f t="shared" si="170"/>
        <v>0</v>
      </c>
      <c r="AP73" s="18">
        <f t="shared" si="170"/>
        <v>0</v>
      </c>
      <c r="AQ73" s="18">
        <f t="shared" si="170"/>
        <v>0</v>
      </c>
      <c r="AR73" s="18">
        <f t="shared" si="170"/>
        <v>0</v>
      </c>
      <c r="AS73" s="18">
        <f t="shared" si="170"/>
        <v>0</v>
      </c>
      <c r="AT73" s="18">
        <f t="shared" si="170"/>
        <v>0</v>
      </c>
      <c r="AU73" s="18">
        <f t="shared" si="170"/>
        <v>0</v>
      </c>
      <c r="AV73" s="18">
        <f>SUM(AN73:AU73)</f>
        <v>0</v>
      </c>
      <c r="AW73" s="18"/>
      <c r="AX73" s="17">
        <f>B75</f>
        <v>54</v>
      </c>
      <c r="AY73" s="26" t="str">
        <f t="shared" si="142"/>
        <v xml:space="preserve">Amendes environnementales </v>
      </c>
      <c r="AZ73" s="18">
        <f t="shared" ref="AZ73:BK73" ca="1" si="171">SUMPRODUCT(($C$10:$C$75=$AY73)*($N$10:$N$75=AZ$1)*($M$10:$M$75))</f>
        <v>0</v>
      </c>
      <c r="BA73" s="18">
        <f t="shared" ca="1" si="171"/>
        <v>0</v>
      </c>
      <c r="BB73" s="18">
        <f t="shared" ca="1" si="171"/>
        <v>0</v>
      </c>
      <c r="BC73" s="18">
        <f t="shared" ca="1" si="171"/>
        <v>0</v>
      </c>
      <c r="BD73" s="18">
        <f t="shared" ca="1" si="171"/>
        <v>0</v>
      </c>
      <c r="BE73" s="18">
        <f t="shared" ca="1" si="171"/>
        <v>0</v>
      </c>
      <c r="BF73" s="18">
        <f t="shared" ca="1" si="171"/>
        <v>0</v>
      </c>
      <c r="BG73" s="18">
        <f t="shared" ca="1" si="171"/>
        <v>0</v>
      </c>
      <c r="BH73" s="18">
        <f t="shared" ca="1" si="171"/>
        <v>0</v>
      </c>
      <c r="BI73" s="18">
        <f t="shared" ca="1" si="171"/>
        <v>0</v>
      </c>
      <c r="BJ73" s="18">
        <f t="shared" ca="1" si="171"/>
        <v>0</v>
      </c>
      <c r="BK73" s="18">
        <f t="shared" ca="1" si="171"/>
        <v>0</v>
      </c>
    </row>
    <row r="74" spans="1:64">
      <c r="A74" s="80"/>
      <c r="B74" s="64">
        <f>+'Taxes RCA 2022'!A67</f>
        <v>53</v>
      </c>
      <c r="C74" s="68" t="str">
        <f>+'Taxes RCA 2022'!B67</f>
        <v>Taxes environnementales sur les Stes forestières et Minières (+)</v>
      </c>
      <c r="E74" s="165"/>
      <c r="F74" s="165">
        <f t="shared" si="154"/>
        <v>0</v>
      </c>
      <c r="G74" s="165">
        <f t="shared" si="155"/>
        <v>0</v>
      </c>
      <c r="H74" s="167">
        <v>808920</v>
      </c>
      <c r="I74" s="165"/>
      <c r="J74" s="165">
        <f t="shared" ca="1" si="156"/>
        <v>0</v>
      </c>
      <c r="K74" s="165">
        <f t="shared" ca="1" si="157"/>
        <v>0</v>
      </c>
      <c r="L74" s="114"/>
      <c r="M74" s="165">
        <f t="shared" ca="1" si="158"/>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4"/>
        <v>0</v>
      </c>
      <c r="G75" s="114">
        <f t="shared" si="155"/>
        <v>0</v>
      </c>
      <c r="H75" s="114"/>
      <c r="I75" s="114"/>
      <c r="J75" s="114">
        <f t="shared" ca="1" si="156"/>
        <v>0</v>
      </c>
      <c r="K75" s="114">
        <f t="shared" ca="1" si="157"/>
        <v>0</v>
      </c>
      <c r="L75" s="114"/>
      <c r="M75" s="114">
        <f t="shared" ca="1" si="158"/>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4"/>
        <v>0</v>
      </c>
      <c r="G76" s="165">
        <f t="shared" si="155"/>
        <v>0</v>
      </c>
      <c r="H76" s="168"/>
      <c r="I76" s="165"/>
      <c r="J76" s="165">
        <f t="shared" ca="1" si="156"/>
        <v>0</v>
      </c>
      <c r="K76" s="165">
        <f t="shared" ca="1" si="157"/>
        <v>0</v>
      </c>
      <c r="L76" s="168"/>
      <c r="M76" s="165">
        <f t="shared" ca="1" si="158"/>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2">+F78+F79</f>
        <v>0</v>
      </c>
      <c r="G77" s="166">
        <f t="shared" si="172"/>
        <v>0</v>
      </c>
      <c r="H77" s="169"/>
      <c r="I77" s="166">
        <f t="shared" ref="I77:K77" si="173">+I78+I79</f>
        <v>0</v>
      </c>
      <c r="J77" s="166">
        <f t="shared" ca="1" si="173"/>
        <v>0</v>
      </c>
      <c r="K77" s="166">
        <f t="shared" ca="1" si="173"/>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SUMIF($A$84:$A$730,B78&amp;"- "&amp;C78,$G$84:$G$730)</f>
        <v>0</v>
      </c>
      <c r="G78" s="114">
        <f>E78+F78</f>
        <v>0</v>
      </c>
      <c r="H78" s="114"/>
      <c r="I78" s="114"/>
      <c r="J78" s="114">
        <f ca="1">SUMIF($J$84:$M$728,B78&amp;"- "&amp;C78,$Q$84:$Q$728)</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4">SUMPRODUCT(($A$84:$A$730=$Y78&amp;"- "&amp;$Z78)*($C$84:$C$730=AA$1)*($G$84:$G$730))</f>
        <v>0</v>
      </c>
      <c r="AB78" s="16">
        <f t="shared" si="174"/>
        <v>0</v>
      </c>
      <c r="AC78" s="16">
        <f t="shared" si="174"/>
        <v>0</v>
      </c>
      <c r="AD78" s="16">
        <f t="shared" si="174"/>
        <v>0</v>
      </c>
      <c r="AE78" s="16">
        <f t="shared" si="174"/>
        <v>0</v>
      </c>
      <c r="AF78" s="16">
        <f t="shared" si="174"/>
        <v>0</v>
      </c>
      <c r="AG78" s="16">
        <f t="shared" si="174"/>
        <v>0</v>
      </c>
      <c r="AH78" s="16">
        <f t="shared" si="174"/>
        <v>0</v>
      </c>
      <c r="AI78" s="16">
        <f t="shared" si="174"/>
        <v>0</v>
      </c>
      <c r="AJ78" s="16">
        <f>SUM(AA78:AI78)</f>
        <v>0</v>
      </c>
      <c r="AL78" s="17">
        <f>+B45</f>
        <v>0</v>
      </c>
      <c r="AM78" s="26" t="str">
        <f>+C45</f>
        <v xml:space="preserve">Paiements infranationaux au profit des communes </v>
      </c>
      <c r="AN78" s="18">
        <f t="shared" ref="AN78:AU78" si="175">SUMPRODUCT(($J$84:$M$727=$AL78&amp;"- "&amp;$AM78)*($N$84:$N$727=AN$1)*($Q$84:$Q$727))</f>
        <v>0</v>
      </c>
      <c r="AO78" s="18">
        <f t="shared" si="175"/>
        <v>0</v>
      </c>
      <c r="AP78" s="18">
        <f t="shared" si="175"/>
        <v>0</v>
      </c>
      <c r="AQ78" s="18">
        <f t="shared" si="175"/>
        <v>0</v>
      </c>
      <c r="AR78" s="18">
        <f t="shared" si="175"/>
        <v>0</v>
      </c>
      <c r="AS78" s="18">
        <f t="shared" si="175"/>
        <v>0</v>
      </c>
      <c r="AT78" s="18">
        <f t="shared" si="175"/>
        <v>0</v>
      </c>
      <c r="AU78" s="18">
        <f t="shared" si="175"/>
        <v>0</v>
      </c>
      <c r="AV78" s="18">
        <f>SUM(AN78:AU78)</f>
        <v>0</v>
      </c>
      <c r="AW78" s="18"/>
      <c r="AX78" s="17">
        <f>B45</f>
        <v>0</v>
      </c>
      <c r="AY78" s="26" t="str">
        <f>C45</f>
        <v xml:space="preserve">Paiements infranationaux au profit des communes </v>
      </c>
      <c r="AZ78" s="18">
        <f t="shared" ref="AZ78:BK78" ca="1" si="176">SUMPRODUCT(($C$10:$C$75=$AY78)*($N$10:$N$75=AZ$1)*($M$10:$M$75))</f>
        <v>0</v>
      </c>
      <c r="BA78" s="18">
        <f t="shared" ca="1" si="176"/>
        <v>0</v>
      </c>
      <c r="BB78" s="18">
        <f t="shared" ca="1" si="176"/>
        <v>0</v>
      </c>
      <c r="BC78" s="18">
        <f t="shared" ca="1" si="176"/>
        <v>0</v>
      </c>
      <c r="BD78" s="18">
        <f t="shared" ca="1" si="176"/>
        <v>0</v>
      </c>
      <c r="BE78" s="18">
        <f t="shared" ca="1" si="176"/>
        <v>0</v>
      </c>
      <c r="BF78" s="18">
        <f t="shared" ca="1" si="176"/>
        <v>0</v>
      </c>
      <c r="BG78" s="18">
        <f t="shared" ca="1" si="176"/>
        <v>0</v>
      </c>
      <c r="BH78" s="18">
        <f t="shared" ca="1" si="176"/>
        <v>0</v>
      </c>
      <c r="BI78" s="18">
        <f t="shared" ca="1" si="176"/>
        <v>0</v>
      </c>
      <c r="BJ78" s="18">
        <f t="shared" ca="1" si="176"/>
        <v>0</v>
      </c>
      <c r="BK78" s="18">
        <f t="shared" ca="1" si="176"/>
        <v>0</v>
      </c>
    </row>
    <row r="79" spans="1:64">
      <c r="A79" s="80">
        <f t="shared" si="29"/>
        <v>57</v>
      </c>
      <c r="B79" s="64">
        <f>+'Taxes RCA 2022'!A72</f>
        <v>57</v>
      </c>
      <c r="C79" s="68" t="str">
        <f>+'Taxes RCA 2022'!B72</f>
        <v>Autres paiements significatifs versés aux entités gouvernementales (&gt;10 millions FCFA)</v>
      </c>
      <c r="E79" s="165"/>
      <c r="F79" s="165">
        <f>SUMIF($A$84:$A$730,B79&amp;"- "&amp;C79,$G$84:$G$730)</f>
        <v>0</v>
      </c>
      <c r="G79" s="165">
        <f>+E79+F79</f>
        <v>0</v>
      </c>
      <c r="H79" s="114"/>
      <c r="I79" s="165"/>
      <c r="J79" s="165">
        <f ca="1">SUMIF($J$84:$M$728,B79&amp;"- "&amp;C79,$Q$84:$Q$728)</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IF(F8=G732,"","ERROR")</f>
        <v/>
      </c>
      <c r="G80" s="382"/>
      <c r="H80" s="382"/>
      <c r="I80" s="382"/>
      <c r="J80" s="382" t="str">
        <f ca="1">IF(J8=Q730,"","ERROR")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5"/>
      <c r="L84" s="60"/>
      <c r="N84" s="97"/>
      <c r="O84" s="137"/>
      <c r="P84" s="139"/>
      <c r="Q84" s="145"/>
      <c r="R84" s="157"/>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5"/>
      <c r="L85" s="60"/>
      <c r="N85" s="97"/>
      <c r="O85" s="137"/>
      <c r="P85" s="139"/>
      <c r="Q85" s="145"/>
      <c r="R85" s="157"/>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5"/>
      <c r="L86" s="60"/>
      <c r="N86" s="97"/>
      <c r="O86" s="137"/>
      <c r="P86" s="139"/>
      <c r="Q86" s="145"/>
      <c r="R86" s="157"/>
      <c r="S86" s="60"/>
      <c r="U86" s="97"/>
      <c r="V86" s="137"/>
      <c r="W86" s="139"/>
      <c r="X86" s="157"/>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5"/>
      <c r="L87" s="60"/>
      <c r="N87" s="97"/>
      <c r="O87" s="137"/>
      <c r="P87" s="139"/>
      <c r="Q87" s="145"/>
      <c r="R87" s="157"/>
      <c r="S87" s="60"/>
      <c r="U87" s="97"/>
      <c r="V87" s="137"/>
      <c r="W87" s="139"/>
      <c r="X87" s="157"/>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5"/>
      <c r="L88" s="60"/>
      <c r="N88" s="97"/>
      <c r="O88" s="137"/>
      <c r="P88" s="139"/>
      <c r="Q88" s="145"/>
      <c r="R88" s="157"/>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37"/>
      <c r="P89" s="139"/>
      <c r="Q89" s="145"/>
      <c r="R89" s="157"/>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37"/>
      <c r="P90" s="139"/>
      <c r="Q90" s="145"/>
      <c r="R90" s="157"/>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37"/>
      <c r="P91" s="139"/>
      <c r="Q91" s="145"/>
      <c r="R91" s="157"/>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P92" s="139"/>
      <c r="Q92" s="145"/>
      <c r="R92" s="157"/>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39"/>
      <c r="Q93" s="145"/>
      <c r="R93" s="157"/>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3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3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3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3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38"/>
      <c r="P98" s="139"/>
      <c r="Q98" s="145"/>
      <c r="R98" s="157"/>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38"/>
      <c r="P99" s="139"/>
      <c r="Q99" s="145"/>
      <c r="R99" s="157"/>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38"/>
      <c r="P100" s="139"/>
      <c r="Q100" s="145"/>
      <c r="R100" s="157"/>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38"/>
      <c r="P101" s="139"/>
      <c r="Q101" s="145"/>
      <c r="R101" s="157"/>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38"/>
      <c r="P102" s="139"/>
      <c r="Q102" s="145"/>
      <c r="R102" s="157"/>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38"/>
      <c r="P103" s="139"/>
      <c r="Q103" s="145"/>
      <c r="R103" s="157"/>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38"/>
      <c r="P104" s="139"/>
      <c r="Q104" s="145"/>
      <c r="R104" s="157"/>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38"/>
      <c r="P105" s="139"/>
      <c r="Q105" s="145"/>
      <c r="R105" s="157"/>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158"/>
      <c r="M106" s="141"/>
      <c r="N106" s="97"/>
      <c r="O106" s="142"/>
      <c r="P106" s="143"/>
      <c r="Q106" s="159"/>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3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3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3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3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3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3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3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3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3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3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3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3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3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3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3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3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3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3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3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3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3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3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3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3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3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3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3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3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3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3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3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3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3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3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3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3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3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3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3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3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3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3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3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3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3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3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3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3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3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3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3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3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3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3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3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3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3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3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3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3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3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3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3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3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3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3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3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3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3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3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3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3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3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3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3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3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3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3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3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3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3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3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3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3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3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3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3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3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3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3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3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3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3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3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3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3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3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3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3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3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3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3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3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3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3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3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3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3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3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3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3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3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3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3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3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3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3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3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3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3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3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3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3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3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3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3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3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3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3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3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3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3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3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3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3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3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3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3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3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3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3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3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3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3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3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3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3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3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3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ht="15">
      <c r="A730" s="61"/>
      <c r="B730" s="24"/>
      <c r="C730" s="60"/>
      <c r="E730" s="47"/>
      <c r="F730" s="48"/>
      <c r="G730" s="47"/>
      <c r="J730" s="61"/>
      <c r="K730" s="61"/>
      <c r="N730" s="97"/>
      <c r="O730" s="49"/>
      <c r="P730" s="50"/>
      <c r="Q730" s="51">
        <f>SUM(Q82:Q729)</f>
        <v>0</v>
      </c>
    </row>
    <row r="731" spans="1:17">
      <c r="A731" s="61"/>
      <c r="B731" s="24"/>
      <c r="C731" s="60"/>
      <c r="E731" s="47"/>
      <c r="F731" s="48"/>
      <c r="G731" s="47"/>
      <c r="J731" s="61"/>
      <c r="K731" s="61"/>
      <c r="N731" s="97"/>
    </row>
    <row r="732" spans="1:17" ht="15">
      <c r="A732" s="61"/>
      <c r="C732" s="60"/>
      <c r="E732" s="49"/>
      <c r="F732" s="50"/>
      <c r="G732" s="51">
        <f>SUM(G84:G731)</f>
        <v>0</v>
      </c>
      <c r="J732" s="61"/>
      <c r="K732" s="61"/>
      <c r="N732" s="97"/>
    </row>
    <row r="733" spans="1:17">
      <c r="A733" s="61"/>
      <c r="C733" s="60"/>
      <c r="J733" s="61"/>
      <c r="K733" s="61"/>
      <c r="N733" s="97"/>
    </row>
    <row r="734" spans="1:17">
      <c r="A734" s="61"/>
      <c r="C734" s="60"/>
      <c r="J734" s="61"/>
      <c r="K734" s="61"/>
      <c r="N734" s="97"/>
    </row>
    <row r="735" spans="1:17">
      <c r="A735" s="61"/>
      <c r="C735" s="60"/>
      <c r="J735" s="61"/>
      <c r="K735" s="61"/>
      <c r="N735" s="97"/>
    </row>
    <row r="736" spans="1:17">
      <c r="A736" s="61"/>
      <c r="C736" s="60"/>
      <c r="J736" s="61"/>
      <c r="K736" s="61"/>
      <c r="N736" s="97"/>
    </row>
    <row r="737" spans="1:14">
      <c r="A737" s="61"/>
      <c r="C737" s="60"/>
      <c r="J737" s="61"/>
      <c r="K737" s="61"/>
      <c r="N737" s="97"/>
    </row>
    <row r="738" spans="1:14">
      <c r="A738" s="61"/>
      <c r="C738" s="60"/>
      <c r="J738" s="61"/>
      <c r="K738" s="61"/>
      <c r="N738" s="97"/>
    </row>
    <row r="739" spans="1:14">
      <c r="A739" s="61"/>
      <c r="C739" s="60"/>
      <c r="J739" s="61"/>
      <c r="K739" s="61"/>
      <c r="N739" s="97"/>
    </row>
    <row r="740" spans="1:14">
      <c r="A740" s="61"/>
      <c r="C740" s="60"/>
      <c r="J740" s="61"/>
      <c r="K740" s="61"/>
      <c r="N740" s="97"/>
    </row>
    <row r="741" spans="1:14">
      <c r="A741" s="61"/>
      <c r="C741" s="60"/>
      <c r="J741" s="61"/>
      <c r="K741" s="61"/>
      <c r="N741" s="97"/>
    </row>
    <row r="742" spans="1:14">
      <c r="A742" s="61"/>
      <c r="C742" s="60"/>
      <c r="J742" s="61"/>
      <c r="K742" s="61"/>
      <c r="N742" s="97"/>
    </row>
    <row r="743" spans="1:14">
      <c r="A743" s="61"/>
      <c r="C743" s="60"/>
      <c r="J743" s="61"/>
      <c r="K743" s="61"/>
      <c r="N743" s="97"/>
    </row>
    <row r="744" spans="1:14">
      <c r="A744" s="61"/>
      <c r="C744" s="60"/>
      <c r="J744" s="61"/>
      <c r="K744" s="61"/>
      <c r="N744" s="97"/>
    </row>
    <row r="745" spans="1:14">
      <c r="A745" s="61"/>
      <c r="C745" s="60"/>
      <c r="J745" s="61"/>
      <c r="K745" s="61"/>
      <c r="N745" s="97"/>
    </row>
    <row r="746" spans="1:14">
      <c r="A746" s="61"/>
      <c r="C746" s="60"/>
      <c r="J746" s="61"/>
      <c r="K746" s="61"/>
      <c r="N746" s="97"/>
    </row>
    <row r="747" spans="1:14">
      <c r="A747" s="61"/>
      <c r="C747" s="60"/>
      <c r="J747" s="61"/>
      <c r="K747" s="61"/>
      <c r="N747" s="97"/>
    </row>
    <row r="748" spans="1:14">
      <c r="A748" s="61"/>
      <c r="C748" s="60"/>
      <c r="J748" s="61"/>
      <c r="K748" s="61"/>
      <c r="N748" s="97"/>
    </row>
    <row r="749" spans="1:14">
      <c r="A749" s="61"/>
      <c r="C749" s="60"/>
      <c r="J749" s="61"/>
      <c r="K749" s="61"/>
      <c r="N749" s="97"/>
    </row>
    <row r="750" spans="1:14">
      <c r="A750" s="61"/>
      <c r="C750" s="60"/>
    </row>
    <row r="751" spans="1:14">
      <c r="A751" s="61"/>
      <c r="C751" s="60"/>
    </row>
    <row r="752" spans="1:14">
      <c r="C752" s="60"/>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103" priority="28" operator="containsText" text="ERROR">
      <formula>NOT(ISERROR(SEARCH("ERROR",T17)))</formula>
    </cfRule>
  </conditionalFormatting>
  <conditionalFormatting sqref="T42">
    <cfRule type="containsText" dxfId="102" priority="27" operator="containsText" text="ERROR">
      <formula>NOT(ISERROR(SEARCH("ERROR",T42)))</formula>
    </cfRule>
  </conditionalFormatting>
  <conditionalFormatting sqref="W19">
    <cfRule type="containsText" dxfId="101" priority="23" operator="containsText" text="ERROR">
      <formula>NOT(ISERROR(SEARCH("ERROR",W19)))</formula>
    </cfRule>
  </conditionalFormatting>
  <conditionalFormatting sqref="BL72">
    <cfRule type="containsText" dxfId="100" priority="24" operator="containsText" text="ERROR">
      <formula>NOT(ISERROR(SEARCH("ERROR",BL72)))</formula>
    </cfRule>
  </conditionalFormatting>
  <dataValidations count="5">
    <dataValidation type="list" allowBlank="1" showInputMessage="1" showErrorMessage="1" sqref="N5:N8 N73 N75 N77:N79 N10:N71" xr:uid="{E922A3B9-5870-4C90-AF0E-BFD6CC71BFD5}">
      <formula1>FinalDiff</formula1>
    </dataValidation>
    <dataValidation type="list" allowBlank="1" showInputMessage="1" showErrorMessage="1" sqref="L98:M105 L84:L97 M110:M727 M94:M97 L106:L727" xr:uid="{70B1DED8-9D74-4FE8-A9AD-3BEE418BD1AE}">
      <formula1>Taxes</formula1>
    </dataValidation>
    <dataValidation type="list" allowBlank="1" showErrorMessage="1" errorTitle="Taxes" error="Non valid entry. Please check the tax list" promptTitle="Taxes" prompt="Please select the tax subject to adjustment" sqref="B84:B105" xr:uid="{6E835468-9DD6-46C0-8959-99E98775402C}">
      <formula1>$A$114:$A$115</formula1>
    </dataValidation>
    <dataValidation type="list" allowBlank="1" showInputMessage="1" showErrorMessage="1" sqref="N84:N749" xr:uid="{86A2A4B7-DB5A-4534-B8EC-085CDD4E9E59}">
      <formula1>Govadjust</formula1>
    </dataValidation>
    <dataValidation type="list" allowBlank="1" showInputMessage="1" showErrorMessage="1" sqref="C84:C752" xr:uid="{667FC23F-FD58-4895-A19A-072AB367AEEA}">
      <formula1>Compadjust</formula1>
    </dataValidation>
  </dataValidations>
  <pageMargins left="0.7" right="0.7" top="0.75" bottom="0.75" header="0.3" footer="0.3"/>
  <pageSetup paperSize="9" scale="67" orientation="landscape" r:id="rId1"/>
  <rowBreaks count="1" manualBreakCount="1">
    <brk id="51" max="16383" man="1"/>
  </rowBreaks>
  <colBreaks count="1" manualBreakCount="1">
    <brk id="14" max="1048575" man="1"/>
  </colBreaks>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1734FBBC-909A-4775-9BD2-ACB6F0C2B92A}">
          <x14:formula1>
            <xm:f>Lists!$A$131:$A$132</xm:f>
          </x14:formula1>
          <xm:sqref>K84:K749</xm:sqref>
        </x14:dataValidation>
        <x14:dataValidation type="list" allowBlank="1" showInputMessage="1" showErrorMessage="1" xr:uid="{065B4206-3CE0-45E6-B972-18ECAA474FF2}">
          <x14:formula1>
            <xm:f>Lists!$A$7:$A$64</xm:f>
          </x14:formula1>
          <xm:sqref>J84:J749</xm:sqref>
        </x14:dataValidation>
        <x14:dataValidation type="list" allowBlank="1" showErrorMessage="1" errorTitle="Taxes" error="Non valid entry. Please check the tax list" promptTitle="Taxes" prompt="Please select the tax subject to adjustment" xr:uid="{31E960F8-C318-473B-802C-E6A0F57A9CE0}">
          <x14:formula1>
            <xm:f>Lists!$A$7:$A$64</xm:f>
          </x14:formula1>
          <xm:sqref>A84:A751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BL759"/>
  <sheetViews>
    <sheetView showGridLines="0" topLeftCell="B1" zoomScaleNormal="100" workbookViewId="0">
      <selection activeCell="I44" sqref="I44"/>
    </sheetView>
  </sheetViews>
  <sheetFormatPr baseColWidth="10" defaultColWidth="11.54296875" defaultRowHeight="12" outlineLevelCol="1"/>
  <cols>
    <col min="1" max="1" width="28.54296875" style="17" customWidth="1"/>
    <col min="2" max="2" width="4.453125" style="17" customWidth="1"/>
    <col min="3" max="3" width="54.269531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5429687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453125"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Companies!B5</f>
        <v>SAWA SAWA</v>
      </c>
      <c r="F1" s="32" t="str">
        <f>Companies!C5</f>
        <v>M362882M001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SUMIF($C$84:$C$757,R3,$G$84:$G$757)</f>
        <v>0</v>
      </c>
      <c r="U3" s="21" t="str">
        <f>Lists!A91</f>
        <v>FD non soumis par la Société</v>
      </c>
      <c r="V3" s="18">
        <f t="shared" ref="V3:V14" si="4">SUMIF($N$9:$N$75,U3,$M$9:$M$75)</f>
        <v>0</v>
      </c>
      <c r="Y3" s="19">
        <f>B6</f>
        <v>0</v>
      </c>
      <c r="Z3" s="19">
        <f>C6</f>
        <v>0</v>
      </c>
      <c r="AA3" s="16">
        <f t="shared" ref="AA3:AI4" si="5">SUMPRODUCT(($A$84:$A$757=$Y3&amp;"- "&amp;$Z3)*($C$84:$C$757=AA$1)*($G$84:$G$757))</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SUMPRODUCT(($J$84:$M$744=$AL3&amp;"- "&amp;$AM3)*($N$84:$N$744=AN$1)*($Q$84:$Q$744))</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SUMIF($A$84:$A$757,B6&amp;"- "&amp;C6,$G$84:$G$757)</f>
        <v>0</v>
      </c>
      <c r="G6" s="165">
        <f>E6+F6</f>
        <v>0</v>
      </c>
      <c r="H6" s="114"/>
      <c r="I6" s="165"/>
      <c r="J6" s="165">
        <f ca="1">SUMIF($J$84:$M$745,B6&amp;"- "&amp;C6,$Q$84:$Q$745)</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3"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3"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3"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SUMIF($A$84:$A$757,B7&amp;"- "&amp;C7,$G$84:$G$757)</f>
        <v>0</v>
      </c>
      <c r="G7" s="114">
        <f>E7+F7</f>
        <v>0</v>
      </c>
      <c r="H7" s="114"/>
      <c r="I7" s="114"/>
      <c r="J7" s="114">
        <f ca="1">SUMIF($J$84:$M$745,B7&amp;"- "&amp;C7,$Q$84:$Q$745)</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SUMPRODUCT(($A$84:$A$757=$Y7&amp;"- "&amp;$Z7)*($C$84:$C$757=AA$1)*($G$84:$G$757))</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SUMPRODUCT(($J$84:$M$744=$AL7&amp;"- "&amp;$AM7)*($N$84:$N$744=AN$1)*($Q$84:$Q$744))</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113005206.47499999</v>
      </c>
      <c r="J8" s="164">
        <f ca="1">+J9+J13+J15+J17+J40+J45+J47+J52+J55+J62+J65+J68+J77</f>
        <v>0</v>
      </c>
      <c r="K8" s="164">
        <f ca="1">+K9+K13+K15+K17+K40+K45+K47+K52+K55+K62+K65+K68+K77</f>
        <v>113005206.47499999</v>
      </c>
      <c r="L8" s="114"/>
      <c r="M8" s="164">
        <f ca="1">+M9+M13+M15+M17+M40+M45+M52+M55+M62+M65+M68+M77+M47</f>
        <v>-113005206.47499999</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79938965.924999997</v>
      </c>
      <c r="J9" s="166">
        <f t="shared" ref="J9" ca="1" si="26">SUM(J10:J12)</f>
        <v>0</v>
      </c>
      <c r="K9" s="166">
        <f t="shared" ref="K9" ca="1" si="27">SUM(K10:K12)</f>
        <v>79938965.924999997</v>
      </c>
      <c r="L9" s="114"/>
      <c r="M9" s="166">
        <f t="shared" ref="M9" ca="1" si="28">SUM(M10:M12)</f>
        <v>-79938965.924999997</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SUMIF($A$84:$A$757,B10&amp;"- "&amp;C10,$G$84:$G$757)</f>
        <v>0</v>
      </c>
      <c r="G10" s="165">
        <f>E10+F10</f>
        <v>0</v>
      </c>
      <c r="H10" s="114"/>
      <c r="I10" s="165">
        <v>22839704.550000001</v>
      </c>
      <c r="J10" s="165">
        <f>SUMIF($J$83:$J$1048576,C10,$Q$83:$Q$1048576)</f>
        <v>0</v>
      </c>
      <c r="K10" s="165">
        <f>I10+J10</f>
        <v>22839704.550000001</v>
      </c>
      <c r="L10" s="114"/>
      <c r="M10" s="165">
        <f>+G10-K10</f>
        <v>-22839704.550000001</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SUMIF($A$84:$A$757,B11&amp;"- "&amp;C11,$G$84:$G$757)</f>
        <v>0</v>
      </c>
      <c r="G11" s="114">
        <f>E11+F11</f>
        <v>0</v>
      </c>
      <c r="H11" s="114"/>
      <c r="I11" s="114">
        <v>57099261.375</v>
      </c>
      <c r="J11" s="114">
        <f>SUMIF($J$83:$J$1048576,C11,$Q$83:$Q$1048576)</f>
        <v>0</v>
      </c>
      <c r="K11" s="114">
        <f>I11+J11</f>
        <v>57099261.375</v>
      </c>
      <c r="L11" s="114"/>
      <c r="M11" s="114">
        <f>+G11-K11</f>
        <v>-57099261.375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SUMIF($A$84:$A$757,B12&amp;"- "&amp;C12,$G$84:$G$757)</f>
        <v>0</v>
      </c>
      <c r="G12" s="165">
        <f>E12+F12</f>
        <v>0</v>
      </c>
      <c r="H12" s="114"/>
      <c r="I12" s="165"/>
      <c r="J12" s="165">
        <f ca="1">SUMIF($J$84:$M$745,B12&amp;"- "&amp;C12,$Q$84:$Q$745)</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SUMPRODUCT(($A$84:$A$757=$Y13&amp;"- "&amp;$Z13)*($C$84:$C$757=AA$1)*($G$84:$G$757))</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SUMPRODUCT(($J$84:$M$744=$AL13&amp;"- "&amp;$AM13)*($N$84:$N$744=AN$1)*($Q$84:$Q$744))</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SUMIF($A$84:$A$757,B14&amp;"- "&amp;C14,$G$84:$G$757)</f>
        <v>0</v>
      </c>
      <c r="G14" s="114">
        <f>E14+F14</f>
        <v>0</v>
      </c>
      <c r="H14" s="114"/>
      <c r="I14" s="114"/>
      <c r="J14" s="114">
        <f ca="1">SUMIF($J$84:$M$745,B14&amp;"- "&amp;C14,$Q$84:$Q$745)</f>
        <v>0</v>
      </c>
      <c r="K14" s="114">
        <f ca="1">I14+J14</f>
        <v>0</v>
      </c>
      <c r="L14" s="114"/>
      <c r="M14" s="114">
        <f ca="1">+G14-K14</f>
        <v>0</v>
      </c>
      <c r="N14" s="18"/>
      <c r="O14" s="38"/>
      <c r="P14" s="39"/>
      <c r="Q14" s="35"/>
      <c r="U14" s="21" t="str">
        <f>Lists!A102</f>
        <v>Non significatif &lt; 1 M FCFA</v>
      </c>
      <c r="V14" s="18">
        <f t="shared" si="4"/>
        <v>0</v>
      </c>
      <c r="Y14" s="15">
        <f>B17</f>
        <v>0</v>
      </c>
      <c r="Z14" s="25" t="str">
        <f>C17</f>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SUM(AA14:AI14)</f>
        <v>0</v>
      </c>
      <c r="AL14" s="17">
        <f>+B17</f>
        <v>0</v>
      </c>
      <c r="AM14" s="26" t="str">
        <f>+C17</f>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SUM(AN14:AU14)</f>
        <v>0</v>
      </c>
      <c r="AW14" s="18"/>
      <c r="AX14" s="17">
        <f>B17</f>
        <v>0</v>
      </c>
      <c r="AY14" s="26" t="str">
        <f>C17</f>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SUMIF($A$84:$A$757,B16&amp;"- "&amp;C16,$G$84:$G$757)</f>
        <v>0</v>
      </c>
      <c r="G16" s="165">
        <f>E16+F16</f>
        <v>0</v>
      </c>
      <c r="H16" s="114"/>
      <c r="I16" s="165"/>
      <c r="J16" s="165">
        <f ca="1">SUMIF($J$84:$M$745,B16&amp;"- "&amp;C16,$Q$84:$Q$745)</f>
        <v>0</v>
      </c>
      <c r="K16" s="165">
        <f ca="1">I16+J16</f>
        <v>0</v>
      </c>
      <c r="L16" s="114"/>
      <c r="M16" s="165">
        <f ca="1">+G16-K16</f>
        <v>0</v>
      </c>
      <c r="N16" s="68"/>
      <c r="O16" s="38" t="str">
        <f t="shared" ref="O16:O24" ca="1" si="46">IF(M16=0,"",IF(N16=0,"ERROR",""))</f>
        <v/>
      </c>
      <c r="P16" s="39" t="str">
        <f t="shared" ref="P16:P24"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10226536</v>
      </c>
      <c r="J17" s="166">
        <f t="shared" ref="J17" ca="1" si="52">SUM(J18:J39)</f>
        <v>0</v>
      </c>
      <c r="K17" s="166">
        <f t="shared" ref="K17" ca="1" si="53">SUM(K18:K39)</f>
        <v>10226536</v>
      </c>
      <c r="L17" s="114"/>
      <c r="M17" s="166">
        <f t="shared" ref="M17" ca="1" si="54">SUM(M18:M39)</f>
        <v>-10226536</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SUMIF($A$84:$A$757,B18&amp;"- "&amp;C18,$G$84:$G$757)</f>
        <v>0</v>
      </c>
      <c r="G18" s="114">
        <f t="shared" ref="G18:G39" si="56">E18+F18</f>
        <v>0</v>
      </c>
      <c r="H18" s="114"/>
      <c r="I18" s="114"/>
      <c r="J18" s="114">
        <f t="shared" ref="J18:J39" ca="1" si="57">SUMIF($J$84:$M$745,B18&amp;"- "&amp;C18,$Q$84:$Q$745)</f>
        <v>0</v>
      </c>
      <c r="K18" s="114">
        <f t="shared" ref="K18:K39" ca="1" si="58">I18+J18</f>
        <v>0</v>
      </c>
      <c r="L18" s="114"/>
      <c r="M18" s="114">
        <f t="shared" ref="M18:M39" ca="1" si="59">+G18-K18</f>
        <v>0</v>
      </c>
      <c r="N18" s="18"/>
      <c r="O18" s="38" t="str">
        <f t="shared" ca="1" si="46"/>
        <v/>
      </c>
      <c r="P18" s="39" t="str">
        <f t="shared" ca="1" si="47"/>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556832</v>
      </c>
      <c r="J19" s="165">
        <f t="shared" ca="1" si="57"/>
        <v>0</v>
      </c>
      <c r="K19" s="165">
        <f t="shared" ca="1" si="58"/>
        <v>556832</v>
      </c>
      <c r="L19" s="114"/>
      <c r="M19" s="165">
        <f t="shared" ca="1" si="59"/>
        <v>-556832</v>
      </c>
      <c r="N19" s="68"/>
      <c r="O19" s="38" t="str">
        <f t="shared" ca="1" si="46"/>
        <v>ERROR</v>
      </c>
      <c r="P19" s="39" t="str">
        <f t="shared" ca="1" si="47"/>
        <v>Please insert comment</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864000</v>
      </c>
      <c r="J20" s="114">
        <f t="shared" ca="1" si="57"/>
        <v>0</v>
      </c>
      <c r="K20" s="114">
        <f t="shared" ca="1" si="58"/>
        <v>864000</v>
      </c>
      <c r="L20" s="114"/>
      <c r="M20" s="114">
        <f t="shared" ca="1" si="59"/>
        <v>-864000</v>
      </c>
      <c r="N20" s="18"/>
      <c r="O20" s="38" t="str">
        <f t="shared" ca="1" si="46"/>
        <v>ERROR</v>
      </c>
      <c r="P20" s="39" t="str">
        <f t="shared" ca="1" si="47"/>
        <v>Please insert comment</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205944</v>
      </c>
      <c r="J21" s="165">
        <f t="shared" ca="1" si="57"/>
        <v>0</v>
      </c>
      <c r="K21" s="165">
        <f t="shared" ca="1" si="58"/>
        <v>205944</v>
      </c>
      <c r="L21" s="114"/>
      <c r="M21" s="165">
        <f t="shared" ca="1" si="59"/>
        <v>-205944</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6"/>
        <v/>
      </c>
      <c r="P22" s="39" t="str">
        <f t="shared" ca="1" si="47"/>
        <v/>
      </c>
      <c r="Q22" s="35"/>
      <c r="Y22" s="28"/>
      <c r="Z22" s="28" t="str">
        <f t="shared" ref="Z22:Z53"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53"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53"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SUMPRODUCT(($A$84:$A$757=$Y23&amp;"- "&amp;$Z23)*($C$84:$C$757=AA$1)*($G$84:$G$757))</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SUMPRODUCT(($J$84:$M$744=$AL23&amp;"- "&amp;$AM23)*($N$84:$N$744=AN$1)*($Q$84:$Q$744))</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v>8363250</v>
      </c>
      <c r="J24" s="114">
        <f t="shared" ca="1" si="57"/>
        <v>0</v>
      </c>
      <c r="K24" s="114">
        <f t="shared" ca="1" si="58"/>
        <v>8363250</v>
      </c>
      <c r="L24" s="114"/>
      <c r="M24" s="114">
        <f t="shared" ca="1" si="59"/>
        <v>-8363250</v>
      </c>
      <c r="N24" s="18"/>
      <c r="O24" s="38" t="str">
        <f t="shared" ca="1" si="46"/>
        <v>ERROR</v>
      </c>
      <c r="P24" s="39" t="str">
        <f t="shared" ca="1" si="47"/>
        <v>Please insert comment</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c r="P25" s="39"/>
      <c r="Q25" s="35"/>
      <c r="R25" s="21" t="str">
        <f>Lists!A80</f>
        <v>Taxes perçues non reportées par l'Etat</v>
      </c>
      <c r="S25" s="18">
        <f t="shared" ref="S25:S32" si="74">SUMIF($N$84:$N$745,R25,$Q$84:$Q$745)</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ref="O26:O35" ca="1" si="75">IF(M26=0,"",IF(N26=0,"ERROR",""))</f>
        <v/>
      </c>
      <c r="P26" s="39" t="str">
        <f t="shared" ref="P26:P35" ca="1" si="76">IF(O26="ERROR","Please insert comment","")</f>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75"/>
        <v/>
      </c>
      <c r="P27" s="39" t="str">
        <f t="shared" ca="1" si="76"/>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75"/>
        <v/>
      </c>
      <c r="P28" s="39" t="str">
        <f t="shared" ca="1" si="76"/>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75"/>
        <v/>
      </c>
      <c r="P29" s="39" t="str">
        <f t="shared" ca="1" si="76"/>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75"/>
        <v/>
      </c>
      <c r="P30" s="39" t="str">
        <f t="shared" ca="1" si="76"/>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v>20510</v>
      </c>
      <c r="J31" s="165">
        <f t="shared" ca="1" si="57"/>
        <v>0</v>
      </c>
      <c r="K31" s="165">
        <f t="shared" ca="1" si="58"/>
        <v>20510</v>
      </c>
      <c r="L31" s="114"/>
      <c r="M31" s="165">
        <f t="shared" ca="1" si="59"/>
        <v>-20510</v>
      </c>
      <c r="N31" s="68"/>
      <c r="O31" s="38" t="str">
        <f t="shared" ca="1" si="75"/>
        <v>ERROR</v>
      </c>
      <c r="P31" s="39" t="str">
        <f t="shared" ca="1" si="76"/>
        <v>Please insert comment</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216000</v>
      </c>
      <c r="J32" s="114">
        <f t="shared" ca="1" si="57"/>
        <v>0</v>
      </c>
      <c r="K32" s="114">
        <f t="shared" ca="1" si="58"/>
        <v>216000</v>
      </c>
      <c r="L32" s="114"/>
      <c r="M32" s="114">
        <f t="shared" ca="1" si="59"/>
        <v>-216000</v>
      </c>
      <c r="N32" s="18"/>
      <c r="O32" s="38" t="str">
        <f t="shared" ca="1" si="75"/>
        <v>ERROR</v>
      </c>
      <c r="P32" s="39" t="str">
        <f t="shared" ca="1" si="76"/>
        <v>Please insert comment</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75"/>
        <v/>
      </c>
      <c r="P33" s="39" t="str">
        <f t="shared" ca="1" si="76"/>
        <v/>
      </c>
      <c r="Q33" s="35"/>
      <c r="R33" s="40" t="s">
        <v>18</v>
      </c>
      <c r="S33" s="22">
        <f>SUM(S25:S32)</f>
        <v>0</v>
      </c>
      <c r="Y33" s="28"/>
      <c r="Z33" s="28" t="str">
        <f t="shared" si="60"/>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2"/>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4"/>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75"/>
        <v/>
      </c>
      <c r="P34" s="39" t="str">
        <f t="shared" ca="1" si="76"/>
        <v/>
      </c>
      <c r="Q34" s="35"/>
      <c r="R34" s="43"/>
      <c r="S34" s="27"/>
      <c r="Y34" s="15">
        <f t="shared" ref="Y34:Y49" si="80">B37</f>
        <v>25</v>
      </c>
      <c r="Z34" s="25" t="str">
        <f t="shared" si="60"/>
        <v>Amendes et pénalités payées à la DGID (+)</v>
      </c>
      <c r="AA34" s="16">
        <f t="shared" ref="AA34:AI46" si="81">SUMPRODUCT(($A$84:$A$757=$Y34&amp;"- "&amp;$Z34)*($C$84:$C$757=AA$1)*($G$84:$G$757))</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2"/>
        <v>Amendes et pénalités payées à la DGID (+)</v>
      </c>
      <c r="AN34" s="18">
        <f t="shared" ref="AN34:AU46" si="84">SUMPRODUCT(($J$84:$M$744=$AL34&amp;"- "&amp;$AM34)*($N$84:$N$744=AN$1)*($Q$84:$Q$744))</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4"/>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38" t="str">
        <f t="shared" ca="1" si="75"/>
        <v/>
      </c>
      <c r="P35" s="39" t="str">
        <f t="shared" ca="1" si="76"/>
        <v/>
      </c>
      <c r="Q35" s="35"/>
      <c r="Y35" s="15">
        <f t="shared" si="80"/>
        <v>26</v>
      </c>
      <c r="Z35" s="25" t="str">
        <f t="shared" si="60"/>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2"/>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4"/>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0"/>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2"/>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4"/>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ref="O37:O52" ca="1" si="88">IF(M37=0,"",IF(N37=0,"ERROR",""))</f>
        <v/>
      </c>
      <c r="P37" s="39" t="str">
        <f t="shared" ref="P37:P51" ca="1" si="89">IF(O37="ERROR","Please insert comment","")</f>
        <v/>
      </c>
      <c r="Q37" s="35"/>
      <c r="Y37" s="15">
        <f t="shared" si="80"/>
        <v>0</v>
      </c>
      <c r="Z37" s="25" t="str">
        <f t="shared" si="60"/>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2"/>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4"/>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88"/>
        <v/>
      </c>
      <c r="P38" s="39" t="str">
        <f t="shared" ca="1" si="89"/>
        <v/>
      </c>
      <c r="Q38" s="35"/>
      <c r="Y38" s="15">
        <f t="shared" si="80"/>
        <v>28</v>
      </c>
      <c r="Z38" s="25" t="str">
        <f t="shared" si="60"/>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2"/>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4"/>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88"/>
        <v/>
      </c>
      <c r="P39" s="39" t="str">
        <f t="shared" ca="1" si="89"/>
        <v/>
      </c>
      <c r="Q39" s="35"/>
      <c r="Y39" s="15">
        <f t="shared" si="80"/>
        <v>29</v>
      </c>
      <c r="Z39" s="25" t="str">
        <f t="shared" si="60"/>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2"/>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4"/>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22839704.550000001</v>
      </c>
      <c r="J40" s="166">
        <f ca="1">SUM(J41:J44)</f>
        <v>0</v>
      </c>
      <c r="K40" s="166">
        <f ca="1">SUM(K41:K44)</f>
        <v>22839704.550000001</v>
      </c>
      <c r="L40" s="114"/>
      <c r="M40" s="166">
        <f ca="1">SUM(M41:M44)</f>
        <v>-22839704.550000001</v>
      </c>
      <c r="N40" s="58"/>
      <c r="O40" s="38" t="str">
        <f t="shared" ca="1" si="88"/>
        <v>ERROR</v>
      </c>
      <c r="P40" s="39" t="str">
        <f t="shared" ca="1" si="89"/>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SUMIF($A$84:$A$757,B41&amp;"- "&amp;C41,$G$84:$G$757)</f>
        <v>0</v>
      </c>
      <c r="G41" s="114">
        <f>E41+F41</f>
        <v>0</v>
      </c>
      <c r="H41" s="114"/>
      <c r="I41" s="114"/>
      <c r="J41" s="114">
        <f ca="1">SUMIF($J$84:$M$745,B41&amp;"- "&amp;C41,$Q$84:$Q$745)</f>
        <v>0</v>
      </c>
      <c r="K41" s="114">
        <f ca="1">I41+J41</f>
        <v>0</v>
      </c>
      <c r="L41" s="114"/>
      <c r="M41" s="114">
        <f ca="1">+G41-K41</f>
        <v>0</v>
      </c>
      <c r="N41" s="18"/>
      <c r="O41" s="38" t="str">
        <f t="shared" ca="1" si="88"/>
        <v/>
      </c>
      <c r="P41" s="39" t="str">
        <f t="shared" ca="1" si="89"/>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SUMIF($A$84:$A$757,B42&amp;"- "&amp;C42,$G$84:$G$757)</f>
        <v>0</v>
      </c>
      <c r="G42" s="165">
        <f>E42+F42</f>
        <v>0</v>
      </c>
      <c r="H42" s="114"/>
      <c r="I42" s="165"/>
      <c r="J42" s="165">
        <f ca="1">SUMIF($J$84:$M$745,B42&amp;"- "&amp;C42,$Q$84:$Q$745)</f>
        <v>0</v>
      </c>
      <c r="K42" s="165">
        <f ca="1">I42+J42</f>
        <v>0</v>
      </c>
      <c r="L42" s="114"/>
      <c r="M42" s="165">
        <f ca="1">+G42-K42</f>
        <v>0</v>
      </c>
      <c r="N42" s="68"/>
      <c r="O42" s="38" t="str">
        <f t="shared" ca="1" si="88"/>
        <v/>
      </c>
      <c r="P42" s="39" t="str">
        <f t="shared" ca="1" si="89"/>
        <v/>
      </c>
      <c r="Q42" s="35"/>
      <c r="T42" s="41" t="str">
        <f ca="1">IF(J8=S33,"","ERROR")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SUMIF($A$84:$A$757,B43&amp;"- "&amp;C43,$G$84:$G$757)</f>
        <v>0</v>
      </c>
      <c r="G43" s="114">
        <f>E43+F43</f>
        <v>0</v>
      </c>
      <c r="H43" s="114"/>
      <c r="I43" s="114"/>
      <c r="J43" s="114">
        <f ca="1">SUMIF($J$84:$M$745,B43&amp;"- "&amp;C43,$Q$84:$Q$745)</f>
        <v>0</v>
      </c>
      <c r="K43" s="114">
        <f ca="1">I43+J43</f>
        <v>0</v>
      </c>
      <c r="L43" s="114"/>
      <c r="M43" s="114">
        <f ca="1">+G43-K43</f>
        <v>0</v>
      </c>
      <c r="N43" s="18"/>
      <c r="O43" s="38" t="str">
        <f t="shared" ca="1" si="88"/>
        <v/>
      </c>
      <c r="P43" s="39" t="str">
        <f t="shared" ca="1" si="89"/>
        <v/>
      </c>
      <c r="Q43" s="35"/>
      <c r="Y43" s="15">
        <f t="shared" si="80"/>
        <v>32</v>
      </c>
      <c r="Z43" s="25" t="str">
        <f t="shared" si="60"/>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2"/>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4"/>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SUMIF($A$84:$A$757,B44&amp;"- "&amp;C44,$G$84:$G$757)</f>
        <v>0</v>
      </c>
      <c r="G44" s="165">
        <f>E44+F44</f>
        <v>0</v>
      </c>
      <c r="H44" s="114"/>
      <c r="I44" s="165">
        <v>22839704.550000001</v>
      </c>
      <c r="J44" s="165">
        <f ca="1">SUMIF($J$84:$M$745,B44&amp;"- "&amp;C44,$Q$84:$Q$745)</f>
        <v>0</v>
      </c>
      <c r="K44" s="165">
        <f ca="1">I44+J44</f>
        <v>22839704.550000001</v>
      </c>
      <c r="L44" s="114"/>
      <c r="M44" s="165">
        <f ca="1">+G44-K44</f>
        <v>-22839704.550000001</v>
      </c>
      <c r="N44" s="68"/>
      <c r="O44" s="38" t="str">
        <f t="shared" ca="1" si="88"/>
        <v>ERROR</v>
      </c>
      <c r="P44" s="39" t="str">
        <f t="shared" ca="1" si="89"/>
        <v>Please insert comment</v>
      </c>
      <c r="Y44" s="15">
        <f t="shared" ref="Y44:Z46" si="90">B48</f>
        <v>33</v>
      </c>
      <c r="Z44" s="25" t="str">
        <f t="shared" si="90"/>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1">+B48</f>
        <v>33</v>
      </c>
      <c r="AM44" s="26" t="str">
        <f t="shared" si="91"/>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2">B48</f>
        <v>33</v>
      </c>
      <c r="AY44" s="26" t="str">
        <f t="shared" si="92"/>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88"/>
        <v/>
      </c>
      <c r="P45" s="39" t="str">
        <f t="shared" ca="1" si="89"/>
        <v/>
      </c>
      <c r="Y45" s="15">
        <f t="shared" si="90"/>
        <v>34</v>
      </c>
      <c r="Z45" s="25" t="str">
        <f t="shared" si="90"/>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1"/>
        <v>34</v>
      </c>
      <c r="AM45" s="26" t="str">
        <f t="shared" si="91"/>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2"/>
        <v>34</v>
      </c>
      <c r="AY45" s="26" t="str">
        <f t="shared" si="92"/>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SUMIF($A$84:$A$757,B46&amp;"- "&amp;C46,$G$84:$G$757)</f>
        <v>0</v>
      </c>
      <c r="G46" s="165">
        <f>E46+F46</f>
        <v>0</v>
      </c>
      <c r="H46" s="114"/>
      <c r="I46" s="165"/>
      <c r="J46" s="165">
        <f ca="1">SUMIF($J$84:$M$745,B46&amp;"- "&amp;C46,$Q$84:$Q$745)</f>
        <v>0</v>
      </c>
      <c r="K46" s="165">
        <f ca="1">I46+J46</f>
        <v>0</v>
      </c>
      <c r="L46" s="114"/>
      <c r="M46" s="165">
        <f ca="1">+G46-K46</f>
        <v>0</v>
      </c>
      <c r="N46" s="68"/>
      <c r="O46" s="38" t="str">
        <f t="shared" ca="1" si="88"/>
        <v/>
      </c>
      <c r="P46" s="39" t="str">
        <f t="shared" ca="1" si="89"/>
        <v/>
      </c>
      <c r="Y46" s="15">
        <f t="shared" si="90"/>
        <v>35</v>
      </c>
      <c r="Z46" s="25" t="str">
        <f t="shared" si="90"/>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1"/>
        <v>35</v>
      </c>
      <c r="AM46" s="26" t="str">
        <f t="shared" si="91"/>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2"/>
        <v>35</v>
      </c>
      <c r="AY46" s="26" t="str">
        <f t="shared" si="92"/>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SUMIF($A$84:$A$757,B48&amp;"- "&amp;C48,$G$84:$G$757)</f>
        <v>0</v>
      </c>
      <c r="G48" s="114">
        <f>E48+F48</f>
        <v>0</v>
      </c>
      <c r="H48" s="114"/>
      <c r="I48" s="114"/>
      <c r="J48" s="114">
        <f ca="1">SUMIF($J$84:$M$745,B48&amp;"- "&amp;C48,$Q$84:$Q$745)</f>
        <v>0</v>
      </c>
      <c r="K48" s="114">
        <f ca="1">I48+J48</f>
        <v>0</v>
      </c>
      <c r="L48" s="114"/>
      <c r="M48" s="114">
        <f ca="1">+G48-K48</f>
        <v>0</v>
      </c>
      <c r="N48" s="18"/>
      <c r="O48" s="38" t="str">
        <f t="shared" ca="1" si="88"/>
        <v/>
      </c>
      <c r="P48" s="39" t="str">
        <f t="shared" ca="1" si="89"/>
        <v/>
      </c>
      <c r="Y48" s="15">
        <f t="shared" si="80"/>
        <v>36</v>
      </c>
      <c r="Z48" s="25" t="str">
        <f t="shared" si="60"/>
        <v>Taxes environnementales sur les Stes forestières et Minières (+)</v>
      </c>
      <c r="AA48" s="16">
        <f t="shared" ref="AA48:AI49" si="93">SUMPRODUCT(($A$84:$A$757=$Y48&amp;"- "&amp;$Z48)*($C$84:$C$757=AA$1)*($G$84:$G$757))</f>
        <v>0</v>
      </c>
      <c r="AB48" s="16">
        <f t="shared" si="93"/>
        <v>0</v>
      </c>
      <c r="AC48" s="16">
        <f t="shared" si="93"/>
        <v>0</v>
      </c>
      <c r="AD48" s="16">
        <f t="shared" si="93"/>
        <v>0</v>
      </c>
      <c r="AE48" s="16">
        <f t="shared" si="93"/>
        <v>0</v>
      </c>
      <c r="AF48" s="16">
        <f t="shared" si="93"/>
        <v>0</v>
      </c>
      <c r="AG48" s="16">
        <f t="shared" si="93"/>
        <v>0</v>
      </c>
      <c r="AH48" s="16">
        <f t="shared" si="93"/>
        <v>0</v>
      </c>
      <c r="AI48" s="16">
        <f t="shared" si="93"/>
        <v>0</v>
      </c>
      <c r="AJ48" s="16">
        <f t="shared" si="82"/>
        <v>0</v>
      </c>
      <c r="AL48" s="17">
        <f t="shared" si="83"/>
        <v>36</v>
      </c>
      <c r="AM48" s="26" t="str">
        <f t="shared" si="62"/>
        <v>Taxes environnementales sur les Stes forestières et Minières (+)</v>
      </c>
      <c r="AN48" s="18">
        <f t="shared" ref="AN48:AU49" si="94">SUMPRODUCT(($J$84:$M$744=$AL48&amp;"- "&amp;$AM48)*($N$84:$N$744=AN$1)*($Q$84:$Q$744))</f>
        <v>0</v>
      </c>
      <c r="AO48" s="18">
        <f t="shared" si="94"/>
        <v>0</v>
      </c>
      <c r="AP48" s="18">
        <f t="shared" si="94"/>
        <v>0</v>
      </c>
      <c r="AQ48" s="18">
        <f t="shared" si="94"/>
        <v>0</v>
      </c>
      <c r="AR48" s="18">
        <f t="shared" si="94"/>
        <v>0</v>
      </c>
      <c r="AS48" s="18">
        <f t="shared" si="94"/>
        <v>0</v>
      </c>
      <c r="AT48" s="18">
        <f t="shared" si="94"/>
        <v>0</v>
      </c>
      <c r="AU48" s="18">
        <f t="shared" si="94"/>
        <v>0</v>
      </c>
      <c r="AV48" s="18">
        <f t="shared" si="85"/>
        <v>0</v>
      </c>
      <c r="AW48" s="38"/>
      <c r="AX48" s="17">
        <f t="shared" si="86"/>
        <v>36</v>
      </c>
      <c r="AY48" s="26" t="str">
        <f t="shared" si="64"/>
        <v>Taxes environnementales sur les Stes forestières et Minières (+)</v>
      </c>
      <c r="AZ48" s="18">
        <f t="shared" ref="AZ48:BK49" ca="1" si="95">SUMPRODUCT(($C$10:$C$75=$AY48)*($N$10:$N$75=AZ$1)*($M$10:$M$75))</f>
        <v>0</v>
      </c>
      <c r="BA48" s="18">
        <f t="shared" ca="1" si="95"/>
        <v>0</v>
      </c>
      <c r="BB48" s="18">
        <f t="shared" ca="1" si="95"/>
        <v>0</v>
      </c>
      <c r="BC48" s="18">
        <f t="shared" ca="1" si="95"/>
        <v>0</v>
      </c>
      <c r="BD48" s="18">
        <f t="shared" ca="1" si="95"/>
        <v>0</v>
      </c>
      <c r="BE48" s="18">
        <f t="shared" ca="1" si="95"/>
        <v>0</v>
      </c>
      <c r="BF48" s="18">
        <f t="shared" ca="1" si="95"/>
        <v>0</v>
      </c>
      <c r="BG48" s="18">
        <f t="shared" ca="1" si="95"/>
        <v>0</v>
      </c>
      <c r="BH48" s="18">
        <f t="shared" ca="1" si="95"/>
        <v>0</v>
      </c>
      <c r="BI48" s="18">
        <f t="shared" ca="1" si="95"/>
        <v>0</v>
      </c>
      <c r="BJ48" s="18">
        <f t="shared" ca="1" si="95"/>
        <v>0</v>
      </c>
      <c r="BK48" s="18">
        <f t="shared" ca="1" si="95"/>
        <v>0</v>
      </c>
    </row>
    <row r="49" spans="1:63">
      <c r="A49" s="80">
        <f t="shared" si="29"/>
        <v>34</v>
      </c>
      <c r="B49" s="64">
        <f>+'Taxes RCA 2022'!A42</f>
        <v>34</v>
      </c>
      <c r="C49" s="68" t="str">
        <f>+'Taxes RCA 2022'!B42</f>
        <v>Taxe de reboisement (+)</v>
      </c>
      <c r="E49" s="165"/>
      <c r="F49" s="165">
        <f>SUMIF($A$84:$A$757,B49&amp;"- "&amp;C49,$G$84:$G$757)</f>
        <v>0</v>
      </c>
      <c r="G49" s="165">
        <f>E49+F49</f>
        <v>0</v>
      </c>
      <c r="H49" s="114"/>
      <c r="I49" s="165"/>
      <c r="J49" s="165">
        <f ca="1">SUMIF($J$84:$M$745,B49&amp;"- "&amp;C49,$Q$84:$Q$745)</f>
        <v>0</v>
      </c>
      <c r="K49" s="165">
        <f ca="1">I49+J49</f>
        <v>0</v>
      </c>
      <c r="L49" s="114"/>
      <c r="M49" s="165">
        <f ca="1">+G49-K49</f>
        <v>0</v>
      </c>
      <c r="N49" s="68"/>
      <c r="O49" s="38" t="str">
        <f t="shared" ca="1" si="88"/>
        <v/>
      </c>
      <c r="P49" s="39" t="str">
        <f t="shared" ca="1" si="89"/>
        <v/>
      </c>
      <c r="Y49" s="15">
        <f t="shared" si="80"/>
        <v>0</v>
      </c>
      <c r="Z49" s="25" t="str">
        <f t="shared" si="60"/>
        <v>Affectations spéciales</v>
      </c>
      <c r="AA49" s="16">
        <f t="shared" si="93"/>
        <v>0</v>
      </c>
      <c r="AB49" s="16">
        <f t="shared" si="93"/>
        <v>0</v>
      </c>
      <c r="AC49" s="16">
        <f t="shared" si="93"/>
        <v>0</v>
      </c>
      <c r="AD49" s="16">
        <f t="shared" si="93"/>
        <v>0</v>
      </c>
      <c r="AE49" s="16">
        <f t="shared" si="93"/>
        <v>0</v>
      </c>
      <c r="AF49" s="16">
        <f t="shared" si="93"/>
        <v>0</v>
      </c>
      <c r="AG49" s="16">
        <f t="shared" si="93"/>
        <v>0</v>
      </c>
      <c r="AH49" s="16">
        <f t="shared" si="93"/>
        <v>0</v>
      </c>
      <c r="AI49" s="16">
        <f t="shared" si="93"/>
        <v>0</v>
      </c>
      <c r="AJ49" s="16">
        <f>SUM(AA49:AI49)</f>
        <v>0</v>
      </c>
      <c r="AL49" s="17">
        <f t="shared" si="83"/>
        <v>0</v>
      </c>
      <c r="AM49" s="26" t="str">
        <f t="shared" si="62"/>
        <v>Affectations spéciales</v>
      </c>
      <c r="AN49" s="18">
        <f t="shared" si="94"/>
        <v>0</v>
      </c>
      <c r="AO49" s="18">
        <f t="shared" si="94"/>
        <v>0</v>
      </c>
      <c r="AP49" s="18">
        <f t="shared" si="94"/>
        <v>0</v>
      </c>
      <c r="AQ49" s="18">
        <f t="shared" si="94"/>
        <v>0</v>
      </c>
      <c r="AR49" s="18">
        <f t="shared" si="94"/>
        <v>0</v>
      </c>
      <c r="AS49" s="18">
        <f t="shared" si="94"/>
        <v>0</v>
      </c>
      <c r="AT49" s="18">
        <f t="shared" si="94"/>
        <v>0</v>
      </c>
      <c r="AU49" s="18">
        <f t="shared" si="94"/>
        <v>0</v>
      </c>
      <c r="AV49" s="18">
        <f>SUM(AN49:AU49)</f>
        <v>0</v>
      </c>
      <c r="AW49" s="38"/>
      <c r="AX49" s="17">
        <f t="shared" si="86"/>
        <v>0</v>
      </c>
      <c r="AY49" s="26" t="str">
        <f t="shared" si="64"/>
        <v>Affectations spéciales</v>
      </c>
      <c r="AZ49" s="18">
        <f t="shared" ca="1" si="95"/>
        <v>0</v>
      </c>
      <c r="BA49" s="18">
        <f t="shared" ca="1" si="95"/>
        <v>0</v>
      </c>
      <c r="BB49" s="18">
        <f t="shared" ca="1" si="95"/>
        <v>0</v>
      </c>
      <c r="BC49" s="18">
        <f t="shared" ca="1" si="95"/>
        <v>0</v>
      </c>
      <c r="BD49" s="18">
        <f t="shared" ca="1" si="95"/>
        <v>0</v>
      </c>
      <c r="BE49" s="18">
        <f t="shared" ca="1" si="95"/>
        <v>0</v>
      </c>
      <c r="BF49" s="18">
        <f t="shared" ca="1" si="95"/>
        <v>0</v>
      </c>
      <c r="BG49" s="18">
        <f t="shared" ca="1" si="95"/>
        <v>0</v>
      </c>
      <c r="BH49" s="18">
        <f t="shared" ca="1" si="95"/>
        <v>0</v>
      </c>
      <c r="BI49" s="18">
        <f t="shared" ca="1" si="95"/>
        <v>0</v>
      </c>
      <c r="BJ49" s="18">
        <f t="shared" ca="1" si="95"/>
        <v>0</v>
      </c>
      <c r="BK49" s="18">
        <f t="shared" ca="1" si="95"/>
        <v>0</v>
      </c>
    </row>
    <row r="50" spans="1:63">
      <c r="A50" s="80">
        <f t="shared" si="29"/>
        <v>35</v>
      </c>
      <c r="B50" s="53">
        <f>+'Taxes RCA 2022'!A43</f>
        <v>35</v>
      </c>
      <c r="C50" s="18" t="str">
        <f>+'Taxes RCA 2022'!B43</f>
        <v>Droit de sortie (DS)/Taxe Export (+)</v>
      </c>
      <c r="E50" s="114"/>
      <c r="F50" s="114">
        <f>SUMIF($A$84:$A$757,B50&amp;"- "&amp;C50,$G$84:$G$757)</f>
        <v>0</v>
      </c>
      <c r="G50" s="114">
        <f>E50+F50</f>
        <v>0</v>
      </c>
      <c r="H50" s="114"/>
      <c r="I50" s="114"/>
      <c r="J50" s="114">
        <f ca="1">SUMIF($J$84:$M$745,B50&amp;"- "&amp;C50,$Q$84:$Q$745)</f>
        <v>0</v>
      </c>
      <c r="K50" s="114">
        <f ca="1">I50+J50</f>
        <v>0</v>
      </c>
      <c r="L50" s="114"/>
      <c r="M50" s="114">
        <f ca="1">+G50-K50</f>
        <v>0</v>
      </c>
      <c r="N50" s="18"/>
      <c r="O50" s="38" t="str">
        <f t="shared" ca="1" si="88"/>
        <v/>
      </c>
      <c r="P50" s="39" t="str">
        <f t="shared" ca="1" si="89"/>
        <v/>
      </c>
      <c r="Y50" s="28"/>
      <c r="Z50" s="28" t="str">
        <f t="shared" si="60"/>
        <v>Affectation au titre la taxe de reboisement (+)</v>
      </c>
      <c r="AA50" s="29">
        <f t="shared" ref="AA50:AJ50" si="96">SUM(AA51:AA59)</f>
        <v>0</v>
      </c>
      <c r="AB50" s="29">
        <f t="shared" si="96"/>
        <v>0</v>
      </c>
      <c r="AC50" s="29">
        <f t="shared" si="96"/>
        <v>0</v>
      </c>
      <c r="AD50" s="29">
        <f t="shared" si="96"/>
        <v>0</v>
      </c>
      <c r="AE50" s="29">
        <f t="shared" si="96"/>
        <v>0</v>
      </c>
      <c r="AF50" s="29">
        <f t="shared" si="96"/>
        <v>0</v>
      </c>
      <c r="AG50" s="29">
        <f t="shared" si="96"/>
        <v>0</v>
      </c>
      <c r="AH50" s="29">
        <f t="shared" si="96"/>
        <v>0</v>
      </c>
      <c r="AI50" s="29">
        <f t="shared" si="96"/>
        <v>0</v>
      </c>
      <c r="AJ50" s="29">
        <f t="shared" si="96"/>
        <v>0</v>
      </c>
      <c r="AL50" s="28"/>
      <c r="AM50" s="28" t="str">
        <f t="shared" si="62"/>
        <v>Affectation au titre la taxe de reboisement (+)</v>
      </c>
      <c r="AN50" s="29">
        <f t="shared" ref="AN50:AV50" si="97">SUM(AN51:AN59)</f>
        <v>0</v>
      </c>
      <c r="AO50" s="29">
        <f t="shared" si="97"/>
        <v>0</v>
      </c>
      <c r="AP50" s="29">
        <f t="shared" si="97"/>
        <v>0</v>
      </c>
      <c r="AQ50" s="29">
        <f t="shared" si="97"/>
        <v>0</v>
      </c>
      <c r="AR50" s="29">
        <f t="shared" si="97"/>
        <v>0</v>
      </c>
      <c r="AS50" s="29">
        <f t="shared" si="97"/>
        <v>0</v>
      </c>
      <c r="AT50" s="29">
        <f t="shared" si="97"/>
        <v>0</v>
      </c>
      <c r="AU50" s="29">
        <f t="shared" si="97"/>
        <v>0</v>
      </c>
      <c r="AV50" s="29">
        <f t="shared" si="97"/>
        <v>0</v>
      </c>
      <c r="AW50" s="18"/>
      <c r="AX50" s="28"/>
      <c r="AY50" s="28" t="str">
        <f t="shared" si="64"/>
        <v>Affectation au titre la taxe de reboisement (+)</v>
      </c>
      <c r="AZ50" s="29">
        <f t="shared" ref="AZ50:BK50" ca="1" si="98">SUM(AZ51:AZ59)</f>
        <v>0</v>
      </c>
      <c r="BA50" s="29">
        <f t="shared" ca="1" si="98"/>
        <v>0</v>
      </c>
      <c r="BB50" s="29">
        <f t="shared" ca="1" si="98"/>
        <v>0</v>
      </c>
      <c r="BC50" s="29">
        <f t="shared" ca="1" si="98"/>
        <v>0</v>
      </c>
      <c r="BD50" s="29">
        <f t="shared" ca="1" si="98"/>
        <v>0</v>
      </c>
      <c r="BE50" s="29">
        <f t="shared" ca="1" si="98"/>
        <v>0</v>
      </c>
      <c r="BF50" s="29">
        <f t="shared" ca="1" si="98"/>
        <v>0</v>
      </c>
      <c r="BG50" s="29">
        <f t="shared" ca="1" si="98"/>
        <v>0</v>
      </c>
      <c r="BH50" s="29">
        <f t="shared" ca="1" si="98"/>
        <v>0</v>
      </c>
      <c r="BI50" s="29">
        <f t="shared" ca="1" si="98"/>
        <v>0</v>
      </c>
      <c r="BJ50" s="29">
        <f t="shared" ca="1" si="98"/>
        <v>0</v>
      </c>
      <c r="BK50" s="29">
        <f t="shared" ca="1" si="98"/>
        <v>0</v>
      </c>
    </row>
    <row r="51" spans="1:63">
      <c r="A51" s="80">
        <f t="shared" si="29"/>
        <v>36</v>
      </c>
      <c r="B51" s="64">
        <f>+'Taxes RCA 2022'!A44</f>
        <v>36</v>
      </c>
      <c r="C51" s="68" t="str">
        <f>+'Taxes RCA 2022'!B44</f>
        <v>Taxes environnementales sur les Stes forestières et Minières (+)</v>
      </c>
      <c r="E51" s="165"/>
      <c r="F51" s="165">
        <f>SUMIF($A$84:$A$757,B51&amp;"- "&amp;C51,$G$84:$G$757)</f>
        <v>0</v>
      </c>
      <c r="G51" s="165">
        <f>E51+F51</f>
        <v>0</v>
      </c>
      <c r="H51" s="114"/>
      <c r="I51" s="165"/>
      <c r="J51" s="165">
        <f ca="1">SUMIF($J$84:$M$745,B51&amp;"- "&amp;C51,$Q$84:$Q$745)</f>
        <v>0</v>
      </c>
      <c r="K51" s="165">
        <f ca="1">I51+J51</f>
        <v>0</v>
      </c>
      <c r="L51" s="114"/>
      <c r="M51" s="165">
        <f ca="1">+G51-K51</f>
        <v>0</v>
      </c>
      <c r="N51" s="68"/>
      <c r="O51" s="38" t="str">
        <f t="shared" ca="1" si="88"/>
        <v/>
      </c>
      <c r="P51" s="39" t="str">
        <f t="shared" ca="1" si="89"/>
        <v/>
      </c>
      <c r="Y51" s="15">
        <f t="shared" ref="Y51:Y58" si="99">B54</f>
        <v>38</v>
      </c>
      <c r="Z51" s="25" t="str">
        <f t="shared" si="60"/>
        <v>Affectation au titre de taxe d’abattage (+)</v>
      </c>
      <c r="AA51" s="16">
        <f t="shared" ref="AA51:AI59" si="100">SUMPRODUCT(($A$84:$A$757=$Y51&amp;"- "&amp;$Z51)*($C$84:$C$757=AA$1)*($G$84:$G$757))</f>
        <v>0</v>
      </c>
      <c r="AB51" s="16">
        <f t="shared" si="100"/>
        <v>0</v>
      </c>
      <c r="AC51" s="16">
        <f t="shared" si="100"/>
        <v>0</v>
      </c>
      <c r="AD51" s="16">
        <f t="shared" si="100"/>
        <v>0</v>
      </c>
      <c r="AE51" s="16">
        <f t="shared" si="100"/>
        <v>0</v>
      </c>
      <c r="AF51" s="16">
        <f t="shared" si="100"/>
        <v>0</v>
      </c>
      <c r="AG51" s="16">
        <f t="shared" si="100"/>
        <v>0</v>
      </c>
      <c r="AH51" s="16">
        <f t="shared" si="100"/>
        <v>0</v>
      </c>
      <c r="AI51" s="16">
        <f t="shared" si="100"/>
        <v>0</v>
      </c>
      <c r="AJ51" s="16">
        <f t="shared" ref="AJ51:AJ59" si="101">SUM(AA51:AI51)</f>
        <v>0</v>
      </c>
      <c r="AL51" s="17">
        <f t="shared" ref="AL51:AL57" si="102">+B54</f>
        <v>38</v>
      </c>
      <c r="AM51" s="26" t="str">
        <f t="shared" si="62"/>
        <v>Affectation au titre de taxe d’abattage (+)</v>
      </c>
      <c r="AN51" s="18">
        <f t="shared" ref="AN51:AU59" si="103">SUMPRODUCT(($J$84:$M$744=$AL51&amp;"- "&amp;$AM51)*($N$84:$N$744=AN$1)*($Q$84:$Q$744))</f>
        <v>0</v>
      </c>
      <c r="AO51" s="18">
        <f t="shared" si="103"/>
        <v>0</v>
      </c>
      <c r="AP51" s="18">
        <f t="shared" si="103"/>
        <v>0</v>
      </c>
      <c r="AQ51" s="18">
        <f t="shared" si="103"/>
        <v>0</v>
      </c>
      <c r="AR51" s="18">
        <f t="shared" si="103"/>
        <v>0</v>
      </c>
      <c r="AS51" s="18">
        <f t="shared" si="103"/>
        <v>0</v>
      </c>
      <c r="AT51" s="18">
        <f t="shared" si="103"/>
        <v>0</v>
      </c>
      <c r="AU51" s="18">
        <f t="shared" si="103"/>
        <v>0</v>
      </c>
      <c r="AV51" s="18">
        <f t="shared" ref="AV51:AV59" si="104">SUM(AN51:AU51)</f>
        <v>0</v>
      </c>
      <c r="AW51" s="18"/>
      <c r="AX51" s="17">
        <f t="shared" ref="AX51:AX57" si="105">B54</f>
        <v>38</v>
      </c>
      <c r="AY51" s="26" t="str">
        <f t="shared" si="64"/>
        <v>Affectation au titre de taxe d’abattage (+)</v>
      </c>
      <c r="AZ51" s="18">
        <f t="shared" ref="AZ51:BK59" ca="1" si="106">SUMPRODUCT(($C$10:$C$75=$AY51)*($N$10:$N$75=AZ$1)*($M$10:$M$75))</f>
        <v>0</v>
      </c>
      <c r="BA51" s="18">
        <f t="shared" ca="1" si="106"/>
        <v>0</v>
      </c>
      <c r="BB51" s="18">
        <f t="shared" ca="1" si="106"/>
        <v>0</v>
      </c>
      <c r="BC51" s="18">
        <f t="shared" ca="1" si="106"/>
        <v>0</v>
      </c>
      <c r="BD51" s="18">
        <f t="shared" ca="1" si="106"/>
        <v>0</v>
      </c>
      <c r="BE51" s="18">
        <f t="shared" ca="1" si="106"/>
        <v>0</v>
      </c>
      <c r="BF51" s="18">
        <f t="shared" ca="1" si="106"/>
        <v>0</v>
      </c>
      <c r="BG51" s="18">
        <f t="shared" ca="1" si="106"/>
        <v>0</v>
      </c>
      <c r="BH51" s="18">
        <f t="shared" ca="1" si="106"/>
        <v>0</v>
      </c>
      <c r="BI51" s="18">
        <f t="shared" ca="1" si="106"/>
        <v>0</v>
      </c>
      <c r="BJ51" s="18">
        <f t="shared" ca="1" si="106"/>
        <v>0</v>
      </c>
      <c r="BK51" s="18">
        <f t="shared" ca="1" si="106"/>
        <v>0</v>
      </c>
    </row>
    <row r="52" spans="1:63">
      <c r="A52" s="80"/>
      <c r="B52" s="163"/>
      <c r="C52" s="58" t="str">
        <f>+'Taxes RCA 2022'!B45</f>
        <v>Affectations spéciales</v>
      </c>
      <c r="E52" s="166">
        <f>+E53+E54</f>
        <v>0</v>
      </c>
      <c r="F52" s="166">
        <f t="shared" ref="F52:G52" si="107">+F53+F54</f>
        <v>0</v>
      </c>
      <c r="G52" s="166">
        <f t="shared" si="107"/>
        <v>0</v>
      </c>
      <c r="H52" s="114"/>
      <c r="I52" s="166">
        <f>+I53+I54</f>
        <v>0</v>
      </c>
      <c r="J52" s="166">
        <f t="shared" ref="J52" ca="1" si="108">+J53+J54</f>
        <v>0</v>
      </c>
      <c r="K52" s="166">
        <f t="shared" ref="K52" ca="1" si="109">+K53+K54</f>
        <v>0</v>
      </c>
      <c r="L52" s="114"/>
      <c r="M52" s="166">
        <f t="shared" ref="M52" ca="1" si="110">+M53+M54</f>
        <v>0</v>
      </c>
      <c r="N52" s="58"/>
      <c r="O52" s="38" t="str">
        <f t="shared" ca="1" si="88"/>
        <v/>
      </c>
      <c r="P52" s="39" t="str">
        <f ca="1">IF(O52="ERROR","Please insert comment","")</f>
        <v/>
      </c>
      <c r="Y52" s="15">
        <f t="shared" si="99"/>
        <v>0</v>
      </c>
      <c r="Z52" s="25" t="str">
        <f t="shared" si="60"/>
        <v xml:space="preserve">Transferts du Trésor aux communes </v>
      </c>
      <c r="AA52" s="16">
        <f t="shared" si="100"/>
        <v>0</v>
      </c>
      <c r="AB52" s="16">
        <f t="shared" si="100"/>
        <v>0</v>
      </c>
      <c r="AC52" s="16">
        <f t="shared" si="100"/>
        <v>0</v>
      </c>
      <c r="AD52" s="16">
        <f t="shared" si="100"/>
        <v>0</v>
      </c>
      <c r="AE52" s="16">
        <f t="shared" si="100"/>
        <v>0</v>
      </c>
      <c r="AF52" s="16">
        <f t="shared" si="100"/>
        <v>0</v>
      </c>
      <c r="AG52" s="16">
        <f t="shared" si="100"/>
        <v>0</v>
      </c>
      <c r="AH52" s="16">
        <f t="shared" si="100"/>
        <v>0</v>
      </c>
      <c r="AI52" s="16">
        <f t="shared" si="100"/>
        <v>0</v>
      </c>
      <c r="AJ52" s="16">
        <f t="shared" si="101"/>
        <v>0</v>
      </c>
      <c r="AL52" s="17">
        <f t="shared" si="102"/>
        <v>0</v>
      </c>
      <c r="AM52" s="26" t="str">
        <f t="shared" si="62"/>
        <v xml:space="preserve">Transferts du Trésor aux communes </v>
      </c>
      <c r="AN52" s="18">
        <f t="shared" si="103"/>
        <v>0</v>
      </c>
      <c r="AO52" s="18">
        <f t="shared" si="103"/>
        <v>0</v>
      </c>
      <c r="AP52" s="18">
        <f t="shared" si="103"/>
        <v>0</v>
      </c>
      <c r="AQ52" s="18">
        <f t="shared" si="103"/>
        <v>0</v>
      </c>
      <c r="AR52" s="18">
        <f t="shared" si="103"/>
        <v>0</v>
      </c>
      <c r="AS52" s="18">
        <f t="shared" si="103"/>
        <v>0</v>
      </c>
      <c r="AT52" s="18">
        <f t="shared" si="103"/>
        <v>0</v>
      </c>
      <c r="AU52" s="18">
        <f t="shared" si="103"/>
        <v>0</v>
      </c>
      <c r="AV52" s="18">
        <f t="shared" si="104"/>
        <v>0</v>
      </c>
      <c r="AW52" s="38"/>
      <c r="AX52" s="17">
        <f t="shared" si="105"/>
        <v>0</v>
      </c>
      <c r="AY52" s="26" t="str">
        <f t="shared" si="64"/>
        <v xml:space="preserve">Transferts du Trésor aux communes </v>
      </c>
      <c r="AZ52" s="18">
        <f t="shared" ca="1" si="106"/>
        <v>0</v>
      </c>
      <c r="BA52" s="18">
        <f t="shared" ca="1" si="106"/>
        <v>0</v>
      </c>
      <c r="BB52" s="18">
        <f t="shared" ca="1" si="106"/>
        <v>0</v>
      </c>
      <c r="BC52" s="18">
        <f t="shared" ca="1" si="106"/>
        <v>0</v>
      </c>
      <c r="BD52" s="18">
        <f t="shared" ca="1" si="106"/>
        <v>0</v>
      </c>
      <c r="BE52" s="18">
        <f t="shared" ca="1" si="106"/>
        <v>0</v>
      </c>
      <c r="BF52" s="18">
        <f t="shared" ca="1" si="106"/>
        <v>0</v>
      </c>
      <c r="BG52" s="18">
        <f t="shared" ca="1" si="106"/>
        <v>0</v>
      </c>
      <c r="BH52" s="18">
        <f t="shared" ca="1" si="106"/>
        <v>0</v>
      </c>
      <c r="BI52" s="18">
        <f t="shared" ca="1" si="106"/>
        <v>0</v>
      </c>
      <c r="BJ52" s="18">
        <f t="shared" ca="1" si="106"/>
        <v>0</v>
      </c>
      <c r="BK52" s="18">
        <f t="shared" ca="1" si="106"/>
        <v>0</v>
      </c>
    </row>
    <row r="53" spans="1:63">
      <c r="A53" s="80">
        <f t="shared" si="29"/>
        <v>37</v>
      </c>
      <c r="B53" s="53">
        <f>+'Taxes RCA 2022'!A46</f>
        <v>37</v>
      </c>
      <c r="C53" s="18" t="str">
        <f>+'Taxes RCA 2022'!B46</f>
        <v>Affectation au titre la taxe de reboisement (+)</v>
      </c>
      <c r="E53" s="114"/>
      <c r="F53" s="114">
        <f>SUMIF($A$84:$A$757,B53&amp;"- "&amp;C53,$G$84:$G$757)</f>
        <v>0</v>
      </c>
      <c r="G53" s="114">
        <f>E53+F53</f>
        <v>0</v>
      </c>
      <c r="H53" s="114"/>
      <c r="I53" s="114"/>
      <c r="J53" s="114">
        <f ca="1">SUMIF($J$84:$M$745,B53&amp;"- "&amp;C53,$Q$84:$Q$745)</f>
        <v>0</v>
      </c>
      <c r="K53" s="114">
        <f ca="1">I53+J53</f>
        <v>0</v>
      </c>
      <c r="L53" s="114"/>
      <c r="M53" s="114">
        <f ca="1">+G53-K53</f>
        <v>0</v>
      </c>
      <c r="N53" s="18"/>
      <c r="O53" s="38"/>
      <c r="P53" s="39"/>
      <c r="Y53" s="15">
        <f t="shared" si="99"/>
        <v>0</v>
      </c>
      <c r="Z53" s="25" t="str">
        <f t="shared" si="60"/>
        <v>Transfert du trésor aux communes</v>
      </c>
      <c r="AA53" s="16">
        <f t="shared" si="100"/>
        <v>0</v>
      </c>
      <c r="AB53" s="16">
        <f t="shared" si="100"/>
        <v>0</v>
      </c>
      <c r="AC53" s="16">
        <f t="shared" si="100"/>
        <v>0</v>
      </c>
      <c r="AD53" s="16">
        <f t="shared" si="100"/>
        <v>0</v>
      </c>
      <c r="AE53" s="16">
        <f t="shared" si="100"/>
        <v>0</v>
      </c>
      <c r="AF53" s="16">
        <f t="shared" si="100"/>
        <v>0</v>
      </c>
      <c r="AG53" s="16">
        <f t="shared" si="100"/>
        <v>0</v>
      </c>
      <c r="AH53" s="16">
        <f t="shared" si="100"/>
        <v>0</v>
      </c>
      <c r="AI53" s="16">
        <f t="shared" si="100"/>
        <v>0</v>
      </c>
      <c r="AJ53" s="16">
        <f t="shared" si="101"/>
        <v>0</v>
      </c>
      <c r="AL53" s="17">
        <f t="shared" si="102"/>
        <v>0</v>
      </c>
      <c r="AM53" s="26" t="str">
        <f t="shared" si="62"/>
        <v>Transfert du trésor aux communes</v>
      </c>
      <c r="AN53" s="18">
        <f t="shared" si="103"/>
        <v>0</v>
      </c>
      <c r="AO53" s="18">
        <f t="shared" si="103"/>
        <v>0</v>
      </c>
      <c r="AP53" s="18">
        <f t="shared" si="103"/>
        <v>0</v>
      </c>
      <c r="AQ53" s="18">
        <f t="shared" si="103"/>
        <v>0</v>
      </c>
      <c r="AR53" s="18">
        <f t="shared" si="103"/>
        <v>0</v>
      </c>
      <c r="AS53" s="18">
        <f t="shared" si="103"/>
        <v>0</v>
      </c>
      <c r="AT53" s="18">
        <f t="shared" si="103"/>
        <v>0</v>
      </c>
      <c r="AU53" s="18">
        <f t="shared" si="103"/>
        <v>0</v>
      </c>
      <c r="AV53" s="18">
        <f t="shared" si="104"/>
        <v>0</v>
      </c>
      <c r="AW53" s="18"/>
      <c r="AX53" s="17">
        <f t="shared" si="105"/>
        <v>0</v>
      </c>
      <c r="AY53" s="26" t="str">
        <f t="shared" si="64"/>
        <v>Transfert du trésor aux communes</v>
      </c>
      <c r="AZ53" s="18">
        <f t="shared" ca="1" si="106"/>
        <v>0</v>
      </c>
      <c r="BA53" s="18">
        <f t="shared" ca="1" si="106"/>
        <v>0</v>
      </c>
      <c r="BB53" s="18">
        <f t="shared" ca="1" si="106"/>
        <v>0</v>
      </c>
      <c r="BC53" s="18">
        <f t="shared" ca="1" si="106"/>
        <v>0</v>
      </c>
      <c r="BD53" s="18">
        <f t="shared" ca="1" si="106"/>
        <v>0</v>
      </c>
      <c r="BE53" s="18">
        <f t="shared" ca="1" si="106"/>
        <v>0</v>
      </c>
      <c r="BF53" s="18">
        <f t="shared" ca="1" si="106"/>
        <v>0</v>
      </c>
      <c r="BG53" s="18">
        <f t="shared" ca="1" si="106"/>
        <v>0</v>
      </c>
      <c r="BH53" s="18">
        <f t="shared" ca="1" si="106"/>
        <v>0</v>
      </c>
      <c r="BI53" s="18">
        <f t="shared" ca="1" si="106"/>
        <v>0</v>
      </c>
      <c r="BJ53" s="18">
        <f t="shared" ca="1" si="106"/>
        <v>0</v>
      </c>
      <c r="BK53" s="18">
        <f t="shared" ca="1" si="106"/>
        <v>0</v>
      </c>
    </row>
    <row r="54" spans="1:63">
      <c r="A54" s="80">
        <f t="shared" si="29"/>
        <v>38</v>
      </c>
      <c r="B54" s="64">
        <f>+'Taxes RCA 2022'!A47</f>
        <v>38</v>
      </c>
      <c r="C54" s="68" t="str">
        <f>+'Taxes RCA 2022'!B47</f>
        <v>Affectation au titre de taxe d’abattage (+)</v>
      </c>
      <c r="E54" s="165"/>
      <c r="F54" s="165">
        <f>SUMIF($A$84:$A$757,B54&amp;"- "&amp;C54,$G$84:$G$757)</f>
        <v>0</v>
      </c>
      <c r="G54" s="165">
        <f>E54+F54</f>
        <v>0</v>
      </c>
      <c r="H54" s="114"/>
      <c r="I54" s="165"/>
      <c r="J54" s="165">
        <f ca="1">SUMIF($J$84:$M$745,B54&amp;"- "&amp;C54,$Q$84:$Q$745)</f>
        <v>0</v>
      </c>
      <c r="K54" s="165">
        <f ca="1">I54+J54</f>
        <v>0</v>
      </c>
      <c r="L54" s="114"/>
      <c r="M54" s="165">
        <f ca="1">+G54-K54</f>
        <v>0</v>
      </c>
      <c r="N54" s="68"/>
      <c r="O54" s="38" t="str">
        <f ca="1">IF(M54=0,"",IF(N54=0,"ERROR",""))</f>
        <v/>
      </c>
      <c r="P54" s="39" t="str">
        <f ca="1">IF(O54="ERROR","Please insert comment","")</f>
        <v/>
      </c>
      <c r="Y54" s="15">
        <f t="shared" si="99"/>
        <v>39</v>
      </c>
      <c r="Z54" s="25" t="str">
        <f t="shared" ref="Z54:Z61" si="111">C57</f>
        <v>Transfert infranational au titre de la taxe d'abattage (+)</v>
      </c>
      <c r="AA54" s="16">
        <f t="shared" si="100"/>
        <v>0</v>
      </c>
      <c r="AB54" s="16">
        <f t="shared" si="100"/>
        <v>0</v>
      </c>
      <c r="AC54" s="16">
        <f t="shared" si="100"/>
        <v>0</v>
      </c>
      <c r="AD54" s="16">
        <f t="shared" si="100"/>
        <v>0</v>
      </c>
      <c r="AE54" s="16">
        <f t="shared" si="100"/>
        <v>0</v>
      </c>
      <c r="AF54" s="16">
        <f t="shared" si="100"/>
        <v>0</v>
      </c>
      <c r="AG54" s="16">
        <f t="shared" si="100"/>
        <v>0</v>
      </c>
      <c r="AH54" s="16">
        <f t="shared" si="100"/>
        <v>0</v>
      </c>
      <c r="AI54" s="16">
        <f t="shared" si="100"/>
        <v>0</v>
      </c>
      <c r="AJ54" s="16">
        <f t="shared" si="101"/>
        <v>0</v>
      </c>
      <c r="AL54" s="17">
        <f t="shared" si="102"/>
        <v>39</v>
      </c>
      <c r="AM54" s="26" t="str">
        <f t="shared" ref="AM54:AM61" si="112">+C57</f>
        <v>Transfert infranational au titre de la taxe d'abattage (+)</v>
      </c>
      <c r="AN54" s="18">
        <f t="shared" si="103"/>
        <v>0</v>
      </c>
      <c r="AO54" s="18">
        <f t="shared" si="103"/>
        <v>0</v>
      </c>
      <c r="AP54" s="18">
        <f t="shared" si="103"/>
        <v>0</v>
      </c>
      <c r="AQ54" s="18">
        <f t="shared" si="103"/>
        <v>0</v>
      </c>
      <c r="AR54" s="18">
        <f t="shared" si="103"/>
        <v>0</v>
      </c>
      <c r="AS54" s="18">
        <f t="shared" si="103"/>
        <v>0</v>
      </c>
      <c r="AT54" s="18">
        <f t="shared" si="103"/>
        <v>0</v>
      </c>
      <c r="AU54" s="18">
        <f t="shared" si="103"/>
        <v>0</v>
      </c>
      <c r="AV54" s="18">
        <f t="shared" si="104"/>
        <v>0</v>
      </c>
      <c r="AW54" s="18"/>
      <c r="AX54" s="17">
        <f t="shared" si="105"/>
        <v>39</v>
      </c>
      <c r="AY54" s="26" t="str">
        <f t="shared" ref="AY54:AY61" si="113">C57</f>
        <v>Transfert infranational au titre de la taxe d'abattage (+)</v>
      </c>
      <c r="AZ54" s="18">
        <f t="shared" ca="1" si="106"/>
        <v>0</v>
      </c>
      <c r="BA54" s="18">
        <f t="shared" ca="1" si="106"/>
        <v>0</v>
      </c>
      <c r="BB54" s="18">
        <f t="shared" ca="1" si="106"/>
        <v>0</v>
      </c>
      <c r="BC54" s="18">
        <f t="shared" ca="1" si="106"/>
        <v>0</v>
      </c>
      <c r="BD54" s="18">
        <f t="shared" ca="1" si="106"/>
        <v>0</v>
      </c>
      <c r="BE54" s="18">
        <f t="shared" ca="1" si="106"/>
        <v>0</v>
      </c>
      <c r="BF54" s="18">
        <f t="shared" ca="1" si="106"/>
        <v>0</v>
      </c>
      <c r="BG54" s="18">
        <f t="shared" ca="1" si="106"/>
        <v>0</v>
      </c>
      <c r="BH54" s="18">
        <f t="shared" ca="1" si="106"/>
        <v>0</v>
      </c>
      <c r="BI54" s="18">
        <f t="shared" ca="1" si="106"/>
        <v>0</v>
      </c>
      <c r="BJ54" s="18">
        <f t="shared" ca="1" si="106"/>
        <v>0</v>
      </c>
      <c r="BK54" s="18">
        <f t="shared" ca="1" si="106"/>
        <v>0</v>
      </c>
    </row>
    <row r="55" spans="1:63">
      <c r="A55" s="80">
        <f t="shared" si="29"/>
        <v>0</v>
      </c>
      <c r="B55" s="163"/>
      <c r="C55" s="58" t="str">
        <f>+'Taxes RCA 2022'!B48</f>
        <v xml:space="preserve">Transferts du Trésor aux communes </v>
      </c>
      <c r="E55" s="166">
        <f>SUM(E56:E61)</f>
        <v>0</v>
      </c>
      <c r="F55" s="166">
        <f t="shared" ref="F55:G55" si="114">SUM(F56:F61)</f>
        <v>0</v>
      </c>
      <c r="G55" s="166">
        <f t="shared" si="114"/>
        <v>0</v>
      </c>
      <c r="H55" s="114"/>
      <c r="I55" s="166">
        <f>SUM(I56:I61)</f>
        <v>0</v>
      </c>
      <c r="J55" s="166">
        <f t="shared" ref="J55" ca="1" si="115">SUM(J56:J61)</f>
        <v>0</v>
      </c>
      <c r="K55" s="166">
        <f t="shared" ref="K55" ca="1" si="116">SUM(K56:K61)</f>
        <v>0</v>
      </c>
      <c r="L55" s="114"/>
      <c r="M55" s="166">
        <f t="shared" ref="M55" ca="1" si="117">SUM(M56:M61)</f>
        <v>0</v>
      </c>
      <c r="N55" s="58"/>
      <c r="O55" s="38" t="str">
        <f ca="1">IF(M55=0,"",IF(N55=0,"ERROR",""))</f>
        <v/>
      </c>
      <c r="P55" s="39" t="str">
        <f ca="1">IF(O55="ERROR","Please insert comment","")</f>
        <v/>
      </c>
      <c r="Y55" s="15">
        <f t="shared" si="99"/>
        <v>40</v>
      </c>
      <c r="Z55" s="25" t="str">
        <f t="shared" si="111"/>
        <v>Transfert infranational au titre de la taxe reboisement (+)</v>
      </c>
      <c r="AA55" s="16">
        <f t="shared" si="100"/>
        <v>0</v>
      </c>
      <c r="AB55" s="16">
        <f t="shared" si="100"/>
        <v>0</v>
      </c>
      <c r="AC55" s="16">
        <f t="shared" si="100"/>
        <v>0</v>
      </c>
      <c r="AD55" s="16">
        <f t="shared" si="100"/>
        <v>0</v>
      </c>
      <c r="AE55" s="16">
        <f t="shared" si="100"/>
        <v>0</v>
      </c>
      <c r="AF55" s="16">
        <f t="shared" si="100"/>
        <v>0</v>
      </c>
      <c r="AG55" s="16">
        <f t="shared" si="100"/>
        <v>0</v>
      </c>
      <c r="AH55" s="16">
        <f t="shared" si="100"/>
        <v>0</v>
      </c>
      <c r="AI55" s="16">
        <f t="shared" si="100"/>
        <v>0</v>
      </c>
      <c r="AJ55" s="16">
        <f t="shared" si="101"/>
        <v>0</v>
      </c>
      <c r="AL55" s="17">
        <f t="shared" si="102"/>
        <v>40</v>
      </c>
      <c r="AM55" s="26" t="str">
        <f t="shared" si="112"/>
        <v>Transfert infranational au titre de la taxe reboisement (+)</v>
      </c>
      <c r="AN55" s="18">
        <f t="shared" si="103"/>
        <v>0</v>
      </c>
      <c r="AO55" s="18">
        <f t="shared" si="103"/>
        <v>0</v>
      </c>
      <c r="AP55" s="18">
        <f t="shared" si="103"/>
        <v>0</v>
      </c>
      <c r="AQ55" s="18">
        <f t="shared" si="103"/>
        <v>0</v>
      </c>
      <c r="AR55" s="18">
        <f t="shared" si="103"/>
        <v>0</v>
      </c>
      <c r="AS55" s="18">
        <f t="shared" si="103"/>
        <v>0</v>
      </c>
      <c r="AT55" s="18">
        <f t="shared" si="103"/>
        <v>0</v>
      </c>
      <c r="AU55" s="18">
        <f t="shared" si="103"/>
        <v>0</v>
      </c>
      <c r="AV55" s="18">
        <f t="shared" si="104"/>
        <v>0</v>
      </c>
      <c r="AW55" s="18"/>
      <c r="AX55" s="17">
        <f t="shared" si="105"/>
        <v>40</v>
      </c>
      <c r="AY55" s="26" t="str">
        <f t="shared" si="113"/>
        <v>Transfert infranational au titre de la taxe reboisement (+)</v>
      </c>
      <c r="AZ55" s="18">
        <f t="shared" ca="1" si="106"/>
        <v>0</v>
      </c>
      <c r="BA55" s="18">
        <f t="shared" ca="1" si="106"/>
        <v>0</v>
      </c>
      <c r="BB55" s="18">
        <f t="shared" ca="1" si="106"/>
        <v>0</v>
      </c>
      <c r="BC55" s="18">
        <f t="shared" ca="1" si="106"/>
        <v>0</v>
      </c>
      <c r="BD55" s="18">
        <f t="shared" ca="1" si="106"/>
        <v>0</v>
      </c>
      <c r="BE55" s="18">
        <f t="shared" ca="1" si="106"/>
        <v>0</v>
      </c>
      <c r="BF55" s="18">
        <f t="shared" ca="1" si="106"/>
        <v>0</v>
      </c>
      <c r="BG55" s="18">
        <f t="shared" ca="1" si="106"/>
        <v>0</v>
      </c>
      <c r="BH55" s="18">
        <f t="shared" ca="1" si="106"/>
        <v>0</v>
      </c>
      <c r="BI55" s="18">
        <f t="shared" ca="1" si="106"/>
        <v>0</v>
      </c>
      <c r="BJ55" s="18">
        <f t="shared" ca="1" si="106"/>
        <v>0</v>
      </c>
      <c r="BK55" s="18">
        <f t="shared" ca="1" si="106"/>
        <v>0</v>
      </c>
    </row>
    <row r="56" spans="1:63">
      <c r="A56" s="80"/>
      <c r="B56" s="53">
        <f>+'Taxes RCA 2022'!A49</f>
        <v>0</v>
      </c>
      <c r="C56" s="18" t="str">
        <f>+'Taxes RCA 2022'!B49</f>
        <v>Transfert du trésor aux communes</v>
      </c>
      <c r="E56" s="114"/>
      <c r="F56" s="114">
        <f t="shared" ref="F56:F61" si="118">SUMIF($A$84:$A$757,B56&amp;"- "&amp;C56,$G$84:$G$757)</f>
        <v>0</v>
      </c>
      <c r="G56" s="114">
        <f t="shared" ref="G56:G61" si="119">E56+F56</f>
        <v>0</v>
      </c>
      <c r="H56" s="114"/>
      <c r="I56" s="114"/>
      <c r="J56" s="114">
        <f t="shared" ref="J56:J61" ca="1" si="120">SUMIF($J$84:$M$745,B56&amp;"- "&amp;C56,$Q$84:$Q$745)</f>
        <v>0</v>
      </c>
      <c r="K56" s="114">
        <f t="shared" ref="K56:K61" ca="1" si="121">I56+J56</f>
        <v>0</v>
      </c>
      <c r="L56" s="114"/>
      <c r="M56" s="114">
        <f t="shared" ref="M56:M61" ca="1" si="122">+G56-K56</f>
        <v>0</v>
      </c>
      <c r="N56" s="18"/>
      <c r="O56" s="38"/>
      <c r="P56" s="39"/>
      <c r="Y56" s="15">
        <f t="shared" si="99"/>
        <v>41</v>
      </c>
      <c r="Z56" s="25" t="str">
        <f t="shared" si="111"/>
        <v>Transfert infranational au titre de la taxe environnementale (+)</v>
      </c>
      <c r="AA56" s="16">
        <f t="shared" si="100"/>
        <v>0</v>
      </c>
      <c r="AB56" s="16">
        <f t="shared" si="100"/>
        <v>0</v>
      </c>
      <c r="AC56" s="16">
        <f t="shared" si="100"/>
        <v>0</v>
      </c>
      <c r="AD56" s="16">
        <f t="shared" si="100"/>
        <v>0</v>
      </c>
      <c r="AE56" s="16">
        <f t="shared" si="100"/>
        <v>0</v>
      </c>
      <c r="AF56" s="16">
        <f t="shared" si="100"/>
        <v>0</v>
      </c>
      <c r="AG56" s="16">
        <f t="shared" si="100"/>
        <v>0</v>
      </c>
      <c r="AH56" s="16">
        <f t="shared" si="100"/>
        <v>0</v>
      </c>
      <c r="AI56" s="16">
        <f t="shared" si="100"/>
        <v>0</v>
      </c>
      <c r="AJ56" s="16">
        <f t="shared" si="101"/>
        <v>0</v>
      </c>
      <c r="AL56" s="17">
        <f t="shared" si="102"/>
        <v>41</v>
      </c>
      <c r="AM56" s="26" t="str">
        <f t="shared" si="112"/>
        <v>Transfert infranational au titre de la taxe environnementale (+)</v>
      </c>
      <c r="AN56" s="18">
        <f t="shared" si="103"/>
        <v>0</v>
      </c>
      <c r="AO56" s="18">
        <f t="shared" si="103"/>
        <v>0</v>
      </c>
      <c r="AP56" s="18">
        <f t="shared" si="103"/>
        <v>0</v>
      </c>
      <c r="AQ56" s="18">
        <f t="shared" si="103"/>
        <v>0</v>
      </c>
      <c r="AR56" s="18">
        <f t="shared" si="103"/>
        <v>0</v>
      </c>
      <c r="AS56" s="18">
        <f t="shared" si="103"/>
        <v>0</v>
      </c>
      <c r="AT56" s="18">
        <f t="shared" si="103"/>
        <v>0</v>
      </c>
      <c r="AU56" s="18">
        <f t="shared" si="103"/>
        <v>0</v>
      </c>
      <c r="AV56" s="18">
        <f t="shared" si="104"/>
        <v>0</v>
      </c>
      <c r="AW56" s="18"/>
      <c r="AX56" s="17">
        <f t="shared" si="105"/>
        <v>41</v>
      </c>
      <c r="AY56" s="26" t="str">
        <f t="shared" si="113"/>
        <v>Transfert infranational au titre de la taxe environnementale (+)</v>
      </c>
      <c r="AZ56" s="18">
        <f t="shared" ca="1" si="106"/>
        <v>0</v>
      </c>
      <c r="BA56" s="18">
        <f t="shared" ca="1" si="106"/>
        <v>0</v>
      </c>
      <c r="BB56" s="18">
        <f t="shared" ca="1" si="106"/>
        <v>0</v>
      </c>
      <c r="BC56" s="18">
        <f t="shared" ca="1" si="106"/>
        <v>0</v>
      </c>
      <c r="BD56" s="18">
        <f t="shared" ca="1" si="106"/>
        <v>0</v>
      </c>
      <c r="BE56" s="18">
        <f t="shared" ca="1" si="106"/>
        <v>0</v>
      </c>
      <c r="BF56" s="18">
        <f t="shared" ca="1" si="106"/>
        <v>0</v>
      </c>
      <c r="BG56" s="18">
        <f t="shared" ca="1" si="106"/>
        <v>0</v>
      </c>
      <c r="BH56" s="18">
        <f t="shared" ca="1" si="106"/>
        <v>0</v>
      </c>
      <c r="BI56" s="18">
        <f t="shared" ca="1" si="106"/>
        <v>0</v>
      </c>
      <c r="BJ56" s="18">
        <f t="shared" ca="1" si="106"/>
        <v>0</v>
      </c>
      <c r="BK56" s="18">
        <f t="shared" ca="1" si="106"/>
        <v>0</v>
      </c>
    </row>
    <row r="57" spans="1:63">
      <c r="A57" s="80"/>
      <c r="B57" s="64">
        <f>+'Taxes RCA 2022'!A50</f>
        <v>39</v>
      </c>
      <c r="C57" s="68" t="str">
        <f>+'Taxes RCA 2022'!B50</f>
        <v>Transfert infranational au titre de la taxe d'abattage (+)</v>
      </c>
      <c r="E57" s="165"/>
      <c r="F57" s="165">
        <f t="shared" si="118"/>
        <v>0</v>
      </c>
      <c r="G57" s="165">
        <f t="shared" si="119"/>
        <v>0</v>
      </c>
      <c r="H57" s="114"/>
      <c r="I57" s="165"/>
      <c r="J57" s="165">
        <f t="shared" ca="1" si="120"/>
        <v>0</v>
      </c>
      <c r="K57" s="165">
        <f t="shared" ca="1" si="121"/>
        <v>0</v>
      </c>
      <c r="L57" s="114"/>
      <c r="M57" s="165">
        <f t="shared" ca="1" si="122"/>
        <v>0</v>
      </c>
      <c r="N57" s="68"/>
      <c r="O57" s="38"/>
      <c r="P57" s="39"/>
      <c r="Y57" s="15">
        <f t="shared" si="99"/>
        <v>42</v>
      </c>
      <c r="Z57" s="25" t="str">
        <f t="shared" si="111"/>
        <v>Droit de sortie (DS)/Taxe Export (+)</v>
      </c>
      <c r="AA57" s="16">
        <f t="shared" si="100"/>
        <v>0</v>
      </c>
      <c r="AB57" s="16">
        <f t="shared" si="100"/>
        <v>0</v>
      </c>
      <c r="AC57" s="16">
        <f t="shared" si="100"/>
        <v>0</v>
      </c>
      <c r="AD57" s="16">
        <f t="shared" si="100"/>
        <v>0</v>
      </c>
      <c r="AE57" s="16">
        <f t="shared" si="100"/>
        <v>0</v>
      </c>
      <c r="AF57" s="16">
        <f t="shared" si="100"/>
        <v>0</v>
      </c>
      <c r="AG57" s="16">
        <f t="shared" si="100"/>
        <v>0</v>
      </c>
      <c r="AH57" s="16">
        <f t="shared" si="100"/>
        <v>0</v>
      </c>
      <c r="AI57" s="16">
        <f t="shared" si="100"/>
        <v>0</v>
      </c>
      <c r="AJ57" s="16">
        <f t="shared" si="101"/>
        <v>0</v>
      </c>
      <c r="AL57" s="17">
        <f t="shared" si="102"/>
        <v>42</v>
      </c>
      <c r="AM57" s="26" t="str">
        <f t="shared" si="112"/>
        <v>Droit de sortie (DS)/Taxe Export (+)</v>
      </c>
      <c r="AN57" s="18">
        <f t="shared" si="103"/>
        <v>0</v>
      </c>
      <c r="AO57" s="18">
        <f t="shared" si="103"/>
        <v>0</v>
      </c>
      <c r="AP57" s="18">
        <f t="shared" si="103"/>
        <v>0</v>
      </c>
      <c r="AQ57" s="18">
        <f t="shared" si="103"/>
        <v>0</v>
      </c>
      <c r="AR57" s="18">
        <f t="shared" si="103"/>
        <v>0</v>
      </c>
      <c r="AS57" s="18">
        <f t="shared" si="103"/>
        <v>0</v>
      </c>
      <c r="AT57" s="18">
        <f t="shared" si="103"/>
        <v>0</v>
      </c>
      <c r="AU57" s="18">
        <f t="shared" si="103"/>
        <v>0</v>
      </c>
      <c r="AV57" s="18">
        <f t="shared" si="104"/>
        <v>0</v>
      </c>
      <c r="AW57" s="18"/>
      <c r="AX57" s="17">
        <f t="shared" si="105"/>
        <v>42</v>
      </c>
      <c r="AY57" s="26" t="str">
        <f t="shared" si="113"/>
        <v>Droit de sortie (DS)/Taxe Export (+)</v>
      </c>
      <c r="AZ57" s="18">
        <f t="shared" ca="1" si="106"/>
        <v>0</v>
      </c>
      <c r="BA57" s="18">
        <f t="shared" ca="1" si="106"/>
        <v>0</v>
      </c>
      <c r="BB57" s="18">
        <f t="shared" ca="1" si="106"/>
        <v>0</v>
      </c>
      <c r="BC57" s="18">
        <f t="shared" ca="1" si="106"/>
        <v>0</v>
      </c>
      <c r="BD57" s="18">
        <f t="shared" ca="1" si="106"/>
        <v>0</v>
      </c>
      <c r="BE57" s="18">
        <f t="shared" ca="1" si="106"/>
        <v>0</v>
      </c>
      <c r="BF57" s="18">
        <f t="shared" ca="1" si="106"/>
        <v>0</v>
      </c>
      <c r="BG57" s="18">
        <f t="shared" ca="1" si="106"/>
        <v>0</v>
      </c>
      <c r="BH57" s="18">
        <f t="shared" ca="1" si="106"/>
        <v>0</v>
      </c>
      <c r="BI57" s="18">
        <f t="shared" ca="1" si="106"/>
        <v>0</v>
      </c>
      <c r="BJ57" s="18">
        <f t="shared" ca="1" si="106"/>
        <v>0</v>
      </c>
      <c r="BK57" s="18">
        <f t="shared" ca="1" si="106"/>
        <v>0</v>
      </c>
    </row>
    <row r="58" spans="1:63">
      <c r="A58" s="80"/>
      <c r="B58" s="53">
        <f>+'Taxes RCA 2022'!A51</f>
        <v>40</v>
      </c>
      <c r="C58" s="18" t="str">
        <f>+'Taxes RCA 2022'!B51</f>
        <v>Transfert infranational au titre de la taxe reboisement (+)</v>
      </c>
      <c r="E58" s="114"/>
      <c r="F58" s="114">
        <f t="shared" si="118"/>
        <v>0</v>
      </c>
      <c r="G58" s="114">
        <f t="shared" si="119"/>
        <v>0</v>
      </c>
      <c r="H58" s="114"/>
      <c r="I58" s="114"/>
      <c r="J58" s="114">
        <f t="shared" ca="1" si="120"/>
        <v>0</v>
      </c>
      <c r="K58" s="114">
        <f t="shared" ca="1" si="121"/>
        <v>0</v>
      </c>
      <c r="L58" s="114"/>
      <c r="M58" s="114">
        <f t="shared" ca="1" si="122"/>
        <v>0</v>
      </c>
      <c r="N58" s="18"/>
      <c r="O58" s="38"/>
      <c r="P58" s="39"/>
      <c r="Y58" s="15">
        <f t="shared" si="99"/>
        <v>43</v>
      </c>
      <c r="Z58" s="25" t="str">
        <f t="shared" si="111"/>
        <v xml:space="preserve">Autres transferts au profit des communes </v>
      </c>
      <c r="AA58" s="16">
        <f t="shared" si="100"/>
        <v>0</v>
      </c>
      <c r="AB58" s="16">
        <f t="shared" si="100"/>
        <v>0</v>
      </c>
      <c r="AC58" s="16">
        <f t="shared" si="100"/>
        <v>0</v>
      </c>
      <c r="AD58" s="16">
        <f t="shared" si="100"/>
        <v>0</v>
      </c>
      <c r="AE58" s="16">
        <f t="shared" si="100"/>
        <v>0</v>
      </c>
      <c r="AF58" s="16">
        <f t="shared" si="100"/>
        <v>0</v>
      </c>
      <c r="AG58" s="16">
        <f t="shared" si="100"/>
        <v>0</v>
      </c>
      <c r="AH58" s="16">
        <f t="shared" si="100"/>
        <v>0</v>
      </c>
      <c r="AI58" s="16">
        <f t="shared" si="100"/>
        <v>0</v>
      </c>
      <c r="AJ58" s="16">
        <f t="shared" si="101"/>
        <v>0</v>
      </c>
      <c r="AL58" s="17">
        <f>+B61</f>
        <v>43</v>
      </c>
      <c r="AM58" s="26" t="str">
        <f t="shared" si="112"/>
        <v xml:space="preserve">Autres transferts au profit des communes </v>
      </c>
      <c r="AN58" s="18">
        <f t="shared" si="103"/>
        <v>0</v>
      </c>
      <c r="AO58" s="18">
        <f t="shared" si="103"/>
        <v>0</v>
      </c>
      <c r="AP58" s="18">
        <f t="shared" si="103"/>
        <v>0</v>
      </c>
      <c r="AQ58" s="18">
        <f t="shared" si="103"/>
        <v>0</v>
      </c>
      <c r="AR58" s="18">
        <f t="shared" si="103"/>
        <v>0</v>
      </c>
      <c r="AS58" s="18">
        <f t="shared" si="103"/>
        <v>0</v>
      </c>
      <c r="AT58" s="18">
        <f t="shared" si="103"/>
        <v>0</v>
      </c>
      <c r="AU58" s="18">
        <f t="shared" si="103"/>
        <v>0</v>
      </c>
      <c r="AV58" s="18">
        <f t="shared" si="104"/>
        <v>0</v>
      </c>
      <c r="AW58" s="18"/>
      <c r="AX58" s="17">
        <f>B61</f>
        <v>43</v>
      </c>
      <c r="AY58" s="26" t="str">
        <f t="shared" si="113"/>
        <v xml:space="preserve">Autres transferts au profit des communes </v>
      </c>
      <c r="AZ58" s="18">
        <f t="shared" ca="1" si="106"/>
        <v>0</v>
      </c>
      <c r="BA58" s="18">
        <f t="shared" ca="1" si="106"/>
        <v>0</v>
      </c>
      <c r="BB58" s="18">
        <f t="shared" ca="1" si="106"/>
        <v>0</v>
      </c>
      <c r="BC58" s="18">
        <f t="shared" ca="1" si="106"/>
        <v>0</v>
      </c>
      <c r="BD58" s="18">
        <f t="shared" ca="1" si="106"/>
        <v>0</v>
      </c>
      <c r="BE58" s="18">
        <f t="shared" ca="1" si="106"/>
        <v>0</v>
      </c>
      <c r="BF58" s="18">
        <f t="shared" ca="1" si="106"/>
        <v>0</v>
      </c>
      <c r="BG58" s="18">
        <f t="shared" ca="1" si="106"/>
        <v>0</v>
      </c>
      <c r="BH58" s="18">
        <f t="shared" ca="1" si="106"/>
        <v>0</v>
      </c>
      <c r="BI58" s="18">
        <f t="shared" ca="1" si="106"/>
        <v>0</v>
      </c>
      <c r="BJ58" s="18">
        <f t="shared" ca="1" si="106"/>
        <v>0</v>
      </c>
      <c r="BK58" s="18">
        <f t="shared" ca="1" si="106"/>
        <v>0</v>
      </c>
    </row>
    <row r="59" spans="1:63">
      <c r="A59" s="80"/>
      <c r="B59" s="64">
        <f>+'Taxes RCA 2022'!A52</f>
        <v>41</v>
      </c>
      <c r="C59" s="68" t="str">
        <f>+'Taxes RCA 2022'!B52</f>
        <v>Transfert infranational au titre de la taxe environnementale (+)</v>
      </c>
      <c r="E59" s="165"/>
      <c r="F59" s="165">
        <f t="shared" si="118"/>
        <v>0</v>
      </c>
      <c r="G59" s="165">
        <f t="shared" si="119"/>
        <v>0</v>
      </c>
      <c r="H59" s="114"/>
      <c r="I59" s="165"/>
      <c r="J59" s="165">
        <f t="shared" ca="1" si="120"/>
        <v>0</v>
      </c>
      <c r="K59" s="165">
        <f t="shared" ca="1" si="121"/>
        <v>0</v>
      </c>
      <c r="L59" s="114"/>
      <c r="M59" s="165">
        <f t="shared" ca="1" si="122"/>
        <v>0</v>
      </c>
      <c r="N59" s="68"/>
      <c r="O59" s="38"/>
      <c r="P59" s="39"/>
      <c r="Y59" s="15">
        <f>B62</f>
        <v>0</v>
      </c>
      <c r="Z59" s="25" t="str">
        <f t="shared" si="111"/>
        <v>DGTCP (DGP)</v>
      </c>
      <c r="AA59" s="16">
        <f t="shared" si="100"/>
        <v>0</v>
      </c>
      <c r="AB59" s="16">
        <f t="shared" si="100"/>
        <v>0</v>
      </c>
      <c r="AC59" s="16">
        <f t="shared" si="100"/>
        <v>0</v>
      </c>
      <c r="AD59" s="16">
        <f t="shared" si="100"/>
        <v>0</v>
      </c>
      <c r="AE59" s="16">
        <f t="shared" si="100"/>
        <v>0</v>
      </c>
      <c r="AF59" s="16">
        <f t="shared" si="100"/>
        <v>0</v>
      </c>
      <c r="AG59" s="16">
        <f t="shared" si="100"/>
        <v>0</v>
      </c>
      <c r="AH59" s="16">
        <f t="shared" si="100"/>
        <v>0</v>
      </c>
      <c r="AI59" s="16">
        <f t="shared" si="100"/>
        <v>0</v>
      </c>
      <c r="AJ59" s="16">
        <f t="shared" si="101"/>
        <v>0</v>
      </c>
      <c r="AL59" s="17">
        <f>+B62</f>
        <v>0</v>
      </c>
      <c r="AM59" s="26" t="str">
        <f t="shared" si="112"/>
        <v>DGTCP (DGP)</v>
      </c>
      <c r="AN59" s="18">
        <f t="shared" si="103"/>
        <v>0</v>
      </c>
      <c r="AO59" s="18">
        <f t="shared" si="103"/>
        <v>0</v>
      </c>
      <c r="AP59" s="18">
        <f t="shared" si="103"/>
        <v>0</v>
      </c>
      <c r="AQ59" s="18">
        <f t="shared" si="103"/>
        <v>0</v>
      </c>
      <c r="AR59" s="18">
        <f t="shared" si="103"/>
        <v>0</v>
      </c>
      <c r="AS59" s="18">
        <f t="shared" si="103"/>
        <v>0</v>
      </c>
      <c r="AT59" s="18">
        <f t="shared" si="103"/>
        <v>0</v>
      </c>
      <c r="AU59" s="18">
        <f t="shared" si="103"/>
        <v>0</v>
      </c>
      <c r="AV59" s="18">
        <f t="shared" si="104"/>
        <v>0</v>
      </c>
      <c r="AW59" s="18"/>
      <c r="AX59" s="17">
        <f>B62</f>
        <v>0</v>
      </c>
      <c r="AY59" s="26" t="str">
        <f t="shared" si="113"/>
        <v>DGTCP (DGP)</v>
      </c>
      <c r="AZ59" s="18">
        <f t="shared" ca="1" si="106"/>
        <v>0</v>
      </c>
      <c r="BA59" s="18">
        <f t="shared" ca="1" si="106"/>
        <v>0</v>
      </c>
      <c r="BB59" s="18">
        <f t="shared" ca="1" si="106"/>
        <v>0</v>
      </c>
      <c r="BC59" s="18">
        <f t="shared" ca="1" si="106"/>
        <v>0</v>
      </c>
      <c r="BD59" s="18">
        <f t="shared" ca="1" si="106"/>
        <v>0</v>
      </c>
      <c r="BE59" s="18">
        <f t="shared" ca="1" si="106"/>
        <v>0</v>
      </c>
      <c r="BF59" s="18">
        <f t="shared" ca="1" si="106"/>
        <v>0</v>
      </c>
      <c r="BG59" s="18">
        <f t="shared" ca="1" si="106"/>
        <v>0</v>
      </c>
      <c r="BH59" s="18">
        <f t="shared" ca="1" si="106"/>
        <v>0</v>
      </c>
      <c r="BI59" s="18">
        <f t="shared" ca="1" si="106"/>
        <v>0</v>
      </c>
      <c r="BJ59" s="18">
        <f t="shared" ca="1" si="106"/>
        <v>0</v>
      </c>
      <c r="BK59" s="18">
        <f t="shared" ca="1" si="106"/>
        <v>0</v>
      </c>
    </row>
    <row r="60" spans="1:63">
      <c r="A60" s="80"/>
      <c r="B60" s="53">
        <f>+'Taxes RCA 2022'!A53</f>
        <v>42</v>
      </c>
      <c r="C60" s="18" t="str">
        <f>+'Taxes RCA 2022'!B53</f>
        <v>Droit de sortie (DS)/Taxe Export (+)</v>
      </c>
      <c r="E60" s="114"/>
      <c r="F60" s="114">
        <f t="shared" si="118"/>
        <v>0</v>
      </c>
      <c r="G60" s="114">
        <f t="shared" si="119"/>
        <v>0</v>
      </c>
      <c r="H60" s="114"/>
      <c r="I60" s="114"/>
      <c r="J60" s="114">
        <f t="shared" ca="1" si="120"/>
        <v>0</v>
      </c>
      <c r="K60" s="114">
        <f t="shared" ca="1" si="121"/>
        <v>0</v>
      </c>
      <c r="L60" s="114"/>
      <c r="M60" s="114">
        <f t="shared" ca="1" si="122"/>
        <v>0</v>
      </c>
      <c r="N60" s="18"/>
      <c r="O60" s="38"/>
      <c r="P60" s="39"/>
      <c r="Y60" s="15"/>
      <c r="Z60" s="25" t="str">
        <f t="shared" si="111"/>
        <v xml:space="preserve">Fonds du soutien à la Promotion Pétrolière </v>
      </c>
      <c r="AA60" s="16">
        <f>SUM(AA61:AA64)</f>
        <v>0</v>
      </c>
      <c r="AB60" s="16">
        <f t="shared" ref="AB60:AJ60" si="123">SUM(AB61:AB64)</f>
        <v>0</v>
      </c>
      <c r="AC60" s="16">
        <f t="shared" si="123"/>
        <v>0</v>
      </c>
      <c r="AD60" s="16">
        <f t="shared" si="123"/>
        <v>0</v>
      </c>
      <c r="AE60" s="16">
        <f t="shared" si="123"/>
        <v>0</v>
      </c>
      <c r="AF60" s="16">
        <f t="shared" si="123"/>
        <v>0</v>
      </c>
      <c r="AG60" s="16">
        <f t="shared" si="123"/>
        <v>0</v>
      </c>
      <c r="AH60" s="16">
        <f t="shared" si="123"/>
        <v>0</v>
      </c>
      <c r="AI60" s="16">
        <f t="shared" si="123"/>
        <v>0</v>
      </c>
      <c r="AJ60" s="16">
        <f t="shared" si="123"/>
        <v>0</v>
      </c>
      <c r="AL60" s="17"/>
      <c r="AM60" s="26" t="str">
        <f t="shared" si="112"/>
        <v xml:space="preserve">Fonds du soutien à la Promotion Pétrolière </v>
      </c>
      <c r="AN60" s="18">
        <f t="shared" ref="AN60:AV60" si="124">SUM(AN61:AN64)</f>
        <v>0</v>
      </c>
      <c r="AO60" s="18">
        <f t="shared" si="124"/>
        <v>0</v>
      </c>
      <c r="AP60" s="18">
        <f t="shared" si="124"/>
        <v>0</v>
      </c>
      <c r="AQ60" s="18">
        <f t="shared" si="124"/>
        <v>0</v>
      </c>
      <c r="AR60" s="18">
        <f t="shared" si="124"/>
        <v>0</v>
      </c>
      <c r="AS60" s="18">
        <f t="shared" si="124"/>
        <v>0</v>
      </c>
      <c r="AT60" s="18">
        <f t="shared" si="124"/>
        <v>0</v>
      </c>
      <c r="AU60" s="18">
        <f t="shared" si="124"/>
        <v>0</v>
      </c>
      <c r="AV60" s="18">
        <f t="shared" si="124"/>
        <v>0</v>
      </c>
      <c r="AW60" s="18"/>
      <c r="AX60" s="17"/>
      <c r="AY60" s="26" t="str">
        <f t="shared" si="113"/>
        <v xml:space="preserve">Fonds du soutien à la Promotion Pétrolière </v>
      </c>
      <c r="AZ60" s="18">
        <f t="shared" ref="AZ60:BK60" ca="1" si="125">SUM(AZ61:AZ64)</f>
        <v>0</v>
      </c>
      <c r="BA60" s="18">
        <f t="shared" ca="1" si="125"/>
        <v>0</v>
      </c>
      <c r="BB60" s="18">
        <f t="shared" ca="1" si="125"/>
        <v>0</v>
      </c>
      <c r="BC60" s="18">
        <f t="shared" ca="1" si="125"/>
        <v>0</v>
      </c>
      <c r="BD60" s="18">
        <f t="shared" ca="1" si="125"/>
        <v>0</v>
      </c>
      <c r="BE60" s="18">
        <f t="shared" ca="1" si="125"/>
        <v>0</v>
      </c>
      <c r="BF60" s="18">
        <f t="shared" ca="1" si="125"/>
        <v>0</v>
      </c>
      <c r="BG60" s="18">
        <f t="shared" ca="1" si="125"/>
        <v>0</v>
      </c>
      <c r="BH60" s="18">
        <f t="shared" ca="1" si="125"/>
        <v>0</v>
      </c>
      <c r="BI60" s="18">
        <f t="shared" ca="1" si="125"/>
        <v>0</v>
      </c>
      <c r="BJ60" s="18">
        <f t="shared" ca="1" si="125"/>
        <v>0</v>
      </c>
      <c r="BK60" s="18">
        <f t="shared" ca="1" si="125"/>
        <v>0</v>
      </c>
    </row>
    <row r="61" spans="1:63">
      <c r="A61" s="80"/>
      <c r="B61" s="64">
        <f>+'Taxes RCA 2022'!A54</f>
        <v>43</v>
      </c>
      <c r="C61" s="68" t="str">
        <f>+'Taxes RCA 2022'!B54</f>
        <v xml:space="preserve">Autres transferts au profit des communes </v>
      </c>
      <c r="E61" s="165"/>
      <c r="F61" s="165">
        <f t="shared" si="118"/>
        <v>0</v>
      </c>
      <c r="G61" s="165">
        <f t="shared" si="119"/>
        <v>0</v>
      </c>
      <c r="H61" s="114"/>
      <c r="I61" s="165"/>
      <c r="J61" s="165">
        <f t="shared" ca="1" si="120"/>
        <v>0</v>
      </c>
      <c r="K61" s="165">
        <f t="shared" ca="1" si="121"/>
        <v>0</v>
      </c>
      <c r="L61" s="114"/>
      <c r="M61" s="165">
        <f t="shared" ca="1" si="122"/>
        <v>0</v>
      </c>
      <c r="N61" s="68"/>
      <c r="O61" s="38"/>
      <c r="P61" s="39"/>
      <c r="Y61" s="15">
        <f>B64</f>
        <v>45</v>
      </c>
      <c r="Z61" s="25" t="str">
        <f t="shared" si="111"/>
        <v>Fonds de Soutien aux projets de Développement Communautaire</v>
      </c>
      <c r="AA61" s="16">
        <f t="shared" ref="AA61:AI61" si="126">SUMPRODUCT(($A$84:$A$757=$Y61&amp;"- "&amp;$Z61)*($C$84:$C$757=AA$1)*($G$84:$G$757))</f>
        <v>0</v>
      </c>
      <c r="AB61" s="16">
        <f t="shared" si="126"/>
        <v>0</v>
      </c>
      <c r="AC61" s="16">
        <f t="shared" si="126"/>
        <v>0</v>
      </c>
      <c r="AD61" s="16">
        <f t="shared" si="126"/>
        <v>0</v>
      </c>
      <c r="AE61" s="16">
        <f t="shared" si="126"/>
        <v>0</v>
      </c>
      <c r="AF61" s="16">
        <f t="shared" si="126"/>
        <v>0</v>
      </c>
      <c r="AG61" s="16">
        <f t="shared" si="126"/>
        <v>0</v>
      </c>
      <c r="AH61" s="16">
        <f t="shared" si="126"/>
        <v>0</v>
      </c>
      <c r="AI61" s="16">
        <f t="shared" si="126"/>
        <v>0</v>
      </c>
      <c r="AJ61" s="16">
        <f>SUM(AA61:AI61)</f>
        <v>0</v>
      </c>
      <c r="AL61" s="17">
        <f>+B64</f>
        <v>45</v>
      </c>
      <c r="AM61" s="26" t="str">
        <f t="shared" si="112"/>
        <v>Fonds de Soutien aux projets de Développement Communautaire</v>
      </c>
      <c r="AN61" s="18">
        <f t="shared" ref="AN61:AU61" si="127">SUMPRODUCT(($J$84:$M$744=$AL61&amp;"- "&amp;$AM61)*($N$84:$N$744=AN$1)*($Q$84:$Q$744))</f>
        <v>0</v>
      </c>
      <c r="AO61" s="18">
        <f t="shared" si="127"/>
        <v>0</v>
      </c>
      <c r="AP61" s="18">
        <f t="shared" si="127"/>
        <v>0</v>
      </c>
      <c r="AQ61" s="18">
        <f t="shared" si="127"/>
        <v>0</v>
      </c>
      <c r="AR61" s="18">
        <f t="shared" si="127"/>
        <v>0</v>
      </c>
      <c r="AS61" s="18">
        <f t="shared" si="127"/>
        <v>0</v>
      </c>
      <c r="AT61" s="18">
        <f t="shared" si="127"/>
        <v>0</v>
      </c>
      <c r="AU61" s="18">
        <f t="shared" si="127"/>
        <v>0</v>
      </c>
      <c r="AV61" s="18">
        <f>SUM(AN61:AU61)</f>
        <v>0</v>
      </c>
      <c r="AW61" s="18"/>
      <c r="AX61" s="17">
        <f>B64</f>
        <v>45</v>
      </c>
      <c r="AY61" s="26" t="str">
        <f t="shared" si="113"/>
        <v>Fonds de Soutien aux projets de Développement Communautaire</v>
      </c>
      <c r="AZ61" s="18">
        <f t="shared" ref="AZ61:BK61" ca="1" si="128">SUMPRODUCT(($C$10:$C$75=$AY61)*($N$10:$N$75=AZ$1)*($M$10:$M$75))</f>
        <v>0</v>
      </c>
      <c r="BA61" s="18">
        <f t="shared" ca="1" si="128"/>
        <v>0</v>
      </c>
      <c r="BB61" s="18">
        <f t="shared" ca="1" si="128"/>
        <v>0</v>
      </c>
      <c r="BC61" s="18">
        <f t="shared" ca="1" si="128"/>
        <v>0</v>
      </c>
      <c r="BD61" s="18">
        <f t="shared" ca="1" si="128"/>
        <v>0</v>
      </c>
      <c r="BE61" s="18">
        <f t="shared" ca="1" si="128"/>
        <v>0</v>
      </c>
      <c r="BF61" s="18">
        <f t="shared" ca="1" si="128"/>
        <v>0</v>
      </c>
      <c r="BG61" s="18">
        <f t="shared" ca="1" si="128"/>
        <v>0</v>
      </c>
      <c r="BH61" s="18">
        <f t="shared" ca="1" si="128"/>
        <v>0</v>
      </c>
      <c r="BI61" s="18">
        <f t="shared" ca="1" si="128"/>
        <v>0</v>
      </c>
      <c r="BJ61" s="18">
        <f t="shared" ca="1" si="128"/>
        <v>0</v>
      </c>
      <c r="BK61" s="18">
        <f t="shared" ca="1" si="128"/>
        <v>0</v>
      </c>
    </row>
    <row r="62" spans="1:63">
      <c r="A62" s="80"/>
      <c r="B62" s="163"/>
      <c r="C62" s="58" t="str">
        <f>+'Taxes RCA 2022'!B55</f>
        <v>DGTCP (DGP)</v>
      </c>
      <c r="E62" s="166">
        <f>+E64+E63</f>
        <v>0</v>
      </c>
      <c r="F62" s="166">
        <f t="shared" ref="F62:G62" si="129">+F64+F63</f>
        <v>0</v>
      </c>
      <c r="G62" s="166">
        <f t="shared" si="129"/>
        <v>0</v>
      </c>
      <c r="H62" s="114"/>
      <c r="I62" s="166">
        <f>+I64+I63</f>
        <v>0</v>
      </c>
      <c r="J62" s="166">
        <f t="shared" ref="J62" ca="1" si="130">+J64+J63</f>
        <v>0</v>
      </c>
      <c r="K62" s="166">
        <f t="shared" ref="K62" ca="1" si="131">+K64+K63</f>
        <v>0</v>
      </c>
      <c r="L62" s="114"/>
      <c r="M62" s="166">
        <f t="shared" ref="M62" ca="1" si="132">+M64+M63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SUMIF($A$84:$A$757,B63&amp;"- "&amp;C63,$G$84:$G$757)</f>
        <v>0</v>
      </c>
      <c r="G63" s="114">
        <f>E63+F63</f>
        <v>0</v>
      </c>
      <c r="H63" s="114"/>
      <c r="I63" s="114"/>
      <c r="J63" s="114">
        <f ca="1">SUMIF($J$84:$M$745,B63&amp;"- "&amp;C63,$Q$84:$Q$745)</f>
        <v>0</v>
      </c>
      <c r="K63" s="114">
        <f ca="1">I63+J63</f>
        <v>0</v>
      </c>
      <c r="L63" s="114"/>
      <c r="M63" s="114">
        <f ca="1">+G63-K63</f>
        <v>0</v>
      </c>
      <c r="N63" s="18"/>
      <c r="O63" s="38" t="str">
        <f ca="1">IF(M63=0,"",IF(N63=0,"ERROR",""))</f>
        <v/>
      </c>
      <c r="P63" s="39"/>
      <c r="Q63" s="23"/>
      <c r="Y63" s="15">
        <f>B65</f>
        <v>0</v>
      </c>
      <c r="Z63" s="25" t="str">
        <f>C65</f>
        <v xml:space="preserve">Paiements Sociaux </v>
      </c>
      <c r="AA63" s="16">
        <f t="shared" ref="AA63:AI64" si="133">SUMPRODUCT(($A$84:$A$757=$Y63&amp;"- "&amp;$Z63)*($C$84:$C$757=AA$1)*($G$84:$G$757))</f>
        <v>0</v>
      </c>
      <c r="AB63" s="16">
        <f t="shared" si="133"/>
        <v>0</v>
      </c>
      <c r="AC63" s="16">
        <f t="shared" si="133"/>
        <v>0</v>
      </c>
      <c r="AD63" s="16">
        <f t="shared" si="133"/>
        <v>0</v>
      </c>
      <c r="AE63" s="16">
        <f t="shared" si="133"/>
        <v>0</v>
      </c>
      <c r="AF63" s="16">
        <f t="shared" si="133"/>
        <v>0</v>
      </c>
      <c r="AG63" s="16">
        <f t="shared" si="133"/>
        <v>0</v>
      </c>
      <c r="AH63" s="16">
        <f t="shared" si="133"/>
        <v>0</v>
      </c>
      <c r="AI63" s="16">
        <f t="shared" si="133"/>
        <v>0</v>
      </c>
      <c r="AJ63" s="16">
        <f>SUM(AA63:AI63)</f>
        <v>0</v>
      </c>
      <c r="AL63" s="17">
        <f>+B65</f>
        <v>0</v>
      </c>
      <c r="AM63" s="26" t="str">
        <f>+C65</f>
        <v xml:space="preserve">Paiements Sociaux </v>
      </c>
      <c r="AN63" s="18">
        <f t="shared" ref="AN63:AU64" si="134">SUMPRODUCT(($J$84:$M$744=$AL63&amp;"- "&amp;$AM63)*($N$84:$N$744=AN$1)*($Q$84:$Q$744))</f>
        <v>0</v>
      </c>
      <c r="AO63" s="18">
        <f t="shared" si="134"/>
        <v>0</v>
      </c>
      <c r="AP63" s="18">
        <f t="shared" si="134"/>
        <v>0</v>
      </c>
      <c r="AQ63" s="18">
        <f t="shared" si="134"/>
        <v>0</v>
      </c>
      <c r="AR63" s="18">
        <f t="shared" si="134"/>
        <v>0</v>
      </c>
      <c r="AS63" s="18">
        <f t="shared" si="134"/>
        <v>0</v>
      </c>
      <c r="AT63" s="18">
        <f t="shared" si="134"/>
        <v>0</v>
      </c>
      <c r="AU63" s="18">
        <f t="shared" si="134"/>
        <v>0</v>
      </c>
      <c r="AV63" s="18">
        <f>SUM(AN63:AU63)</f>
        <v>0</v>
      </c>
      <c r="AW63" s="18"/>
      <c r="AX63" s="17">
        <f>B65</f>
        <v>0</v>
      </c>
      <c r="AY63" s="26" t="str">
        <f>C65</f>
        <v xml:space="preserve">Paiements Sociaux </v>
      </c>
      <c r="AZ63" s="18">
        <f t="shared" ref="AZ63:BK64" ca="1" si="135">SUMPRODUCT(($C$10:$C$75=$AY63)*($N$10:$N$75=AZ$1)*($M$10:$M$75))</f>
        <v>0</v>
      </c>
      <c r="BA63" s="18">
        <f t="shared" ca="1" si="135"/>
        <v>0</v>
      </c>
      <c r="BB63" s="18">
        <f t="shared" ca="1" si="135"/>
        <v>0</v>
      </c>
      <c r="BC63" s="18">
        <f t="shared" ca="1" si="135"/>
        <v>0</v>
      </c>
      <c r="BD63" s="18">
        <f t="shared" ca="1" si="135"/>
        <v>0</v>
      </c>
      <c r="BE63" s="18">
        <f t="shared" ca="1" si="135"/>
        <v>0</v>
      </c>
      <c r="BF63" s="18">
        <f t="shared" ca="1" si="135"/>
        <v>0</v>
      </c>
      <c r="BG63" s="18">
        <f t="shared" ca="1" si="135"/>
        <v>0</v>
      </c>
      <c r="BH63" s="18">
        <f t="shared" ca="1" si="135"/>
        <v>0</v>
      </c>
      <c r="BI63" s="18">
        <f t="shared" ca="1" si="135"/>
        <v>0</v>
      </c>
      <c r="BJ63" s="18">
        <f t="shared" ca="1" si="135"/>
        <v>0</v>
      </c>
      <c r="BK63" s="18">
        <f t="shared" ca="1" si="135"/>
        <v>0</v>
      </c>
    </row>
    <row r="64" spans="1:63">
      <c r="A64" s="80">
        <f t="shared" si="29"/>
        <v>45</v>
      </c>
      <c r="B64" s="64">
        <f>+'Taxes RCA 2022'!A57</f>
        <v>45</v>
      </c>
      <c r="C64" s="68" t="str">
        <f>+'Taxes RCA 2022'!B57</f>
        <v>Fonds de Soutien aux projets de Développement Communautaire</v>
      </c>
      <c r="E64" s="165"/>
      <c r="F64" s="165">
        <f>SUMIF($A$84:$A$757,B64&amp;"- "&amp;C64,$G$84:$G$757)</f>
        <v>0</v>
      </c>
      <c r="G64" s="165">
        <f>E64+F64</f>
        <v>0</v>
      </c>
      <c r="H64" s="114"/>
      <c r="I64" s="165"/>
      <c r="J64" s="165">
        <f ca="1">SUMIF($J$84:$M$745,B64&amp;"- "&amp;C64,$Q$84:$Q$745)</f>
        <v>0</v>
      </c>
      <c r="K64" s="165">
        <f ca="1">I64+J64</f>
        <v>0</v>
      </c>
      <c r="L64" s="114"/>
      <c r="M64" s="165">
        <f ca="1">+G64-K64</f>
        <v>0</v>
      </c>
      <c r="N64" s="68"/>
      <c r="O64" s="38" t="str">
        <f ca="1">IF(M64=0,"",IF(N64=0,"ERROR",""))</f>
        <v/>
      </c>
      <c r="P64" s="39" t="str">
        <f ca="1">IF(O64="ERROR","Please insert comment","")</f>
        <v/>
      </c>
      <c r="Y64" s="15">
        <f>B66</f>
        <v>46</v>
      </c>
      <c r="Z64" s="25" t="str">
        <f>C66</f>
        <v>Paiements sociaux obligatoires</v>
      </c>
      <c r="AA64" s="16">
        <f t="shared" si="133"/>
        <v>0</v>
      </c>
      <c r="AB64" s="16">
        <f t="shared" si="133"/>
        <v>0</v>
      </c>
      <c r="AC64" s="16">
        <f t="shared" si="133"/>
        <v>0</v>
      </c>
      <c r="AD64" s="16">
        <f t="shared" si="133"/>
        <v>0</v>
      </c>
      <c r="AE64" s="16">
        <f t="shared" si="133"/>
        <v>0</v>
      </c>
      <c r="AF64" s="16">
        <f t="shared" si="133"/>
        <v>0</v>
      </c>
      <c r="AG64" s="16">
        <f t="shared" si="133"/>
        <v>0</v>
      </c>
      <c r="AH64" s="16">
        <f t="shared" si="133"/>
        <v>0</v>
      </c>
      <c r="AI64" s="16">
        <f t="shared" si="133"/>
        <v>0</v>
      </c>
      <c r="AJ64" s="16">
        <f>SUM(AA64:AI64)</f>
        <v>0</v>
      </c>
      <c r="AL64" s="17">
        <f>+B66</f>
        <v>46</v>
      </c>
      <c r="AM64" s="26" t="str">
        <f>+C66</f>
        <v>Paiements sociaux obligatoires</v>
      </c>
      <c r="AN64" s="18">
        <f t="shared" si="134"/>
        <v>0</v>
      </c>
      <c r="AO64" s="18">
        <f t="shared" si="134"/>
        <v>0</v>
      </c>
      <c r="AP64" s="18">
        <f t="shared" si="134"/>
        <v>0</v>
      </c>
      <c r="AQ64" s="18">
        <f t="shared" si="134"/>
        <v>0</v>
      </c>
      <c r="AR64" s="18">
        <f t="shared" si="134"/>
        <v>0</v>
      </c>
      <c r="AS64" s="18">
        <f t="shared" si="134"/>
        <v>0</v>
      </c>
      <c r="AT64" s="18">
        <f t="shared" si="134"/>
        <v>0</v>
      </c>
      <c r="AU64" s="18">
        <f t="shared" si="134"/>
        <v>0</v>
      </c>
      <c r="AV64" s="18">
        <f>SUM(AN64:AU64)</f>
        <v>0</v>
      </c>
      <c r="AW64" s="38"/>
      <c r="AX64" s="17">
        <f>B66</f>
        <v>46</v>
      </c>
      <c r="AY64" s="26" t="str">
        <f>C66</f>
        <v>Paiements sociaux obligatoires</v>
      </c>
      <c r="AZ64" s="18">
        <f t="shared" ca="1" si="135"/>
        <v>0</v>
      </c>
      <c r="BA64" s="18">
        <f t="shared" ca="1" si="135"/>
        <v>0</v>
      </c>
      <c r="BB64" s="18">
        <f t="shared" ca="1" si="135"/>
        <v>0</v>
      </c>
      <c r="BC64" s="18">
        <f t="shared" ca="1" si="135"/>
        <v>0</v>
      </c>
      <c r="BD64" s="18">
        <f t="shared" ca="1" si="135"/>
        <v>0</v>
      </c>
      <c r="BE64" s="18">
        <f t="shared" ca="1" si="135"/>
        <v>0</v>
      </c>
      <c r="BF64" s="18">
        <f t="shared" ca="1" si="135"/>
        <v>0</v>
      </c>
      <c r="BG64" s="18">
        <f t="shared" ca="1" si="135"/>
        <v>0</v>
      </c>
      <c r="BH64" s="18">
        <f t="shared" ca="1" si="135"/>
        <v>0</v>
      </c>
      <c r="BI64" s="18">
        <f t="shared" ca="1" si="135"/>
        <v>0</v>
      </c>
      <c r="BJ64" s="18">
        <f t="shared" ca="1" si="135"/>
        <v>0</v>
      </c>
      <c r="BK64" s="18">
        <f t="shared" ca="1" si="135"/>
        <v>0</v>
      </c>
    </row>
    <row r="65" spans="1:64">
      <c r="A65" s="80">
        <f t="shared" si="29"/>
        <v>0</v>
      </c>
      <c r="B65" s="163"/>
      <c r="C65" s="58" t="str">
        <f>+'Taxes RCA 2022'!B58</f>
        <v xml:space="preserve">Paiements Sociaux </v>
      </c>
      <c r="E65" s="166">
        <f>+E67+E66</f>
        <v>0</v>
      </c>
      <c r="F65" s="166">
        <f t="shared" ref="F65:G65" si="136">+F67+F66</f>
        <v>0</v>
      </c>
      <c r="G65" s="166">
        <f t="shared" si="136"/>
        <v>0</v>
      </c>
      <c r="H65" s="114"/>
      <c r="I65" s="166">
        <f>+I67+I66</f>
        <v>0</v>
      </c>
      <c r="J65" s="166">
        <f t="shared" ref="J65" ca="1" si="137">+J67+J66</f>
        <v>0</v>
      </c>
      <c r="K65" s="166">
        <f t="shared" ref="K65" ca="1" si="138">+K67+K66</f>
        <v>0</v>
      </c>
      <c r="L65" s="114"/>
      <c r="M65" s="166">
        <f t="shared" ref="M65" ca="1" si="139">+M67+M66</f>
        <v>0</v>
      </c>
      <c r="N65" s="58"/>
      <c r="O65" s="38" t="str">
        <f ca="1">IF(M65=0,"",IF(N65=0,"ERROR",""))</f>
        <v/>
      </c>
      <c r="P65" s="39" t="str">
        <f ca="1">IF(O65="ERROR","Please insert comment","")</f>
        <v/>
      </c>
      <c r="Y65" s="15"/>
      <c r="Z65" s="25" t="str">
        <f t="shared" ref="Z65:Z73" si="140">C67</f>
        <v>Paiements sociaux volontaires</v>
      </c>
      <c r="AA65" s="16">
        <f>SUM(AA66:AA67)</f>
        <v>0</v>
      </c>
      <c r="AB65" s="16">
        <f t="shared" ref="AB65:AJ65" si="141">SUM(AB66:AB67)</f>
        <v>0</v>
      </c>
      <c r="AC65" s="16">
        <f t="shared" si="141"/>
        <v>0</v>
      </c>
      <c r="AD65" s="16">
        <f t="shared" si="141"/>
        <v>0</v>
      </c>
      <c r="AE65" s="16">
        <f t="shared" si="141"/>
        <v>0</v>
      </c>
      <c r="AF65" s="16">
        <f t="shared" si="141"/>
        <v>0</v>
      </c>
      <c r="AG65" s="16">
        <f t="shared" si="141"/>
        <v>0</v>
      </c>
      <c r="AH65" s="16">
        <f t="shared" si="141"/>
        <v>0</v>
      </c>
      <c r="AI65" s="16">
        <f t="shared" si="141"/>
        <v>0</v>
      </c>
      <c r="AJ65" s="16">
        <f t="shared" si="141"/>
        <v>0</v>
      </c>
      <c r="AL65" s="17"/>
      <c r="AM65" s="26" t="str">
        <f t="shared" ref="AM65:AM73" si="142">+C67</f>
        <v>Paiements sociaux volontaires</v>
      </c>
      <c r="AN65" s="18">
        <f>SUM(AN66:AN67)</f>
        <v>0</v>
      </c>
      <c r="AO65" s="18">
        <f t="shared" ref="AO65:AV65" si="143">SUM(AO66:AO67)</f>
        <v>0</v>
      </c>
      <c r="AP65" s="18">
        <f t="shared" si="143"/>
        <v>0</v>
      </c>
      <c r="AQ65" s="18">
        <f t="shared" si="143"/>
        <v>0</v>
      </c>
      <c r="AR65" s="18">
        <f t="shared" si="143"/>
        <v>0</v>
      </c>
      <c r="AS65" s="18">
        <f t="shared" si="143"/>
        <v>0</v>
      </c>
      <c r="AT65" s="18">
        <f t="shared" si="143"/>
        <v>0</v>
      </c>
      <c r="AU65" s="18">
        <f t="shared" si="143"/>
        <v>0</v>
      </c>
      <c r="AV65" s="18">
        <f t="shared" si="143"/>
        <v>0</v>
      </c>
      <c r="AW65" s="18"/>
      <c r="AX65" s="17"/>
      <c r="AY65" s="26" t="str">
        <f t="shared" ref="AY65:AY73" si="144">C67</f>
        <v>Paiements sociaux volontaires</v>
      </c>
      <c r="AZ65" s="18">
        <f ca="1">SUM(AZ66:AZ67)</f>
        <v>0</v>
      </c>
      <c r="BA65" s="18">
        <f t="shared" ref="BA65:BK65" ca="1" si="145">SUM(BA66:BA67)</f>
        <v>0</v>
      </c>
      <c r="BB65" s="18">
        <f t="shared" ca="1" si="145"/>
        <v>0</v>
      </c>
      <c r="BC65" s="18">
        <f t="shared" ca="1" si="145"/>
        <v>0</v>
      </c>
      <c r="BD65" s="18">
        <f t="shared" ca="1" si="145"/>
        <v>0</v>
      </c>
      <c r="BE65" s="18">
        <f t="shared" ca="1" si="145"/>
        <v>0</v>
      </c>
      <c r="BF65" s="18">
        <f t="shared" ca="1" si="145"/>
        <v>0</v>
      </c>
      <c r="BG65" s="18">
        <f t="shared" ca="1" si="145"/>
        <v>0</v>
      </c>
      <c r="BH65" s="18">
        <f t="shared" ca="1" si="145"/>
        <v>0</v>
      </c>
      <c r="BI65" s="18">
        <f t="shared" ca="1" si="145"/>
        <v>0</v>
      </c>
      <c r="BJ65" s="18">
        <f t="shared" ca="1" si="145"/>
        <v>0</v>
      </c>
      <c r="BK65" s="18">
        <f t="shared" ca="1" si="145"/>
        <v>0</v>
      </c>
    </row>
    <row r="66" spans="1:64">
      <c r="A66" s="80">
        <f t="shared" si="29"/>
        <v>46</v>
      </c>
      <c r="B66" s="53">
        <f>+'Taxes RCA 2022'!A59</f>
        <v>46</v>
      </c>
      <c r="C66" s="18" t="str">
        <f>+'Taxes RCA 2022'!B59</f>
        <v>Paiements sociaux obligatoires</v>
      </c>
      <c r="E66" s="114"/>
      <c r="F66" s="114">
        <f>SUMIF($A$84:$A$757,B66&amp;"- "&amp;C66,$G$84:$G$757)</f>
        <v>0</v>
      </c>
      <c r="G66" s="114">
        <f>E66+F66</f>
        <v>0</v>
      </c>
      <c r="H66" s="114"/>
      <c r="I66" s="114"/>
      <c r="J66" s="114">
        <f ca="1">SUMIF($J$84:$M$745,B66&amp;"- "&amp;C66,$Q$84:$Q$745)</f>
        <v>0</v>
      </c>
      <c r="K66" s="114">
        <f ca="1">I66+J66</f>
        <v>0</v>
      </c>
      <c r="L66" s="114"/>
      <c r="M66" s="114">
        <f ca="1">+G66-K66</f>
        <v>0</v>
      </c>
      <c r="N66" s="18"/>
      <c r="O66" s="38" t="str">
        <f ca="1">IF(M66=0,"",IF(N66=0,"ERROR",""))</f>
        <v/>
      </c>
      <c r="P66" s="39" t="str">
        <f ca="1">IF(O66="ERROR","Please insert comment","")</f>
        <v/>
      </c>
      <c r="Y66" s="15">
        <f>B68</f>
        <v>0</v>
      </c>
      <c r="Z66" s="25" t="str">
        <f t="shared" si="140"/>
        <v>Paiements environnementaux - DGTCP (FNE)</v>
      </c>
      <c r="AA66" s="16">
        <f t="shared" ref="AA66:AI67" si="146">SUMPRODUCT(($A$84:$A$757=$Y66&amp;"- "&amp;$Z66)*($C$84:$C$757=AA$1)*($G$84:$G$757))</f>
        <v>0</v>
      </c>
      <c r="AB66" s="16">
        <f t="shared" si="146"/>
        <v>0</v>
      </c>
      <c r="AC66" s="16">
        <f t="shared" si="146"/>
        <v>0</v>
      </c>
      <c r="AD66" s="16">
        <f t="shared" si="146"/>
        <v>0</v>
      </c>
      <c r="AE66" s="16">
        <f t="shared" si="146"/>
        <v>0</v>
      </c>
      <c r="AF66" s="16">
        <f t="shared" si="146"/>
        <v>0</v>
      </c>
      <c r="AG66" s="16">
        <f t="shared" si="146"/>
        <v>0</v>
      </c>
      <c r="AH66" s="16">
        <f t="shared" si="146"/>
        <v>0</v>
      </c>
      <c r="AI66" s="16">
        <f t="shared" si="146"/>
        <v>0</v>
      </c>
      <c r="AJ66" s="16">
        <f>SUM(AA66:AI66)</f>
        <v>0</v>
      </c>
      <c r="AL66" s="17">
        <f>+B68</f>
        <v>0</v>
      </c>
      <c r="AM66" s="26" t="str">
        <f t="shared" si="142"/>
        <v>Paiements environnementaux - DGTCP (FNE)</v>
      </c>
      <c r="AN66" s="18">
        <f t="shared" ref="AN66:AU67" si="147">SUMPRODUCT(($J$84:$M$744=$AL66&amp;"- "&amp;$AM66)*($N$84:$N$744=AN$1)*($Q$84:$Q$744))</f>
        <v>0</v>
      </c>
      <c r="AO66" s="18">
        <f t="shared" si="147"/>
        <v>0</v>
      </c>
      <c r="AP66" s="18">
        <f t="shared" si="147"/>
        <v>0</v>
      </c>
      <c r="AQ66" s="18">
        <f t="shared" si="147"/>
        <v>0</v>
      </c>
      <c r="AR66" s="18">
        <f t="shared" si="147"/>
        <v>0</v>
      </c>
      <c r="AS66" s="18">
        <f t="shared" si="147"/>
        <v>0</v>
      </c>
      <c r="AT66" s="18">
        <f t="shared" si="147"/>
        <v>0</v>
      </c>
      <c r="AU66" s="18">
        <f t="shared" si="147"/>
        <v>0</v>
      </c>
      <c r="AV66" s="18">
        <f>SUM(AN66:AU66)</f>
        <v>0</v>
      </c>
      <c r="AW66" s="18"/>
      <c r="AX66" s="17">
        <f>B68</f>
        <v>0</v>
      </c>
      <c r="AY66" s="26" t="str">
        <f t="shared" si="144"/>
        <v>Paiements environnementaux - DGTCP (FNE)</v>
      </c>
      <c r="AZ66" s="18">
        <f t="shared" ref="AZ66:BK67" ca="1" si="148">SUMPRODUCT(($C$10:$C$75=$AY66)*($N$10:$N$75=AZ$1)*($M$10:$M$75))</f>
        <v>0</v>
      </c>
      <c r="BA66" s="18">
        <f t="shared" ca="1" si="148"/>
        <v>0</v>
      </c>
      <c r="BB66" s="18">
        <f t="shared" ca="1" si="148"/>
        <v>0</v>
      </c>
      <c r="BC66" s="18">
        <f t="shared" ca="1" si="148"/>
        <v>0</v>
      </c>
      <c r="BD66" s="18">
        <f t="shared" ca="1" si="148"/>
        <v>0</v>
      </c>
      <c r="BE66" s="18">
        <f t="shared" ca="1" si="148"/>
        <v>0</v>
      </c>
      <c r="BF66" s="18">
        <f t="shared" ca="1" si="148"/>
        <v>0</v>
      </c>
      <c r="BG66" s="18">
        <f t="shared" ca="1" si="148"/>
        <v>0</v>
      </c>
      <c r="BH66" s="18">
        <f t="shared" ca="1" si="148"/>
        <v>0</v>
      </c>
      <c r="BI66" s="18">
        <f t="shared" ca="1" si="148"/>
        <v>0</v>
      </c>
      <c r="BJ66" s="18">
        <f t="shared" ca="1" si="148"/>
        <v>0</v>
      </c>
      <c r="BK66" s="18">
        <f t="shared" ca="1" si="148"/>
        <v>0</v>
      </c>
    </row>
    <row r="67" spans="1:64">
      <c r="A67" s="80"/>
      <c r="B67" s="64">
        <f>+'Taxes RCA 2022'!A60</f>
        <v>47</v>
      </c>
      <c r="C67" s="68" t="str">
        <f>+'Taxes RCA 2022'!B60</f>
        <v>Paiements sociaux volontaires</v>
      </c>
      <c r="E67" s="165"/>
      <c r="F67" s="165">
        <f>SUMIF($A$84:$A$757,B67&amp;"- "&amp;C67,$G$84:$G$757)</f>
        <v>0</v>
      </c>
      <c r="G67" s="165">
        <f>E67+F67</f>
        <v>0</v>
      </c>
      <c r="H67" s="114"/>
      <c r="I67" s="165"/>
      <c r="J67" s="165">
        <f ca="1">SUMIF($J$84:$M$745,B67&amp;"- "&amp;C67,$Q$84:$Q$745)</f>
        <v>0</v>
      </c>
      <c r="K67" s="165">
        <f ca="1">I67+J67</f>
        <v>0</v>
      </c>
      <c r="L67" s="114"/>
      <c r="M67" s="165">
        <f ca="1">+G67-K67</f>
        <v>0</v>
      </c>
      <c r="N67" s="68"/>
      <c r="O67" s="38"/>
      <c r="P67" s="39"/>
      <c r="Y67" s="15">
        <f>B69</f>
        <v>48</v>
      </c>
      <c r="Z67" s="25" t="str">
        <f t="shared" si="140"/>
        <v>Taxes sur les appareils à pression de vapeur et de gaz (+)</v>
      </c>
      <c r="AA67" s="16">
        <f t="shared" si="146"/>
        <v>0</v>
      </c>
      <c r="AB67" s="16">
        <f t="shared" si="146"/>
        <v>0</v>
      </c>
      <c r="AC67" s="16">
        <f t="shared" si="146"/>
        <v>0</v>
      </c>
      <c r="AD67" s="16">
        <f t="shared" si="146"/>
        <v>0</v>
      </c>
      <c r="AE67" s="16">
        <f t="shared" si="146"/>
        <v>0</v>
      </c>
      <c r="AF67" s="16">
        <f t="shared" si="146"/>
        <v>0</v>
      </c>
      <c r="AG67" s="16">
        <f t="shared" si="146"/>
        <v>0</v>
      </c>
      <c r="AH67" s="16">
        <f t="shared" si="146"/>
        <v>0</v>
      </c>
      <c r="AI67" s="16">
        <f t="shared" si="146"/>
        <v>0</v>
      </c>
      <c r="AJ67" s="16">
        <f>SUM(AA67:AI67)</f>
        <v>0</v>
      </c>
      <c r="AL67" s="17">
        <f>+B69</f>
        <v>48</v>
      </c>
      <c r="AM67" s="26" t="str">
        <f t="shared" si="142"/>
        <v>Taxes sur les appareils à pression de vapeur et de gaz (+)</v>
      </c>
      <c r="AN67" s="18">
        <f t="shared" si="147"/>
        <v>0</v>
      </c>
      <c r="AO67" s="18">
        <f t="shared" si="147"/>
        <v>0</v>
      </c>
      <c r="AP67" s="18">
        <f t="shared" si="147"/>
        <v>0</v>
      </c>
      <c r="AQ67" s="18">
        <f t="shared" si="147"/>
        <v>0</v>
      </c>
      <c r="AR67" s="18">
        <f t="shared" si="147"/>
        <v>0</v>
      </c>
      <c r="AS67" s="18">
        <f t="shared" si="147"/>
        <v>0</v>
      </c>
      <c r="AT67" s="18">
        <f t="shared" si="147"/>
        <v>0</v>
      </c>
      <c r="AU67" s="18">
        <f t="shared" si="147"/>
        <v>0</v>
      </c>
      <c r="AV67" s="18">
        <f>SUM(AN67:AU67)</f>
        <v>0</v>
      </c>
      <c r="AW67" s="18"/>
      <c r="AX67" s="17">
        <f>B69</f>
        <v>48</v>
      </c>
      <c r="AY67" s="26" t="str">
        <f t="shared" si="144"/>
        <v>Taxes sur les appareils à pression de vapeur et de gaz (+)</v>
      </c>
      <c r="AZ67" s="18">
        <f t="shared" ca="1" si="148"/>
        <v>0</v>
      </c>
      <c r="BA67" s="18">
        <f t="shared" ca="1" si="148"/>
        <v>0</v>
      </c>
      <c r="BB67" s="18">
        <f t="shared" ca="1" si="148"/>
        <v>0</v>
      </c>
      <c r="BC67" s="18">
        <f t="shared" ca="1" si="148"/>
        <v>0</v>
      </c>
      <c r="BD67" s="18">
        <f t="shared" ca="1" si="148"/>
        <v>0</v>
      </c>
      <c r="BE67" s="18">
        <f t="shared" ca="1" si="148"/>
        <v>0</v>
      </c>
      <c r="BF67" s="18">
        <f t="shared" ca="1" si="148"/>
        <v>0</v>
      </c>
      <c r="BG67" s="18">
        <f t="shared" ca="1" si="148"/>
        <v>0</v>
      </c>
      <c r="BH67" s="18">
        <f t="shared" ca="1" si="148"/>
        <v>0</v>
      </c>
      <c r="BI67" s="18">
        <f t="shared" ca="1" si="148"/>
        <v>0</v>
      </c>
      <c r="BJ67" s="18">
        <f t="shared" ca="1" si="148"/>
        <v>0</v>
      </c>
      <c r="BK67" s="18">
        <f t="shared" ca="1" si="148"/>
        <v>0</v>
      </c>
    </row>
    <row r="68" spans="1:64">
      <c r="A68" s="80"/>
      <c r="B68" s="163"/>
      <c r="C68" s="58" t="str">
        <f>+'Taxes RCA 2022'!B61</f>
        <v>Paiements environnementaux - DGTCP (FNE)</v>
      </c>
      <c r="E68" s="166">
        <f>SUM(E69:E76)</f>
        <v>0</v>
      </c>
      <c r="F68" s="166">
        <f t="shared" ref="F68:G68" si="149">SUM(F69:F76)</f>
        <v>0</v>
      </c>
      <c r="G68" s="166">
        <f t="shared" si="149"/>
        <v>0</v>
      </c>
      <c r="H68" s="114"/>
      <c r="I68" s="166">
        <f>SUM(I69:I76)</f>
        <v>0</v>
      </c>
      <c r="J68" s="166">
        <f t="shared" ref="J68" ca="1" si="150">SUM(J69:J76)</f>
        <v>0</v>
      </c>
      <c r="K68" s="166">
        <f t="shared" ref="K68" ca="1" si="151">SUM(K69:K76)</f>
        <v>0</v>
      </c>
      <c r="L68" s="114"/>
      <c r="M68" s="166">
        <f t="shared" ref="M68" ca="1" si="152">SUM(M69:M76)</f>
        <v>0</v>
      </c>
      <c r="N68" s="58"/>
      <c r="O68" s="38"/>
      <c r="P68" s="39"/>
      <c r="Y68" s="28"/>
      <c r="Z68" s="28" t="str">
        <f t="shared" si="140"/>
        <v>Taxes à la pollution (+)</v>
      </c>
      <c r="AA68" s="29">
        <f>SUM(AA69:AA69)</f>
        <v>0</v>
      </c>
      <c r="AB68" s="29">
        <f t="shared" ref="AB68:AJ68" si="153">SUM(AB69:AB69)</f>
        <v>0</v>
      </c>
      <c r="AC68" s="29">
        <f t="shared" si="153"/>
        <v>0</v>
      </c>
      <c r="AD68" s="29">
        <f t="shared" si="153"/>
        <v>0</v>
      </c>
      <c r="AE68" s="29">
        <f t="shared" si="153"/>
        <v>0</v>
      </c>
      <c r="AF68" s="29">
        <f t="shared" si="153"/>
        <v>0</v>
      </c>
      <c r="AG68" s="29">
        <f t="shared" si="153"/>
        <v>0</v>
      </c>
      <c r="AH68" s="29">
        <f t="shared" si="153"/>
        <v>0</v>
      </c>
      <c r="AI68" s="29">
        <f t="shared" si="153"/>
        <v>0</v>
      </c>
      <c r="AJ68" s="29">
        <f t="shared" si="153"/>
        <v>0</v>
      </c>
      <c r="AL68" s="28"/>
      <c r="AM68" s="28" t="str">
        <f t="shared" si="142"/>
        <v>Taxes à la pollution (+)</v>
      </c>
      <c r="AN68" s="29">
        <f t="shared" ref="AN68:AV68" si="154">SUM(AN69:AN70)</f>
        <v>0</v>
      </c>
      <c r="AO68" s="29">
        <f t="shared" si="154"/>
        <v>0</v>
      </c>
      <c r="AP68" s="29">
        <f t="shared" si="154"/>
        <v>0</v>
      </c>
      <c r="AQ68" s="29">
        <f t="shared" si="154"/>
        <v>0</v>
      </c>
      <c r="AR68" s="29">
        <f t="shared" si="154"/>
        <v>0</v>
      </c>
      <c r="AS68" s="29">
        <f t="shared" si="154"/>
        <v>0</v>
      </c>
      <c r="AT68" s="29">
        <f t="shared" si="154"/>
        <v>0</v>
      </c>
      <c r="AU68" s="29">
        <f t="shared" si="154"/>
        <v>0</v>
      </c>
      <c r="AV68" s="29">
        <f t="shared" si="154"/>
        <v>0</v>
      </c>
      <c r="AW68" s="38"/>
      <c r="AX68" s="28"/>
      <c r="AY68" s="28" t="str">
        <f t="shared" si="144"/>
        <v>Taxes à la pollution (+)</v>
      </c>
      <c r="AZ68" s="29">
        <f t="shared" ref="AZ68:BK68" ca="1" si="155">SUM(AZ69:AZ70)</f>
        <v>0</v>
      </c>
      <c r="BA68" s="29">
        <f t="shared" ca="1" si="155"/>
        <v>0</v>
      </c>
      <c r="BB68" s="29">
        <f t="shared" ca="1" si="155"/>
        <v>0</v>
      </c>
      <c r="BC68" s="29">
        <f t="shared" ca="1" si="155"/>
        <v>0</v>
      </c>
      <c r="BD68" s="29">
        <f t="shared" ca="1" si="155"/>
        <v>0</v>
      </c>
      <c r="BE68" s="29">
        <f t="shared" ca="1" si="155"/>
        <v>0</v>
      </c>
      <c r="BF68" s="29">
        <f t="shared" ca="1" si="155"/>
        <v>0</v>
      </c>
      <c r="BG68" s="29">
        <f t="shared" ca="1" si="155"/>
        <v>0</v>
      </c>
      <c r="BH68" s="29">
        <f t="shared" ca="1" si="155"/>
        <v>0</v>
      </c>
      <c r="BI68" s="29">
        <f t="shared" ca="1" si="155"/>
        <v>0</v>
      </c>
      <c r="BJ68" s="29">
        <f t="shared" ca="1" si="155"/>
        <v>0</v>
      </c>
      <c r="BK68" s="29">
        <f t="shared" ca="1" si="155"/>
        <v>0</v>
      </c>
    </row>
    <row r="69" spans="1:64">
      <c r="A69" s="80"/>
      <c r="B69" s="53">
        <f>+'Taxes RCA 2022'!A62</f>
        <v>48</v>
      </c>
      <c r="C69" s="18" t="str">
        <f>+'Taxes RCA 2022'!B62</f>
        <v>Taxes sur les appareils à pression de vapeur et de gaz (+)</v>
      </c>
      <c r="E69" s="114"/>
      <c r="F69" s="114">
        <f t="shared" ref="F69:F76" si="156">SUMIF($A$84:$A$757,B69&amp;"- "&amp;C69,$G$84:$G$757)</f>
        <v>0</v>
      </c>
      <c r="G69" s="114">
        <f t="shared" ref="G69:G76" si="157">E69+F69</f>
        <v>0</v>
      </c>
      <c r="H69" s="114"/>
      <c r="I69" s="114"/>
      <c r="J69" s="114">
        <f t="shared" ref="J69:J76" ca="1" si="158">SUMIF($J$84:$M$745,B69&amp;"- "&amp;C69,$Q$84:$Q$745)</f>
        <v>0</v>
      </c>
      <c r="K69" s="114">
        <f t="shared" ref="K69:K76" ca="1" si="159">I69+J69</f>
        <v>0</v>
      </c>
      <c r="L69" s="114"/>
      <c r="M69" s="114">
        <f t="shared" ref="M69:M76" ca="1" si="160">+G69-K69</f>
        <v>0</v>
      </c>
      <c r="N69" s="18"/>
      <c r="O69" s="38"/>
      <c r="P69" s="39"/>
      <c r="Y69" s="15">
        <f>B71</f>
        <v>50</v>
      </c>
      <c r="Z69" s="25" t="str">
        <f t="shared" si="140"/>
        <v>Redevances annuelles résultant des inspections et contrôle des installations classées (+)</v>
      </c>
      <c r="AA69" s="16">
        <f t="shared" ref="AA69:AI69" si="161">SUMPRODUCT(($A$84:$A$757=$Y69&amp;"- "&amp;$Z69)*($C$84:$C$757=AA$1)*($G$84:$G$757))</f>
        <v>0</v>
      </c>
      <c r="AB69" s="16">
        <f t="shared" si="161"/>
        <v>0</v>
      </c>
      <c r="AC69" s="16">
        <f t="shared" si="161"/>
        <v>0</v>
      </c>
      <c r="AD69" s="16">
        <f t="shared" si="161"/>
        <v>0</v>
      </c>
      <c r="AE69" s="16">
        <f t="shared" si="161"/>
        <v>0</v>
      </c>
      <c r="AF69" s="16">
        <f t="shared" si="161"/>
        <v>0</v>
      </c>
      <c r="AG69" s="16">
        <f t="shared" si="161"/>
        <v>0</v>
      </c>
      <c r="AH69" s="16">
        <f t="shared" si="161"/>
        <v>0</v>
      </c>
      <c r="AI69" s="16">
        <f t="shared" si="161"/>
        <v>0</v>
      </c>
      <c r="AJ69" s="16">
        <f>SUM(AA69:AI69)</f>
        <v>0</v>
      </c>
      <c r="AL69" s="17">
        <f>+B71</f>
        <v>50</v>
      </c>
      <c r="AM69" s="26" t="str">
        <f t="shared" si="142"/>
        <v>Redevances annuelles résultant des inspections et contrôle des installations classées (+)</v>
      </c>
      <c r="AN69" s="18">
        <f t="shared" ref="AN69:AU69" si="162">SUMPRODUCT(($J$84:$M$744=$AL69&amp;"- "&amp;$AM69)*($N$84:$N$744=AN$1)*($Q$84:$Q$744))</f>
        <v>0</v>
      </c>
      <c r="AO69" s="18">
        <f t="shared" si="162"/>
        <v>0</v>
      </c>
      <c r="AP69" s="18">
        <f t="shared" si="162"/>
        <v>0</v>
      </c>
      <c r="AQ69" s="18">
        <f t="shared" si="162"/>
        <v>0</v>
      </c>
      <c r="AR69" s="18">
        <f t="shared" si="162"/>
        <v>0</v>
      </c>
      <c r="AS69" s="18">
        <f t="shared" si="162"/>
        <v>0</v>
      </c>
      <c r="AT69" s="18">
        <f t="shared" si="162"/>
        <v>0</v>
      </c>
      <c r="AU69" s="18">
        <f t="shared" si="162"/>
        <v>0</v>
      </c>
      <c r="AV69" s="18">
        <f>SUM(AN69:AU69)</f>
        <v>0</v>
      </c>
      <c r="AW69" s="18"/>
      <c r="AX69" s="17">
        <f>B71</f>
        <v>50</v>
      </c>
      <c r="AY69" s="26" t="str">
        <f t="shared" si="144"/>
        <v>Redevances annuelles résultant des inspections et contrôle des installations classées (+)</v>
      </c>
      <c r="AZ69" s="18">
        <f t="shared" ref="AZ69:BK69" ca="1" si="163">SUMPRODUCT(($C$10:$C$75=$AY69)*($N$10:$N$75=AZ$1)*($M$10:$M$75))</f>
        <v>0</v>
      </c>
      <c r="BA69" s="18">
        <f t="shared" ca="1" si="163"/>
        <v>0</v>
      </c>
      <c r="BB69" s="18">
        <f t="shared" ca="1" si="163"/>
        <v>0</v>
      </c>
      <c r="BC69" s="18">
        <f t="shared" ca="1" si="163"/>
        <v>0</v>
      </c>
      <c r="BD69" s="18">
        <f t="shared" ca="1" si="163"/>
        <v>0</v>
      </c>
      <c r="BE69" s="18">
        <f t="shared" ca="1" si="163"/>
        <v>0</v>
      </c>
      <c r="BF69" s="18">
        <f t="shared" ca="1" si="163"/>
        <v>0</v>
      </c>
      <c r="BG69" s="18">
        <f t="shared" ca="1" si="163"/>
        <v>0</v>
      </c>
      <c r="BH69" s="18">
        <f t="shared" ca="1" si="163"/>
        <v>0</v>
      </c>
      <c r="BI69" s="18">
        <f t="shared" ca="1" si="163"/>
        <v>0</v>
      </c>
      <c r="BJ69" s="18">
        <f t="shared" ca="1" si="163"/>
        <v>0</v>
      </c>
      <c r="BK69" s="18">
        <f t="shared" ca="1" si="163"/>
        <v>0</v>
      </c>
    </row>
    <row r="70" spans="1:64">
      <c r="A70" s="80">
        <f t="shared" si="29"/>
        <v>49</v>
      </c>
      <c r="B70" s="64">
        <f>+'Taxes RCA 2022'!A63</f>
        <v>49</v>
      </c>
      <c r="C70" s="68" t="str">
        <f>+'Taxes RCA 2022'!B63</f>
        <v>Taxes à la pollution (+)</v>
      </c>
      <c r="E70" s="165"/>
      <c r="F70" s="165">
        <f t="shared" si="156"/>
        <v>0</v>
      </c>
      <c r="G70" s="165">
        <f t="shared" si="157"/>
        <v>0</v>
      </c>
      <c r="H70" s="114"/>
      <c r="I70" s="165"/>
      <c r="J70" s="165">
        <f t="shared" ca="1" si="158"/>
        <v>0</v>
      </c>
      <c r="K70" s="165">
        <f t="shared" ca="1" si="159"/>
        <v>0</v>
      </c>
      <c r="L70" s="114"/>
      <c r="M70" s="165">
        <f t="shared" ca="1" si="160"/>
        <v>0</v>
      </c>
      <c r="N70" s="68"/>
      <c r="O70" s="38" t="str">
        <f ca="1">IF(M70=0,"",IF(N70=0,"ERROR",""))</f>
        <v/>
      </c>
      <c r="P70" s="39"/>
      <c r="Y70" s="15"/>
      <c r="Z70" s="25" t="str">
        <f t="shared" si="140"/>
        <v>Taxes superficiaires encaissées par le FNE (+)</v>
      </c>
      <c r="AA70" s="16">
        <f t="shared" ref="AA70:AJ70" si="164">SUM(AA71:AA71)</f>
        <v>0</v>
      </c>
      <c r="AB70" s="16">
        <f t="shared" si="164"/>
        <v>0</v>
      </c>
      <c r="AC70" s="16">
        <f t="shared" si="164"/>
        <v>0</v>
      </c>
      <c r="AD70" s="16">
        <f t="shared" si="164"/>
        <v>0</v>
      </c>
      <c r="AE70" s="16">
        <f t="shared" si="164"/>
        <v>0</v>
      </c>
      <c r="AF70" s="16">
        <f t="shared" si="164"/>
        <v>0</v>
      </c>
      <c r="AG70" s="16">
        <f t="shared" si="164"/>
        <v>0</v>
      </c>
      <c r="AH70" s="16">
        <f t="shared" si="164"/>
        <v>0</v>
      </c>
      <c r="AI70" s="16">
        <f t="shared" si="164"/>
        <v>0</v>
      </c>
      <c r="AJ70" s="16">
        <f t="shared" si="164"/>
        <v>0</v>
      </c>
      <c r="AL70" s="17"/>
      <c r="AM70" s="26" t="str">
        <f t="shared" si="142"/>
        <v>Taxes superficiaires encaissées par le FNE (+)</v>
      </c>
      <c r="AN70" s="18">
        <f t="shared" ref="AN70:AU70" si="165">SUM(AN71:AN71)</f>
        <v>0</v>
      </c>
      <c r="AO70" s="18">
        <f t="shared" si="165"/>
        <v>0</v>
      </c>
      <c r="AP70" s="18">
        <f t="shared" si="165"/>
        <v>0</v>
      </c>
      <c r="AQ70" s="18">
        <f t="shared" si="165"/>
        <v>0</v>
      </c>
      <c r="AR70" s="18">
        <f t="shared" si="165"/>
        <v>0</v>
      </c>
      <c r="AS70" s="18">
        <f t="shared" si="165"/>
        <v>0</v>
      </c>
      <c r="AT70" s="18">
        <f t="shared" si="165"/>
        <v>0</v>
      </c>
      <c r="AU70" s="18">
        <f t="shared" si="165"/>
        <v>0</v>
      </c>
      <c r="AV70" s="18">
        <f>SUM(AV71:AV71)</f>
        <v>0</v>
      </c>
      <c r="AW70" s="18"/>
      <c r="AX70" s="17"/>
      <c r="AY70" s="26" t="str">
        <f t="shared" si="144"/>
        <v>Taxes superficiaires encaissées par le FNE (+)</v>
      </c>
      <c r="AZ70" s="18">
        <f t="shared" ref="AZ70:BK70" ca="1" si="166">SUM(AZ71:AZ71)</f>
        <v>0</v>
      </c>
      <c r="BA70" s="18">
        <f t="shared" ca="1" si="166"/>
        <v>0</v>
      </c>
      <c r="BB70" s="18">
        <f t="shared" ca="1" si="166"/>
        <v>0</v>
      </c>
      <c r="BC70" s="18">
        <f t="shared" ca="1" si="166"/>
        <v>0</v>
      </c>
      <c r="BD70" s="18">
        <f t="shared" ca="1" si="166"/>
        <v>0</v>
      </c>
      <c r="BE70" s="18">
        <f t="shared" ca="1" si="166"/>
        <v>0</v>
      </c>
      <c r="BF70" s="18">
        <f t="shared" ca="1" si="166"/>
        <v>0</v>
      </c>
      <c r="BG70" s="18">
        <f t="shared" ca="1" si="166"/>
        <v>0</v>
      </c>
      <c r="BH70" s="18">
        <f t="shared" ca="1" si="166"/>
        <v>0</v>
      </c>
      <c r="BI70" s="18">
        <f t="shared" ca="1" si="166"/>
        <v>0</v>
      </c>
      <c r="BJ70" s="18">
        <f t="shared" ca="1" si="166"/>
        <v>0</v>
      </c>
      <c r="BK70" s="18">
        <f t="shared" ca="1" si="166"/>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6"/>
        <v>0</v>
      </c>
      <c r="G71" s="114">
        <f t="shared" si="157"/>
        <v>0</v>
      </c>
      <c r="H71" s="114"/>
      <c r="I71" s="114"/>
      <c r="J71" s="114">
        <f t="shared" ca="1" si="158"/>
        <v>0</v>
      </c>
      <c r="K71" s="114">
        <f t="shared" ca="1" si="159"/>
        <v>0</v>
      </c>
      <c r="L71" s="114"/>
      <c r="M71" s="114">
        <f t="shared" ca="1" si="160"/>
        <v>0</v>
      </c>
      <c r="N71" s="18"/>
      <c r="O71" s="38" t="str">
        <f ca="1">IF(M71=0,"",IF(N71=0,"ERROR",""))</f>
        <v/>
      </c>
      <c r="P71" s="39" t="str">
        <f ca="1">IF(O71="ERROR","Please insert comment","")</f>
        <v/>
      </c>
      <c r="Y71" s="15">
        <f>B73</f>
        <v>52</v>
      </c>
      <c r="Z71" s="25" t="str">
        <f t="shared" si="140"/>
        <v>Taxes de remise en état (+)</v>
      </c>
      <c r="AA71" s="16">
        <f t="shared" ref="AA71:AI73" si="167">SUMPRODUCT(($A$84:$A$757=$Y71&amp;"- "&amp;$Z71)*($C$84:$C$757=AA$1)*($G$84:$G$757))</f>
        <v>0</v>
      </c>
      <c r="AB71" s="16">
        <f t="shared" si="167"/>
        <v>0</v>
      </c>
      <c r="AC71" s="16">
        <f t="shared" si="167"/>
        <v>0</v>
      </c>
      <c r="AD71" s="16">
        <f t="shared" si="167"/>
        <v>0</v>
      </c>
      <c r="AE71" s="16">
        <f t="shared" si="167"/>
        <v>0</v>
      </c>
      <c r="AF71" s="16">
        <f t="shared" si="167"/>
        <v>0</v>
      </c>
      <c r="AG71" s="16">
        <f t="shared" si="167"/>
        <v>0</v>
      </c>
      <c r="AH71" s="16">
        <f t="shared" si="167"/>
        <v>0</v>
      </c>
      <c r="AI71" s="16">
        <f t="shared" si="167"/>
        <v>0</v>
      </c>
      <c r="AJ71" s="16">
        <f>SUM(AA71:AI71)</f>
        <v>0</v>
      </c>
      <c r="AL71" s="17">
        <f>+B73</f>
        <v>52</v>
      </c>
      <c r="AM71" s="26" t="str">
        <f t="shared" si="142"/>
        <v>Taxes de remise en état (+)</v>
      </c>
      <c r="AN71" s="18">
        <f t="shared" ref="AN71:AU71" si="168">SUMPRODUCT(($J$84:$M$744=$AL71&amp;"- "&amp;$AM71)*($N$84:$N$744=AN$1)*($Q$84:$Q$744))</f>
        <v>0</v>
      </c>
      <c r="AO71" s="18">
        <f t="shared" si="168"/>
        <v>0</v>
      </c>
      <c r="AP71" s="18">
        <f t="shared" si="168"/>
        <v>0</v>
      </c>
      <c r="AQ71" s="18">
        <f t="shared" si="168"/>
        <v>0</v>
      </c>
      <c r="AR71" s="18">
        <f t="shared" si="168"/>
        <v>0</v>
      </c>
      <c r="AS71" s="18">
        <f t="shared" si="168"/>
        <v>0</v>
      </c>
      <c r="AT71" s="18">
        <f t="shared" si="168"/>
        <v>0</v>
      </c>
      <c r="AU71" s="18">
        <f t="shared" si="168"/>
        <v>0</v>
      </c>
      <c r="AV71" s="18">
        <f>SUM(AN71:AU71)</f>
        <v>0</v>
      </c>
      <c r="AW71" s="18"/>
      <c r="AX71" s="17">
        <f>B73</f>
        <v>52</v>
      </c>
      <c r="AY71" s="26" t="str">
        <f t="shared" si="144"/>
        <v>Taxes de remise en état (+)</v>
      </c>
      <c r="AZ71" s="18">
        <f t="shared" ref="AZ71:BK71" ca="1" si="169">SUMPRODUCT(($C$10:$C$75=$AY71)*($N$10:$N$75=AZ$1)*($M$10:$M$75))</f>
        <v>0</v>
      </c>
      <c r="BA71" s="18">
        <f t="shared" ca="1" si="169"/>
        <v>0</v>
      </c>
      <c r="BB71" s="18">
        <f t="shared" ca="1" si="169"/>
        <v>0</v>
      </c>
      <c r="BC71" s="18">
        <f t="shared" ca="1" si="169"/>
        <v>0</v>
      </c>
      <c r="BD71" s="18">
        <f t="shared" ca="1" si="169"/>
        <v>0</v>
      </c>
      <c r="BE71" s="18">
        <f t="shared" ca="1" si="169"/>
        <v>0</v>
      </c>
      <c r="BF71" s="18">
        <f t="shared" ca="1" si="169"/>
        <v>0</v>
      </c>
      <c r="BG71" s="18">
        <f t="shared" ca="1" si="169"/>
        <v>0</v>
      </c>
      <c r="BH71" s="18">
        <f t="shared" ca="1" si="169"/>
        <v>0</v>
      </c>
      <c r="BI71" s="18">
        <f t="shared" ca="1" si="169"/>
        <v>0</v>
      </c>
      <c r="BJ71" s="18">
        <f t="shared" ca="1" si="169"/>
        <v>0</v>
      </c>
      <c r="BK71" s="18">
        <f t="shared" ca="1" si="169"/>
        <v>0</v>
      </c>
    </row>
    <row r="72" spans="1:64">
      <c r="A72" s="80">
        <f t="shared" si="29"/>
        <v>51</v>
      </c>
      <c r="B72" s="64">
        <f>+'Taxes RCA 2022'!A65</f>
        <v>51</v>
      </c>
      <c r="C72" s="68" t="str">
        <f>+'Taxes RCA 2022'!B65</f>
        <v>Taxes superficiaires encaissées par le FNE (+)</v>
      </c>
      <c r="E72" s="165"/>
      <c r="F72" s="165">
        <f t="shared" si="156"/>
        <v>0</v>
      </c>
      <c r="G72" s="165">
        <f t="shared" si="157"/>
        <v>0</v>
      </c>
      <c r="H72" s="114"/>
      <c r="I72" s="165"/>
      <c r="J72" s="165">
        <f t="shared" ca="1" si="158"/>
        <v>0</v>
      </c>
      <c r="K72" s="165">
        <f t="shared" ca="1" si="159"/>
        <v>0</v>
      </c>
      <c r="L72" s="114"/>
      <c r="M72" s="165">
        <f t="shared" ca="1" si="160"/>
        <v>0</v>
      </c>
      <c r="N72" s="68"/>
      <c r="Y72" s="15"/>
      <c r="Z72" s="25" t="str">
        <f t="shared" si="140"/>
        <v>Taxes environnementales sur les Stes forestières et Minières (+)</v>
      </c>
      <c r="AA72" s="16">
        <f t="shared" si="167"/>
        <v>0</v>
      </c>
      <c r="AB72" s="16">
        <f t="shared" si="167"/>
        <v>0</v>
      </c>
      <c r="AC72" s="16">
        <f t="shared" si="167"/>
        <v>0</v>
      </c>
      <c r="AD72" s="16">
        <f t="shared" si="167"/>
        <v>0</v>
      </c>
      <c r="AE72" s="16">
        <f t="shared" si="167"/>
        <v>0</v>
      </c>
      <c r="AF72" s="16">
        <f t="shared" si="167"/>
        <v>0</v>
      </c>
      <c r="AG72" s="16">
        <f t="shared" si="167"/>
        <v>0</v>
      </c>
      <c r="AH72" s="16">
        <f t="shared" si="167"/>
        <v>0</v>
      </c>
      <c r="AI72" s="16">
        <f t="shared" si="167"/>
        <v>0</v>
      </c>
      <c r="AJ72" s="16">
        <f>SUM(AA72:AI72)</f>
        <v>0</v>
      </c>
      <c r="AL72" s="17"/>
      <c r="AM72" s="26" t="str">
        <f t="shared" si="142"/>
        <v>Taxes environnementales sur les Stes forestières et Minières (+)</v>
      </c>
      <c r="AN72" s="18">
        <f t="shared" ref="AN72:AV72" si="170">SUM(AN73:AN73)</f>
        <v>0</v>
      </c>
      <c r="AO72" s="18">
        <f t="shared" si="170"/>
        <v>0</v>
      </c>
      <c r="AP72" s="18">
        <f t="shared" si="170"/>
        <v>0</v>
      </c>
      <c r="AQ72" s="18">
        <f t="shared" si="170"/>
        <v>0</v>
      </c>
      <c r="AR72" s="18">
        <f t="shared" si="170"/>
        <v>0</v>
      </c>
      <c r="AS72" s="18">
        <f t="shared" si="170"/>
        <v>0</v>
      </c>
      <c r="AT72" s="18">
        <f t="shared" si="170"/>
        <v>0</v>
      </c>
      <c r="AU72" s="18">
        <f t="shared" si="170"/>
        <v>0</v>
      </c>
      <c r="AV72" s="18">
        <f t="shared" si="170"/>
        <v>0</v>
      </c>
      <c r="AW72" s="18"/>
      <c r="AX72" s="17"/>
      <c r="AY72" s="26" t="str">
        <f t="shared" si="144"/>
        <v>Taxes environnementales sur les Stes forestières et Minières (+)</v>
      </c>
      <c r="AZ72" s="18">
        <f t="shared" ref="AZ72:BK72" ca="1" si="171">SUM(AZ73:AZ73)</f>
        <v>0</v>
      </c>
      <c r="BA72" s="18">
        <f t="shared" ca="1" si="171"/>
        <v>0</v>
      </c>
      <c r="BB72" s="18">
        <f t="shared" ca="1" si="171"/>
        <v>0</v>
      </c>
      <c r="BC72" s="18">
        <f t="shared" ca="1" si="171"/>
        <v>0</v>
      </c>
      <c r="BD72" s="18">
        <f t="shared" ca="1" si="171"/>
        <v>0</v>
      </c>
      <c r="BE72" s="18">
        <f t="shared" ca="1" si="171"/>
        <v>0</v>
      </c>
      <c r="BF72" s="18">
        <f t="shared" ca="1" si="171"/>
        <v>0</v>
      </c>
      <c r="BG72" s="18">
        <f t="shared" ca="1" si="171"/>
        <v>0</v>
      </c>
      <c r="BH72" s="18">
        <f t="shared" ca="1" si="171"/>
        <v>0</v>
      </c>
      <c r="BI72" s="18">
        <f t="shared" ca="1" si="171"/>
        <v>0</v>
      </c>
      <c r="BJ72" s="18">
        <f t="shared" ca="1" si="171"/>
        <v>0</v>
      </c>
      <c r="BK72" s="18">
        <f t="shared" ca="1" si="171"/>
        <v>0</v>
      </c>
      <c r="BL72" s="41"/>
    </row>
    <row r="73" spans="1:64">
      <c r="A73" s="80">
        <f t="shared" si="29"/>
        <v>52</v>
      </c>
      <c r="B73" s="53">
        <f>+'Taxes RCA 2022'!A66</f>
        <v>52</v>
      </c>
      <c r="C73" s="18" t="str">
        <f>+'Taxes RCA 2022'!B66</f>
        <v>Taxes de remise en état (+)</v>
      </c>
      <c r="E73" s="114"/>
      <c r="F73" s="114">
        <f t="shared" si="156"/>
        <v>0</v>
      </c>
      <c r="G73" s="114">
        <f t="shared" si="157"/>
        <v>0</v>
      </c>
      <c r="H73" s="114"/>
      <c r="I73" s="114"/>
      <c r="J73" s="114">
        <f t="shared" ca="1" si="158"/>
        <v>0</v>
      </c>
      <c r="K73" s="114">
        <f t="shared" ca="1" si="159"/>
        <v>0</v>
      </c>
      <c r="L73" s="114"/>
      <c r="M73" s="114">
        <f t="shared" ca="1" si="160"/>
        <v>0</v>
      </c>
      <c r="N73" s="18"/>
      <c r="O73" s="38" t="str">
        <f ca="1">IF(M73=0,"",IF(N73=0,"ERROR",""))</f>
        <v/>
      </c>
      <c r="P73" s="39" t="str">
        <f ca="1">IF(O73="ERROR","Please insert comment","")</f>
        <v/>
      </c>
      <c r="Y73" s="15">
        <v>58</v>
      </c>
      <c r="Z73" s="25" t="str">
        <f t="shared" si="140"/>
        <v xml:space="preserve">Amendes environnementales </v>
      </c>
      <c r="AA73" s="16">
        <f t="shared" si="167"/>
        <v>0</v>
      </c>
      <c r="AB73" s="16">
        <f t="shared" si="167"/>
        <v>0</v>
      </c>
      <c r="AC73" s="16">
        <f t="shared" si="167"/>
        <v>0</v>
      </c>
      <c r="AD73" s="16">
        <f t="shared" si="167"/>
        <v>0</v>
      </c>
      <c r="AE73" s="16">
        <f t="shared" si="167"/>
        <v>0</v>
      </c>
      <c r="AF73" s="16">
        <f t="shared" si="167"/>
        <v>0</v>
      </c>
      <c r="AG73" s="16">
        <f t="shared" si="167"/>
        <v>0</v>
      </c>
      <c r="AH73" s="16">
        <f t="shared" si="167"/>
        <v>0</v>
      </c>
      <c r="AI73" s="16">
        <f t="shared" si="167"/>
        <v>0</v>
      </c>
      <c r="AJ73" s="16">
        <f>SUM(AA73:AI73)</f>
        <v>0</v>
      </c>
      <c r="AL73" s="17">
        <f>+B75</f>
        <v>54</v>
      </c>
      <c r="AM73" s="26" t="str">
        <f t="shared" si="142"/>
        <v xml:space="preserve">Amendes environnementales </v>
      </c>
      <c r="AN73" s="18">
        <f t="shared" ref="AN73:AU73" si="172">SUMPRODUCT(($J$84:$M$744=$AL73&amp;"- "&amp;$AM73)*($N$84:$N$744=AN$1)*($Q$84:$Q$744))</f>
        <v>0</v>
      </c>
      <c r="AO73" s="18">
        <f t="shared" si="172"/>
        <v>0</v>
      </c>
      <c r="AP73" s="18">
        <f t="shared" si="172"/>
        <v>0</v>
      </c>
      <c r="AQ73" s="18">
        <f t="shared" si="172"/>
        <v>0</v>
      </c>
      <c r="AR73" s="18">
        <f t="shared" si="172"/>
        <v>0</v>
      </c>
      <c r="AS73" s="18">
        <f t="shared" si="172"/>
        <v>0</v>
      </c>
      <c r="AT73" s="18">
        <f t="shared" si="172"/>
        <v>0</v>
      </c>
      <c r="AU73" s="18">
        <f t="shared" si="172"/>
        <v>0</v>
      </c>
      <c r="AV73" s="18">
        <f>SUM(AN73:AU73)</f>
        <v>0</v>
      </c>
      <c r="AW73" s="18"/>
      <c r="AX73" s="17">
        <f>B75</f>
        <v>54</v>
      </c>
      <c r="AY73" s="26" t="str">
        <f t="shared" si="144"/>
        <v xml:space="preserve">Amendes environnementales </v>
      </c>
      <c r="AZ73" s="18">
        <f t="shared" ref="AZ73:BK73" ca="1" si="173">SUMPRODUCT(($C$10:$C$75=$AY73)*($N$10:$N$75=AZ$1)*($M$10:$M$75))</f>
        <v>0</v>
      </c>
      <c r="BA73" s="18">
        <f t="shared" ca="1" si="173"/>
        <v>0</v>
      </c>
      <c r="BB73" s="18">
        <f t="shared" ca="1" si="173"/>
        <v>0</v>
      </c>
      <c r="BC73" s="18">
        <f t="shared" ca="1" si="173"/>
        <v>0</v>
      </c>
      <c r="BD73" s="18">
        <f t="shared" ca="1" si="173"/>
        <v>0</v>
      </c>
      <c r="BE73" s="18">
        <f t="shared" ca="1" si="173"/>
        <v>0</v>
      </c>
      <c r="BF73" s="18">
        <f t="shared" ca="1" si="173"/>
        <v>0</v>
      </c>
      <c r="BG73" s="18">
        <f t="shared" ca="1" si="173"/>
        <v>0</v>
      </c>
      <c r="BH73" s="18">
        <f t="shared" ca="1" si="173"/>
        <v>0</v>
      </c>
      <c r="BI73" s="18">
        <f t="shared" ca="1" si="173"/>
        <v>0</v>
      </c>
      <c r="BJ73" s="18">
        <f t="shared" ca="1" si="173"/>
        <v>0</v>
      </c>
      <c r="BK73" s="18">
        <f t="shared" ca="1" si="173"/>
        <v>0</v>
      </c>
    </row>
    <row r="74" spans="1:64">
      <c r="A74" s="80"/>
      <c r="B74" s="64">
        <f>+'Taxes RCA 2022'!A67</f>
        <v>53</v>
      </c>
      <c r="C74" s="68" t="str">
        <f>+'Taxes RCA 2022'!B67</f>
        <v>Taxes environnementales sur les Stes forestières et Minières (+)</v>
      </c>
      <c r="E74" s="165"/>
      <c r="F74" s="165">
        <f t="shared" si="156"/>
        <v>0</v>
      </c>
      <c r="G74" s="165">
        <f t="shared" si="157"/>
        <v>0</v>
      </c>
      <c r="H74" s="167">
        <v>808920</v>
      </c>
      <c r="I74" s="165"/>
      <c r="J74" s="165">
        <f t="shared" ca="1" si="158"/>
        <v>0</v>
      </c>
      <c r="K74" s="165">
        <f t="shared" ca="1" si="159"/>
        <v>0</v>
      </c>
      <c r="L74" s="114"/>
      <c r="M74" s="165">
        <f t="shared" ca="1" si="160"/>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6"/>
        <v>0</v>
      </c>
      <c r="G75" s="114">
        <f t="shared" si="157"/>
        <v>0</v>
      </c>
      <c r="H75" s="114"/>
      <c r="I75" s="114"/>
      <c r="J75" s="114">
        <f t="shared" ca="1" si="158"/>
        <v>0</v>
      </c>
      <c r="K75" s="114">
        <f t="shared" ca="1" si="159"/>
        <v>0</v>
      </c>
      <c r="L75" s="114"/>
      <c r="M75" s="114">
        <f t="shared" ca="1" si="160"/>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6"/>
        <v>0</v>
      </c>
      <c r="G76" s="165">
        <f t="shared" si="157"/>
        <v>0</v>
      </c>
      <c r="H76" s="168"/>
      <c r="I76" s="165"/>
      <c r="J76" s="165">
        <f t="shared" ca="1" si="158"/>
        <v>0</v>
      </c>
      <c r="K76" s="165">
        <f t="shared" ca="1" si="159"/>
        <v>0</v>
      </c>
      <c r="L76" s="168"/>
      <c r="M76" s="165">
        <f t="shared" ca="1" si="160"/>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4">+F78+F79</f>
        <v>0</v>
      </c>
      <c r="G77" s="166">
        <f t="shared" si="174"/>
        <v>0</v>
      </c>
      <c r="H77" s="169"/>
      <c r="I77" s="166">
        <f t="shared" ref="I77:K77" si="175">+I78+I79</f>
        <v>0</v>
      </c>
      <c r="J77" s="166">
        <f t="shared" ca="1" si="175"/>
        <v>0</v>
      </c>
      <c r="K77" s="166">
        <f t="shared" ca="1" si="175"/>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SUMIF($A$84:$A$757,B78&amp;"- "&amp;C78,$G$84:$G$757)</f>
        <v>0</v>
      </c>
      <c r="G78" s="114">
        <f>E78+F78</f>
        <v>0</v>
      </c>
      <c r="H78" s="114"/>
      <c r="I78" s="114"/>
      <c r="J78" s="114">
        <f ca="1">SUMIF($J$84:$M$745,B78&amp;"- "&amp;C78,$Q$84:$Q$745)</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6">SUMPRODUCT(($A$84:$A$757=$Y78&amp;"- "&amp;$Z78)*($C$84:$C$757=AA$1)*($G$84:$G$757))</f>
        <v>0</v>
      </c>
      <c r="AB78" s="16">
        <f t="shared" si="176"/>
        <v>0</v>
      </c>
      <c r="AC78" s="16">
        <f t="shared" si="176"/>
        <v>0</v>
      </c>
      <c r="AD78" s="16">
        <f t="shared" si="176"/>
        <v>0</v>
      </c>
      <c r="AE78" s="16">
        <f t="shared" si="176"/>
        <v>0</v>
      </c>
      <c r="AF78" s="16">
        <f t="shared" si="176"/>
        <v>0</v>
      </c>
      <c r="AG78" s="16">
        <f t="shared" si="176"/>
        <v>0</v>
      </c>
      <c r="AH78" s="16">
        <f t="shared" si="176"/>
        <v>0</v>
      </c>
      <c r="AI78" s="16">
        <f t="shared" si="176"/>
        <v>0</v>
      </c>
      <c r="AJ78" s="16">
        <f>SUM(AA78:AI78)</f>
        <v>0</v>
      </c>
      <c r="AL78" s="17">
        <f>+B45</f>
        <v>0</v>
      </c>
      <c r="AM78" s="26" t="str">
        <f>+C45</f>
        <v xml:space="preserve">Paiements infranationaux au profit des communes </v>
      </c>
      <c r="AN78" s="18">
        <f t="shared" ref="AN78:AU78" si="177">SUMPRODUCT(($J$84:$M$744=$AL78&amp;"- "&amp;$AM78)*($N$84:$N$744=AN$1)*($Q$84:$Q$744))</f>
        <v>0</v>
      </c>
      <c r="AO78" s="18">
        <f t="shared" si="177"/>
        <v>0</v>
      </c>
      <c r="AP78" s="18">
        <f t="shared" si="177"/>
        <v>0</v>
      </c>
      <c r="AQ78" s="18">
        <f t="shared" si="177"/>
        <v>0</v>
      </c>
      <c r="AR78" s="18">
        <f t="shared" si="177"/>
        <v>0</v>
      </c>
      <c r="AS78" s="18">
        <f t="shared" si="177"/>
        <v>0</v>
      </c>
      <c r="AT78" s="18">
        <f t="shared" si="177"/>
        <v>0</v>
      </c>
      <c r="AU78" s="18">
        <f t="shared" si="177"/>
        <v>0</v>
      </c>
      <c r="AV78" s="18">
        <f>SUM(AN78:AU78)</f>
        <v>0</v>
      </c>
      <c r="AW78" s="18"/>
      <c r="AX78" s="17">
        <f>B45</f>
        <v>0</v>
      </c>
      <c r="AY78" s="26" t="str">
        <f>C45</f>
        <v xml:space="preserve">Paiements infranationaux au profit des communes </v>
      </c>
      <c r="AZ78" s="18">
        <f t="shared" ref="AZ78:BK78" ca="1" si="178">SUMPRODUCT(($C$10:$C$75=$AY78)*($N$10:$N$75=AZ$1)*($M$10:$M$75))</f>
        <v>0</v>
      </c>
      <c r="BA78" s="18">
        <f t="shared" ca="1" si="178"/>
        <v>0</v>
      </c>
      <c r="BB78" s="18">
        <f t="shared" ca="1" si="178"/>
        <v>0</v>
      </c>
      <c r="BC78" s="18">
        <f t="shared" ca="1" si="178"/>
        <v>0</v>
      </c>
      <c r="BD78" s="18">
        <f t="shared" ca="1" si="178"/>
        <v>0</v>
      </c>
      <c r="BE78" s="18">
        <f t="shared" ca="1" si="178"/>
        <v>0</v>
      </c>
      <c r="BF78" s="18">
        <f t="shared" ca="1" si="178"/>
        <v>0</v>
      </c>
      <c r="BG78" s="18">
        <f t="shared" ca="1" si="178"/>
        <v>0</v>
      </c>
      <c r="BH78" s="18">
        <f t="shared" ca="1" si="178"/>
        <v>0</v>
      </c>
      <c r="BI78" s="18">
        <f t="shared" ca="1" si="178"/>
        <v>0</v>
      </c>
      <c r="BJ78" s="18">
        <f t="shared" ca="1" si="178"/>
        <v>0</v>
      </c>
      <c r="BK78" s="18">
        <f t="shared" ca="1" si="178"/>
        <v>0</v>
      </c>
    </row>
    <row r="79" spans="1:64">
      <c r="A79" s="80">
        <f t="shared" si="29"/>
        <v>57</v>
      </c>
      <c r="B79" s="64">
        <f>+'Taxes RCA 2022'!A72</f>
        <v>57</v>
      </c>
      <c r="C79" s="68" t="str">
        <f>+'Taxes RCA 2022'!B72</f>
        <v>Autres paiements significatifs versés aux entités gouvernementales (&gt;10 millions FCFA)</v>
      </c>
      <c r="E79" s="165"/>
      <c r="F79" s="165">
        <f>SUMIF($A$84:$A$757,B79&amp;"- "&amp;C79,$G$84:$G$757)</f>
        <v>0</v>
      </c>
      <c r="G79" s="165">
        <f>+E79+F79</f>
        <v>0</v>
      </c>
      <c r="H79" s="114"/>
      <c r="I79" s="165"/>
      <c r="J79" s="165">
        <f ca="1">SUMIF($J$84:$M$745,B79&amp;"- "&amp;C79,$Q$84:$Q$745)</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IF(F8=G759,"","ERROR")</f>
        <v/>
      </c>
      <c r="G80" s="382"/>
      <c r="H80" s="382"/>
      <c r="I80" s="382"/>
      <c r="J80" s="382" t="str">
        <f ca="1">IF(J8=Q747,"","ERROR")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60"/>
      <c r="F84" s="130"/>
      <c r="G84" s="144"/>
      <c r="L84" s="60"/>
      <c r="N84" s="97"/>
      <c r="O84" s="60"/>
      <c r="P84" s="130"/>
      <c r="Q84" s="144"/>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60"/>
      <c r="F85" s="130"/>
      <c r="G85" s="144"/>
      <c r="L85" s="60"/>
      <c r="N85" s="97"/>
      <c r="O85" s="60"/>
      <c r="P85" s="130"/>
      <c r="Q85" s="144"/>
      <c r="R85" s="156"/>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1"/>
      <c r="F86" s="130"/>
      <c r="G86" s="144"/>
      <c r="L86" s="60"/>
      <c r="N86" s="97"/>
      <c r="O86" s="121"/>
      <c r="P86" s="130"/>
      <c r="Q86" s="144"/>
      <c r="R86" s="156"/>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30"/>
      <c r="G87" s="144"/>
      <c r="L87" s="60"/>
      <c r="N87" s="97"/>
      <c r="P87" s="130"/>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60"/>
      <c r="F88" s="130"/>
      <c r="G88" s="144"/>
      <c r="L88" s="60"/>
      <c r="N88" s="97"/>
      <c r="O88" s="60"/>
      <c r="P88" s="130"/>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60"/>
      <c r="F89" s="130"/>
      <c r="G89" s="144"/>
      <c r="J89" s="61" t="s">
        <v>165</v>
      </c>
      <c r="L89" s="60"/>
      <c r="N89" s="97"/>
      <c r="O89" s="60"/>
      <c r="P89" s="130"/>
      <c r="Q89" s="144"/>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60"/>
      <c r="F90" s="130"/>
      <c r="G90" s="144"/>
      <c r="J90" s="61" t="s">
        <v>167</v>
      </c>
      <c r="L90" s="60"/>
      <c r="N90" s="97"/>
      <c r="O90" s="60"/>
      <c r="P90" s="130"/>
      <c r="Q90" s="144"/>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60"/>
      <c r="F91" s="130"/>
      <c r="G91" s="144"/>
      <c r="L91" s="60"/>
      <c r="N91" s="97"/>
      <c r="O91" s="60"/>
      <c r="P91" s="130"/>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60"/>
      <c r="F92" s="130"/>
      <c r="G92" s="144"/>
      <c r="L92" s="60"/>
      <c r="N92" s="97"/>
      <c r="O92" s="60"/>
      <c r="P92" s="130"/>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60"/>
      <c r="F93" s="130"/>
      <c r="G93" s="144"/>
      <c r="L93" s="60"/>
      <c r="N93" s="97"/>
      <c r="O93" s="60"/>
      <c r="P93" s="130"/>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60"/>
      <c r="F94" s="130"/>
      <c r="G94" s="144"/>
      <c r="L94" s="60"/>
      <c r="N94" s="97"/>
      <c r="O94" s="60"/>
      <c r="P94" s="130"/>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60"/>
      <c r="F95" s="130"/>
      <c r="G95" s="144"/>
      <c r="L95" s="60"/>
      <c r="N95" s="97"/>
      <c r="O95" s="60"/>
      <c r="P95" s="130"/>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60"/>
      <c r="F96" s="130"/>
      <c r="G96" s="144"/>
      <c r="L96" s="60"/>
      <c r="N96" s="97"/>
      <c r="O96" s="60"/>
      <c r="P96" s="130"/>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60"/>
      <c r="F97" s="130"/>
      <c r="G97" s="144"/>
      <c r="L97" s="60"/>
      <c r="N97" s="97"/>
      <c r="O97" s="60"/>
      <c r="P97" s="130"/>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60"/>
      <c r="F98" s="130"/>
      <c r="G98" s="144"/>
      <c r="L98" s="60"/>
      <c r="N98" s="97"/>
      <c r="O98" s="60"/>
      <c r="P98" s="130"/>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60"/>
      <c r="F99" s="130"/>
      <c r="G99" s="144"/>
      <c r="L99" s="60"/>
      <c r="N99" s="97"/>
      <c r="O99" s="60"/>
      <c r="P99" s="130"/>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60"/>
      <c r="F100" s="130"/>
      <c r="G100" s="144"/>
      <c r="L100" s="60"/>
      <c r="N100" s="97"/>
      <c r="O100" s="60"/>
      <c r="P100" s="130"/>
      <c r="Q100" s="144"/>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60"/>
      <c r="F101" s="130"/>
      <c r="G101" s="144"/>
      <c r="L101" s="60"/>
      <c r="N101" s="97"/>
      <c r="O101" s="60"/>
      <c r="P101" s="130"/>
      <c r="Q101" s="144"/>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60"/>
      <c r="F102" s="130"/>
      <c r="G102" s="144"/>
      <c r="I102" s="153"/>
      <c r="L102" s="60"/>
      <c r="N102" s="97"/>
      <c r="O102" s="60"/>
      <c r="P102" s="130"/>
      <c r="Q102" s="144"/>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60"/>
      <c r="F103" s="130"/>
      <c r="G103" s="144"/>
      <c r="L103" s="60"/>
      <c r="N103" s="97"/>
      <c r="O103" s="60"/>
      <c r="P103" s="130"/>
      <c r="Q103" s="144"/>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60"/>
      <c r="F104" s="130"/>
      <c r="G104" s="144"/>
      <c r="L104" s="60"/>
      <c r="N104" s="97"/>
      <c r="O104" s="60"/>
      <c r="P104" s="130"/>
      <c r="Q104" s="144"/>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60"/>
      <c r="F105" s="130"/>
      <c r="G105" s="144"/>
      <c r="L105" s="60"/>
      <c r="N105" s="97"/>
      <c r="O105" s="60"/>
      <c r="P105" s="130"/>
      <c r="Q105" s="144"/>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60"/>
      <c r="F106" s="130"/>
      <c r="G106" s="144"/>
      <c r="L106" s="60"/>
      <c r="N106" s="97"/>
      <c r="O106" s="60"/>
      <c r="P106" s="130"/>
      <c r="Q106" s="144"/>
      <c r="R106" s="156"/>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60"/>
      <c r="F107" s="130"/>
      <c r="G107" s="144"/>
      <c r="L107" s="60"/>
      <c r="N107" s="97"/>
      <c r="O107" s="60"/>
      <c r="P107" s="130"/>
      <c r="Q107" s="144"/>
      <c r="R107" s="156"/>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60"/>
      <c r="F108" s="130"/>
      <c r="G108" s="144"/>
      <c r="L108" s="60"/>
      <c r="N108" s="97"/>
      <c r="O108" s="60"/>
      <c r="P108" s="130"/>
      <c r="Q108" s="144"/>
      <c r="R108" s="156"/>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60"/>
      <c r="F109" s="130"/>
      <c r="G109" s="144"/>
      <c r="L109" s="60"/>
      <c r="N109" s="97"/>
      <c r="O109" s="60"/>
      <c r="P109" s="130"/>
      <c r="Q109" s="144"/>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60"/>
      <c r="F110" s="130"/>
      <c r="G110" s="144"/>
      <c r="L110" s="60"/>
      <c r="N110" s="97"/>
      <c r="O110" s="60"/>
      <c r="P110" s="130"/>
      <c r="Q110" s="144"/>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60"/>
      <c r="F111" s="130"/>
      <c r="G111" s="144"/>
      <c r="L111" s="60"/>
      <c r="N111" s="97"/>
      <c r="O111" s="60"/>
      <c r="P111" s="130"/>
      <c r="Q111" s="144"/>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60"/>
      <c r="F112" s="130"/>
      <c r="G112" s="144"/>
      <c r="L112" s="60"/>
      <c r="N112" s="97"/>
      <c r="O112" s="60"/>
      <c r="P112" s="130"/>
      <c r="Q112" s="144"/>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60"/>
      <c r="F113" s="130"/>
      <c r="G113" s="144"/>
      <c r="L113" s="60"/>
      <c r="N113" s="97"/>
      <c r="O113" s="60"/>
      <c r="P113" s="130"/>
      <c r="Q113" s="144"/>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60"/>
      <c r="F114" s="130"/>
      <c r="G114" s="144"/>
      <c r="L114" s="60"/>
      <c r="N114" s="97"/>
      <c r="O114" s="60"/>
      <c r="P114" s="130"/>
      <c r="Q114" s="144"/>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60"/>
      <c r="F115" s="130"/>
      <c r="G115" s="144"/>
      <c r="L115" s="60"/>
      <c r="N115" s="97"/>
      <c r="O115" s="60"/>
      <c r="P115" s="130"/>
      <c r="Q115" s="144"/>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60"/>
      <c r="F116" s="130"/>
      <c r="G116" s="144"/>
      <c r="L116" s="60"/>
      <c r="N116" s="97"/>
      <c r="O116" s="60"/>
      <c r="P116" s="130"/>
      <c r="Q116" s="144"/>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1"/>
      <c r="F117" s="129"/>
      <c r="G117" s="145"/>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1"/>
      <c r="F118" s="129"/>
      <c r="G118" s="145"/>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1"/>
      <c r="F119" s="129"/>
      <c r="G119" s="145"/>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1"/>
      <c r="F120" s="129"/>
      <c r="G120" s="145"/>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1"/>
      <c r="F121" s="129"/>
      <c r="G121" s="145"/>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1"/>
      <c r="F122" s="129"/>
      <c r="G122" s="145"/>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1"/>
      <c r="F123" s="129"/>
      <c r="G123" s="145"/>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1"/>
      <c r="F124" s="129"/>
      <c r="G124" s="145"/>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1"/>
      <c r="F125" s="129"/>
      <c r="G125" s="145"/>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1"/>
      <c r="F126" s="129"/>
      <c r="G126" s="145"/>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1"/>
      <c r="F127" s="129"/>
      <c r="G127" s="145"/>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1"/>
      <c r="F128" s="129"/>
      <c r="G128" s="145"/>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1"/>
      <c r="F129" s="129"/>
      <c r="G129" s="145"/>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1"/>
      <c r="F130" s="129"/>
      <c r="G130" s="145"/>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1"/>
      <c r="F131" s="129"/>
      <c r="G131" s="145"/>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1"/>
      <c r="F132" s="129"/>
      <c r="G132" s="145"/>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1"/>
      <c r="F133" s="129"/>
      <c r="G133" s="145"/>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1"/>
      <c r="F134" s="129"/>
      <c r="G134" s="145"/>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1"/>
      <c r="F135" s="129"/>
      <c r="G135" s="145"/>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1"/>
      <c r="F136" s="129"/>
      <c r="G136" s="145"/>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1"/>
      <c r="F137" s="129"/>
      <c r="G137" s="145"/>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1"/>
      <c r="F138" s="129"/>
      <c r="G138" s="145"/>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1"/>
      <c r="F139" s="129"/>
      <c r="G139" s="145"/>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1"/>
      <c r="F140" s="129"/>
      <c r="G140" s="145"/>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1"/>
      <c r="F141" s="129"/>
      <c r="G141" s="145"/>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1"/>
      <c r="F142" s="129"/>
      <c r="G142" s="145"/>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1"/>
      <c r="F143" s="129"/>
      <c r="G143" s="145"/>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1"/>
      <c r="F144" s="129"/>
      <c r="G144" s="145"/>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1"/>
      <c r="F145" s="129"/>
      <c r="G145" s="145"/>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1"/>
      <c r="F146" s="129"/>
      <c r="G146" s="145"/>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1"/>
      <c r="F147" s="129"/>
      <c r="G147" s="145"/>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1"/>
      <c r="F148" s="129"/>
      <c r="G148" s="145"/>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1"/>
      <c r="F149" s="129"/>
      <c r="G149" s="145"/>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1"/>
      <c r="F150" s="129"/>
      <c r="G150" s="145"/>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1"/>
      <c r="F151" s="129"/>
      <c r="G151" s="145"/>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1"/>
      <c r="F152" s="129"/>
      <c r="G152" s="145"/>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1"/>
      <c r="F153" s="129"/>
      <c r="G153" s="145"/>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1"/>
      <c r="F154" s="129"/>
      <c r="G154" s="145"/>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1"/>
      <c r="F155" s="129"/>
      <c r="G155" s="145"/>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1"/>
      <c r="F156" s="129"/>
      <c r="G156" s="145"/>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1"/>
      <c r="F157" s="129"/>
      <c r="G157" s="145"/>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1"/>
      <c r="F158" s="129"/>
      <c r="G158" s="145"/>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1"/>
      <c r="F159" s="129"/>
      <c r="G159" s="145"/>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1"/>
      <c r="F160" s="129"/>
      <c r="G160" s="145"/>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1"/>
      <c r="F161" s="129"/>
      <c r="G161" s="145"/>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1"/>
      <c r="F162" s="129"/>
      <c r="G162" s="145"/>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1"/>
      <c r="F163" s="129"/>
      <c r="G163" s="145"/>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1"/>
      <c r="F164" s="129"/>
      <c r="G164" s="145"/>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1"/>
      <c r="F165" s="129"/>
      <c r="G165" s="145"/>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1"/>
      <c r="F166" s="129"/>
      <c r="G166" s="145"/>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1"/>
      <c r="F167" s="129"/>
      <c r="G167" s="145"/>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1"/>
      <c r="F168" s="129"/>
      <c r="G168" s="145"/>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1"/>
      <c r="F169" s="129"/>
      <c r="G169" s="145"/>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1"/>
      <c r="F170" s="129"/>
      <c r="G170" s="145"/>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1"/>
      <c r="F171" s="129"/>
      <c r="G171" s="145"/>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1"/>
      <c r="F172" s="129"/>
      <c r="G172" s="145"/>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1"/>
      <c r="F173" s="129"/>
      <c r="G173" s="145"/>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1"/>
      <c r="F174" s="129"/>
      <c r="G174" s="145"/>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1"/>
      <c r="F175" s="129"/>
      <c r="G175" s="145"/>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1"/>
      <c r="F176" s="129"/>
      <c r="G176" s="145"/>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1"/>
      <c r="F177" s="129"/>
      <c r="G177" s="145"/>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1"/>
      <c r="F178" s="129"/>
      <c r="G178" s="145"/>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1"/>
      <c r="F179" s="129"/>
      <c r="G179" s="145"/>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1"/>
      <c r="F180" s="129"/>
      <c r="G180" s="145"/>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1"/>
      <c r="F181" s="129"/>
      <c r="G181" s="145"/>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1"/>
      <c r="F182" s="129"/>
      <c r="G182" s="145"/>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1"/>
      <c r="F183" s="129"/>
      <c r="G183" s="145"/>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1"/>
      <c r="F184" s="129"/>
      <c r="G184" s="145"/>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1"/>
      <c r="F185" s="129"/>
      <c r="G185" s="145"/>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1"/>
      <c r="F186" s="129"/>
      <c r="G186" s="145"/>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1"/>
      <c r="F187" s="129"/>
      <c r="G187" s="145"/>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1"/>
      <c r="F188" s="129"/>
      <c r="G188" s="145"/>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1"/>
      <c r="F189" s="129"/>
      <c r="G189" s="145"/>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1"/>
      <c r="F190" s="129"/>
      <c r="G190" s="145"/>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1"/>
      <c r="F191" s="129"/>
      <c r="G191" s="145"/>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1"/>
      <c r="F192" s="129"/>
      <c r="G192" s="145"/>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1"/>
      <c r="F193" s="129"/>
      <c r="G193" s="145"/>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1"/>
      <c r="F194" s="129"/>
      <c r="G194" s="145"/>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1"/>
      <c r="F195" s="129"/>
      <c r="G195" s="145"/>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1"/>
      <c r="F196" s="129"/>
      <c r="G196" s="133"/>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1"/>
      <c r="F197" s="129"/>
      <c r="G197" s="133"/>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121"/>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121"/>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121"/>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121"/>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121"/>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121"/>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121"/>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121"/>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121"/>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121"/>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121"/>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121"/>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121"/>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121"/>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121"/>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121"/>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121"/>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121"/>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121"/>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121"/>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121"/>
      <c r="P319" s="96"/>
      <c r="Q319" s="123"/>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121"/>
      <c r="P320" s="96"/>
      <c r="Q320" s="123"/>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121"/>
      <c r="P321" s="96"/>
      <c r="Q321" s="123"/>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121"/>
      <c r="P322" s="96"/>
      <c r="Q322" s="123"/>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121"/>
      <c r="P323" s="96"/>
      <c r="Q323" s="123"/>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121"/>
      <c r="P324" s="96"/>
      <c r="Q324" s="123"/>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121"/>
      <c r="P325" s="96"/>
      <c r="Q325" s="123"/>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121"/>
      <c r="P326" s="96"/>
      <c r="Q326" s="123"/>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121"/>
      <c r="P327" s="96"/>
      <c r="Q327" s="123"/>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121"/>
      <c r="P328" s="96"/>
      <c r="Q328" s="123"/>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121"/>
      <c r="P329" s="96"/>
      <c r="Q329" s="123"/>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121"/>
      <c r="P330" s="96"/>
      <c r="Q330" s="123"/>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121"/>
      <c r="P331" s="96"/>
      <c r="Q331" s="123"/>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121"/>
      <c r="P332" s="96"/>
      <c r="Q332" s="123"/>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121"/>
      <c r="P333" s="96"/>
      <c r="Q333" s="123"/>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121"/>
      <c r="P334" s="96"/>
      <c r="Q334" s="123"/>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121"/>
      <c r="P335" s="96"/>
      <c r="Q335" s="123"/>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121"/>
      <c r="P336" s="96"/>
      <c r="Q336" s="123"/>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121"/>
      <c r="P337" s="96"/>
      <c r="Q337" s="123"/>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121"/>
      <c r="P338" s="96"/>
      <c r="Q338" s="123"/>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121"/>
      <c r="P339" s="96"/>
      <c r="Q339" s="123"/>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121"/>
      <c r="P340" s="96"/>
      <c r="Q340" s="123"/>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121"/>
      <c r="P341" s="96"/>
      <c r="Q341" s="123"/>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109"/>
      <c r="P342" s="52"/>
      <c r="Q342" s="113"/>
    </row>
    <row r="343" spans="1:48">
      <c r="A343" s="61"/>
      <c r="B343" s="24"/>
      <c r="C343" s="60"/>
      <c r="E343" s="47"/>
      <c r="F343" s="48"/>
      <c r="G343" s="47"/>
      <c r="J343" s="61"/>
      <c r="K343" s="61"/>
      <c r="L343" s="30"/>
      <c r="N343" s="97"/>
      <c r="O343" s="109"/>
      <c r="P343" s="52"/>
      <c r="Q343" s="113"/>
    </row>
    <row r="344" spans="1:48">
      <c r="A344" s="61"/>
      <c r="B344" s="24"/>
      <c r="C344" s="60"/>
      <c r="E344" s="47"/>
      <c r="F344" s="48"/>
      <c r="G344" s="47"/>
      <c r="J344" s="61"/>
      <c r="K344" s="61"/>
      <c r="L344" s="30"/>
      <c r="N344" s="97"/>
      <c r="O344" s="109"/>
      <c r="P344" s="52"/>
      <c r="Q344" s="113"/>
    </row>
    <row r="345" spans="1:48">
      <c r="A345" s="61"/>
      <c r="B345" s="24"/>
      <c r="C345" s="60"/>
      <c r="E345" s="47"/>
      <c r="F345" s="48"/>
      <c r="G345" s="47"/>
      <c r="J345" s="61"/>
      <c r="K345" s="61"/>
      <c r="L345" s="30"/>
      <c r="N345" s="97"/>
      <c r="O345" s="109"/>
      <c r="P345" s="52"/>
      <c r="Q345" s="113"/>
    </row>
    <row r="346" spans="1:48">
      <c r="A346" s="61"/>
      <c r="B346" s="24"/>
      <c r="C346" s="60"/>
      <c r="E346" s="47"/>
      <c r="F346" s="48"/>
      <c r="G346" s="47"/>
      <c r="J346" s="61"/>
      <c r="K346" s="61"/>
      <c r="L346" s="30"/>
      <c r="N346" s="97"/>
      <c r="O346" s="109"/>
      <c r="P346" s="52"/>
      <c r="Q346" s="113"/>
    </row>
    <row r="347" spans="1:48">
      <c r="A347" s="61"/>
      <c r="B347" s="24"/>
      <c r="C347" s="60"/>
      <c r="E347" s="47"/>
      <c r="F347" s="48"/>
      <c r="G347" s="47"/>
      <c r="J347" s="61"/>
      <c r="K347" s="61"/>
      <c r="L347" s="30"/>
      <c r="N347" s="97"/>
      <c r="O347" s="109"/>
      <c r="P347" s="52"/>
      <c r="Q347" s="113"/>
    </row>
    <row r="348" spans="1:48">
      <c r="A348" s="61"/>
      <c r="B348" s="24"/>
      <c r="C348" s="60"/>
      <c r="E348" s="47"/>
      <c r="F348" s="48"/>
      <c r="G348" s="47"/>
      <c r="J348" s="61"/>
      <c r="K348" s="61"/>
      <c r="L348" s="30"/>
      <c r="N348" s="97"/>
      <c r="O348" s="109"/>
      <c r="P348" s="52"/>
      <c r="Q348" s="113"/>
    </row>
    <row r="349" spans="1:48">
      <c r="A349" s="61"/>
      <c r="B349" s="24"/>
      <c r="C349" s="60"/>
      <c r="E349" s="47"/>
      <c r="F349" s="48"/>
      <c r="G349" s="47"/>
      <c r="J349" s="61"/>
      <c r="K349" s="61"/>
      <c r="L349" s="30"/>
      <c r="N349" s="97"/>
      <c r="O349" s="109"/>
      <c r="P349" s="52"/>
      <c r="Q349" s="113"/>
    </row>
    <row r="350" spans="1:48">
      <c r="A350" s="61"/>
      <c r="B350" s="24"/>
      <c r="C350" s="60"/>
      <c r="E350" s="47"/>
      <c r="F350" s="48"/>
      <c r="G350" s="47"/>
      <c r="J350" s="61"/>
      <c r="K350" s="61"/>
      <c r="L350" s="30"/>
      <c r="N350" s="97"/>
      <c r="O350" s="109"/>
      <c r="P350" s="52"/>
      <c r="Q350" s="113"/>
    </row>
    <row r="351" spans="1:48">
      <c r="A351" s="61"/>
      <c r="B351" s="24"/>
      <c r="C351" s="60"/>
      <c r="E351" s="47"/>
      <c r="F351" s="48"/>
      <c r="G351" s="47"/>
      <c r="J351" s="61"/>
      <c r="K351" s="61"/>
      <c r="L351" s="30"/>
      <c r="N351" s="97"/>
      <c r="O351" s="109"/>
      <c r="P351" s="52"/>
      <c r="Q351" s="113"/>
    </row>
    <row r="352" spans="1:48">
      <c r="A352" s="61"/>
      <c r="B352" s="24"/>
      <c r="C352" s="60"/>
      <c r="E352" s="47"/>
      <c r="F352" s="48"/>
      <c r="G352" s="47"/>
      <c r="J352" s="61"/>
      <c r="K352" s="61"/>
      <c r="L352" s="30"/>
      <c r="N352" s="97"/>
      <c r="O352" s="109"/>
      <c r="P352" s="52"/>
      <c r="Q352" s="113"/>
    </row>
    <row r="353" spans="1:17">
      <c r="A353" s="61"/>
      <c r="B353" s="24"/>
      <c r="C353" s="60"/>
      <c r="E353" s="47"/>
      <c r="F353" s="48"/>
      <c r="G353" s="47"/>
      <c r="J353" s="61"/>
      <c r="K353" s="61"/>
      <c r="L353" s="30"/>
      <c r="N353" s="97"/>
      <c r="O353" s="109"/>
      <c r="P353" s="52"/>
      <c r="Q353" s="113"/>
    </row>
    <row r="354" spans="1:17">
      <c r="A354" s="61"/>
      <c r="B354" s="24"/>
      <c r="C354" s="60"/>
      <c r="E354" s="47"/>
      <c r="F354" s="48"/>
      <c r="G354" s="47"/>
      <c r="J354" s="61"/>
      <c r="K354" s="61"/>
      <c r="L354" s="30"/>
      <c r="N354" s="97"/>
      <c r="O354" s="109"/>
      <c r="P354" s="52"/>
      <c r="Q354" s="113"/>
    </row>
    <row r="355" spans="1:17">
      <c r="A355" s="61"/>
      <c r="B355" s="24"/>
      <c r="C355" s="60"/>
      <c r="E355" s="47"/>
      <c r="F355" s="48"/>
      <c r="G355" s="47"/>
      <c r="J355" s="61"/>
      <c r="K355" s="61"/>
      <c r="L355" s="30"/>
      <c r="N355" s="97"/>
      <c r="O355" s="109"/>
      <c r="P355" s="52"/>
      <c r="Q355" s="113"/>
    </row>
    <row r="356" spans="1:17">
      <c r="A356" s="61"/>
      <c r="B356" s="24"/>
      <c r="C356" s="60"/>
      <c r="E356" s="47"/>
      <c r="F356" s="48"/>
      <c r="G356" s="47"/>
      <c r="J356" s="61"/>
      <c r="K356" s="61"/>
      <c r="L356" s="30"/>
      <c r="N356" s="97"/>
      <c r="O356" s="109"/>
      <c r="P356" s="52"/>
      <c r="Q356" s="113"/>
    </row>
    <row r="357" spans="1:17">
      <c r="A357" s="61"/>
      <c r="B357" s="24"/>
      <c r="C357" s="60"/>
      <c r="E357" s="47"/>
      <c r="F357" s="48"/>
      <c r="G357" s="47"/>
      <c r="J357" s="61"/>
      <c r="K357" s="61"/>
      <c r="L357" s="30"/>
      <c r="N357" s="97"/>
      <c r="O357" s="109"/>
      <c r="P357" s="52"/>
      <c r="Q357" s="113"/>
    </row>
    <row r="358" spans="1:17">
      <c r="A358" s="61"/>
      <c r="B358" s="24"/>
      <c r="C358" s="60"/>
      <c r="E358" s="47"/>
      <c r="F358" s="48"/>
      <c r="G358" s="47"/>
      <c r="J358" s="61"/>
      <c r="K358" s="61"/>
      <c r="L358" s="30"/>
      <c r="N358" s="97"/>
      <c r="O358" s="109"/>
      <c r="P358" s="52"/>
      <c r="Q358" s="113"/>
    </row>
    <row r="359" spans="1:17">
      <c r="A359" s="61"/>
      <c r="B359" s="24"/>
      <c r="C359" s="60"/>
      <c r="E359" s="47"/>
      <c r="F359" s="48"/>
      <c r="G359" s="47"/>
      <c r="J359" s="61"/>
      <c r="K359" s="61"/>
      <c r="L359" s="30"/>
      <c r="N359" s="97"/>
      <c r="O359" s="109"/>
      <c r="P359" s="52"/>
      <c r="Q359" s="113"/>
    </row>
    <row r="360" spans="1:17">
      <c r="A360" s="61"/>
      <c r="B360" s="24"/>
      <c r="C360" s="60"/>
      <c r="E360" s="47"/>
      <c r="F360" s="48"/>
      <c r="G360" s="47"/>
      <c r="J360" s="61"/>
      <c r="K360" s="61"/>
      <c r="L360" s="30"/>
      <c r="N360" s="97"/>
      <c r="O360" s="109"/>
      <c r="P360" s="52"/>
      <c r="Q360" s="113"/>
    </row>
    <row r="361" spans="1:17">
      <c r="A361" s="61"/>
      <c r="B361" s="24"/>
      <c r="C361" s="60"/>
      <c r="E361" s="47"/>
      <c r="F361" s="48"/>
      <c r="G361" s="47"/>
      <c r="J361" s="61"/>
      <c r="K361" s="61"/>
      <c r="L361" s="30"/>
      <c r="N361" s="97"/>
      <c r="O361" s="109"/>
      <c r="P361" s="52"/>
      <c r="Q361" s="113"/>
    </row>
    <row r="362" spans="1:17">
      <c r="A362" s="61"/>
      <c r="B362" s="24"/>
      <c r="C362" s="60"/>
      <c r="E362" s="47"/>
      <c r="F362" s="48"/>
      <c r="G362" s="47"/>
      <c r="J362" s="61"/>
      <c r="K362" s="61"/>
      <c r="L362" s="30"/>
      <c r="N362" s="97"/>
      <c r="O362" s="109"/>
      <c r="P362" s="52"/>
      <c r="Q362" s="113"/>
    </row>
    <row r="363" spans="1:17">
      <c r="A363" s="61"/>
      <c r="B363" s="24"/>
      <c r="C363" s="60"/>
      <c r="E363" s="47"/>
      <c r="F363" s="48"/>
      <c r="G363" s="47"/>
      <c r="J363" s="61"/>
      <c r="K363" s="61"/>
      <c r="L363" s="30"/>
      <c r="N363" s="97"/>
      <c r="O363" s="109"/>
      <c r="P363" s="52"/>
      <c r="Q363" s="113"/>
    </row>
    <row r="364" spans="1:17">
      <c r="A364" s="61"/>
      <c r="B364" s="24"/>
      <c r="C364" s="60"/>
      <c r="E364" s="47"/>
      <c r="F364" s="48"/>
      <c r="G364" s="47"/>
      <c r="J364" s="61"/>
      <c r="K364" s="61"/>
      <c r="L364" s="30"/>
      <c r="N364" s="97"/>
      <c r="O364" s="109"/>
      <c r="P364" s="52"/>
      <c r="Q364" s="113"/>
    </row>
    <row r="365" spans="1:17">
      <c r="A365" s="61"/>
      <c r="B365" s="24"/>
      <c r="C365" s="60"/>
      <c r="E365" s="47"/>
      <c r="F365" s="48"/>
      <c r="G365" s="47"/>
      <c r="J365" s="61"/>
      <c r="K365" s="61"/>
      <c r="L365" s="30"/>
      <c r="N365" s="97"/>
      <c r="O365" s="109"/>
      <c r="P365" s="52"/>
      <c r="Q365" s="113"/>
    </row>
    <row r="366" spans="1:17">
      <c r="A366" s="61"/>
      <c r="B366" s="24"/>
      <c r="C366" s="60"/>
      <c r="E366" s="47"/>
      <c r="F366" s="48"/>
      <c r="G366" s="47"/>
      <c r="J366" s="61"/>
      <c r="K366" s="61"/>
      <c r="L366" s="30"/>
      <c r="N366" s="97"/>
      <c r="O366" s="109"/>
      <c r="P366" s="52"/>
      <c r="Q366" s="113"/>
    </row>
    <row r="367" spans="1:17">
      <c r="A367" s="61"/>
      <c r="B367" s="24"/>
      <c r="C367" s="60"/>
      <c r="E367" s="47"/>
      <c r="F367" s="48"/>
      <c r="G367" s="47"/>
      <c r="J367" s="61"/>
      <c r="K367" s="61"/>
      <c r="L367" s="30"/>
      <c r="N367" s="97"/>
      <c r="O367" s="109"/>
      <c r="P367" s="52"/>
      <c r="Q367" s="113"/>
    </row>
    <row r="368" spans="1:17">
      <c r="A368" s="61"/>
      <c r="B368" s="24"/>
      <c r="C368" s="60"/>
      <c r="E368" s="47"/>
      <c r="F368" s="48"/>
      <c r="G368" s="47"/>
      <c r="J368" s="61"/>
      <c r="K368" s="61"/>
      <c r="L368" s="30"/>
      <c r="N368" s="97"/>
      <c r="O368" s="109"/>
      <c r="P368" s="52"/>
      <c r="Q368" s="113"/>
    </row>
    <row r="369" spans="1:17">
      <c r="A369" s="61"/>
      <c r="B369" s="24"/>
      <c r="C369" s="60"/>
      <c r="E369" s="47"/>
      <c r="F369" s="48"/>
      <c r="G369" s="47"/>
      <c r="J369" s="61"/>
      <c r="K369" s="61"/>
      <c r="L369" s="30"/>
      <c r="N369" s="97"/>
      <c r="O369" s="109"/>
      <c r="P369" s="52"/>
      <c r="Q369" s="113"/>
    </row>
    <row r="370" spans="1:17">
      <c r="A370" s="61"/>
      <c r="B370" s="24"/>
      <c r="C370" s="60"/>
      <c r="E370" s="47"/>
      <c r="F370" s="48"/>
      <c r="G370" s="47"/>
      <c r="J370" s="61"/>
      <c r="K370" s="61"/>
      <c r="L370" s="30"/>
      <c r="N370" s="97"/>
      <c r="O370" s="109"/>
      <c r="P370" s="52"/>
      <c r="Q370" s="113"/>
    </row>
    <row r="371" spans="1:17">
      <c r="A371" s="61"/>
      <c r="B371" s="24"/>
      <c r="C371" s="60"/>
      <c r="E371" s="47"/>
      <c r="F371" s="48"/>
      <c r="G371" s="47"/>
      <c r="J371" s="61"/>
      <c r="K371" s="61"/>
      <c r="L371" s="30"/>
      <c r="N371" s="97"/>
      <c r="O371" s="109"/>
      <c r="P371" s="52"/>
      <c r="Q371" s="113"/>
    </row>
    <row r="372" spans="1:17">
      <c r="A372" s="61"/>
      <c r="B372" s="24"/>
      <c r="C372" s="60"/>
      <c r="E372" s="47"/>
      <c r="F372" s="48"/>
      <c r="G372" s="47"/>
      <c r="J372" s="61"/>
      <c r="K372" s="61"/>
      <c r="L372" s="30"/>
      <c r="N372" s="97"/>
      <c r="O372" s="109"/>
      <c r="P372" s="52"/>
      <c r="Q372" s="113"/>
    </row>
    <row r="373" spans="1:17">
      <c r="A373" s="61"/>
      <c r="B373" s="24"/>
      <c r="C373" s="60"/>
      <c r="E373" s="47"/>
      <c r="F373" s="48"/>
      <c r="G373" s="47"/>
      <c r="J373" s="61"/>
      <c r="K373" s="61"/>
      <c r="L373" s="30"/>
      <c r="N373" s="97"/>
      <c r="O373" s="109"/>
      <c r="P373" s="52"/>
      <c r="Q373" s="113"/>
    </row>
    <row r="374" spans="1:17">
      <c r="A374" s="61"/>
      <c r="B374" s="24"/>
      <c r="C374" s="60"/>
      <c r="E374" s="47"/>
      <c r="F374" s="48"/>
      <c r="G374" s="47"/>
      <c r="J374" s="61"/>
      <c r="K374" s="61"/>
      <c r="L374" s="30"/>
      <c r="N374" s="97"/>
      <c r="O374" s="109"/>
      <c r="P374" s="52"/>
      <c r="Q374" s="113"/>
    </row>
    <row r="375" spans="1:17">
      <c r="A375" s="61"/>
      <c r="B375" s="24"/>
      <c r="C375" s="60"/>
      <c r="E375" s="47"/>
      <c r="F375" s="48"/>
      <c r="G375" s="47"/>
      <c r="J375" s="61"/>
      <c r="K375" s="61"/>
      <c r="L375" s="30"/>
      <c r="N375" s="97"/>
      <c r="O375" s="109"/>
      <c r="P375" s="52"/>
      <c r="Q375" s="113"/>
    </row>
    <row r="376" spans="1:17">
      <c r="A376" s="61"/>
      <c r="B376" s="24"/>
      <c r="C376" s="60"/>
      <c r="E376" s="47"/>
      <c r="F376" s="48"/>
      <c r="G376" s="47"/>
      <c r="J376" s="61"/>
      <c r="K376" s="61"/>
      <c r="L376" s="30"/>
      <c r="N376" s="97"/>
      <c r="O376" s="109"/>
      <c r="P376" s="52"/>
      <c r="Q376" s="113"/>
    </row>
    <row r="377" spans="1:17">
      <c r="A377" s="61"/>
      <c r="B377" s="24"/>
      <c r="C377" s="60"/>
      <c r="E377" s="47"/>
      <c r="F377" s="48"/>
      <c r="G377" s="47"/>
      <c r="J377" s="61"/>
      <c r="K377" s="61"/>
      <c r="L377" s="30"/>
      <c r="N377" s="97"/>
      <c r="O377" s="109"/>
      <c r="P377" s="52"/>
      <c r="Q377" s="113"/>
    </row>
    <row r="378" spans="1:17">
      <c r="A378" s="61"/>
      <c r="B378" s="24"/>
      <c r="C378" s="60"/>
      <c r="E378" s="47"/>
      <c r="F378" s="48"/>
      <c r="G378" s="47"/>
      <c r="J378" s="61"/>
      <c r="K378" s="61"/>
      <c r="L378" s="30"/>
      <c r="N378" s="97"/>
      <c r="O378" s="109"/>
      <c r="P378" s="52"/>
      <c r="Q378" s="113"/>
    </row>
    <row r="379" spans="1:17">
      <c r="A379" s="61"/>
      <c r="B379" s="24"/>
      <c r="C379" s="60"/>
      <c r="E379" s="47"/>
      <c r="F379" s="48"/>
      <c r="G379" s="47"/>
      <c r="J379" s="61"/>
      <c r="K379" s="61"/>
      <c r="L379" s="30"/>
      <c r="N379" s="97"/>
      <c r="O379" s="109"/>
      <c r="P379" s="52"/>
      <c r="Q379" s="113"/>
    </row>
    <row r="380" spans="1:17">
      <c r="A380" s="61"/>
      <c r="B380" s="24"/>
      <c r="C380" s="60"/>
      <c r="E380" s="47"/>
      <c r="F380" s="48"/>
      <c r="G380" s="47"/>
      <c r="J380" s="61"/>
      <c r="K380" s="61"/>
      <c r="L380" s="30"/>
      <c r="N380" s="97"/>
      <c r="O380" s="109"/>
      <c r="P380" s="52"/>
      <c r="Q380" s="113"/>
    </row>
    <row r="381" spans="1:17">
      <c r="A381" s="61"/>
      <c r="B381" s="24"/>
      <c r="C381" s="60"/>
      <c r="E381" s="47"/>
      <c r="F381" s="48"/>
      <c r="G381" s="47"/>
      <c r="J381" s="61"/>
      <c r="K381" s="61"/>
      <c r="L381" s="30"/>
      <c r="N381" s="97"/>
      <c r="O381" s="109"/>
      <c r="P381" s="52"/>
      <c r="Q381" s="113"/>
    </row>
    <row r="382" spans="1:17">
      <c r="A382" s="61"/>
      <c r="B382" s="24"/>
      <c r="C382" s="60"/>
      <c r="E382" s="47"/>
      <c r="F382" s="48"/>
      <c r="G382" s="47"/>
      <c r="J382" s="61"/>
      <c r="K382" s="61"/>
      <c r="L382" s="30"/>
      <c r="N382" s="97"/>
      <c r="O382" s="109"/>
      <c r="P382" s="52"/>
      <c r="Q382" s="113"/>
    </row>
    <row r="383" spans="1:17">
      <c r="A383" s="61"/>
      <c r="B383" s="24"/>
      <c r="C383" s="60"/>
      <c r="E383" s="47"/>
      <c r="F383" s="48"/>
      <c r="G383" s="47"/>
      <c r="J383" s="61"/>
      <c r="K383" s="61"/>
      <c r="L383" s="30"/>
      <c r="N383" s="97"/>
      <c r="O383" s="109"/>
      <c r="P383" s="52"/>
      <c r="Q383" s="113"/>
    </row>
    <row r="384" spans="1:17">
      <c r="A384" s="61"/>
      <c r="B384" s="24"/>
      <c r="C384" s="60"/>
      <c r="E384" s="47"/>
      <c r="F384" s="48"/>
      <c r="G384" s="47"/>
      <c r="J384" s="61"/>
      <c r="K384" s="61"/>
      <c r="L384" s="30"/>
      <c r="N384" s="97"/>
      <c r="O384" s="109"/>
      <c r="P384" s="52"/>
      <c r="Q384" s="113"/>
    </row>
    <row r="385" spans="1:17">
      <c r="A385" s="61"/>
      <c r="B385" s="24"/>
      <c r="C385" s="60"/>
      <c r="E385" s="47"/>
      <c r="F385" s="48"/>
      <c r="G385" s="47"/>
      <c r="J385" s="61"/>
      <c r="K385" s="61"/>
      <c r="L385" s="30"/>
      <c r="N385" s="97"/>
      <c r="O385" s="109"/>
      <c r="P385" s="52"/>
      <c r="Q385" s="113"/>
    </row>
    <row r="386" spans="1:17">
      <c r="A386" s="61"/>
      <c r="B386" s="24"/>
      <c r="C386" s="60"/>
      <c r="E386" s="47"/>
      <c r="F386" s="48"/>
      <c r="G386" s="47"/>
      <c r="J386" s="61"/>
      <c r="K386" s="61"/>
      <c r="L386" s="30"/>
      <c r="N386" s="97"/>
      <c r="O386" s="109"/>
      <c r="P386" s="52"/>
      <c r="Q386" s="113"/>
    </row>
    <row r="387" spans="1:17">
      <c r="A387" s="61"/>
      <c r="B387" s="24"/>
      <c r="C387" s="60"/>
      <c r="E387" s="47"/>
      <c r="F387" s="48"/>
      <c r="G387" s="47"/>
      <c r="J387" s="61"/>
      <c r="K387" s="61"/>
      <c r="L387" s="30"/>
      <c r="N387" s="97"/>
      <c r="O387" s="109"/>
      <c r="P387" s="52"/>
      <c r="Q387" s="113"/>
    </row>
    <row r="388" spans="1:17">
      <c r="A388" s="61"/>
      <c r="B388" s="24"/>
      <c r="C388" s="60"/>
      <c r="E388" s="47"/>
      <c r="F388" s="48"/>
      <c r="G388" s="47"/>
      <c r="J388" s="61"/>
      <c r="K388" s="61"/>
      <c r="L388" s="30"/>
      <c r="N388" s="97"/>
      <c r="O388" s="109"/>
      <c r="P388" s="52"/>
      <c r="Q388" s="113"/>
    </row>
    <row r="389" spans="1:17">
      <c r="A389" s="61"/>
      <c r="B389" s="24"/>
      <c r="C389" s="60"/>
      <c r="E389" s="47"/>
      <c r="F389" s="48"/>
      <c r="G389" s="47"/>
      <c r="J389" s="61"/>
      <c r="K389" s="61"/>
      <c r="L389" s="30"/>
      <c r="N389" s="97"/>
      <c r="O389" s="109"/>
      <c r="P389" s="52"/>
      <c r="Q389" s="113"/>
    </row>
    <row r="390" spans="1:17">
      <c r="A390" s="61"/>
      <c r="B390" s="24"/>
      <c r="C390" s="60"/>
      <c r="E390" s="47"/>
      <c r="F390" s="48"/>
      <c r="G390" s="47"/>
      <c r="J390" s="61"/>
      <c r="K390" s="61"/>
      <c r="L390" s="30"/>
      <c r="N390" s="97"/>
      <c r="O390" s="109"/>
      <c r="P390" s="52"/>
      <c r="Q390" s="113"/>
    </row>
    <row r="391" spans="1:17">
      <c r="A391" s="61"/>
      <c r="B391" s="24"/>
      <c r="C391" s="60"/>
      <c r="E391" s="47"/>
      <c r="F391" s="48"/>
      <c r="G391" s="47"/>
      <c r="J391" s="61"/>
      <c r="K391" s="61"/>
      <c r="L391" s="30"/>
      <c r="N391" s="97"/>
      <c r="O391" s="109"/>
      <c r="P391" s="52"/>
      <c r="Q391" s="113"/>
    </row>
    <row r="392" spans="1:17">
      <c r="A392" s="61"/>
      <c r="B392" s="24"/>
      <c r="C392" s="60"/>
      <c r="E392" s="47"/>
      <c r="F392" s="48"/>
      <c r="G392" s="47"/>
      <c r="J392" s="61"/>
      <c r="K392" s="61"/>
      <c r="L392" s="30"/>
      <c r="N392" s="97"/>
      <c r="O392" s="109"/>
      <c r="P392" s="52"/>
      <c r="Q392" s="113"/>
    </row>
    <row r="393" spans="1:17">
      <c r="A393" s="61"/>
      <c r="B393" s="24"/>
      <c r="C393" s="60"/>
      <c r="E393" s="47"/>
      <c r="F393" s="48"/>
      <c r="G393" s="47"/>
      <c r="J393" s="61"/>
      <c r="K393" s="61"/>
      <c r="L393" s="30"/>
      <c r="N393" s="97"/>
      <c r="O393" s="109"/>
      <c r="P393" s="52"/>
      <c r="Q393" s="113"/>
    </row>
    <row r="394" spans="1:17">
      <c r="A394" s="61"/>
      <c r="B394" s="24"/>
      <c r="C394" s="60"/>
      <c r="E394" s="47"/>
      <c r="F394" s="48"/>
      <c r="G394" s="47"/>
      <c r="J394" s="61"/>
      <c r="K394" s="61"/>
      <c r="L394" s="30"/>
      <c r="N394" s="97"/>
      <c r="O394" s="109"/>
      <c r="P394" s="52"/>
      <c r="Q394" s="113"/>
    </row>
    <row r="395" spans="1:17">
      <c r="A395" s="61"/>
      <c r="B395" s="24"/>
      <c r="C395" s="60"/>
      <c r="E395" s="47"/>
      <c r="F395" s="48"/>
      <c r="G395" s="47"/>
      <c r="J395" s="61"/>
      <c r="K395" s="61"/>
      <c r="L395" s="30"/>
      <c r="N395" s="97"/>
      <c r="O395" s="109"/>
      <c r="P395" s="52"/>
      <c r="Q395" s="113"/>
    </row>
    <row r="396" spans="1:17">
      <c r="A396" s="61"/>
      <c r="B396" s="24"/>
      <c r="C396" s="60"/>
      <c r="E396" s="47"/>
      <c r="F396" s="48"/>
      <c r="G396" s="47"/>
      <c r="J396" s="61"/>
      <c r="K396" s="61"/>
      <c r="L396" s="30"/>
      <c r="N396" s="97"/>
      <c r="O396" s="109"/>
      <c r="P396" s="52"/>
      <c r="Q396" s="113"/>
    </row>
    <row r="397" spans="1:17">
      <c r="A397" s="61"/>
      <c r="B397" s="24"/>
      <c r="C397" s="60"/>
      <c r="E397" s="47"/>
      <c r="F397" s="48"/>
      <c r="G397" s="47"/>
      <c r="J397" s="61"/>
      <c r="K397" s="61"/>
      <c r="L397" s="30"/>
      <c r="N397" s="97"/>
      <c r="O397" s="109"/>
      <c r="P397" s="52"/>
      <c r="Q397" s="113"/>
    </row>
    <row r="398" spans="1:17">
      <c r="A398" s="61"/>
      <c r="B398" s="24"/>
      <c r="C398" s="60"/>
      <c r="E398" s="47"/>
      <c r="F398" s="48"/>
      <c r="G398" s="47"/>
      <c r="J398" s="61"/>
      <c r="K398" s="61"/>
      <c r="L398" s="30"/>
      <c r="N398" s="97"/>
      <c r="O398" s="109"/>
      <c r="P398" s="52"/>
      <c r="Q398" s="113"/>
    </row>
    <row r="399" spans="1:17">
      <c r="A399" s="61"/>
      <c r="B399" s="24"/>
      <c r="C399" s="60"/>
      <c r="E399" s="47"/>
      <c r="F399" s="48"/>
      <c r="G399" s="47"/>
      <c r="J399" s="61"/>
      <c r="K399" s="61"/>
      <c r="L399" s="30"/>
      <c r="N399" s="97"/>
      <c r="O399" s="109"/>
      <c r="P399" s="52"/>
      <c r="Q399" s="113"/>
    </row>
    <row r="400" spans="1:17">
      <c r="A400" s="61"/>
      <c r="B400" s="24"/>
      <c r="C400" s="60"/>
      <c r="E400" s="47"/>
      <c r="F400" s="48"/>
      <c r="G400" s="47"/>
      <c r="J400" s="61"/>
      <c r="K400" s="61"/>
      <c r="L400" s="30"/>
      <c r="N400" s="97"/>
      <c r="O400" s="109"/>
      <c r="P400" s="52"/>
      <c r="Q400" s="113"/>
    </row>
    <row r="401" spans="1:17">
      <c r="A401" s="61"/>
      <c r="B401" s="24"/>
      <c r="C401" s="60"/>
      <c r="E401" s="47"/>
      <c r="F401" s="48"/>
      <c r="G401" s="47"/>
      <c r="J401" s="61"/>
      <c r="K401" s="61"/>
      <c r="L401" s="30"/>
      <c r="N401" s="97"/>
      <c r="O401" s="109"/>
      <c r="P401" s="52"/>
      <c r="Q401" s="113"/>
    </row>
    <row r="402" spans="1:17">
      <c r="A402" s="61"/>
      <c r="B402" s="24"/>
      <c r="C402" s="60"/>
      <c r="E402" s="47"/>
      <c r="F402" s="48"/>
      <c r="G402" s="47"/>
      <c r="J402" s="61"/>
      <c r="K402" s="61"/>
      <c r="L402" s="30"/>
      <c r="N402" s="97"/>
      <c r="O402" s="109"/>
      <c r="P402" s="52"/>
      <c r="Q402" s="113"/>
    </row>
    <row r="403" spans="1:17">
      <c r="A403" s="61"/>
      <c r="B403" s="24"/>
      <c r="C403" s="60"/>
      <c r="E403" s="47"/>
      <c r="F403" s="48"/>
      <c r="G403" s="47"/>
      <c r="J403" s="61"/>
      <c r="K403" s="61"/>
      <c r="L403" s="30"/>
      <c r="N403" s="97"/>
      <c r="O403" s="109"/>
      <c r="P403" s="52"/>
      <c r="Q403" s="113"/>
    </row>
    <row r="404" spans="1:17">
      <c r="A404" s="61"/>
      <c r="B404" s="24"/>
      <c r="C404" s="60"/>
      <c r="E404" s="47"/>
      <c r="F404" s="48"/>
      <c r="G404" s="47"/>
      <c r="J404" s="61"/>
      <c r="K404" s="61"/>
      <c r="L404" s="30"/>
      <c r="N404" s="97"/>
      <c r="O404" s="109"/>
      <c r="P404" s="52"/>
      <c r="Q404" s="113"/>
    </row>
    <row r="405" spans="1:17">
      <c r="A405" s="61"/>
      <c r="B405" s="24"/>
      <c r="C405" s="60"/>
      <c r="E405" s="47"/>
      <c r="F405" s="48"/>
      <c r="G405" s="47"/>
      <c r="J405" s="61"/>
      <c r="K405" s="61"/>
      <c r="L405" s="30"/>
      <c r="N405" s="97"/>
      <c r="O405" s="109"/>
      <c r="P405" s="52"/>
      <c r="Q405" s="113"/>
    </row>
    <row r="406" spans="1:17">
      <c r="A406" s="61"/>
      <c r="B406" s="24"/>
      <c r="C406" s="60"/>
      <c r="E406" s="47"/>
      <c r="F406" s="48"/>
      <c r="G406" s="47"/>
      <c r="J406" s="61"/>
      <c r="K406" s="61"/>
      <c r="L406" s="30"/>
      <c r="N406" s="97"/>
      <c r="O406" s="109"/>
      <c r="P406" s="52"/>
      <c r="Q406" s="113"/>
    </row>
    <row r="407" spans="1:17">
      <c r="A407" s="61"/>
      <c r="B407" s="24"/>
      <c r="C407" s="60"/>
      <c r="E407" s="47"/>
      <c r="F407" s="48"/>
      <c r="G407" s="47"/>
      <c r="J407" s="61"/>
      <c r="K407" s="61"/>
      <c r="L407" s="30"/>
      <c r="N407" s="97"/>
      <c r="O407" s="109"/>
      <c r="P407" s="52"/>
      <c r="Q407" s="113"/>
    </row>
    <row r="408" spans="1:17">
      <c r="A408" s="61"/>
      <c r="B408" s="24"/>
      <c r="C408" s="60"/>
      <c r="E408" s="47"/>
      <c r="F408" s="48"/>
      <c r="G408" s="47"/>
      <c r="J408" s="61"/>
      <c r="K408" s="61"/>
      <c r="L408" s="30"/>
      <c r="N408" s="97"/>
      <c r="O408" s="109"/>
      <c r="P408" s="52"/>
      <c r="Q408" s="113"/>
    </row>
    <row r="409" spans="1:17">
      <c r="A409" s="61"/>
      <c r="B409" s="24"/>
      <c r="C409" s="60"/>
      <c r="E409" s="47"/>
      <c r="F409" s="48"/>
      <c r="G409" s="47"/>
      <c r="J409" s="61"/>
      <c r="K409" s="61"/>
      <c r="L409" s="30"/>
      <c r="N409" s="97"/>
      <c r="O409" s="109"/>
      <c r="P409" s="52"/>
      <c r="Q409" s="113"/>
    </row>
    <row r="410" spans="1:17">
      <c r="A410" s="61"/>
      <c r="B410" s="24"/>
      <c r="C410" s="60"/>
      <c r="E410" s="47"/>
      <c r="F410" s="48"/>
      <c r="G410" s="47"/>
      <c r="J410" s="61"/>
      <c r="K410" s="61"/>
      <c r="L410" s="30"/>
      <c r="N410" s="97"/>
      <c r="O410" s="109"/>
      <c r="P410" s="52"/>
      <c r="Q410" s="113"/>
    </row>
    <row r="411" spans="1:17">
      <c r="A411" s="61"/>
      <c r="B411" s="24"/>
      <c r="C411" s="60"/>
      <c r="E411" s="47"/>
      <c r="F411" s="48"/>
      <c r="G411" s="47"/>
      <c r="J411" s="61"/>
      <c r="K411" s="61"/>
      <c r="L411" s="30"/>
      <c r="N411" s="97"/>
      <c r="O411" s="109"/>
      <c r="P411" s="52"/>
      <c r="Q411" s="113"/>
    </row>
    <row r="412" spans="1:17">
      <c r="A412" s="61"/>
      <c r="B412" s="24"/>
      <c r="C412" s="60"/>
      <c r="E412" s="47"/>
      <c r="F412" s="48"/>
      <c r="G412" s="47"/>
      <c r="J412" s="61"/>
      <c r="K412" s="61"/>
      <c r="L412" s="30"/>
      <c r="N412" s="97"/>
      <c r="O412" s="109"/>
      <c r="P412" s="52"/>
      <c r="Q412" s="113"/>
    </row>
    <row r="413" spans="1:17">
      <c r="A413" s="61"/>
      <c r="B413" s="24"/>
      <c r="C413" s="60"/>
      <c r="E413" s="47"/>
      <c r="F413" s="48"/>
      <c r="G413" s="47"/>
      <c r="J413" s="61"/>
      <c r="K413" s="61"/>
      <c r="L413" s="30"/>
      <c r="N413" s="97"/>
      <c r="O413" s="109"/>
      <c r="P413" s="52"/>
      <c r="Q413" s="113"/>
    </row>
    <row r="414" spans="1:17">
      <c r="A414" s="61"/>
      <c r="B414" s="24"/>
      <c r="C414" s="60"/>
      <c r="E414" s="47"/>
      <c r="F414" s="48"/>
      <c r="G414" s="47"/>
      <c r="J414" s="61"/>
      <c r="K414" s="61"/>
      <c r="L414" s="30"/>
      <c r="N414" s="97"/>
      <c r="O414" s="109"/>
      <c r="P414" s="52"/>
      <c r="Q414" s="113"/>
    </row>
    <row r="415" spans="1:17">
      <c r="A415" s="61"/>
      <c r="B415" s="24"/>
      <c r="C415" s="60"/>
      <c r="E415" s="47"/>
      <c r="F415" s="48"/>
      <c r="G415" s="47"/>
      <c r="J415" s="61"/>
      <c r="K415" s="61"/>
      <c r="L415" s="30"/>
      <c r="N415" s="97"/>
      <c r="O415" s="109"/>
      <c r="P415" s="52"/>
      <c r="Q415" s="113"/>
    </row>
    <row r="416" spans="1:17">
      <c r="A416" s="61"/>
      <c r="B416" s="24"/>
      <c r="C416" s="60"/>
      <c r="E416" s="47"/>
      <c r="F416" s="48"/>
      <c r="G416" s="47"/>
      <c r="J416" s="61"/>
      <c r="K416" s="61"/>
      <c r="L416" s="30"/>
      <c r="N416" s="97"/>
      <c r="O416" s="109"/>
      <c r="P416" s="52"/>
      <c r="Q416" s="113"/>
    </row>
    <row r="417" spans="1:17">
      <c r="A417" s="61"/>
      <c r="B417" s="24"/>
      <c r="C417" s="60"/>
      <c r="E417" s="47"/>
      <c r="F417" s="48"/>
      <c r="G417" s="47"/>
      <c r="J417" s="61"/>
      <c r="K417" s="61"/>
      <c r="L417" s="30"/>
      <c r="N417" s="97"/>
      <c r="O417" s="109"/>
      <c r="P417" s="52"/>
      <c r="Q417" s="113"/>
    </row>
    <row r="418" spans="1:17">
      <c r="A418" s="61"/>
      <c r="B418" s="24"/>
      <c r="C418" s="60"/>
      <c r="E418" s="47"/>
      <c r="F418" s="48"/>
      <c r="G418" s="47"/>
      <c r="J418" s="61"/>
      <c r="K418" s="61"/>
      <c r="L418" s="30"/>
      <c r="N418" s="97"/>
      <c r="O418" s="109"/>
      <c r="P418" s="52"/>
      <c r="Q418" s="113"/>
    </row>
    <row r="419" spans="1:17">
      <c r="A419" s="61"/>
      <c r="B419" s="24"/>
      <c r="C419" s="60"/>
      <c r="E419" s="47"/>
      <c r="F419" s="48"/>
      <c r="G419" s="47"/>
      <c r="J419" s="61"/>
      <c r="K419" s="61"/>
      <c r="L419" s="30"/>
      <c r="N419" s="97"/>
      <c r="O419" s="109"/>
      <c r="P419" s="52"/>
      <c r="Q419" s="113"/>
    </row>
    <row r="420" spans="1:17">
      <c r="A420" s="61"/>
      <c r="B420" s="24"/>
      <c r="C420" s="60"/>
      <c r="E420" s="47"/>
      <c r="F420" s="48"/>
      <c r="G420" s="47"/>
      <c r="J420" s="61"/>
      <c r="K420" s="61"/>
      <c r="L420" s="30"/>
      <c r="N420" s="97"/>
      <c r="O420" s="109"/>
      <c r="P420" s="52"/>
      <c r="Q420" s="113"/>
    </row>
    <row r="421" spans="1:17">
      <c r="A421" s="61"/>
      <c r="B421" s="24"/>
      <c r="C421" s="60"/>
      <c r="E421" s="47"/>
      <c r="F421" s="48"/>
      <c r="G421" s="47"/>
      <c r="J421" s="61"/>
      <c r="K421" s="61"/>
      <c r="L421" s="30"/>
      <c r="N421" s="97"/>
      <c r="O421" s="109"/>
      <c r="P421" s="52"/>
      <c r="Q421" s="113"/>
    </row>
    <row r="422" spans="1:17">
      <c r="A422" s="61"/>
      <c r="B422" s="24"/>
      <c r="C422" s="60"/>
      <c r="E422" s="47"/>
      <c r="F422" s="48"/>
      <c r="G422" s="47"/>
      <c r="J422" s="61"/>
      <c r="K422" s="61"/>
      <c r="L422" s="30"/>
      <c r="N422" s="97"/>
      <c r="O422" s="109"/>
      <c r="P422" s="52"/>
      <c r="Q422" s="113"/>
    </row>
    <row r="423" spans="1:17">
      <c r="A423" s="61"/>
      <c r="B423" s="24"/>
      <c r="C423" s="60"/>
      <c r="E423" s="47"/>
      <c r="F423" s="48"/>
      <c r="G423" s="47"/>
      <c r="J423" s="61"/>
      <c r="K423" s="61"/>
      <c r="L423" s="30"/>
      <c r="N423" s="97"/>
      <c r="O423" s="109"/>
      <c r="P423" s="52"/>
      <c r="Q423" s="113"/>
    </row>
    <row r="424" spans="1:17">
      <c r="A424" s="61"/>
      <c r="B424" s="24"/>
      <c r="C424" s="60"/>
      <c r="E424" s="47"/>
      <c r="F424" s="48"/>
      <c r="G424" s="47"/>
      <c r="J424" s="61"/>
      <c r="K424" s="61"/>
      <c r="L424" s="30"/>
      <c r="N424" s="97"/>
      <c r="O424" s="109"/>
      <c r="P424" s="52"/>
      <c r="Q424" s="113"/>
    </row>
    <row r="425" spans="1:17">
      <c r="A425" s="61"/>
      <c r="B425" s="24"/>
      <c r="C425" s="60"/>
      <c r="E425" s="47"/>
      <c r="F425" s="48"/>
      <c r="G425" s="47"/>
      <c r="J425" s="61"/>
      <c r="K425" s="61"/>
      <c r="L425" s="30"/>
      <c r="N425" s="97"/>
      <c r="O425" s="109"/>
      <c r="P425" s="52"/>
      <c r="Q425" s="113"/>
    </row>
    <row r="426" spans="1:17">
      <c r="A426" s="61"/>
      <c r="B426" s="24"/>
      <c r="C426" s="60"/>
      <c r="E426" s="47"/>
      <c r="F426" s="48"/>
      <c r="G426" s="47"/>
      <c r="J426" s="61"/>
      <c r="K426" s="61"/>
      <c r="L426" s="30"/>
      <c r="N426" s="97"/>
      <c r="O426" s="109"/>
      <c r="P426" s="52"/>
      <c r="Q426" s="113"/>
    </row>
    <row r="427" spans="1:17">
      <c r="A427" s="61"/>
      <c r="B427" s="24"/>
      <c r="C427" s="60"/>
      <c r="E427" s="47"/>
      <c r="F427" s="48"/>
      <c r="G427" s="47"/>
      <c r="J427" s="61"/>
      <c r="K427" s="61"/>
      <c r="L427" s="30"/>
      <c r="N427" s="97"/>
      <c r="O427" s="109"/>
      <c r="P427" s="52"/>
      <c r="Q427" s="113"/>
    </row>
    <row r="428" spans="1:17">
      <c r="A428" s="61"/>
      <c r="B428" s="24"/>
      <c r="C428" s="60"/>
      <c r="E428" s="47"/>
      <c r="F428" s="48"/>
      <c r="G428" s="47"/>
      <c r="J428" s="61"/>
      <c r="K428" s="61"/>
      <c r="L428" s="30"/>
      <c r="N428" s="97"/>
      <c r="O428" s="109"/>
      <c r="P428" s="52"/>
      <c r="Q428" s="113"/>
    </row>
    <row r="429" spans="1:17">
      <c r="A429" s="61"/>
      <c r="B429" s="24"/>
      <c r="C429" s="60"/>
      <c r="E429" s="47"/>
      <c r="F429" s="48"/>
      <c r="G429" s="47"/>
      <c r="J429" s="61"/>
      <c r="K429" s="61"/>
      <c r="L429" s="30"/>
      <c r="N429" s="97"/>
      <c r="O429" s="109"/>
      <c r="P429" s="52"/>
      <c r="Q429" s="113"/>
    </row>
    <row r="430" spans="1:17">
      <c r="A430" s="61"/>
      <c r="B430" s="24"/>
      <c r="C430" s="60"/>
      <c r="E430" s="47"/>
      <c r="F430" s="48"/>
      <c r="G430" s="47"/>
      <c r="J430" s="61"/>
      <c r="K430" s="61"/>
      <c r="L430" s="30"/>
      <c r="N430" s="97"/>
      <c r="O430" s="109"/>
      <c r="P430" s="52"/>
      <c r="Q430" s="113"/>
    </row>
    <row r="431" spans="1:17">
      <c r="A431" s="61"/>
      <c r="B431" s="24"/>
      <c r="C431" s="60"/>
      <c r="E431" s="47"/>
      <c r="F431" s="48"/>
      <c r="G431" s="47"/>
      <c r="J431" s="61"/>
      <c r="K431" s="61"/>
      <c r="L431" s="30"/>
      <c r="N431" s="97"/>
      <c r="O431" s="109"/>
      <c r="P431" s="52"/>
      <c r="Q431" s="113"/>
    </row>
    <row r="432" spans="1:17">
      <c r="A432" s="61"/>
      <c r="B432" s="24"/>
      <c r="C432" s="60"/>
      <c r="E432" s="47"/>
      <c r="F432" s="48"/>
      <c r="G432" s="47"/>
      <c r="J432" s="61"/>
      <c r="K432" s="61"/>
      <c r="L432" s="30"/>
      <c r="N432" s="97"/>
      <c r="O432" s="109"/>
      <c r="P432" s="52"/>
      <c r="Q432" s="113"/>
    </row>
    <row r="433" spans="1:17">
      <c r="A433" s="61"/>
      <c r="B433" s="24"/>
      <c r="C433" s="60"/>
      <c r="E433" s="47"/>
      <c r="F433" s="48"/>
      <c r="G433" s="47"/>
      <c r="J433" s="61"/>
      <c r="K433" s="61"/>
      <c r="L433" s="30"/>
      <c r="N433" s="97"/>
      <c r="O433" s="109"/>
      <c r="P433" s="52"/>
      <c r="Q433" s="113"/>
    </row>
    <row r="434" spans="1:17">
      <c r="A434" s="61"/>
      <c r="B434" s="24"/>
      <c r="C434" s="60"/>
      <c r="E434" s="47"/>
      <c r="F434" s="48"/>
      <c r="G434" s="47"/>
      <c r="J434" s="61"/>
      <c r="K434" s="61"/>
      <c r="L434" s="30"/>
      <c r="N434" s="97"/>
      <c r="O434" s="109"/>
      <c r="P434" s="52"/>
      <c r="Q434" s="113"/>
    </row>
    <row r="435" spans="1:17">
      <c r="A435" s="61"/>
      <c r="B435" s="24"/>
      <c r="C435" s="60"/>
      <c r="E435" s="47"/>
      <c r="F435" s="48"/>
      <c r="G435" s="47"/>
      <c r="J435" s="61"/>
      <c r="K435" s="61"/>
      <c r="L435" s="30"/>
      <c r="N435" s="97"/>
      <c r="O435" s="109"/>
      <c r="P435" s="52"/>
      <c r="Q435" s="113"/>
    </row>
    <row r="436" spans="1:17">
      <c r="A436" s="61"/>
      <c r="B436" s="24"/>
      <c r="C436" s="60"/>
      <c r="E436" s="47"/>
      <c r="F436" s="48"/>
      <c r="G436" s="47"/>
      <c r="J436" s="61"/>
      <c r="K436" s="61"/>
      <c r="L436" s="30"/>
      <c r="N436" s="97"/>
      <c r="O436" s="109"/>
      <c r="P436" s="52"/>
      <c r="Q436" s="113"/>
    </row>
    <row r="437" spans="1:17">
      <c r="A437" s="61"/>
      <c r="B437" s="24"/>
      <c r="C437" s="60"/>
      <c r="E437" s="47"/>
      <c r="F437" s="48"/>
      <c r="G437" s="47"/>
      <c r="J437" s="61"/>
      <c r="K437" s="61"/>
      <c r="L437" s="30"/>
      <c r="N437" s="97"/>
      <c r="O437" s="109"/>
      <c r="P437" s="52"/>
      <c r="Q437" s="113"/>
    </row>
    <row r="438" spans="1:17">
      <c r="A438" s="61"/>
      <c r="B438" s="24"/>
      <c r="C438" s="60"/>
      <c r="E438" s="47"/>
      <c r="F438" s="48"/>
      <c r="G438" s="47"/>
      <c r="J438" s="61"/>
      <c r="K438" s="61"/>
      <c r="L438" s="30"/>
      <c r="N438" s="97"/>
      <c r="O438" s="109"/>
      <c r="P438" s="52"/>
      <c r="Q438" s="113"/>
    </row>
    <row r="439" spans="1:17">
      <c r="A439" s="61"/>
      <c r="B439" s="24"/>
      <c r="C439" s="60"/>
      <c r="E439" s="47"/>
      <c r="F439" s="48"/>
      <c r="G439" s="47"/>
      <c r="J439" s="61"/>
      <c r="K439" s="61"/>
      <c r="L439" s="30"/>
      <c r="N439" s="97"/>
      <c r="O439" s="109"/>
      <c r="P439" s="52"/>
      <c r="Q439" s="113"/>
    </row>
    <row r="440" spans="1:17">
      <c r="A440" s="61"/>
      <c r="B440" s="24"/>
      <c r="C440" s="60"/>
      <c r="E440" s="47"/>
      <c r="F440" s="48"/>
      <c r="G440" s="47"/>
      <c r="J440" s="61"/>
      <c r="K440" s="61"/>
      <c r="L440" s="30"/>
      <c r="N440" s="97"/>
      <c r="O440" s="109"/>
      <c r="P440" s="52"/>
      <c r="Q440" s="113"/>
    </row>
    <row r="441" spans="1:17">
      <c r="A441" s="61"/>
      <c r="B441" s="24"/>
      <c r="C441" s="60"/>
      <c r="E441" s="47"/>
      <c r="F441" s="48"/>
      <c r="G441" s="47"/>
      <c r="J441" s="61"/>
      <c r="K441" s="61"/>
      <c r="L441" s="30"/>
      <c r="N441" s="97"/>
      <c r="O441" s="109"/>
      <c r="P441" s="52"/>
      <c r="Q441" s="113"/>
    </row>
    <row r="442" spans="1:17">
      <c r="A442" s="61"/>
      <c r="B442" s="24"/>
      <c r="C442" s="60"/>
      <c r="E442" s="47"/>
      <c r="F442" s="48"/>
      <c r="G442" s="47"/>
      <c r="J442" s="61"/>
      <c r="K442" s="61"/>
      <c r="L442" s="30"/>
      <c r="N442" s="97"/>
      <c r="O442" s="109"/>
      <c r="P442" s="52"/>
      <c r="Q442" s="113"/>
    </row>
    <row r="443" spans="1:17">
      <c r="A443" s="61"/>
      <c r="B443" s="24"/>
      <c r="C443" s="60"/>
      <c r="E443" s="47"/>
      <c r="F443" s="48"/>
      <c r="G443" s="47"/>
      <c r="J443" s="61"/>
      <c r="K443" s="61"/>
      <c r="L443" s="30"/>
      <c r="N443" s="97"/>
      <c r="O443" s="109"/>
      <c r="P443" s="52"/>
      <c r="Q443" s="113"/>
    </row>
    <row r="444" spans="1:17">
      <c r="A444" s="61"/>
      <c r="B444" s="24"/>
      <c r="C444" s="60"/>
      <c r="E444" s="47"/>
      <c r="F444" s="48"/>
      <c r="G444" s="47"/>
      <c r="J444" s="61"/>
      <c r="K444" s="61"/>
      <c r="L444" s="30"/>
      <c r="N444" s="97"/>
      <c r="O444" s="109"/>
      <c r="P444" s="52"/>
      <c r="Q444" s="113"/>
    </row>
    <row r="445" spans="1:17">
      <c r="A445" s="61"/>
      <c r="B445" s="24"/>
      <c r="C445" s="60"/>
      <c r="E445" s="47"/>
      <c r="F445" s="48"/>
      <c r="G445" s="47"/>
      <c r="J445" s="61"/>
      <c r="K445" s="61"/>
      <c r="L445" s="30"/>
      <c r="N445" s="97"/>
      <c r="O445" s="109"/>
      <c r="P445" s="52"/>
      <c r="Q445" s="113"/>
    </row>
    <row r="446" spans="1:17">
      <c r="A446" s="61"/>
      <c r="B446" s="24"/>
      <c r="C446" s="60"/>
      <c r="E446" s="47"/>
      <c r="F446" s="48"/>
      <c r="G446" s="47"/>
      <c r="J446" s="61"/>
      <c r="K446" s="61"/>
      <c r="L446" s="30"/>
      <c r="N446" s="97"/>
      <c r="O446" s="109"/>
      <c r="P446" s="52"/>
      <c r="Q446" s="113"/>
    </row>
    <row r="447" spans="1:17">
      <c r="A447" s="61"/>
      <c r="B447" s="24"/>
      <c r="C447" s="60"/>
      <c r="E447" s="47"/>
      <c r="F447" s="48"/>
      <c r="G447" s="47"/>
      <c r="J447" s="61"/>
      <c r="K447" s="61"/>
      <c r="L447" s="30"/>
      <c r="N447" s="97"/>
      <c r="O447" s="109"/>
      <c r="P447" s="52"/>
      <c r="Q447" s="113"/>
    </row>
    <row r="448" spans="1:17">
      <c r="A448" s="61"/>
      <c r="B448" s="24"/>
      <c r="C448" s="60"/>
      <c r="E448" s="47"/>
      <c r="F448" s="48"/>
      <c r="G448" s="47"/>
      <c r="J448" s="61"/>
      <c r="K448" s="61"/>
      <c r="L448" s="30"/>
      <c r="N448" s="97"/>
      <c r="O448" s="109"/>
      <c r="P448" s="52"/>
      <c r="Q448" s="113"/>
    </row>
    <row r="449" spans="1:17">
      <c r="A449" s="61"/>
      <c r="B449" s="24"/>
      <c r="C449" s="60"/>
      <c r="E449" s="47"/>
      <c r="F449" s="48"/>
      <c r="G449" s="47"/>
      <c r="J449" s="61"/>
      <c r="K449" s="61"/>
      <c r="L449" s="30"/>
      <c r="N449" s="97"/>
      <c r="O449" s="109"/>
      <c r="P449" s="52"/>
      <c r="Q449" s="113"/>
    </row>
    <row r="450" spans="1:17">
      <c r="A450" s="61"/>
      <c r="B450" s="24"/>
      <c r="C450" s="60"/>
      <c r="E450" s="47"/>
      <c r="F450" s="48"/>
      <c r="G450" s="47"/>
      <c r="J450" s="61"/>
      <c r="K450" s="61"/>
      <c r="L450" s="30"/>
      <c r="N450" s="97"/>
      <c r="O450" s="109"/>
      <c r="P450" s="52"/>
      <c r="Q450" s="113"/>
    </row>
    <row r="451" spans="1:17">
      <c r="A451" s="61"/>
      <c r="B451" s="24"/>
      <c r="C451" s="60"/>
      <c r="E451" s="47"/>
      <c r="F451" s="48"/>
      <c r="G451" s="47"/>
      <c r="J451" s="61"/>
      <c r="K451" s="61"/>
      <c r="L451" s="30"/>
      <c r="N451" s="97"/>
      <c r="O451" s="109"/>
      <c r="P451" s="52"/>
      <c r="Q451" s="113"/>
    </row>
    <row r="452" spans="1:17">
      <c r="A452" s="61"/>
      <c r="B452" s="24"/>
      <c r="C452" s="60"/>
      <c r="E452" s="47"/>
      <c r="F452" s="48"/>
      <c r="G452" s="47"/>
      <c r="J452" s="61"/>
      <c r="K452" s="61"/>
      <c r="L452" s="30"/>
      <c r="N452" s="97"/>
      <c r="O452" s="109"/>
      <c r="P452" s="52"/>
      <c r="Q452" s="113"/>
    </row>
    <row r="453" spans="1:17">
      <c r="A453" s="61"/>
      <c r="B453" s="24"/>
      <c r="C453" s="60"/>
      <c r="E453" s="47"/>
      <c r="F453" s="48"/>
      <c r="G453" s="47"/>
      <c r="J453" s="61"/>
      <c r="K453" s="61"/>
      <c r="L453" s="30"/>
      <c r="N453" s="97"/>
      <c r="O453" s="109"/>
      <c r="P453" s="52"/>
      <c r="Q453" s="113"/>
    </row>
    <row r="454" spans="1:17">
      <c r="A454" s="61"/>
      <c r="B454" s="24"/>
      <c r="C454" s="60"/>
      <c r="E454" s="47"/>
      <c r="F454" s="48"/>
      <c r="G454" s="47"/>
      <c r="J454" s="61"/>
      <c r="K454" s="61"/>
      <c r="L454" s="30"/>
      <c r="N454" s="97"/>
      <c r="O454" s="109"/>
      <c r="P454" s="52"/>
      <c r="Q454" s="113"/>
    </row>
    <row r="455" spans="1:17">
      <c r="A455" s="61"/>
      <c r="B455" s="24"/>
      <c r="C455" s="60"/>
      <c r="E455" s="47"/>
      <c r="F455" s="48"/>
      <c r="G455" s="47"/>
      <c r="J455" s="61"/>
      <c r="K455" s="61"/>
      <c r="L455" s="30"/>
      <c r="N455" s="97"/>
      <c r="O455" s="109"/>
      <c r="P455" s="52"/>
      <c r="Q455" s="113"/>
    </row>
    <row r="456" spans="1:17">
      <c r="A456" s="61"/>
      <c r="B456" s="24"/>
      <c r="C456" s="60"/>
      <c r="E456" s="47"/>
      <c r="F456" s="48"/>
      <c r="G456" s="47"/>
      <c r="J456" s="61"/>
      <c r="K456" s="61"/>
      <c r="L456" s="30"/>
      <c r="N456" s="97"/>
      <c r="O456" s="109"/>
      <c r="P456" s="52"/>
      <c r="Q456" s="113"/>
    </row>
    <row r="457" spans="1:17">
      <c r="A457" s="61"/>
      <c r="B457" s="24"/>
      <c r="C457" s="60"/>
      <c r="E457" s="47"/>
      <c r="F457" s="48"/>
      <c r="G457" s="47"/>
      <c r="J457" s="61"/>
      <c r="K457" s="61"/>
      <c r="L457" s="30"/>
      <c r="N457" s="97"/>
      <c r="O457" s="109"/>
      <c r="P457" s="52"/>
      <c r="Q457" s="113"/>
    </row>
    <row r="458" spans="1:17">
      <c r="A458" s="61"/>
      <c r="B458" s="24"/>
      <c r="C458" s="60"/>
      <c r="E458" s="47"/>
      <c r="F458" s="48"/>
      <c r="G458" s="47"/>
      <c r="J458" s="61"/>
      <c r="K458" s="61"/>
      <c r="L458" s="30"/>
      <c r="N458" s="97"/>
      <c r="O458" s="109"/>
      <c r="P458" s="52"/>
      <c r="Q458" s="113"/>
    </row>
    <row r="459" spans="1:17">
      <c r="A459" s="61"/>
      <c r="B459" s="24"/>
      <c r="C459" s="60"/>
      <c r="E459" s="47"/>
      <c r="F459" s="48"/>
      <c r="G459" s="47"/>
      <c r="J459" s="61"/>
      <c r="K459" s="61"/>
      <c r="L459" s="30"/>
      <c r="N459" s="97"/>
      <c r="O459" s="109"/>
      <c r="P459" s="52"/>
      <c r="Q459" s="113"/>
    </row>
    <row r="460" spans="1:17">
      <c r="A460" s="61"/>
      <c r="B460" s="24"/>
      <c r="C460" s="60"/>
      <c r="E460" s="47"/>
      <c r="F460" s="48"/>
      <c r="G460" s="47"/>
      <c r="J460" s="61"/>
      <c r="K460" s="61"/>
      <c r="L460" s="30"/>
      <c r="N460" s="97"/>
      <c r="O460" s="109"/>
      <c r="P460" s="52"/>
      <c r="Q460" s="113"/>
    </row>
    <row r="461" spans="1:17">
      <c r="A461" s="61"/>
      <c r="B461" s="24"/>
      <c r="C461" s="60"/>
      <c r="E461" s="47"/>
      <c r="F461" s="48"/>
      <c r="G461" s="47"/>
      <c r="J461" s="61"/>
      <c r="K461" s="61"/>
      <c r="L461" s="30"/>
      <c r="N461" s="97"/>
      <c r="O461" s="109"/>
      <c r="P461" s="52"/>
      <c r="Q461" s="113"/>
    </row>
    <row r="462" spans="1:17">
      <c r="A462" s="61"/>
      <c r="B462" s="24"/>
      <c r="C462" s="60"/>
      <c r="E462" s="47"/>
      <c r="F462" s="48"/>
      <c r="G462" s="47"/>
      <c r="J462" s="61"/>
      <c r="K462" s="61"/>
      <c r="L462" s="30"/>
      <c r="N462" s="97"/>
      <c r="O462" s="109"/>
      <c r="P462" s="52"/>
      <c r="Q462" s="113"/>
    </row>
    <row r="463" spans="1:17">
      <c r="A463" s="61"/>
      <c r="B463" s="24"/>
      <c r="C463" s="60"/>
      <c r="E463" s="47"/>
      <c r="F463" s="48"/>
      <c r="G463" s="47"/>
      <c r="J463" s="61"/>
      <c r="K463" s="61"/>
      <c r="L463" s="30"/>
      <c r="N463" s="97"/>
      <c r="O463" s="109"/>
      <c r="P463" s="52"/>
      <c r="Q463" s="113"/>
    </row>
    <row r="464" spans="1:17">
      <c r="A464" s="61"/>
      <c r="B464" s="24"/>
      <c r="C464" s="60"/>
      <c r="E464" s="47"/>
      <c r="F464" s="48"/>
      <c r="G464" s="47"/>
      <c r="J464" s="61"/>
      <c r="K464" s="61"/>
      <c r="L464" s="30"/>
      <c r="N464" s="97"/>
      <c r="O464" s="109"/>
      <c r="P464" s="52"/>
      <c r="Q464" s="113"/>
    </row>
    <row r="465" spans="1:17">
      <c r="A465" s="61"/>
      <c r="B465" s="24"/>
      <c r="C465" s="60"/>
      <c r="E465" s="47"/>
      <c r="F465" s="48"/>
      <c r="G465" s="47"/>
      <c r="J465" s="61"/>
      <c r="K465" s="61"/>
      <c r="L465" s="30"/>
      <c r="N465" s="97"/>
      <c r="O465" s="109"/>
      <c r="P465" s="52"/>
      <c r="Q465" s="113"/>
    </row>
    <row r="466" spans="1:17">
      <c r="A466" s="61"/>
      <c r="B466" s="24"/>
      <c r="C466" s="60"/>
      <c r="E466" s="47"/>
      <c r="F466" s="48"/>
      <c r="G466" s="47"/>
      <c r="J466" s="61"/>
      <c r="K466" s="61"/>
      <c r="L466" s="30"/>
      <c r="N466" s="97"/>
      <c r="O466" s="109"/>
      <c r="P466" s="52"/>
      <c r="Q466" s="113"/>
    </row>
    <row r="467" spans="1:17">
      <c r="A467" s="61"/>
      <c r="B467" s="24"/>
      <c r="C467" s="60"/>
      <c r="E467" s="47"/>
      <c r="F467" s="48"/>
      <c r="G467" s="47"/>
      <c r="J467" s="61"/>
      <c r="K467" s="61"/>
      <c r="L467" s="30"/>
      <c r="N467" s="97"/>
      <c r="O467" s="109"/>
      <c r="P467" s="52"/>
      <c r="Q467" s="113"/>
    </row>
    <row r="468" spans="1:17">
      <c r="A468" s="61"/>
      <c r="B468" s="24"/>
      <c r="C468" s="60"/>
      <c r="E468" s="47"/>
      <c r="F468" s="48"/>
      <c r="G468" s="47"/>
      <c r="J468" s="61"/>
      <c r="K468" s="61"/>
      <c r="L468" s="30"/>
      <c r="N468" s="97"/>
      <c r="O468" s="109"/>
      <c r="P468" s="52"/>
      <c r="Q468" s="113"/>
    </row>
    <row r="469" spans="1:17">
      <c r="A469" s="61"/>
      <c r="B469" s="24"/>
      <c r="C469" s="60"/>
      <c r="E469" s="47"/>
      <c r="F469" s="48"/>
      <c r="G469" s="47"/>
      <c r="J469" s="61"/>
      <c r="K469" s="61"/>
      <c r="L469" s="30"/>
      <c r="N469" s="97"/>
      <c r="O469" s="109"/>
      <c r="P469" s="52"/>
      <c r="Q469" s="113"/>
    </row>
    <row r="470" spans="1:17">
      <c r="A470" s="61"/>
      <c r="B470" s="24"/>
      <c r="C470" s="60"/>
      <c r="E470" s="47"/>
      <c r="F470" s="48"/>
      <c r="G470" s="47"/>
      <c r="J470" s="61"/>
      <c r="K470" s="61"/>
      <c r="L470" s="30"/>
      <c r="N470" s="97"/>
      <c r="O470" s="109"/>
      <c r="P470" s="52"/>
      <c r="Q470" s="113"/>
    </row>
    <row r="471" spans="1:17">
      <c r="A471" s="61"/>
      <c r="B471" s="24"/>
      <c r="C471" s="60"/>
      <c r="E471" s="47"/>
      <c r="F471" s="48"/>
      <c r="G471" s="47"/>
      <c r="J471" s="61"/>
      <c r="K471" s="61"/>
      <c r="L471" s="30"/>
      <c r="N471" s="97"/>
      <c r="O471" s="109"/>
      <c r="P471" s="52"/>
      <c r="Q471" s="113"/>
    </row>
    <row r="472" spans="1:17">
      <c r="A472" s="61"/>
      <c r="B472" s="24"/>
      <c r="C472" s="60"/>
      <c r="E472" s="47"/>
      <c r="F472" s="48"/>
      <c r="G472" s="47"/>
      <c r="J472" s="61"/>
      <c r="K472" s="61"/>
      <c r="L472" s="30"/>
      <c r="N472" s="97"/>
      <c r="O472" s="109"/>
      <c r="P472" s="52"/>
      <c r="Q472" s="113"/>
    </row>
    <row r="473" spans="1:17">
      <c r="A473" s="61"/>
      <c r="B473" s="24"/>
      <c r="C473" s="60"/>
      <c r="E473" s="47"/>
      <c r="F473" s="48"/>
      <c r="G473" s="47"/>
      <c r="J473" s="61"/>
      <c r="K473" s="61"/>
      <c r="L473" s="30"/>
      <c r="N473" s="97"/>
      <c r="O473" s="109"/>
      <c r="P473" s="52"/>
      <c r="Q473" s="113"/>
    </row>
    <row r="474" spans="1:17">
      <c r="A474" s="61"/>
      <c r="B474" s="24"/>
      <c r="C474" s="60"/>
      <c r="E474" s="47"/>
      <c r="F474" s="48"/>
      <c r="G474" s="47"/>
      <c r="J474" s="61"/>
      <c r="K474" s="61"/>
      <c r="L474" s="30"/>
      <c r="N474" s="97"/>
      <c r="O474" s="109"/>
      <c r="P474" s="52"/>
      <c r="Q474" s="113"/>
    </row>
    <row r="475" spans="1:17">
      <c r="A475" s="61"/>
      <c r="B475" s="24"/>
      <c r="C475" s="60"/>
      <c r="E475" s="47"/>
      <c r="F475" s="48"/>
      <c r="G475" s="47"/>
      <c r="J475" s="61"/>
      <c r="K475" s="61"/>
      <c r="L475" s="30"/>
      <c r="N475" s="97"/>
      <c r="O475" s="109"/>
      <c r="P475" s="52"/>
      <c r="Q475" s="113"/>
    </row>
    <row r="476" spans="1:17">
      <c r="A476" s="61"/>
      <c r="B476" s="24"/>
      <c r="C476" s="60"/>
      <c r="E476" s="47"/>
      <c r="F476" s="48"/>
      <c r="G476" s="47"/>
      <c r="J476" s="61"/>
      <c r="K476" s="61"/>
      <c r="L476" s="30"/>
      <c r="N476" s="97"/>
      <c r="O476" s="109"/>
      <c r="P476" s="52"/>
      <c r="Q476" s="113"/>
    </row>
    <row r="477" spans="1:17">
      <c r="A477" s="61"/>
      <c r="B477" s="24"/>
      <c r="C477" s="60"/>
      <c r="E477" s="47"/>
      <c r="F477" s="48"/>
      <c r="G477" s="47"/>
      <c r="J477" s="61"/>
      <c r="K477" s="61"/>
      <c r="L477" s="30"/>
      <c r="N477" s="97"/>
      <c r="O477" s="109"/>
      <c r="P477" s="52"/>
      <c r="Q477" s="113"/>
    </row>
    <row r="478" spans="1:17">
      <c r="A478" s="61"/>
      <c r="B478" s="24"/>
      <c r="C478" s="60"/>
      <c r="E478" s="47"/>
      <c r="F478" s="48"/>
      <c r="G478" s="47"/>
      <c r="J478" s="61"/>
      <c r="K478" s="61"/>
      <c r="L478" s="30"/>
      <c r="N478" s="97"/>
      <c r="O478" s="109"/>
      <c r="P478" s="52"/>
      <c r="Q478" s="113"/>
    </row>
    <row r="479" spans="1:17">
      <c r="A479" s="61"/>
      <c r="B479" s="24"/>
      <c r="C479" s="60"/>
      <c r="E479" s="47"/>
      <c r="F479" s="48"/>
      <c r="G479" s="47"/>
      <c r="J479" s="61"/>
      <c r="K479" s="61"/>
      <c r="L479" s="30"/>
      <c r="N479" s="97"/>
      <c r="O479" s="109"/>
      <c r="P479" s="52"/>
      <c r="Q479" s="113"/>
    </row>
    <row r="480" spans="1:17">
      <c r="A480" s="61"/>
      <c r="B480" s="24"/>
      <c r="C480" s="60"/>
      <c r="E480" s="47"/>
      <c r="F480" s="48"/>
      <c r="G480" s="47"/>
      <c r="J480" s="61"/>
      <c r="K480" s="61"/>
      <c r="L480" s="30"/>
      <c r="N480" s="97"/>
      <c r="O480" s="109"/>
      <c r="P480" s="52"/>
      <c r="Q480" s="113"/>
    </row>
    <row r="481" spans="1:17">
      <c r="A481" s="61"/>
      <c r="B481" s="24"/>
      <c r="C481" s="60"/>
      <c r="E481" s="47"/>
      <c r="F481" s="48"/>
      <c r="G481" s="47"/>
      <c r="J481" s="61"/>
      <c r="K481" s="61"/>
      <c r="L481" s="30"/>
      <c r="N481" s="97"/>
      <c r="O481" s="109"/>
      <c r="P481" s="52"/>
      <c r="Q481" s="113"/>
    </row>
    <row r="482" spans="1:17">
      <c r="A482" s="61"/>
      <c r="B482" s="24"/>
      <c r="C482" s="60"/>
      <c r="E482" s="47"/>
      <c r="F482" s="48"/>
      <c r="G482" s="47"/>
      <c r="J482" s="61"/>
      <c r="K482" s="61"/>
      <c r="L482" s="30"/>
      <c r="N482" s="97"/>
      <c r="O482" s="109"/>
      <c r="P482" s="52"/>
      <c r="Q482" s="113"/>
    </row>
    <row r="483" spans="1:17">
      <c r="A483" s="61"/>
      <c r="B483" s="24"/>
      <c r="C483" s="60"/>
      <c r="E483" s="47"/>
      <c r="F483" s="48"/>
      <c r="G483" s="47"/>
      <c r="J483" s="61"/>
      <c r="K483" s="61"/>
      <c r="L483" s="30"/>
      <c r="N483" s="97"/>
      <c r="O483" s="109"/>
      <c r="P483" s="52"/>
      <c r="Q483" s="113"/>
    </row>
    <row r="484" spans="1:17">
      <c r="A484" s="61"/>
      <c r="B484" s="24"/>
      <c r="C484" s="60"/>
      <c r="E484" s="47"/>
      <c r="F484" s="48"/>
      <c r="G484" s="47"/>
      <c r="J484" s="61"/>
      <c r="K484" s="61"/>
      <c r="L484" s="30"/>
      <c r="N484" s="97"/>
      <c r="O484" s="109"/>
      <c r="P484" s="52"/>
      <c r="Q484" s="113"/>
    </row>
    <row r="485" spans="1:17">
      <c r="A485" s="61"/>
      <c r="B485" s="24"/>
      <c r="C485" s="60"/>
      <c r="E485" s="47"/>
      <c r="F485" s="48"/>
      <c r="G485" s="47"/>
      <c r="J485" s="61"/>
      <c r="K485" s="61"/>
      <c r="L485" s="30"/>
      <c r="N485" s="97"/>
      <c r="O485" s="109"/>
      <c r="P485" s="52"/>
      <c r="Q485" s="113"/>
    </row>
    <row r="486" spans="1:17">
      <c r="A486" s="61"/>
      <c r="B486" s="24"/>
      <c r="C486" s="60"/>
      <c r="E486" s="47"/>
      <c r="F486" s="48"/>
      <c r="G486" s="47"/>
      <c r="J486" s="61"/>
      <c r="K486" s="61"/>
      <c r="L486" s="30"/>
      <c r="N486" s="97"/>
      <c r="O486" s="109"/>
      <c r="P486" s="52"/>
      <c r="Q486" s="113"/>
    </row>
    <row r="487" spans="1:17">
      <c r="A487" s="61"/>
      <c r="B487" s="24"/>
      <c r="C487" s="60"/>
      <c r="E487" s="47"/>
      <c r="F487" s="48"/>
      <c r="G487" s="47"/>
      <c r="J487" s="61"/>
      <c r="K487" s="61"/>
      <c r="L487" s="30"/>
      <c r="N487" s="97"/>
      <c r="O487" s="109"/>
      <c r="P487" s="52"/>
      <c r="Q487" s="113"/>
    </row>
    <row r="488" spans="1:17">
      <c r="A488" s="61"/>
      <c r="B488" s="24"/>
      <c r="C488" s="60"/>
      <c r="E488" s="47"/>
      <c r="F488" s="48"/>
      <c r="G488" s="47"/>
      <c r="J488" s="61"/>
      <c r="K488" s="61"/>
      <c r="L488" s="30"/>
      <c r="N488" s="97"/>
      <c r="O488" s="109"/>
      <c r="P488" s="52"/>
      <c r="Q488" s="113"/>
    </row>
    <row r="489" spans="1:17">
      <c r="A489" s="61"/>
      <c r="B489" s="24"/>
      <c r="C489" s="60"/>
      <c r="E489" s="47"/>
      <c r="F489" s="48"/>
      <c r="G489" s="47"/>
      <c r="J489" s="61"/>
      <c r="K489" s="61"/>
      <c r="L489" s="30"/>
      <c r="N489" s="97"/>
      <c r="O489" s="109"/>
      <c r="P489" s="52"/>
      <c r="Q489" s="113"/>
    </row>
    <row r="490" spans="1:17">
      <c r="A490" s="61"/>
      <c r="B490" s="24"/>
      <c r="C490" s="60"/>
      <c r="E490" s="47"/>
      <c r="F490" s="48"/>
      <c r="G490" s="47"/>
      <c r="J490" s="61"/>
      <c r="K490" s="61"/>
      <c r="L490" s="30"/>
      <c r="N490" s="97"/>
      <c r="O490" s="109"/>
      <c r="P490" s="52"/>
      <c r="Q490" s="113"/>
    </row>
    <row r="491" spans="1:17">
      <c r="A491" s="61"/>
      <c r="B491" s="24"/>
      <c r="C491" s="60"/>
      <c r="E491" s="47"/>
      <c r="F491" s="48"/>
      <c r="G491" s="47"/>
      <c r="J491" s="61"/>
      <c r="K491" s="61"/>
      <c r="L491" s="30"/>
      <c r="N491" s="97"/>
      <c r="O491" s="109"/>
      <c r="P491" s="52"/>
      <c r="Q491" s="113"/>
    </row>
    <row r="492" spans="1:17">
      <c r="A492" s="61"/>
      <c r="B492" s="24"/>
      <c r="C492" s="60"/>
      <c r="E492" s="47"/>
      <c r="F492" s="48"/>
      <c r="G492" s="47"/>
      <c r="J492" s="61"/>
      <c r="K492" s="61"/>
      <c r="L492" s="30"/>
      <c r="N492" s="97"/>
      <c r="O492" s="109"/>
      <c r="P492" s="52"/>
      <c r="Q492" s="113"/>
    </row>
    <row r="493" spans="1:17">
      <c r="A493" s="61"/>
      <c r="B493" s="24"/>
      <c r="C493" s="60"/>
      <c r="E493" s="47"/>
      <c r="F493" s="48"/>
      <c r="G493" s="47"/>
      <c r="J493" s="61"/>
      <c r="K493" s="61"/>
      <c r="L493" s="30"/>
      <c r="N493" s="97"/>
      <c r="O493" s="109"/>
      <c r="P493" s="52"/>
      <c r="Q493" s="113"/>
    </row>
    <row r="494" spans="1:17">
      <c r="A494" s="61"/>
      <c r="B494" s="24"/>
      <c r="C494" s="60"/>
      <c r="E494" s="47"/>
      <c r="F494" s="48"/>
      <c r="G494" s="47"/>
      <c r="J494" s="61"/>
      <c r="K494" s="61"/>
      <c r="L494" s="30"/>
      <c r="N494" s="97"/>
      <c r="O494" s="109"/>
      <c r="P494" s="52"/>
      <c r="Q494" s="113"/>
    </row>
    <row r="495" spans="1:17">
      <c r="A495" s="61"/>
      <c r="B495" s="24"/>
      <c r="C495" s="60"/>
      <c r="E495" s="47"/>
      <c r="F495" s="48"/>
      <c r="G495" s="47"/>
      <c r="J495" s="61"/>
      <c r="K495" s="61"/>
      <c r="L495" s="30"/>
      <c r="N495" s="97"/>
      <c r="O495" s="109"/>
      <c r="P495" s="52"/>
      <c r="Q495" s="113"/>
    </row>
    <row r="496" spans="1:17">
      <c r="A496" s="61"/>
      <c r="B496" s="24"/>
      <c r="C496" s="60"/>
      <c r="E496" s="47"/>
      <c r="F496" s="48"/>
      <c r="G496" s="47"/>
      <c r="J496" s="61"/>
      <c r="K496" s="61"/>
      <c r="L496" s="30"/>
      <c r="N496" s="97"/>
      <c r="O496" s="109"/>
      <c r="P496" s="52"/>
      <c r="Q496" s="113"/>
    </row>
    <row r="497" spans="1:17">
      <c r="A497" s="61"/>
      <c r="B497" s="24"/>
      <c r="C497" s="60"/>
      <c r="E497" s="47"/>
      <c r="F497" s="48"/>
      <c r="G497" s="47"/>
      <c r="J497" s="61"/>
      <c r="K497" s="61"/>
      <c r="L497" s="30"/>
      <c r="N497" s="97"/>
      <c r="O497" s="109"/>
      <c r="P497" s="52"/>
      <c r="Q497" s="113"/>
    </row>
    <row r="498" spans="1:17">
      <c r="A498" s="61"/>
      <c r="B498" s="24"/>
      <c r="C498" s="60"/>
      <c r="E498" s="47"/>
      <c r="F498" s="48"/>
      <c r="G498" s="47"/>
      <c r="J498" s="61"/>
      <c r="K498" s="61"/>
      <c r="L498" s="30"/>
      <c r="N498" s="97"/>
      <c r="O498" s="109"/>
      <c r="P498" s="52"/>
      <c r="Q498" s="113"/>
    </row>
    <row r="499" spans="1:17">
      <c r="A499" s="61"/>
      <c r="B499" s="24"/>
      <c r="C499" s="60"/>
      <c r="E499" s="47"/>
      <c r="F499" s="48"/>
      <c r="G499" s="47"/>
      <c r="J499" s="61"/>
      <c r="K499" s="61"/>
      <c r="L499" s="30"/>
      <c r="N499" s="97"/>
      <c r="O499" s="109"/>
      <c r="P499" s="52"/>
      <c r="Q499" s="113"/>
    </row>
    <row r="500" spans="1:17">
      <c r="A500" s="61"/>
      <c r="B500" s="24"/>
      <c r="C500" s="60"/>
      <c r="E500" s="47"/>
      <c r="F500" s="48"/>
      <c r="G500" s="47"/>
      <c r="J500" s="61"/>
      <c r="K500" s="61"/>
      <c r="L500" s="30"/>
      <c r="N500" s="97"/>
      <c r="O500" s="109"/>
      <c r="P500" s="52"/>
      <c r="Q500" s="113"/>
    </row>
    <row r="501" spans="1:17">
      <c r="A501" s="61"/>
      <c r="B501" s="24"/>
      <c r="C501" s="60"/>
      <c r="E501" s="47"/>
      <c r="F501" s="48"/>
      <c r="G501" s="47"/>
      <c r="J501" s="61"/>
      <c r="K501" s="61"/>
      <c r="L501" s="30"/>
      <c r="N501" s="97"/>
      <c r="O501" s="109"/>
      <c r="P501" s="52"/>
      <c r="Q501" s="113"/>
    </row>
    <row r="502" spans="1:17">
      <c r="A502" s="61"/>
      <c r="B502" s="24"/>
      <c r="C502" s="60"/>
      <c r="E502" s="47"/>
      <c r="F502" s="48"/>
      <c r="G502" s="47"/>
      <c r="J502" s="61"/>
      <c r="K502" s="61"/>
      <c r="L502" s="30"/>
      <c r="N502" s="97"/>
      <c r="O502" s="109"/>
      <c r="P502" s="52"/>
      <c r="Q502" s="113"/>
    </row>
    <row r="503" spans="1:17">
      <c r="A503" s="61"/>
      <c r="B503" s="24"/>
      <c r="C503" s="60"/>
      <c r="E503" s="47"/>
      <c r="F503" s="48"/>
      <c r="G503" s="47"/>
      <c r="J503" s="61"/>
      <c r="K503" s="61"/>
      <c r="L503" s="30"/>
      <c r="N503" s="97"/>
      <c r="O503" s="109"/>
      <c r="P503" s="52"/>
      <c r="Q503" s="113"/>
    </row>
    <row r="504" spans="1:17">
      <c r="A504" s="61"/>
      <c r="B504" s="24"/>
      <c r="C504" s="60"/>
      <c r="E504" s="47"/>
      <c r="F504" s="48"/>
      <c r="G504" s="47"/>
      <c r="J504" s="61"/>
      <c r="K504" s="61"/>
      <c r="L504" s="30"/>
      <c r="N504" s="97"/>
      <c r="O504" s="109"/>
      <c r="P504" s="52"/>
      <c r="Q504" s="113"/>
    </row>
    <row r="505" spans="1:17">
      <c r="A505" s="61"/>
      <c r="B505" s="24"/>
      <c r="C505" s="60"/>
      <c r="E505" s="47"/>
      <c r="F505" s="48"/>
      <c r="G505" s="47"/>
      <c r="J505" s="61"/>
      <c r="K505" s="61"/>
      <c r="L505" s="30"/>
      <c r="N505" s="97"/>
      <c r="O505" s="109"/>
      <c r="P505" s="52"/>
      <c r="Q505" s="113"/>
    </row>
    <row r="506" spans="1:17">
      <c r="A506" s="61"/>
      <c r="B506" s="24"/>
      <c r="C506" s="60"/>
      <c r="E506" s="47"/>
      <c r="F506" s="48"/>
      <c r="G506" s="47"/>
      <c r="J506" s="61"/>
      <c r="K506" s="61"/>
      <c r="L506" s="30"/>
      <c r="N506" s="97"/>
      <c r="O506" s="109"/>
      <c r="P506" s="52"/>
      <c r="Q506" s="113"/>
    </row>
    <row r="507" spans="1:17">
      <c r="A507" s="61"/>
      <c r="B507" s="24"/>
      <c r="C507" s="60"/>
      <c r="E507" s="47"/>
      <c r="F507" s="48"/>
      <c r="G507" s="47"/>
      <c r="J507" s="61"/>
      <c r="K507" s="61"/>
      <c r="L507" s="30"/>
      <c r="N507" s="97"/>
      <c r="O507" s="109"/>
      <c r="P507" s="52"/>
      <c r="Q507" s="113"/>
    </row>
    <row r="508" spans="1:17">
      <c r="A508" s="61"/>
      <c r="B508" s="24"/>
      <c r="C508" s="60"/>
      <c r="E508" s="47"/>
      <c r="F508" s="48"/>
      <c r="G508" s="47"/>
      <c r="J508" s="61"/>
      <c r="K508" s="61"/>
      <c r="L508" s="30"/>
      <c r="N508" s="97"/>
      <c r="O508" s="109"/>
      <c r="P508" s="52"/>
      <c r="Q508" s="113"/>
    </row>
    <row r="509" spans="1:17">
      <c r="A509" s="61"/>
      <c r="B509" s="24"/>
      <c r="C509" s="60"/>
      <c r="E509" s="47"/>
      <c r="F509" s="48"/>
      <c r="G509" s="47"/>
      <c r="J509" s="61"/>
      <c r="K509" s="61"/>
      <c r="L509" s="30"/>
      <c r="N509" s="97"/>
      <c r="O509" s="109"/>
      <c r="P509" s="52"/>
      <c r="Q509" s="113"/>
    </row>
    <row r="510" spans="1:17">
      <c r="A510" s="61"/>
      <c r="B510" s="24"/>
      <c r="C510" s="60"/>
      <c r="E510" s="47"/>
      <c r="F510" s="48"/>
      <c r="G510" s="47"/>
      <c r="J510" s="61"/>
      <c r="K510" s="61"/>
      <c r="L510" s="30"/>
      <c r="N510" s="97"/>
      <c r="O510" s="109"/>
      <c r="P510" s="52"/>
      <c r="Q510" s="113"/>
    </row>
    <row r="511" spans="1:17">
      <c r="A511" s="61"/>
      <c r="B511" s="24"/>
      <c r="C511" s="60"/>
      <c r="E511" s="47"/>
      <c r="F511" s="48"/>
      <c r="G511" s="47"/>
      <c r="J511" s="61"/>
      <c r="K511" s="61"/>
      <c r="L511" s="30"/>
      <c r="N511" s="97"/>
      <c r="O511" s="109"/>
      <c r="P511" s="52"/>
      <c r="Q511" s="113"/>
    </row>
    <row r="512" spans="1:17">
      <c r="A512" s="61"/>
      <c r="B512" s="24"/>
      <c r="C512" s="60"/>
      <c r="E512" s="47"/>
      <c r="F512" s="48"/>
      <c r="G512" s="47"/>
      <c r="J512" s="61"/>
      <c r="K512" s="61"/>
      <c r="L512" s="30"/>
      <c r="N512" s="97"/>
      <c r="O512" s="109"/>
      <c r="P512" s="52"/>
      <c r="Q512" s="113"/>
    </row>
    <row r="513" spans="1:17">
      <c r="A513" s="61"/>
      <c r="B513" s="24"/>
      <c r="C513" s="60"/>
      <c r="E513" s="47"/>
      <c r="F513" s="48"/>
      <c r="G513" s="47"/>
      <c r="J513" s="61"/>
      <c r="K513" s="61"/>
      <c r="L513" s="30"/>
      <c r="N513" s="97"/>
      <c r="O513" s="109"/>
      <c r="P513" s="52"/>
      <c r="Q513" s="113"/>
    </row>
    <row r="514" spans="1:17">
      <c r="A514" s="61"/>
      <c r="B514" s="24"/>
      <c r="C514" s="60"/>
      <c r="E514" s="47"/>
      <c r="F514" s="48"/>
      <c r="G514" s="47"/>
      <c r="J514" s="61"/>
      <c r="K514" s="61"/>
      <c r="L514" s="30"/>
      <c r="N514" s="97"/>
      <c r="O514" s="109"/>
      <c r="P514" s="52"/>
      <c r="Q514" s="113"/>
    </row>
    <row r="515" spans="1:17">
      <c r="A515" s="61"/>
      <c r="B515" s="24"/>
      <c r="C515" s="60"/>
      <c r="E515" s="47"/>
      <c r="F515" s="48"/>
      <c r="G515" s="47"/>
      <c r="J515" s="61"/>
      <c r="K515" s="61"/>
      <c r="L515" s="30"/>
      <c r="N515" s="97"/>
      <c r="O515" s="109"/>
      <c r="P515" s="52"/>
      <c r="Q515" s="113"/>
    </row>
    <row r="516" spans="1:17">
      <c r="A516" s="61"/>
      <c r="B516" s="24"/>
      <c r="C516" s="60"/>
      <c r="E516" s="47"/>
      <c r="F516" s="48"/>
      <c r="G516" s="47"/>
      <c r="J516" s="61"/>
      <c r="K516" s="61"/>
      <c r="L516" s="30"/>
      <c r="N516" s="97"/>
      <c r="O516" s="109"/>
      <c r="P516" s="52"/>
      <c r="Q516" s="113"/>
    </row>
    <row r="517" spans="1:17">
      <c r="A517" s="61"/>
      <c r="B517" s="24"/>
      <c r="C517" s="60"/>
      <c r="E517" s="47"/>
      <c r="F517" s="48"/>
      <c r="G517" s="47"/>
      <c r="J517" s="61"/>
      <c r="K517" s="61"/>
      <c r="L517" s="30"/>
      <c r="N517" s="97"/>
      <c r="O517" s="109"/>
      <c r="P517" s="52"/>
      <c r="Q517" s="113"/>
    </row>
    <row r="518" spans="1:17">
      <c r="A518" s="61"/>
      <c r="B518" s="24"/>
      <c r="C518" s="60"/>
      <c r="E518" s="47"/>
      <c r="F518" s="48"/>
      <c r="G518" s="47"/>
      <c r="J518" s="61"/>
      <c r="K518" s="61"/>
      <c r="L518" s="30"/>
      <c r="N518" s="97"/>
      <c r="O518" s="109"/>
      <c r="P518" s="52"/>
      <c r="Q518" s="113"/>
    </row>
    <row r="519" spans="1:17">
      <c r="A519" s="61"/>
      <c r="B519" s="24"/>
      <c r="C519" s="60"/>
      <c r="E519" s="47"/>
      <c r="F519" s="48"/>
      <c r="G519" s="47"/>
      <c r="J519" s="61"/>
      <c r="K519" s="61"/>
      <c r="L519" s="30"/>
      <c r="N519" s="97"/>
      <c r="O519" s="109"/>
      <c r="P519" s="52"/>
      <c r="Q519" s="113"/>
    </row>
    <row r="520" spans="1:17">
      <c r="A520" s="61"/>
      <c r="B520" s="24"/>
      <c r="C520" s="60"/>
      <c r="E520" s="47"/>
      <c r="F520" s="48"/>
      <c r="G520" s="47"/>
      <c r="J520" s="61"/>
      <c r="K520" s="61"/>
      <c r="L520" s="30"/>
      <c r="N520" s="97"/>
      <c r="O520" s="109"/>
      <c r="P520" s="52"/>
      <c r="Q520" s="113"/>
    </row>
    <row r="521" spans="1:17">
      <c r="A521" s="61"/>
      <c r="B521" s="24"/>
      <c r="C521" s="60"/>
      <c r="E521" s="47"/>
      <c r="F521" s="48"/>
      <c r="G521" s="47"/>
      <c r="J521" s="61"/>
      <c r="K521" s="61"/>
      <c r="L521" s="30"/>
      <c r="N521" s="97"/>
      <c r="O521" s="109"/>
      <c r="P521" s="52"/>
      <c r="Q521" s="113"/>
    </row>
    <row r="522" spans="1:17">
      <c r="A522" s="61"/>
      <c r="B522" s="24"/>
      <c r="C522" s="60"/>
      <c r="E522" s="47"/>
      <c r="F522" s="48"/>
      <c r="G522" s="47"/>
      <c r="J522" s="61"/>
      <c r="K522" s="61"/>
      <c r="L522" s="30"/>
      <c r="N522" s="97"/>
      <c r="O522" s="109"/>
      <c r="P522" s="52"/>
      <c r="Q522" s="113"/>
    </row>
    <row r="523" spans="1:17">
      <c r="A523" s="61"/>
      <c r="B523" s="24"/>
      <c r="C523" s="60"/>
      <c r="E523" s="47"/>
      <c r="F523" s="48"/>
      <c r="G523" s="47"/>
      <c r="J523" s="61"/>
      <c r="K523" s="61"/>
      <c r="L523" s="30"/>
      <c r="N523" s="97"/>
      <c r="O523" s="109"/>
      <c r="P523" s="52"/>
      <c r="Q523" s="113"/>
    </row>
    <row r="524" spans="1:17">
      <c r="A524" s="61"/>
      <c r="B524" s="24"/>
      <c r="C524" s="60"/>
      <c r="E524" s="47"/>
      <c r="F524" s="48"/>
      <c r="G524" s="47"/>
      <c r="J524" s="61"/>
      <c r="K524" s="61"/>
      <c r="L524" s="30"/>
      <c r="N524" s="97"/>
      <c r="O524" s="109"/>
      <c r="P524" s="52"/>
      <c r="Q524" s="113"/>
    </row>
    <row r="525" spans="1:17">
      <c r="A525" s="61"/>
      <c r="B525" s="24"/>
      <c r="C525" s="60"/>
      <c r="E525" s="47"/>
      <c r="F525" s="48"/>
      <c r="G525" s="47"/>
      <c r="J525" s="61"/>
      <c r="K525" s="61"/>
      <c r="L525" s="30"/>
      <c r="N525" s="97"/>
      <c r="O525" s="109"/>
      <c r="P525" s="52"/>
      <c r="Q525" s="113"/>
    </row>
    <row r="526" spans="1:17">
      <c r="A526" s="61"/>
      <c r="B526" s="24"/>
      <c r="C526" s="60"/>
      <c r="E526" s="47"/>
      <c r="F526" s="48"/>
      <c r="G526" s="47"/>
      <c r="J526" s="61"/>
      <c r="K526" s="61"/>
      <c r="L526" s="30"/>
      <c r="N526" s="97"/>
      <c r="O526" s="109"/>
      <c r="P526" s="52"/>
      <c r="Q526" s="113"/>
    </row>
    <row r="527" spans="1:17">
      <c r="A527" s="61"/>
      <c r="B527" s="24"/>
      <c r="C527" s="60"/>
      <c r="E527" s="47"/>
      <c r="F527" s="48"/>
      <c r="G527" s="47"/>
      <c r="J527" s="61"/>
      <c r="K527" s="61"/>
      <c r="L527" s="30"/>
      <c r="N527" s="97"/>
      <c r="O527" s="109"/>
      <c r="P527" s="52"/>
      <c r="Q527" s="113"/>
    </row>
    <row r="528" spans="1:17">
      <c r="A528" s="61"/>
      <c r="B528" s="24"/>
      <c r="C528" s="60"/>
      <c r="E528" s="47"/>
      <c r="F528" s="48"/>
      <c r="G528" s="47"/>
      <c r="J528" s="61"/>
      <c r="K528" s="61"/>
      <c r="L528" s="30"/>
      <c r="N528" s="97"/>
      <c r="O528" s="109"/>
      <c r="P528" s="52"/>
      <c r="Q528" s="113"/>
    </row>
    <row r="529" spans="1:17">
      <c r="A529" s="61"/>
      <c r="B529" s="24"/>
      <c r="C529" s="60"/>
      <c r="E529" s="47"/>
      <c r="F529" s="48"/>
      <c r="G529" s="47"/>
      <c r="J529" s="61"/>
      <c r="K529" s="61"/>
      <c r="L529" s="30"/>
      <c r="N529" s="97"/>
      <c r="O529" s="109"/>
      <c r="P529" s="52"/>
      <c r="Q529" s="113"/>
    </row>
    <row r="530" spans="1:17">
      <c r="A530" s="61"/>
      <c r="B530" s="24"/>
      <c r="C530" s="60"/>
      <c r="E530" s="47"/>
      <c r="F530" s="48"/>
      <c r="G530" s="47"/>
      <c r="J530" s="61"/>
      <c r="K530" s="61"/>
      <c r="L530" s="30"/>
      <c r="N530" s="97"/>
      <c r="O530" s="109"/>
      <c r="P530" s="52"/>
      <c r="Q530" s="113"/>
    </row>
    <row r="531" spans="1:17">
      <c r="A531" s="61"/>
      <c r="B531" s="24"/>
      <c r="C531" s="60"/>
      <c r="E531" s="47"/>
      <c r="F531" s="48"/>
      <c r="G531" s="47"/>
      <c r="J531" s="61"/>
      <c r="K531" s="61"/>
      <c r="L531" s="30"/>
      <c r="N531" s="97"/>
      <c r="O531" s="109"/>
      <c r="P531" s="52"/>
      <c r="Q531" s="113"/>
    </row>
    <row r="532" spans="1:17">
      <c r="A532" s="61"/>
      <c r="B532" s="24"/>
      <c r="C532" s="60"/>
      <c r="E532" s="47"/>
      <c r="F532" s="48"/>
      <c r="G532" s="47"/>
      <c r="J532" s="61"/>
      <c r="K532" s="61"/>
      <c r="L532" s="30"/>
      <c r="N532" s="97"/>
      <c r="O532" s="109"/>
      <c r="P532" s="52"/>
      <c r="Q532" s="113"/>
    </row>
    <row r="533" spans="1:17">
      <c r="A533" s="61"/>
      <c r="B533" s="24"/>
      <c r="C533" s="60"/>
      <c r="E533" s="47"/>
      <c r="F533" s="48"/>
      <c r="G533" s="47"/>
      <c r="J533" s="61"/>
      <c r="K533" s="61"/>
      <c r="L533" s="30"/>
      <c r="N533" s="97"/>
      <c r="O533" s="109"/>
      <c r="P533" s="52"/>
      <c r="Q533" s="113"/>
    </row>
    <row r="534" spans="1:17">
      <c r="A534" s="61"/>
      <c r="B534" s="24"/>
      <c r="C534" s="60"/>
      <c r="E534" s="47"/>
      <c r="F534" s="48"/>
      <c r="G534" s="47"/>
      <c r="J534" s="61"/>
      <c r="K534" s="61"/>
      <c r="L534" s="30"/>
      <c r="N534" s="97"/>
      <c r="O534" s="109"/>
      <c r="P534" s="52"/>
      <c r="Q534" s="113"/>
    </row>
    <row r="535" spans="1:17">
      <c r="A535" s="61"/>
      <c r="B535" s="24"/>
      <c r="C535" s="60"/>
      <c r="E535" s="47"/>
      <c r="F535" s="48"/>
      <c r="G535" s="47"/>
      <c r="J535" s="61"/>
      <c r="K535" s="61"/>
      <c r="L535" s="30"/>
      <c r="N535" s="97"/>
      <c r="O535" s="109"/>
      <c r="P535" s="52"/>
      <c r="Q535" s="113"/>
    </row>
    <row r="536" spans="1:17">
      <c r="A536" s="61"/>
      <c r="B536" s="24"/>
      <c r="C536" s="60"/>
      <c r="E536" s="47"/>
      <c r="F536" s="48"/>
      <c r="G536" s="47"/>
      <c r="J536" s="61"/>
      <c r="K536" s="61"/>
      <c r="L536" s="30"/>
      <c r="N536" s="97"/>
      <c r="O536" s="109"/>
      <c r="P536" s="52"/>
      <c r="Q536" s="113"/>
    </row>
    <row r="537" spans="1:17">
      <c r="A537" s="61"/>
      <c r="B537" s="24"/>
      <c r="C537" s="60"/>
      <c r="E537" s="47"/>
      <c r="F537" s="48"/>
      <c r="G537" s="47"/>
      <c r="J537" s="61"/>
      <c r="K537" s="61"/>
      <c r="L537" s="30"/>
      <c r="N537" s="97"/>
      <c r="O537" s="109"/>
      <c r="P537" s="52"/>
      <c r="Q537" s="113"/>
    </row>
    <row r="538" spans="1:17">
      <c r="A538" s="61"/>
      <c r="B538" s="24"/>
      <c r="C538" s="60"/>
      <c r="E538" s="47"/>
      <c r="F538" s="48"/>
      <c r="G538" s="47"/>
      <c r="J538" s="61"/>
      <c r="K538" s="61"/>
      <c r="L538" s="30"/>
      <c r="N538" s="97"/>
      <c r="O538" s="109"/>
      <c r="P538" s="52"/>
      <c r="Q538" s="113"/>
    </row>
    <row r="539" spans="1:17">
      <c r="A539" s="61"/>
      <c r="B539" s="24"/>
      <c r="C539" s="60"/>
      <c r="E539" s="47"/>
      <c r="F539" s="48"/>
      <c r="G539" s="47"/>
      <c r="J539" s="61"/>
      <c r="K539" s="61"/>
      <c r="L539" s="30"/>
      <c r="N539" s="97"/>
      <c r="O539" s="109"/>
      <c r="P539" s="52"/>
      <c r="Q539" s="113"/>
    </row>
    <row r="540" spans="1:17">
      <c r="A540" s="61"/>
      <c r="B540" s="24"/>
      <c r="C540" s="60"/>
      <c r="E540" s="47"/>
      <c r="F540" s="48"/>
      <c r="G540" s="47"/>
      <c r="J540" s="61"/>
      <c r="K540" s="61"/>
      <c r="L540" s="30"/>
      <c r="N540" s="97"/>
      <c r="O540" s="109"/>
      <c r="P540" s="52"/>
      <c r="Q540" s="113"/>
    </row>
    <row r="541" spans="1:17">
      <c r="A541" s="61"/>
      <c r="B541" s="24"/>
      <c r="C541" s="60"/>
      <c r="E541" s="47"/>
      <c r="F541" s="48"/>
      <c r="G541" s="47"/>
      <c r="J541" s="61"/>
      <c r="K541" s="61"/>
      <c r="L541" s="30"/>
      <c r="N541" s="97"/>
      <c r="O541" s="109"/>
      <c r="P541" s="52"/>
      <c r="Q541" s="113"/>
    </row>
    <row r="542" spans="1:17">
      <c r="A542" s="61"/>
      <c r="B542" s="24"/>
      <c r="C542" s="60"/>
      <c r="E542" s="47"/>
      <c r="F542" s="48"/>
      <c r="G542" s="47"/>
      <c r="J542" s="61"/>
      <c r="K542" s="61"/>
      <c r="L542" s="30"/>
      <c r="N542" s="97"/>
      <c r="O542" s="109"/>
      <c r="P542" s="52"/>
      <c r="Q542" s="113"/>
    </row>
    <row r="543" spans="1:17">
      <c r="A543" s="61"/>
      <c r="B543" s="24"/>
      <c r="C543" s="60"/>
      <c r="E543" s="47"/>
      <c r="F543" s="48"/>
      <c r="G543" s="47"/>
      <c r="J543" s="61"/>
      <c r="K543" s="61"/>
      <c r="L543" s="30"/>
      <c r="N543" s="97"/>
      <c r="O543" s="109"/>
      <c r="P543" s="52"/>
      <c r="Q543" s="113"/>
    </row>
    <row r="544" spans="1:17">
      <c r="A544" s="61"/>
      <c r="B544" s="24"/>
      <c r="C544" s="60"/>
      <c r="E544" s="47"/>
      <c r="F544" s="48"/>
      <c r="G544" s="47"/>
      <c r="J544" s="61"/>
      <c r="K544" s="61"/>
      <c r="L544" s="30"/>
      <c r="N544" s="97"/>
      <c r="O544" s="109"/>
      <c r="P544" s="52"/>
      <c r="Q544" s="113"/>
    </row>
    <row r="545" spans="1:17">
      <c r="A545" s="61"/>
      <c r="B545" s="24"/>
      <c r="C545" s="60"/>
      <c r="E545" s="47"/>
      <c r="F545" s="48"/>
      <c r="G545" s="47"/>
      <c r="J545" s="61"/>
      <c r="K545" s="61"/>
      <c r="L545" s="30"/>
      <c r="N545" s="97"/>
      <c r="O545" s="109"/>
      <c r="P545" s="52"/>
      <c r="Q545" s="113"/>
    </row>
    <row r="546" spans="1:17">
      <c r="A546" s="61"/>
      <c r="B546" s="24"/>
      <c r="C546" s="60"/>
      <c r="E546" s="47"/>
      <c r="F546" s="48"/>
      <c r="G546" s="47"/>
      <c r="J546" s="61"/>
      <c r="K546" s="61"/>
      <c r="L546" s="30"/>
      <c r="N546" s="97"/>
      <c r="O546" s="109"/>
      <c r="P546" s="52"/>
      <c r="Q546" s="113"/>
    </row>
    <row r="547" spans="1:17">
      <c r="A547" s="61"/>
      <c r="B547" s="24"/>
      <c r="C547" s="60"/>
      <c r="E547" s="47"/>
      <c r="F547" s="48"/>
      <c r="G547" s="47"/>
      <c r="J547" s="61"/>
      <c r="K547" s="61"/>
      <c r="L547" s="30"/>
      <c r="N547" s="97"/>
      <c r="O547" s="109"/>
      <c r="P547" s="52"/>
      <c r="Q547" s="113"/>
    </row>
    <row r="548" spans="1:17">
      <c r="A548" s="61"/>
      <c r="B548" s="24"/>
      <c r="C548" s="60"/>
      <c r="E548" s="47"/>
      <c r="F548" s="48"/>
      <c r="G548" s="47"/>
      <c r="J548" s="61"/>
      <c r="K548" s="61"/>
      <c r="L548" s="30"/>
      <c r="N548" s="97"/>
      <c r="O548" s="109"/>
      <c r="P548" s="52"/>
      <c r="Q548" s="113"/>
    </row>
    <row r="549" spans="1:17">
      <c r="A549" s="61"/>
      <c r="B549" s="24"/>
      <c r="C549" s="60"/>
      <c r="E549" s="47"/>
      <c r="F549" s="48"/>
      <c r="G549" s="47"/>
      <c r="J549" s="61"/>
      <c r="K549" s="61"/>
      <c r="L549" s="30"/>
      <c r="N549" s="97"/>
      <c r="O549" s="109"/>
      <c r="P549" s="52"/>
      <c r="Q549" s="113"/>
    </row>
    <row r="550" spans="1:17">
      <c r="A550" s="61"/>
      <c r="B550" s="24"/>
      <c r="C550" s="60"/>
      <c r="E550" s="47"/>
      <c r="F550" s="48"/>
      <c r="G550" s="47"/>
      <c r="J550" s="61"/>
      <c r="K550" s="61"/>
      <c r="L550" s="30"/>
      <c r="N550" s="97"/>
      <c r="O550" s="109"/>
      <c r="P550" s="52"/>
      <c r="Q550" s="113"/>
    </row>
    <row r="551" spans="1:17">
      <c r="A551" s="61"/>
      <c r="B551" s="24"/>
      <c r="C551" s="60"/>
      <c r="E551" s="47"/>
      <c r="F551" s="48"/>
      <c r="G551" s="47"/>
      <c r="J551" s="61"/>
      <c r="K551" s="61"/>
      <c r="L551" s="30"/>
      <c r="N551" s="97"/>
      <c r="O551" s="109"/>
      <c r="P551" s="52"/>
      <c r="Q551" s="113"/>
    </row>
    <row r="552" spans="1:17">
      <c r="A552" s="61"/>
      <c r="B552" s="24"/>
      <c r="C552" s="60"/>
      <c r="E552" s="47"/>
      <c r="F552" s="48"/>
      <c r="G552" s="47"/>
      <c r="J552" s="61"/>
      <c r="K552" s="61"/>
      <c r="L552" s="30"/>
      <c r="N552" s="97"/>
      <c r="O552" s="109"/>
      <c r="P552" s="52"/>
      <c r="Q552" s="113"/>
    </row>
    <row r="553" spans="1:17">
      <c r="A553" s="61"/>
      <c r="B553" s="24"/>
      <c r="C553" s="60"/>
      <c r="E553" s="47"/>
      <c r="F553" s="48"/>
      <c r="G553" s="47"/>
      <c r="J553" s="61"/>
      <c r="K553" s="61"/>
      <c r="L553" s="30"/>
      <c r="N553" s="97"/>
      <c r="O553" s="109"/>
      <c r="P553" s="52"/>
      <c r="Q553" s="113"/>
    </row>
    <row r="554" spans="1:17">
      <c r="A554" s="61"/>
      <c r="B554" s="24"/>
      <c r="C554" s="60"/>
      <c r="E554" s="47"/>
      <c r="F554" s="48"/>
      <c r="G554" s="47"/>
      <c r="J554" s="61"/>
      <c r="K554" s="61"/>
      <c r="L554" s="30"/>
      <c r="N554" s="97"/>
      <c r="O554" s="109"/>
      <c r="P554" s="52"/>
      <c r="Q554" s="113"/>
    </row>
    <row r="555" spans="1:17">
      <c r="A555" s="61"/>
      <c r="B555" s="24"/>
      <c r="C555" s="60"/>
      <c r="E555" s="47"/>
      <c r="F555" s="48"/>
      <c r="G555" s="47"/>
      <c r="J555" s="61"/>
      <c r="K555" s="61"/>
      <c r="L555" s="30"/>
      <c r="N555" s="97"/>
      <c r="O555" s="109"/>
      <c r="P555" s="52"/>
      <c r="Q555" s="113"/>
    </row>
    <row r="556" spans="1:17">
      <c r="A556" s="61"/>
      <c r="B556" s="24"/>
      <c r="C556" s="60"/>
      <c r="E556" s="47"/>
      <c r="F556" s="48"/>
      <c r="G556" s="47"/>
      <c r="J556" s="61"/>
      <c r="K556" s="61"/>
      <c r="L556" s="30"/>
      <c r="N556" s="97"/>
      <c r="O556" s="109"/>
      <c r="P556" s="52"/>
      <c r="Q556" s="113"/>
    </row>
    <row r="557" spans="1:17">
      <c r="A557" s="61"/>
      <c r="B557" s="24"/>
      <c r="C557" s="60"/>
      <c r="E557" s="47"/>
      <c r="F557" s="48"/>
      <c r="G557" s="47"/>
      <c r="J557" s="61"/>
      <c r="K557" s="61"/>
      <c r="L557" s="30"/>
      <c r="N557" s="97"/>
      <c r="O557" s="109"/>
      <c r="P557" s="52"/>
      <c r="Q557" s="113"/>
    </row>
    <row r="558" spans="1:17">
      <c r="A558" s="61"/>
      <c r="B558" s="24"/>
      <c r="C558" s="60"/>
      <c r="E558" s="47"/>
      <c r="F558" s="48"/>
      <c r="G558" s="47"/>
      <c r="J558" s="61"/>
      <c r="K558" s="61"/>
      <c r="L558" s="30"/>
      <c r="N558" s="97"/>
      <c r="O558" s="109"/>
      <c r="P558" s="52"/>
      <c r="Q558" s="113"/>
    </row>
    <row r="559" spans="1:17">
      <c r="A559" s="61"/>
      <c r="B559" s="24"/>
      <c r="C559" s="60"/>
      <c r="E559" s="47"/>
      <c r="F559" s="48"/>
      <c r="G559" s="47"/>
      <c r="J559" s="61"/>
      <c r="K559" s="61"/>
      <c r="L559" s="30"/>
      <c r="N559" s="97"/>
      <c r="O559" s="109"/>
      <c r="P559" s="52"/>
      <c r="Q559" s="113"/>
    </row>
    <row r="560" spans="1:17">
      <c r="A560" s="61"/>
      <c r="B560" s="24"/>
      <c r="C560" s="60"/>
      <c r="E560" s="47"/>
      <c r="F560" s="48"/>
      <c r="G560" s="47"/>
      <c r="J560" s="61"/>
      <c r="K560" s="61"/>
      <c r="L560" s="30"/>
      <c r="N560" s="97"/>
      <c r="O560" s="109"/>
      <c r="P560" s="52"/>
      <c r="Q560" s="113"/>
    </row>
    <row r="561" spans="1:17">
      <c r="A561" s="61"/>
      <c r="B561" s="24"/>
      <c r="C561" s="60"/>
      <c r="E561" s="47"/>
      <c r="F561" s="48"/>
      <c r="G561" s="47"/>
      <c r="J561" s="61"/>
      <c r="K561" s="61"/>
      <c r="L561" s="30"/>
      <c r="N561" s="97"/>
      <c r="O561" s="109"/>
      <c r="P561" s="52"/>
      <c r="Q561" s="113"/>
    </row>
    <row r="562" spans="1:17">
      <c r="A562" s="61"/>
      <c r="B562" s="24"/>
      <c r="C562" s="60"/>
      <c r="E562" s="47"/>
      <c r="F562" s="48"/>
      <c r="G562" s="47"/>
      <c r="J562" s="61"/>
      <c r="K562" s="61"/>
      <c r="L562" s="30"/>
      <c r="N562" s="97"/>
      <c r="O562" s="109"/>
      <c r="P562" s="52"/>
      <c r="Q562" s="113"/>
    </row>
    <row r="563" spans="1:17">
      <c r="A563" s="61"/>
      <c r="B563" s="24"/>
      <c r="C563" s="60"/>
      <c r="E563" s="47"/>
      <c r="F563" s="48"/>
      <c r="G563" s="47"/>
      <c r="J563" s="61"/>
      <c r="K563" s="61"/>
      <c r="L563" s="30"/>
      <c r="N563" s="97"/>
      <c r="O563" s="109"/>
      <c r="P563" s="52"/>
      <c r="Q563" s="113"/>
    </row>
    <row r="564" spans="1:17">
      <c r="A564" s="61"/>
      <c r="B564" s="24"/>
      <c r="C564" s="60"/>
      <c r="E564" s="47"/>
      <c r="F564" s="48"/>
      <c r="G564" s="47"/>
      <c r="J564" s="61"/>
      <c r="K564" s="61"/>
      <c r="L564" s="30"/>
      <c r="N564" s="97"/>
      <c r="O564" s="109"/>
      <c r="P564" s="52"/>
      <c r="Q564" s="113"/>
    </row>
    <row r="565" spans="1:17">
      <c r="A565" s="61"/>
      <c r="B565" s="24"/>
      <c r="C565" s="60"/>
      <c r="E565" s="47"/>
      <c r="F565" s="48"/>
      <c r="G565" s="47"/>
      <c r="J565" s="61"/>
      <c r="K565" s="61"/>
      <c r="L565" s="30"/>
      <c r="N565" s="97"/>
      <c r="O565" s="109"/>
      <c r="P565" s="52"/>
      <c r="Q565" s="113"/>
    </row>
    <row r="566" spans="1:17">
      <c r="A566" s="61"/>
      <c r="B566" s="24"/>
      <c r="C566" s="60"/>
      <c r="E566" s="47"/>
      <c r="F566" s="48"/>
      <c r="G566" s="47"/>
      <c r="J566" s="61"/>
      <c r="K566" s="61"/>
      <c r="L566" s="30"/>
      <c r="N566" s="97"/>
      <c r="O566" s="109"/>
      <c r="P566" s="52"/>
      <c r="Q566" s="113"/>
    </row>
    <row r="567" spans="1:17">
      <c r="A567" s="61"/>
      <c r="B567" s="24"/>
      <c r="C567" s="60"/>
      <c r="E567" s="47"/>
      <c r="F567" s="48"/>
      <c r="G567" s="47"/>
      <c r="J567" s="61"/>
      <c r="K567" s="61"/>
      <c r="L567" s="30"/>
      <c r="N567" s="97"/>
      <c r="O567" s="109"/>
      <c r="P567" s="52"/>
      <c r="Q567" s="113"/>
    </row>
    <row r="568" spans="1:17">
      <c r="A568" s="61"/>
      <c r="B568" s="24"/>
      <c r="C568" s="60"/>
      <c r="E568" s="47"/>
      <c r="F568" s="48"/>
      <c r="G568" s="47"/>
      <c r="J568" s="61"/>
      <c r="K568" s="61"/>
      <c r="L568" s="30"/>
      <c r="N568" s="97"/>
      <c r="O568" s="109"/>
      <c r="P568" s="52"/>
      <c r="Q568" s="113"/>
    </row>
    <row r="569" spans="1:17">
      <c r="A569" s="61"/>
      <c r="B569" s="24"/>
      <c r="C569" s="60"/>
      <c r="E569" s="47"/>
      <c r="F569" s="48"/>
      <c r="G569" s="47"/>
      <c r="J569" s="61"/>
      <c r="K569" s="61"/>
      <c r="L569" s="30"/>
      <c r="N569" s="97"/>
      <c r="O569" s="109"/>
      <c r="P569" s="47"/>
      <c r="Q569" s="113"/>
    </row>
    <row r="570" spans="1:17">
      <c r="A570" s="61"/>
      <c r="B570" s="24"/>
      <c r="C570" s="60"/>
      <c r="E570" s="47"/>
      <c r="F570" s="48"/>
      <c r="G570" s="47"/>
      <c r="J570" s="61"/>
      <c r="K570" s="61"/>
      <c r="L570" s="30"/>
      <c r="N570" s="97"/>
      <c r="O570" s="109"/>
      <c r="P570" s="47"/>
      <c r="Q570" s="113"/>
    </row>
    <row r="571" spans="1:17">
      <c r="A571" s="61"/>
      <c r="B571" s="24"/>
      <c r="C571" s="60"/>
      <c r="E571" s="47"/>
      <c r="F571" s="48"/>
      <c r="G571" s="47"/>
      <c r="J571" s="61"/>
      <c r="K571" s="61"/>
      <c r="L571" s="30"/>
      <c r="N571" s="97"/>
      <c r="O571" s="109"/>
      <c r="P571" s="47"/>
      <c r="Q571" s="113"/>
    </row>
    <row r="572" spans="1:17">
      <c r="A572" s="61"/>
      <c r="B572" s="24"/>
      <c r="C572" s="60"/>
      <c r="E572" s="47"/>
      <c r="F572" s="48"/>
      <c r="G572" s="47"/>
      <c r="J572" s="61"/>
      <c r="K572" s="61"/>
      <c r="L572" s="30"/>
      <c r="N572" s="97"/>
      <c r="O572" s="109"/>
      <c r="P572" s="47"/>
      <c r="Q572" s="113"/>
    </row>
    <row r="573" spans="1:17">
      <c r="A573" s="61"/>
      <c r="B573" s="24"/>
      <c r="C573" s="60"/>
      <c r="E573" s="47"/>
      <c r="F573" s="48"/>
      <c r="G573" s="47"/>
      <c r="J573" s="61"/>
      <c r="K573" s="61"/>
      <c r="L573" s="30"/>
      <c r="N573" s="97"/>
      <c r="O573" s="109"/>
      <c r="P573" s="47"/>
      <c r="Q573" s="113"/>
    </row>
    <row r="574" spans="1:17">
      <c r="A574" s="61"/>
      <c r="B574" s="24"/>
      <c r="C574" s="60"/>
      <c r="E574" s="47"/>
      <c r="F574" s="48"/>
      <c r="G574" s="47"/>
      <c r="J574" s="61"/>
      <c r="K574" s="61"/>
      <c r="L574" s="30"/>
      <c r="N574" s="97"/>
      <c r="O574" s="109"/>
      <c r="P574" s="47"/>
      <c r="Q574" s="113"/>
    </row>
    <row r="575" spans="1:17">
      <c r="A575" s="61"/>
      <c r="B575" s="24"/>
      <c r="C575" s="60"/>
      <c r="E575" s="47"/>
      <c r="F575" s="48"/>
      <c r="G575" s="47"/>
      <c r="J575" s="61"/>
      <c r="K575" s="61"/>
      <c r="L575" s="30"/>
      <c r="N575" s="97"/>
      <c r="O575" s="109"/>
      <c r="P575" s="47"/>
      <c r="Q575" s="113"/>
    </row>
    <row r="576" spans="1:17">
      <c r="A576" s="61"/>
      <c r="B576" s="24"/>
      <c r="C576" s="60"/>
      <c r="E576" s="47"/>
      <c r="F576" s="48"/>
      <c r="G576" s="47"/>
      <c r="J576" s="61"/>
      <c r="K576" s="61"/>
      <c r="L576" s="30"/>
      <c r="N576" s="97"/>
      <c r="O576" s="109"/>
      <c r="P576" s="47"/>
      <c r="Q576" s="113"/>
    </row>
    <row r="577" spans="1:17">
      <c r="A577" s="61"/>
      <c r="B577" s="24"/>
      <c r="C577" s="60"/>
      <c r="E577" s="47"/>
      <c r="F577" s="48"/>
      <c r="G577" s="47"/>
      <c r="J577" s="61"/>
      <c r="K577" s="61"/>
      <c r="L577" s="30"/>
      <c r="N577" s="97"/>
      <c r="O577" s="109"/>
      <c r="P577" s="47"/>
      <c r="Q577" s="113"/>
    </row>
    <row r="578" spans="1:17">
      <c r="A578" s="61"/>
      <c r="B578" s="24"/>
      <c r="C578" s="60"/>
      <c r="E578" s="47"/>
      <c r="F578" s="48"/>
      <c r="G578" s="47"/>
      <c r="J578" s="61"/>
      <c r="K578" s="61"/>
      <c r="L578" s="30"/>
      <c r="N578" s="97"/>
      <c r="O578" s="109"/>
      <c r="P578" s="47"/>
      <c r="Q578" s="113"/>
    </row>
    <row r="579" spans="1:17">
      <c r="A579" s="61"/>
      <c r="B579" s="24"/>
      <c r="C579" s="60"/>
      <c r="E579" s="47"/>
      <c r="F579" s="48"/>
      <c r="G579" s="47"/>
      <c r="J579" s="61"/>
      <c r="K579" s="61"/>
      <c r="L579" s="30"/>
      <c r="N579" s="97"/>
      <c r="O579" s="109"/>
      <c r="P579" s="47"/>
      <c r="Q579" s="113"/>
    </row>
    <row r="580" spans="1:17">
      <c r="A580" s="61"/>
      <c r="B580" s="24"/>
      <c r="C580" s="60"/>
      <c r="E580" s="47"/>
      <c r="F580" s="48"/>
      <c r="G580" s="47"/>
      <c r="J580" s="61"/>
      <c r="K580" s="61"/>
      <c r="L580" s="30"/>
      <c r="N580" s="97"/>
      <c r="O580" s="109"/>
      <c r="P580" s="47"/>
      <c r="Q580" s="113"/>
    </row>
    <row r="581" spans="1:17">
      <c r="A581" s="61"/>
      <c r="B581" s="24"/>
      <c r="C581" s="60"/>
      <c r="E581" s="47"/>
      <c r="F581" s="48"/>
      <c r="G581" s="47"/>
      <c r="J581" s="61"/>
      <c r="K581" s="61"/>
      <c r="L581" s="30"/>
      <c r="N581" s="97"/>
      <c r="O581" s="109"/>
      <c r="P581" s="47"/>
      <c r="Q581" s="113"/>
    </row>
    <row r="582" spans="1:17">
      <c r="A582" s="61"/>
      <c r="B582" s="24"/>
      <c r="C582" s="60"/>
      <c r="E582" s="47"/>
      <c r="F582" s="48"/>
      <c r="G582" s="47"/>
      <c r="J582" s="61"/>
      <c r="K582" s="61"/>
      <c r="L582" s="30"/>
      <c r="N582" s="97"/>
      <c r="O582" s="109"/>
      <c r="P582" s="47"/>
      <c r="Q582" s="113"/>
    </row>
    <row r="583" spans="1:17">
      <c r="A583" s="61"/>
      <c r="B583" s="24"/>
      <c r="C583" s="60"/>
      <c r="E583" s="47"/>
      <c r="F583" s="48"/>
      <c r="G583" s="47"/>
      <c r="J583" s="61"/>
      <c r="K583" s="61"/>
      <c r="L583" s="30"/>
      <c r="N583" s="97"/>
      <c r="O583" s="109"/>
      <c r="P583" s="47"/>
      <c r="Q583" s="113"/>
    </row>
    <row r="584" spans="1:17">
      <c r="A584" s="61"/>
      <c r="B584" s="24"/>
      <c r="C584" s="60"/>
      <c r="E584" s="47"/>
      <c r="F584" s="48"/>
      <c r="G584" s="47"/>
      <c r="J584" s="61"/>
      <c r="K584" s="61"/>
      <c r="L584" s="30"/>
      <c r="N584" s="97"/>
      <c r="O584" s="109"/>
      <c r="P584" s="47"/>
      <c r="Q584" s="113"/>
    </row>
    <row r="585" spans="1:17">
      <c r="A585" s="61"/>
      <c r="B585" s="24"/>
      <c r="C585" s="60"/>
      <c r="E585" s="47"/>
      <c r="F585" s="48"/>
      <c r="G585" s="47"/>
      <c r="J585" s="61"/>
      <c r="K585" s="61"/>
      <c r="L585" s="30"/>
      <c r="N585" s="97"/>
      <c r="O585" s="109"/>
      <c r="P585" s="47"/>
      <c r="Q585" s="113"/>
    </row>
    <row r="586" spans="1:17">
      <c r="A586" s="61"/>
      <c r="B586" s="24"/>
      <c r="C586" s="60"/>
      <c r="E586" s="47"/>
      <c r="F586" s="48"/>
      <c r="G586" s="47"/>
      <c r="J586" s="61"/>
      <c r="K586" s="61"/>
      <c r="L586" s="30"/>
      <c r="N586" s="97"/>
      <c r="O586" s="109"/>
      <c r="P586" s="47"/>
      <c r="Q586" s="113"/>
    </row>
    <row r="587" spans="1:17">
      <c r="A587" s="61"/>
      <c r="B587" s="24"/>
      <c r="C587" s="60"/>
      <c r="E587" s="47"/>
      <c r="F587" s="48"/>
      <c r="G587" s="47"/>
      <c r="J587" s="61"/>
      <c r="K587" s="61"/>
      <c r="L587" s="30"/>
      <c r="N587" s="97"/>
      <c r="O587" s="109"/>
      <c r="P587" s="47"/>
      <c r="Q587" s="113"/>
    </row>
    <row r="588" spans="1:17">
      <c r="A588" s="61"/>
      <c r="B588" s="24"/>
      <c r="C588" s="60"/>
      <c r="E588" s="47"/>
      <c r="F588" s="48"/>
      <c r="G588" s="47"/>
      <c r="J588" s="61"/>
      <c r="K588" s="61"/>
      <c r="L588" s="30"/>
      <c r="N588" s="97"/>
      <c r="O588" s="109"/>
      <c r="P588" s="47"/>
      <c r="Q588" s="113"/>
    </row>
    <row r="589" spans="1:17">
      <c r="A589" s="61"/>
      <c r="B589" s="24"/>
      <c r="C589" s="60"/>
      <c r="E589" s="47"/>
      <c r="F589" s="48"/>
      <c r="G589" s="47"/>
      <c r="J589" s="61"/>
      <c r="K589" s="61"/>
      <c r="L589" s="30"/>
      <c r="N589" s="97"/>
      <c r="O589" s="109"/>
      <c r="P589" s="47"/>
      <c r="Q589" s="113"/>
    </row>
    <row r="590" spans="1:17">
      <c r="A590" s="61"/>
      <c r="B590" s="24"/>
      <c r="C590" s="60"/>
      <c r="E590" s="47"/>
      <c r="F590" s="48"/>
      <c r="G590" s="47"/>
      <c r="J590" s="61"/>
      <c r="K590" s="61"/>
      <c r="L590" s="30"/>
      <c r="N590" s="97"/>
      <c r="O590" s="109"/>
      <c r="P590" s="47"/>
      <c r="Q590" s="113"/>
    </row>
    <row r="591" spans="1:17">
      <c r="A591" s="61"/>
      <c r="B591" s="24"/>
      <c r="C591" s="60"/>
      <c r="E591" s="47"/>
      <c r="F591" s="48"/>
      <c r="G591" s="47"/>
      <c r="J591" s="61"/>
      <c r="K591" s="61"/>
      <c r="L591" s="30"/>
      <c r="N591" s="97"/>
      <c r="O591" s="109"/>
      <c r="P591" s="47"/>
      <c r="Q591" s="113"/>
    </row>
    <row r="592" spans="1:17">
      <c r="A592" s="61"/>
      <c r="B592" s="24"/>
      <c r="C592" s="60"/>
      <c r="E592" s="47"/>
      <c r="F592" s="48"/>
      <c r="G592" s="47"/>
      <c r="J592" s="61"/>
      <c r="K592" s="61"/>
      <c r="L592" s="30"/>
      <c r="N592" s="97"/>
      <c r="O592" s="109"/>
      <c r="P592" s="47"/>
      <c r="Q592" s="113"/>
    </row>
    <row r="593" spans="1:17">
      <c r="A593" s="61"/>
      <c r="B593" s="24"/>
      <c r="C593" s="60"/>
      <c r="E593" s="47"/>
      <c r="F593" s="48"/>
      <c r="G593" s="47"/>
      <c r="J593" s="61"/>
      <c r="K593" s="61"/>
      <c r="L593" s="30"/>
      <c r="N593" s="97"/>
      <c r="O593" s="109"/>
      <c r="P593" s="47"/>
      <c r="Q593" s="113"/>
    </row>
    <row r="594" spans="1:17">
      <c r="A594" s="61"/>
      <c r="B594" s="24"/>
      <c r="C594" s="60"/>
      <c r="E594" s="47"/>
      <c r="F594" s="48"/>
      <c r="G594" s="47"/>
      <c r="J594" s="61"/>
      <c r="K594" s="61"/>
      <c r="L594" s="30"/>
      <c r="N594" s="97"/>
      <c r="O594" s="109"/>
      <c r="P594" s="47"/>
      <c r="Q594" s="113"/>
    </row>
    <row r="595" spans="1:17">
      <c r="A595" s="61"/>
      <c r="B595" s="24"/>
      <c r="C595" s="60"/>
      <c r="E595" s="47"/>
      <c r="F595" s="48"/>
      <c r="G595" s="47"/>
      <c r="J595" s="61"/>
      <c r="K595" s="61"/>
      <c r="L595" s="30"/>
      <c r="N595" s="97"/>
      <c r="O595" s="109"/>
      <c r="P595" s="47"/>
      <c r="Q595" s="113"/>
    </row>
    <row r="596" spans="1:17">
      <c r="A596" s="61"/>
      <c r="B596" s="24"/>
      <c r="C596" s="60"/>
      <c r="E596" s="47"/>
      <c r="F596" s="48"/>
      <c r="G596" s="47"/>
      <c r="J596" s="61"/>
      <c r="K596" s="61"/>
      <c r="L596" s="30"/>
      <c r="N596" s="97"/>
      <c r="O596" s="109"/>
      <c r="P596" s="47"/>
      <c r="Q596" s="113"/>
    </row>
    <row r="597" spans="1:17">
      <c r="A597" s="61"/>
      <c r="B597" s="24"/>
      <c r="C597" s="60"/>
      <c r="E597" s="47"/>
      <c r="F597" s="48"/>
      <c r="G597" s="47"/>
      <c r="J597" s="61"/>
      <c r="K597" s="61"/>
      <c r="L597" s="30"/>
      <c r="N597" s="97"/>
      <c r="O597" s="109"/>
      <c r="P597" s="47"/>
      <c r="Q597" s="113"/>
    </row>
    <row r="598" spans="1:17">
      <c r="A598" s="61"/>
      <c r="B598" s="24"/>
      <c r="C598" s="60"/>
      <c r="E598" s="47"/>
      <c r="F598" s="48"/>
      <c r="G598" s="47"/>
      <c r="J598" s="61"/>
      <c r="K598" s="61"/>
      <c r="L598" s="30"/>
      <c r="N598" s="97"/>
      <c r="O598" s="109"/>
      <c r="P598" s="47"/>
      <c r="Q598" s="113"/>
    </row>
    <row r="599" spans="1:17">
      <c r="A599" s="61"/>
      <c r="B599" s="24"/>
      <c r="C599" s="60"/>
      <c r="E599" s="47"/>
      <c r="F599" s="48"/>
      <c r="G599" s="47"/>
      <c r="J599" s="61"/>
      <c r="K599" s="61"/>
      <c r="L599" s="30"/>
      <c r="N599" s="97"/>
      <c r="O599" s="109"/>
      <c r="P599" s="47"/>
      <c r="Q599" s="113"/>
    </row>
    <row r="600" spans="1:17">
      <c r="A600" s="61"/>
      <c r="B600" s="24"/>
      <c r="C600" s="60"/>
      <c r="E600" s="47"/>
      <c r="F600" s="48"/>
      <c r="G600" s="47"/>
      <c r="J600" s="61"/>
      <c r="K600" s="61"/>
      <c r="L600" s="30"/>
      <c r="N600" s="97"/>
      <c r="O600" s="109"/>
      <c r="P600" s="47"/>
      <c r="Q600" s="113"/>
    </row>
    <row r="601" spans="1:17">
      <c r="A601" s="61"/>
      <c r="B601" s="24"/>
      <c r="C601" s="60"/>
      <c r="E601" s="47"/>
      <c r="F601" s="48"/>
      <c r="G601" s="47"/>
      <c r="J601" s="61"/>
      <c r="K601" s="61"/>
      <c r="L601" s="30"/>
      <c r="N601" s="97"/>
      <c r="O601" s="109"/>
      <c r="P601" s="47"/>
      <c r="Q601" s="113"/>
    </row>
    <row r="602" spans="1:17">
      <c r="A602" s="61"/>
      <c r="B602" s="24"/>
      <c r="C602" s="60"/>
      <c r="E602" s="47"/>
      <c r="F602" s="48"/>
      <c r="G602" s="47"/>
      <c r="J602" s="61"/>
      <c r="K602" s="61"/>
      <c r="L602" s="30"/>
      <c r="N602" s="97"/>
      <c r="O602" s="109"/>
      <c r="P602" s="47"/>
      <c r="Q602" s="113"/>
    </row>
    <row r="603" spans="1:17">
      <c r="A603" s="61"/>
      <c r="B603" s="24"/>
      <c r="C603" s="60"/>
      <c r="E603" s="47"/>
      <c r="F603" s="48"/>
      <c r="G603" s="47"/>
      <c r="J603" s="61"/>
      <c r="K603" s="61"/>
      <c r="L603" s="30"/>
      <c r="N603" s="97"/>
      <c r="O603" s="109"/>
      <c r="P603" s="47"/>
      <c r="Q603" s="113"/>
    </row>
    <row r="604" spans="1:17">
      <c r="A604" s="61"/>
      <c r="B604" s="24"/>
      <c r="C604" s="60"/>
      <c r="E604" s="47"/>
      <c r="F604" s="48"/>
      <c r="G604" s="47"/>
      <c r="J604" s="61"/>
      <c r="K604" s="61"/>
      <c r="L604" s="30"/>
      <c r="N604" s="97"/>
      <c r="O604" s="109"/>
      <c r="P604" s="47"/>
      <c r="Q604" s="113"/>
    </row>
    <row r="605" spans="1:17">
      <c r="A605" s="61"/>
      <c r="B605" s="24"/>
      <c r="C605" s="60"/>
      <c r="E605" s="47"/>
      <c r="F605" s="48"/>
      <c r="G605" s="47"/>
      <c r="J605" s="61"/>
      <c r="K605" s="61"/>
      <c r="L605" s="30"/>
      <c r="N605" s="97"/>
      <c r="O605" s="109"/>
      <c r="P605" s="47"/>
      <c r="Q605" s="113"/>
    </row>
    <row r="606" spans="1:17">
      <c r="A606" s="61"/>
      <c r="B606" s="24"/>
      <c r="C606" s="60"/>
      <c r="E606" s="47"/>
      <c r="F606" s="48"/>
      <c r="G606" s="47"/>
      <c r="J606" s="61"/>
      <c r="K606" s="61"/>
      <c r="L606" s="30"/>
      <c r="N606" s="97"/>
      <c r="O606" s="109"/>
      <c r="P606" s="47"/>
      <c r="Q606" s="113"/>
    </row>
    <row r="607" spans="1:17">
      <c r="A607" s="61"/>
      <c r="B607" s="24"/>
      <c r="C607" s="60"/>
      <c r="E607" s="47"/>
      <c r="F607" s="48"/>
      <c r="G607" s="47"/>
      <c r="J607" s="61"/>
      <c r="K607" s="61"/>
      <c r="L607" s="30"/>
      <c r="N607" s="97"/>
      <c r="O607" s="109"/>
      <c r="P607" s="47"/>
      <c r="Q607" s="113"/>
    </row>
    <row r="608" spans="1:17">
      <c r="A608" s="61"/>
      <c r="B608" s="24"/>
      <c r="C608" s="60"/>
      <c r="E608" s="47"/>
      <c r="F608" s="48"/>
      <c r="G608" s="47"/>
      <c r="J608" s="61"/>
      <c r="K608" s="61"/>
      <c r="L608" s="30"/>
      <c r="N608" s="97"/>
      <c r="O608" s="109"/>
      <c r="P608" s="47"/>
      <c r="Q608" s="113"/>
    </row>
    <row r="609" spans="1:17">
      <c r="A609" s="61"/>
      <c r="B609" s="24"/>
      <c r="C609" s="60"/>
      <c r="E609" s="47"/>
      <c r="F609" s="48"/>
      <c r="G609" s="47"/>
      <c r="J609" s="61"/>
      <c r="K609" s="61"/>
      <c r="L609" s="30"/>
      <c r="N609" s="97"/>
      <c r="O609" s="109"/>
      <c r="P609" s="47"/>
      <c r="Q609" s="113"/>
    </row>
    <row r="610" spans="1:17">
      <c r="A610" s="61"/>
      <c r="B610" s="24"/>
      <c r="C610" s="60"/>
      <c r="E610" s="47"/>
      <c r="F610" s="48"/>
      <c r="G610" s="47"/>
      <c r="J610" s="61"/>
      <c r="K610" s="61"/>
      <c r="L610" s="30"/>
      <c r="N610" s="97"/>
      <c r="O610" s="109"/>
      <c r="P610" s="47"/>
      <c r="Q610" s="113"/>
    </row>
    <row r="611" spans="1:17">
      <c r="A611" s="61"/>
      <c r="B611" s="24"/>
      <c r="C611" s="60"/>
      <c r="E611" s="47"/>
      <c r="F611" s="48"/>
      <c r="G611" s="47"/>
      <c r="J611" s="61"/>
      <c r="K611" s="61"/>
      <c r="L611" s="30"/>
      <c r="N611" s="97"/>
      <c r="O611" s="109"/>
      <c r="P611" s="47"/>
      <c r="Q611" s="113"/>
    </row>
    <row r="612" spans="1:17">
      <c r="A612" s="61"/>
      <c r="B612" s="24"/>
      <c r="C612" s="60"/>
      <c r="E612" s="47"/>
      <c r="F612" s="48"/>
      <c r="G612" s="47"/>
      <c r="J612" s="61"/>
      <c r="K612" s="61"/>
      <c r="L612" s="30"/>
      <c r="N612" s="97"/>
      <c r="O612" s="109"/>
      <c r="P612" s="47"/>
      <c r="Q612" s="113"/>
    </row>
    <row r="613" spans="1:17">
      <c r="A613" s="61"/>
      <c r="B613" s="24"/>
      <c r="C613" s="60"/>
      <c r="E613" s="47"/>
      <c r="F613" s="48"/>
      <c r="G613" s="47"/>
      <c r="J613" s="61"/>
      <c r="K613" s="61"/>
      <c r="L613" s="30"/>
      <c r="N613" s="97"/>
      <c r="O613" s="109"/>
      <c r="P613" s="47"/>
      <c r="Q613" s="113"/>
    </row>
    <row r="614" spans="1:17">
      <c r="A614" s="61"/>
      <c r="B614" s="24"/>
      <c r="C614" s="60"/>
      <c r="E614" s="47"/>
      <c r="F614" s="48"/>
      <c r="G614" s="47"/>
      <c r="J614" s="61"/>
      <c r="K614" s="61"/>
      <c r="L614" s="30"/>
      <c r="N614" s="97"/>
      <c r="O614" s="109"/>
      <c r="P614" s="47"/>
      <c r="Q614" s="113"/>
    </row>
    <row r="615" spans="1:17">
      <c r="A615" s="61"/>
      <c r="B615" s="24"/>
      <c r="C615" s="60"/>
      <c r="E615" s="47"/>
      <c r="F615" s="48"/>
      <c r="G615" s="47"/>
      <c r="J615" s="61"/>
      <c r="K615" s="61"/>
      <c r="L615" s="30"/>
      <c r="N615" s="97"/>
      <c r="O615" s="109"/>
      <c r="P615" s="47"/>
      <c r="Q615" s="113"/>
    </row>
    <row r="616" spans="1:17">
      <c r="A616" s="61"/>
      <c r="B616" s="24"/>
      <c r="C616" s="60"/>
      <c r="E616" s="47"/>
      <c r="F616" s="48"/>
      <c r="G616" s="47"/>
      <c r="J616" s="61"/>
      <c r="K616" s="61"/>
      <c r="L616" s="30"/>
      <c r="N616" s="97"/>
      <c r="O616" s="109"/>
      <c r="P616" s="47"/>
      <c r="Q616" s="113"/>
    </row>
    <row r="617" spans="1:17">
      <c r="A617" s="61"/>
      <c r="B617" s="24"/>
      <c r="C617" s="60"/>
      <c r="E617" s="47"/>
      <c r="F617" s="48"/>
      <c r="G617" s="47"/>
      <c r="J617" s="61"/>
      <c r="K617" s="61"/>
      <c r="L617" s="30"/>
      <c r="N617" s="97"/>
      <c r="O617" s="109"/>
      <c r="P617" s="47"/>
      <c r="Q617" s="113"/>
    </row>
    <row r="618" spans="1:17">
      <c r="A618" s="61"/>
      <c r="B618" s="24"/>
      <c r="C618" s="60"/>
      <c r="E618" s="47"/>
      <c r="F618" s="48"/>
      <c r="G618" s="47"/>
      <c r="J618" s="61"/>
      <c r="K618" s="61"/>
      <c r="L618" s="30"/>
      <c r="N618" s="97"/>
      <c r="O618" s="109"/>
      <c r="P618" s="47"/>
      <c r="Q618" s="113"/>
    </row>
    <row r="619" spans="1:17">
      <c r="A619" s="61"/>
      <c r="B619" s="24"/>
      <c r="C619" s="60"/>
      <c r="E619" s="47"/>
      <c r="F619" s="48"/>
      <c r="G619" s="47"/>
      <c r="J619" s="61"/>
      <c r="K619" s="61"/>
      <c r="L619" s="30"/>
      <c r="N619" s="97"/>
      <c r="O619" s="109"/>
      <c r="P619" s="47"/>
      <c r="Q619" s="113"/>
    </row>
    <row r="620" spans="1:17">
      <c r="A620" s="61"/>
      <c r="B620" s="24"/>
      <c r="C620" s="60"/>
      <c r="E620" s="47"/>
      <c r="F620" s="48"/>
      <c r="G620" s="47"/>
      <c r="J620" s="61"/>
      <c r="K620" s="61"/>
      <c r="L620" s="30"/>
      <c r="N620" s="97"/>
      <c r="O620" s="109"/>
      <c r="P620" s="47"/>
      <c r="Q620" s="113"/>
    </row>
    <row r="621" spans="1:17">
      <c r="A621" s="61"/>
      <c r="B621" s="24"/>
      <c r="C621" s="60"/>
      <c r="E621" s="47"/>
      <c r="F621" s="48"/>
      <c r="G621" s="47"/>
      <c r="J621" s="61"/>
      <c r="K621" s="61"/>
      <c r="L621" s="30"/>
      <c r="N621" s="97"/>
      <c r="O621" s="109"/>
      <c r="P621" s="47"/>
      <c r="Q621" s="113"/>
    </row>
    <row r="622" spans="1:17">
      <c r="A622" s="61"/>
      <c r="B622" s="24"/>
      <c r="C622" s="60"/>
      <c r="E622" s="47"/>
      <c r="F622" s="48"/>
      <c r="G622" s="47"/>
      <c r="J622" s="61"/>
      <c r="K622" s="61"/>
      <c r="L622" s="30"/>
      <c r="N622" s="97"/>
      <c r="O622" s="109"/>
      <c r="P622" s="47"/>
      <c r="Q622" s="113"/>
    </row>
    <row r="623" spans="1:17">
      <c r="A623" s="61"/>
      <c r="B623" s="24"/>
      <c r="C623" s="60"/>
      <c r="E623" s="47"/>
      <c r="F623" s="48"/>
      <c r="G623" s="47"/>
      <c r="J623" s="61"/>
      <c r="K623" s="61"/>
      <c r="L623" s="30"/>
      <c r="N623" s="97"/>
      <c r="O623" s="109"/>
      <c r="P623" s="47"/>
      <c r="Q623" s="113"/>
    </row>
    <row r="624" spans="1:17">
      <c r="A624" s="61"/>
      <c r="B624" s="24"/>
      <c r="C624" s="60"/>
      <c r="E624" s="47"/>
      <c r="F624" s="48"/>
      <c r="G624" s="47"/>
      <c r="J624" s="61"/>
      <c r="K624" s="61"/>
      <c r="L624" s="30"/>
      <c r="N624" s="97"/>
      <c r="O624" s="109"/>
      <c r="P624" s="47"/>
      <c r="Q624" s="113"/>
    </row>
    <row r="625" spans="1:17">
      <c r="A625" s="61"/>
      <c r="B625" s="24"/>
      <c r="C625" s="60"/>
      <c r="E625" s="47"/>
      <c r="F625" s="48"/>
      <c r="G625" s="47"/>
      <c r="J625" s="61"/>
      <c r="K625" s="61"/>
      <c r="L625" s="30"/>
      <c r="N625" s="97"/>
      <c r="O625" s="109"/>
      <c r="P625" s="47"/>
      <c r="Q625" s="113"/>
    </row>
    <row r="626" spans="1:17">
      <c r="A626" s="61"/>
      <c r="B626" s="24"/>
      <c r="C626" s="60"/>
      <c r="E626" s="47"/>
      <c r="F626" s="48"/>
      <c r="G626" s="47"/>
      <c r="J626" s="61"/>
      <c r="K626" s="61"/>
      <c r="L626" s="30"/>
      <c r="N626" s="97"/>
      <c r="O626" s="109"/>
      <c r="P626" s="47"/>
      <c r="Q626" s="113"/>
    </row>
    <row r="627" spans="1:17">
      <c r="A627" s="61"/>
      <c r="B627" s="24"/>
      <c r="C627" s="60"/>
      <c r="E627" s="47"/>
      <c r="F627" s="48"/>
      <c r="G627" s="47"/>
      <c r="J627" s="61"/>
      <c r="K627" s="61"/>
      <c r="L627" s="30"/>
      <c r="N627" s="97"/>
      <c r="O627" s="109"/>
      <c r="P627" s="47"/>
      <c r="Q627" s="113"/>
    </row>
    <row r="628" spans="1:17">
      <c r="A628" s="61"/>
      <c r="B628" s="24"/>
      <c r="C628" s="60"/>
      <c r="E628" s="47"/>
      <c r="F628" s="48"/>
      <c r="G628" s="47"/>
      <c r="J628" s="61"/>
      <c r="K628" s="61"/>
      <c r="L628" s="30"/>
      <c r="N628" s="97"/>
      <c r="O628" s="109"/>
      <c r="P628" s="47"/>
      <c r="Q628" s="113"/>
    </row>
    <row r="629" spans="1:17">
      <c r="A629" s="61"/>
      <c r="B629" s="24"/>
      <c r="C629" s="60"/>
      <c r="E629" s="47"/>
      <c r="F629" s="48"/>
      <c r="G629" s="47"/>
      <c r="J629" s="61"/>
      <c r="K629" s="61"/>
      <c r="L629" s="30"/>
      <c r="N629" s="97"/>
      <c r="O629" s="109"/>
      <c r="P629" s="47"/>
      <c r="Q629" s="113"/>
    </row>
    <row r="630" spans="1:17">
      <c r="A630" s="61"/>
      <c r="B630" s="24"/>
      <c r="C630" s="60"/>
      <c r="E630" s="47"/>
      <c r="F630" s="48"/>
      <c r="G630" s="47"/>
      <c r="J630" s="61"/>
      <c r="K630" s="61"/>
      <c r="L630" s="30"/>
      <c r="N630" s="97"/>
      <c r="O630" s="109"/>
      <c r="P630" s="47"/>
      <c r="Q630" s="113"/>
    </row>
    <row r="631" spans="1:17">
      <c r="A631" s="61"/>
      <c r="B631" s="24"/>
      <c r="C631" s="60"/>
      <c r="E631" s="47"/>
      <c r="F631" s="48"/>
      <c r="G631" s="47"/>
      <c r="J631" s="61"/>
      <c r="K631" s="61"/>
      <c r="L631" s="30"/>
      <c r="N631" s="97"/>
      <c r="O631" s="109"/>
      <c r="P631" s="47"/>
      <c r="Q631" s="113"/>
    </row>
    <row r="632" spans="1:17">
      <c r="A632" s="61"/>
      <c r="B632" s="24"/>
      <c r="C632" s="60"/>
      <c r="E632" s="47"/>
      <c r="F632" s="48"/>
      <c r="G632" s="47"/>
      <c r="J632" s="61"/>
      <c r="K632" s="61"/>
      <c r="L632" s="30"/>
      <c r="N632" s="97"/>
      <c r="O632" s="109"/>
      <c r="P632" s="47"/>
      <c r="Q632" s="113"/>
    </row>
    <row r="633" spans="1:17">
      <c r="A633" s="61"/>
      <c r="B633" s="24"/>
      <c r="C633" s="60"/>
      <c r="E633" s="47"/>
      <c r="F633" s="48"/>
      <c r="G633" s="47"/>
      <c r="J633" s="61"/>
      <c r="K633" s="61"/>
      <c r="L633" s="30"/>
      <c r="N633" s="97"/>
      <c r="O633" s="109"/>
      <c r="P633" s="47"/>
      <c r="Q633" s="113"/>
    </row>
    <row r="634" spans="1:17">
      <c r="A634" s="61"/>
      <c r="B634" s="24"/>
      <c r="C634" s="60"/>
      <c r="E634" s="47"/>
      <c r="F634" s="48"/>
      <c r="G634" s="47"/>
      <c r="J634" s="61"/>
      <c r="K634" s="61"/>
      <c r="L634" s="30"/>
      <c r="N634" s="97"/>
      <c r="O634" s="109"/>
      <c r="P634" s="47"/>
      <c r="Q634" s="113"/>
    </row>
    <row r="635" spans="1:17">
      <c r="A635" s="61"/>
      <c r="B635" s="24"/>
      <c r="C635" s="60"/>
      <c r="E635" s="47"/>
      <c r="F635" s="48"/>
      <c r="G635" s="47"/>
      <c r="J635" s="61"/>
      <c r="K635" s="61"/>
      <c r="L635" s="30"/>
      <c r="N635" s="97"/>
      <c r="O635" s="109"/>
      <c r="P635" s="47"/>
      <c r="Q635" s="113"/>
    </row>
    <row r="636" spans="1:17">
      <c r="A636" s="61"/>
      <c r="B636" s="24"/>
      <c r="C636" s="60"/>
      <c r="E636" s="47"/>
      <c r="F636" s="48"/>
      <c r="G636" s="47"/>
      <c r="J636" s="61"/>
      <c r="K636" s="61"/>
      <c r="L636" s="30"/>
      <c r="N636" s="97"/>
      <c r="O636" s="109"/>
      <c r="P636" s="47"/>
      <c r="Q636" s="113"/>
    </row>
    <row r="637" spans="1:17">
      <c r="A637" s="61"/>
      <c r="B637" s="24"/>
      <c r="C637" s="60"/>
      <c r="E637" s="47"/>
      <c r="F637" s="48"/>
      <c r="G637" s="47"/>
      <c r="J637" s="61"/>
      <c r="K637" s="61"/>
      <c r="L637" s="30"/>
      <c r="N637" s="97"/>
      <c r="O637" s="109"/>
      <c r="P637" s="47"/>
      <c r="Q637" s="113"/>
    </row>
    <row r="638" spans="1:17">
      <c r="A638" s="61"/>
      <c r="B638" s="24"/>
      <c r="C638" s="60"/>
      <c r="E638" s="47"/>
      <c r="F638" s="48"/>
      <c r="G638" s="47"/>
      <c r="J638" s="61"/>
      <c r="K638" s="61"/>
      <c r="L638" s="30"/>
      <c r="N638" s="97"/>
      <c r="O638" s="109"/>
      <c r="P638" s="47"/>
      <c r="Q638" s="113"/>
    </row>
    <row r="639" spans="1:17">
      <c r="A639" s="61"/>
      <c r="B639" s="24"/>
      <c r="C639" s="60"/>
      <c r="E639" s="47"/>
      <c r="F639" s="48"/>
      <c r="G639" s="47"/>
      <c r="J639" s="61"/>
      <c r="K639" s="61"/>
      <c r="L639" s="30"/>
      <c r="N639" s="97"/>
      <c r="O639" s="109"/>
      <c r="P639" s="47"/>
      <c r="Q639" s="113"/>
    </row>
    <row r="640" spans="1:17">
      <c r="A640" s="61"/>
      <c r="B640" s="24"/>
      <c r="C640" s="60"/>
      <c r="E640" s="47"/>
      <c r="F640" s="48"/>
      <c r="G640" s="47"/>
      <c r="J640" s="61"/>
      <c r="K640" s="61"/>
      <c r="L640" s="30"/>
      <c r="N640" s="97"/>
      <c r="O640" s="109"/>
      <c r="P640" s="47"/>
      <c r="Q640" s="113"/>
    </row>
    <row r="641" spans="1:17">
      <c r="A641" s="61"/>
      <c r="B641" s="24"/>
      <c r="C641" s="60"/>
      <c r="E641" s="47"/>
      <c r="F641" s="48"/>
      <c r="G641" s="47"/>
      <c r="J641" s="61"/>
      <c r="K641" s="61"/>
      <c r="L641" s="30"/>
      <c r="N641" s="97"/>
      <c r="O641" s="109"/>
      <c r="P641" s="47"/>
      <c r="Q641" s="113"/>
    </row>
    <row r="642" spans="1:17">
      <c r="A642" s="61"/>
      <c r="B642" s="24"/>
      <c r="C642" s="60"/>
      <c r="E642" s="47"/>
      <c r="F642" s="48"/>
      <c r="G642" s="47"/>
      <c r="J642" s="61"/>
      <c r="K642" s="61"/>
      <c r="L642" s="30"/>
      <c r="N642" s="97"/>
      <c r="O642" s="109"/>
      <c r="P642" s="47"/>
      <c r="Q642" s="113"/>
    </row>
    <row r="643" spans="1:17">
      <c r="A643" s="61"/>
      <c r="B643" s="24"/>
      <c r="C643" s="60"/>
      <c r="E643" s="47"/>
      <c r="F643" s="48"/>
      <c r="G643" s="47"/>
      <c r="J643" s="61"/>
      <c r="K643" s="61"/>
      <c r="L643" s="30"/>
      <c r="N643" s="97"/>
      <c r="O643" s="109"/>
      <c r="P643" s="47"/>
      <c r="Q643" s="113"/>
    </row>
    <row r="644" spans="1:17">
      <c r="A644" s="61"/>
      <c r="B644" s="24"/>
      <c r="C644" s="60"/>
      <c r="E644" s="47"/>
      <c r="F644" s="48"/>
      <c r="G644" s="47"/>
      <c r="J644" s="61"/>
      <c r="K644" s="61"/>
      <c r="L644" s="30"/>
      <c r="N644" s="97"/>
      <c r="O644" s="109"/>
      <c r="P644" s="47"/>
      <c r="Q644" s="113"/>
    </row>
    <row r="645" spans="1:17">
      <c r="A645" s="61"/>
      <c r="B645" s="24"/>
      <c r="C645" s="60"/>
      <c r="E645" s="47"/>
      <c r="F645" s="48"/>
      <c r="G645" s="47"/>
      <c r="J645" s="61"/>
      <c r="K645" s="61"/>
      <c r="L645" s="30"/>
      <c r="N645" s="97"/>
      <c r="O645" s="109"/>
      <c r="P645" s="47"/>
      <c r="Q645" s="113"/>
    </row>
    <row r="646" spans="1:17">
      <c r="A646" s="61"/>
      <c r="B646" s="24"/>
      <c r="C646" s="60"/>
      <c r="E646" s="47"/>
      <c r="F646" s="48"/>
      <c r="G646" s="47"/>
      <c r="J646" s="61"/>
      <c r="K646" s="61"/>
      <c r="L646" s="30"/>
      <c r="N646" s="97"/>
      <c r="O646" s="109"/>
      <c r="P646" s="47"/>
      <c r="Q646" s="113"/>
    </row>
    <row r="647" spans="1:17">
      <c r="A647" s="61"/>
      <c r="B647" s="24"/>
      <c r="C647" s="60"/>
      <c r="E647" s="47"/>
      <c r="F647" s="48"/>
      <c r="G647" s="47"/>
      <c r="J647" s="61"/>
      <c r="K647" s="61"/>
      <c r="L647" s="30"/>
      <c r="N647" s="97"/>
      <c r="O647" s="109"/>
      <c r="P647" s="47"/>
      <c r="Q647" s="113"/>
    </row>
    <row r="648" spans="1:17">
      <c r="A648" s="61"/>
      <c r="B648" s="24"/>
      <c r="C648" s="60"/>
      <c r="E648" s="47"/>
      <c r="F648" s="48"/>
      <c r="G648" s="47"/>
      <c r="J648" s="61"/>
      <c r="K648" s="61"/>
      <c r="L648" s="30"/>
      <c r="N648" s="97"/>
      <c r="O648" s="109"/>
      <c r="P648" s="47"/>
      <c r="Q648" s="113"/>
    </row>
    <row r="649" spans="1:17">
      <c r="A649" s="61"/>
      <c r="B649" s="24"/>
      <c r="C649" s="60"/>
      <c r="E649" s="47"/>
      <c r="F649" s="48"/>
      <c r="G649" s="47"/>
      <c r="J649" s="61"/>
      <c r="K649" s="61"/>
      <c r="L649" s="30"/>
      <c r="N649" s="97"/>
      <c r="O649" s="109"/>
      <c r="P649" s="47"/>
      <c r="Q649" s="113"/>
    </row>
    <row r="650" spans="1:17">
      <c r="A650" s="61"/>
      <c r="B650" s="24"/>
      <c r="C650" s="60"/>
      <c r="E650" s="47"/>
      <c r="F650" s="48"/>
      <c r="G650" s="47"/>
      <c r="J650" s="61"/>
      <c r="K650" s="61"/>
      <c r="L650" s="30"/>
      <c r="N650" s="97"/>
      <c r="O650" s="109"/>
      <c r="P650" s="47"/>
      <c r="Q650" s="113"/>
    </row>
    <row r="651" spans="1:17">
      <c r="A651" s="61"/>
      <c r="B651" s="24"/>
      <c r="C651" s="60"/>
      <c r="E651" s="47"/>
      <c r="F651" s="48"/>
      <c r="G651" s="47"/>
      <c r="J651" s="61"/>
      <c r="K651" s="61"/>
      <c r="L651" s="30"/>
      <c r="N651" s="97"/>
      <c r="O651" s="109"/>
      <c r="P651" s="47"/>
      <c r="Q651" s="113"/>
    </row>
    <row r="652" spans="1:17">
      <c r="A652" s="61"/>
      <c r="B652" s="24"/>
      <c r="C652" s="60"/>
      <c r="E652" s="47"/>
      <c r="F652" s="48"/>
      <c r="G652" s="47"/>
      <c r="J652" s="61"/>
      <c r="K652" s="61"/>
      <c r="L652" s="30"/>
      <c r="N652" s="97"/>
      <c r="O652" s="109"/>
      <c r="P652" s="47"/>
      <c r="Q652" s="113"/>
    </row>
    <row r="653" spans="1:17">
      <c r="A653" s="61"/>
      <c r="B653" s="24"/>
      <c r="C653" s="60"/>
      <c r="E653" s="47"/>
      <c r="F653" s="48"/>
      <c r="G653" s="47"/>
      <c r="J653" s="61"/>
      <c r="K653" s="61"/>
      <c r="L653" s="30"/>
      <c r="N653" s="97"/>
      <c r="O653" s="109"/>
      <c r="P653" s="47"/>
      <c r="Q653" s="113"/>
    </row>
    <row r="654" spans="1:17">
      <c r="A654" s="61"/>
      <c r="B654" s="24"/>
      <c r="C654" s="60"/>
      <c r="E654" s="47"/>
      <c r="F654" s="48"/>
      <c r="G654" s="47"/>
      <c r="J654" s="61"/>
      <c r="K654" s="61"/>
      <c r="L654" s="30"/>
      <c r="N654" s="97"/>
      <c r="O654" s="109"/>
      <c r="P654" s="47"/>
      <c r="Q654" s="113"/>
    </row>
    <row r="655" spans="1:17">
      <c r="A655" s="61"/>
      <c r="B655" s="24"/>
      <c r="C655" s="60"/>
      <c r="E655" s="47"/>
      <c r="F655" s="48"/>
      <c r="G655" s="47"/>
      <c r="J655" s="61"/>
      <c r="K655" s="61"/>
      <c r="L655" s="30"/>
      <c r="N655" s="97"/>
      <c r="O655" s="109"/>
      <c r="P655" s="47"/>
      <c r="Q655" s="113"/>
    </row>
    <row r="656" spans="1:17">
      <c r="A656" s="61"/>
      <c r="B656" s="24"/>
      <c r="C656" s="60"/>
      <c r="E656" s="47"/>
      <c r="F656" s="48"/>
      <c r="G656" s="47"/>
      <c r="J656" s="61"/>
      <c r="K656" s="61"/>
      <c r="L656" s="30"/>
      <c r="N656" s="97"/>
      <c r="O656" s="109"/>
      <c r="P656" s="47"/>
      <c r="Q656" s="113"/>
    </row>
    <row r="657" spans="1:17">
      <c r="A657" s="61"/>
      <c r="B657" s="24"/>
      <c r="C657" s="60"/>
      <c r="E657" s="47"/>
      <c r="F657" s="48"/>
      <c r="G657" s="47"/>
      <c r="J657" s="61"/>
      <c r="K657" s="61"/>
      <c r="L657" s="30"/>
      <c r="N657" s="97"/>
      <c r="O657" s="109"/>
      <c r="P657" s="47"/>
      <c r="Q657" s="113"/>
    </row>
    <row r="658" spans="1:17">
      <c r="A658" s="61"/>
      <c r="B658" s="24"/>
      <c r="C658" s="60"/>
      <c r="E658" s="47"/>
      <c r="F658" s="48"/>
      <c r="G658" s="47"/>
      <c r="J658" s="61"/>
      <c r="K658" s="61"/>
      <c r="L658" s="30"/>
      <c r="N658" s="97"/>
      <c r="O658" s="109"/>
      <c r="P658" s="47"/>
      <c r="Q658" s="113"/>
    </row>
    <row r="659" spans="1:17">
      <c r="A659" s="61"/>
      <c r="B659" s="24"/>
      <c r="C659" s="60"/>
      <c r="E659" s="47"/>
      <c r="F659" s="48"/>
      <c r="G659" s="47"/>
      <c r="J659" s="61"/>
      <c r="K659" s="61"/>
      <c r="L659" s="30"/>
      <c r="N659" s="97"/>
      <c r="O659" s="109"/>
      <c r="P659" s="47"/>
      <c r="Q659" s="113"/>
    </row>
    <row r="660" spans="1:17">
      <c r="A660" s="61"/>
      <c r="B660" s="24"/>
      <c r="C660" s="60"/>
      <c r="E660" s="47"/>
      <c r="F660" s="48"/>
      <c r="G660" s="47"/>
      <c r="J660" s="61"/>
      <c r="K660" s="61"/>
      <c r="L660" s="30"/>
      <c r="N660" s="97"/>
      <c r="O660" s="109"/>
      <c r="P660" s="47"/>
      <c r="Q660" s="113"/>
    </row>
    <row r="661" spans="1:17">
      <c r="A661" s="61"/>
      <c r="B661" s="24"/>
      <c r="C661" s="60"/>
      <c r="E661" s="47"/>
      <c r="F661" s="48"/>
      <c r="G661" s="47"/>
      <c r="J661" s="61"/>
      <c r="K661" s="61"/>
      <c r="L661" s="30"/>
      <c r="N661" s="97"/>
      <c r="O661" s="109"/>
      <c r="P661" s="47"/>
      <c r="Q661" s="113"/>
    </row>
    <row r="662" spans="1:17">
      <c r="A662" s="61"/>
      <c r="B662" s="24"/>
      <c r="C662" s="60"/>
      <c r="E662" s="47"/>
      <c r="F662" s="48"/>
      <c r="G662" s="47"/>
      <c r="J662" s="61"/>
      <c r="K662" s="61"/>
      <c r="L662" s="30"/>
      <c r="N662" s="97"/>
      <c r="O662" s="109"/>
      <c r="P662" s="47"/>
      <c r="Q662" s="113"/>
    </row>
    <row r="663" spans="1:17">
      <c r="A663" s="61"/>
      <c r="B663" s="24"/>
      <c r="C663" s="60"/>
      <c r="E663" s="47"/>
      <c r="F663" s="48"/>
      <c r="G663" s="47"/>
      <c r="J663" s="61"/>
      <c r="K663" s="61"/>
      <c r="L663" s="30"/>
      <c r="N663" s="97"/>
      <c r="O663" s="109"/>
      <c r="P663" s="47"/>
      <c r="Q663" s="113"/>
    </row>
    <row r="664" spans="1:17">
      <c r="A664" s="61"/>
      <c r="B664" s="24"/>
      <c r="C664" s="60"/>
      <c r="E664" s="47"/>
      <c r="F664" s="48"/>
      <c r="G664" s="47"/>
      <c r="J664" s="61"/>
      <c r="K664" s="61"/>
      <c r="L664" s="30"/>
      <c r="N664" s="97"/>
      <c r="O664" s="109"/>
      <c r="P664" s="47"/>
      <c r="Q664" s="113"/>
    </row>
    <row r="665" spans="1:17">
      <c r="A665" s="61"/>
      <c r="B665" s="24"/>
      <c r="C665" s="60"/>
      <c r="E665" s="47"/>
      <c r="F665" s="48"/>
      <c r="G665" s="47"/>
      <c r="J665" s="61"/>
      <c r="K665" s="61"/>
      <c r="L665" s="30"/>
      <c r="N665" s="97"/>
      <c r="O665" s="109"/>
      <c r="P665" s="47"/>
      <c r="Q665" s="113"/>
    </row>
    <row r="666" spans="1:17">
      <c r="A666" s="61"/>
      <c r="B666" s="24"/>
      <c r="C666" s="60"/>
      <c r="E666" s="47"/>
      <c r="F666" s="48"/>
      <c r="G666" s="47"/>
      <c r="J666" s="61"/>
      <c r="K666" s="61"/>
      <c r="L666" s="30"/>
      <c r="N666" s="97"/>
      <c r="O666" s="109"/>
      <c r="P666" s="47"/>
      <c r="Q666" s="113"/>
    </row>
    <row r="667" spans="1:17">
      <c r="A667" s="61"/>
      <c r="B667" s="24"/>
      <c r="C667" s="60"/>
      <c r="E667" s="47"/>
      <c r="F667" s="48"/>
      <c r="G667" s="47"/>
      <c r="J667" s="61"/>
      <c r="K667" s="61"/>
      <c r="L667" s="30"/>
      <c r="N667" s="97"/>
      <c r="O667" s="109"/>
      <c r="P667" s="47"/>
      <c r="Q667" s="113"/>
    </row>
    <row r="668" spans="1:17">
      <c r="A668" s="61"/>
      <c r="B668" s="24"/>
      <c r="C668" s="60"/>
      <c r="E668" s="47"/>
      <c r="F668" s="48"/>
      <c r="G668" s="47"/>
      <c r="J668" s="61"/>
      <c r="K668" s="61"/>
      <c r="L668" s="30"/>
      <c r="N668" s="97"/>
      <c r="O668" s="109"/>
      <c r="P668" s="47"/>
      <c r="Q668" s="113"/>
    </row>
    <row r="669" spans="1:17">
      <c r="A669" s="61"/>
      <c r="B669" s="24"/>
      <c r="C669" s="60"/>
      <c r="E669" s="47"/>
      <c r="F669" s="48"/>
      <c r="G669" s="47"/>
      <c r="J669" s="61"/>
      <c r="K669" s="61"/>
      <c r="L669" s="30"/>
      <c r="N669" s="97"/>
      <c r="O669" s="109"/>
      <c r="P669" s="47"/>
      <c r="Q669" s="113"/>
    </row>
    <row r="670" spans="1:17">
      <c r="A670" s="61"/>
      <c r="B670" s="24"/>
      <c r="C670" s="60"/>
      <c r="E670" s="47"/>
      <c r="F670" s="48"/>
      <c r="G670" s="47"/>
      <c r="J670" s="61"/>
      <c r="K670" s="61"/>
      <c r="L670" s="30"/>
      <c r="N670" s="97"/>
      <c r="O670" s="109"/>
      <c r="P670" s="47"/>
      <c r="Q670" s="113"/>
    </row>
    <row r="671" spans="1:17">
      <c r="A671" s="61"/>
      <c r="B671" s="24"/>
      <c r="C671" s="60"/>
      <c r="E671" s="47"/>
      <c r="F671" s="48"/>
      <c r="G671" s="47"/>
      <c r="J671" s="61"/>
      <c r="K671" s="61"/>
      <c r="L671" s="30"/>
      <c r="N671" s="97"/>
      <c r="O671" s="109"/>
      <c r="P671" s="47"/>
      <c r="Q671" s="113"/>
    </row>
    <row r="672" spans="1:17">
      <c r="A672" s="61"/>
      <c r="B672" s="24"/>
      <c r="C672" s="60"/>
      <c r="E672" s="47"/>
      <c r="F672" s="48"/>
      <c r="G672" s="47"/>
      <c r="J672" s="61"/>
      <c r="K672" s="61"/>
      <c r="L672" s="30"/>
      <c r="N672" s="97"/>
      <c r="O672" s="109"/>
      <c r="P672" s="47"/>
      <c r="Q672" s="113"/>
    </row>
    <row r="673" spans="1:17">
      <c r="A673" s="61"/>
      <c r="B673" s="24"/>
      <c r="C673" s="60"/>
      <c r="E673" s="47"/>
      <c r="F673" s="48"/>
      <c r="G673" s="47"/>
      <c r="J673" s="61"/>
      <c r="K673" s="61"/>
      <c r="L673" s="30"/>
      <c r="N673" s="97"/>
      <c r="O673" s="109"/>
      <c r="P673" s="47"/>
      <c r="Q673" s="113"/>
    </row>
    <row r="674" spans="1:17">
      <c r="A674" s="61"/>
      <c r="B674" s="24"/>
      <c r="C674" s="60"/>
      <c r="E674" s="47"/>
      <c r="F674" s="48"/>
      <c r="G674" s="47"/>
      <c r="J674" s="61"/>
      <c r="K674" s="61"/>
      <c r="L674" s="30"/>
      <c r="N674" s="97"/>
      <c r="O674" s="109"/>
      <c r="P674" s="47"/>
      <c r="Q674" s="113"/>
    </row>
    <row r="675" spans="1:17">
      <c r="A675" s="61"/>
      <c r="B675" s="24"/>
      <c r="C675" s="60"/>
      <c r="E675" s="47"/>
      <c r="F675" s="48"/>
      <c r="G675" s="47"/>
      <c r="J675" s="61"/>
      <c r="K675" s="61"/>
      <c r="L675" s="30"/>
      <c r="N675" s="97"/>
      <c r="O675" s="109"/>
      <c r="P675" s="47"/>
      <c r="Q675" s="113"/>
    </row>
    <row r="676" spans="1:17">
      <c r="A676" s="61"/>
      <c r="B676" s="24"/>
      <c r="C676" s="60"/>
      <c r="E676" s="47"/>
      <c r="F676" s="48"/>
      <c r="G676" s="47"/>
      <c r="J676" s="61"/>
      <c r="K676" s="61"/>
      <c r="L676" s="30"/>
      <c r="N676" s="97"/>
      <c r="O676" s="109"/>
      <c r="P676" s="47"/>
      <c r="Q676" s="113"/>
    </row>
    <row r="677" spans="1:17">
      <c r="A677" s="61"/>
      <c r="B677" s="24"/>
      <c r="C677" s="60"/>
      <c r="E677" s="47"/>
      <c r="F677" s="48"/>
      <c r="G677" s="47"/>
      <c r="J677" s="61"/>
      <c r="K677" s="61"/>
      <c r="L677" s="30"/>
      <c r="N677" s="97"/>
      <c r="O677" s="109"/>
      <c r="P677" s="47"/>
      <c r="Q677" s="113"/>
    </row>
    <row r="678" spans="1:17">
      <c r="A678" s="61"/>
      <c r="B678" s="24"/>
      <c r="C678" s="60"/>
      <c r="E678" s="47"/>
      <c r="F678" s="48"/>
      <c r="G678" s="47"/>
      <c r="J678" s="61"/>
      <c r="K678" s="61"/>
      <c r="L678" s="30"/>
      <c r="N678" s="97"/>
      <c r="O678" s="109"/>
      <c r="P678" s="47"/>
      <c r="Q678" s="113"/>
    </row>
    <row r="679" spans="1:17">
      <c r="A679" s="61"/>
      <c r="B679" s="24"/>
      <c r="C679" s="60"/>
      <c r="E679" s="47"/>
      <c r="F679" s="48"/>
      <c r="G679" s="47"/>
      <c r="J679" s="61"/>
      <c r="K679" s="61"/>
      <c r="L679" s="30"/>
      <c r="N679" s="97"/>
      <c r="O679" s="109"/>
      <c r="P679" s="47"/>
      <c r="Q679" s="113"/>
    </row>
    <row r="680" spans="1:17">
      <c r="A680" s="61"/>
      <c r="B680" s="24"/>
      <c r="C680" s="60"/>
      <c r="E680" s="47"/>
      <c r="F680" s="48"/>
      <c r="G680" s="47"/>
      <c r="J680" s="61"/>
      <c r="K680" s="61"/>
      <c r="L680" s="30"/>
      <c r="N680" s="97"/>
      <c r="O680" s="109"/>
      <c r="P680" s="47"/>
      <c r="Q680" s="113"/>
    </row>
    <row r="681" spans="1:17">
      <c r="A681" s="61"/>
      <c r="B681" s="24"/>
      <c r="C681" s="60"/>
      <c r="E681" s="47"/>
      <c r="F681" s="48"/>
      <c r="G681" s="47"/>
      <c r="J681" s="61"/>
      <c r="K681" s="61"/>
      <c r="L681" s="30"/>
      <c r="N681" s="97"/>
      <c r="O681" s="109"/>
      <c r="P681" s="47"/>
      <c r="Q681" s="113"/>
    </row>
    <row r="682" spans="1:17">
      <c r="A682" s="61"/>
      <c r="B682" s="24"/>
      <c r="C682" s="60"/>
      <c r="E682" s="47"/>
      <c r="F682" s="48"/>
      <c r="G682" s="47"/>
      <c r="J682" s="61"/>
      <c r="K682" s="61"/>
      <c r="L682" s="30"/>
      <c r="N682" s="97"/>
      <c r="O682" s="109"/>
      <c r="P682" s="47"/>
      <c r="Q682" s="113"/>
    </row>
    <row r="683" spans="1:17">
      <c r="A683" s="61"/>
      <c r="B683" s="24"/>
      <c r="C683" s="60"/>
      <c r="E683" s="47"/>
      <c r="F683" s="48"/>
      <c r="G683" s="47"/>
      <c r="J683" s="61"/>
      <c r="K683" s="61"/>
      <c r="L683" s="30"/>
      <c r="N683" s="97"/>
      <c r="O683" s="109"/>
      <c r="P683" s="47"/>
      <c r="Q683" s="113"/>
    </row>
    <row r="684" spans="1:17">
      <c r="A684" s="61"/>
      <c r="B684" s="24"/>
      <c r="C684" s="60"/>
      <c r="E684" s="47"/>
      <c r="F684" s="48"/>
      <c r="G684" s="47"/>
      <c r="J684" s="61"/>
      <c r="K684" s="61"/>
      <c r="L684" s="30"/>
      <c r="N684" s="97"/>
      <c r="O684" s="109"/>
      <c r="P684" s="47"/>
      <c r="Q684" s="113"/>
    </row>
    <row r="685" spans="1:17">
      <c r="A685" s="61"/>
      <c r="B685" s="24"/>
      <c r="C685" s="60"/>
      <c r="E685" s="47"/>
      <c r="F685" s="48"/>
      <c r="G685" s="47"/>
      <c r="J685" s="61"/>
      <c r="K685" s="61"/>
      <c r="L685" s="30"/>
      <c r="N685" s="97"/>
      <c r="O685" s="109"/>
      <c r="P685" s="47"/>
      <c r="Q685" s="113"/>
    </row>
    <row r="686" spans="1:17">
      <c r="A686" s="61"/>
      <c r="B686" s="24"/>
      <c r="C686" s="60"/>
      <c r="E686" s="47"/>
      <c r="F686" s="48"/>
      <c r="G686" s="47"/>
      <c r="J686" s="61"/>
      <c r="K686" s="61"/>
      <c r="L686" s="30"/>
      <c r="N686" s="97"/>
      <c r="O686" s="109"/>
      <c r="P686" s="47"/>
      <c r="Q686" s="113"/>
    </row>
    <row r="687" spans="1:17">
      <c r="A687" s="61"/>
      <c r="B687" s="24"/>
      <c r="C687" s="60"/>
      <c r="E687" s="47"/>
      <c r="F687" s="48"/>
      <c r="G687" s="47"/>
      <c r="J687" s="61"/>
      <c r="K687" s="61"/>
      <c r="L687" s="30"/>
      <c r="N687" s="97"/>
      <c r="O687" s="109"/>
      <c r="P687" s="47"/>
      <c r="Q687" s="113"/>
    </row>
    <row r="688" spans="1:17">
      <c r="A688" s="61"/>
      <c r="B688" s="24"/>
      <c r="C688" s="60"/>
      <c r="E688" s="47"/>
      <c r="F688" s="48"/>
      <c r="G688" s="47"/>
      <c r="J688" s="61"/>
      <c r="K688" s="61"/>
      <c r="L688" s="30"/>
      <c r="N688" s="97"/>
      <c r="O688" s="109"/>
      <c r="P688" s="47"/>
      <c r="Q688" s="113"/>
    </row>
    <row r="689" spans="1:17">
      <c r="A689" s="61"/>
      <c r="B689" s="24"/>
      <c r="C689" s="60"/>
      <c r="E689" s="47"/>
      <c r="F689" s="48"/>
      <c r="G689" s="47"/>
      <c r="J689" s="61"/>
      <c r="K689" s="61"/>
      <c r="L689" s="30"/>
      <c r="N689" s="97"/>
      <c r="O689" s="109"/>
      <c r="P689" s="47"/>
      <c r="Q689" s="113"/>
    </row>
    <row r="690" spans="1:17">
      <c r="A690" s="61"/>
      <c r="B690" s="24"/>
      <c r="C690" s="60"/>
      <c r="E690" s="47"/>
      <c r="F690" s="48"/>
      <c r="G690" s="47"/>
      <c r="J690" s="61"/>
      <c r="K690" s="61"/>
      <c r="L690" s="30"/>
      <c r="N690" s="97"/>
      <c r="O690" s="109"/>
      <c r="P690" s="47"/>
      <c r="Q690" s="113"/>
    </row>
    <row r="691" spans="1:17">
      <c r="A691" s="61"/>
      <c r="B691" s="24"/>
      <c r="C691" s="60"/>
      <c r="E691" s="47"/>
      <c r="F691" s="48"/>
      <c r="G691" s="47"/>
      <c r="J691" s="61"/>
      <c r="K691" s="61"/>
      <c r="L691" s="30"/>
      <c r="N691" s="97"/>
      <c r="O691" s="109"/>
      <c r="P691" s="47"/>
      <c r="Q691" s="113"/>
    </row>
    <row r="692" spans="1:17">
      <c r="A692" s="61"/>
      <c r="B692" s="24"/>
      <c r="C692" s="60"/>
      <c r="E692" s="47"/>
      <c r="F692" s="48"/>
      <c r="G692" s="47"/>
      <c r="J692" s="61"/>
      <c r="K692" s="61"/>
      <c r="L692" s="30"/>
      <c r="N692" s="97"/>
      <c r="O692" s="109"/>
      <c r="P692" s="47"/>
      <c r="Q692" s="113"/>
    </row>
    <row r="693" spans="1:17">
      <c r="A693" s="61"/>
      <c r="B693" s="24"/>
      <c r="C693" s="60"/>
      <c r="E693" s="47"/>
      <c r="F693" s="48"/>
      <c r="G693" s="47"/>
      <c r="J693" s="61"/>
      <c r="K693" s="61"/>
      <c r="L693" s="30"/>
      <c r="N693" s="97"/>
      <c r="O693" s="109"/>
      <c r="P693" s="47"/>
      <c r="Q693" s="113"/>
    </row>
    <row r="694" spans="1:17">
      <c r="A694" s="61"/>
      <c r="B694" s="24"/>
      <c r="C694" s="60"/>
      <c r="E694" s="47"/>
      <c r="F694" s="48"/>
      <c r="G694" s="47"/>
      <c r="J694" s="61"/>
      <c r="K694" s="61"/>
      <c r="L694" s="30"/>
      <c r="N694" s="97"/>
      <c r="O694" s="109"/>
      <c r="P694" s="47"/>
      <c r="Q694" s="113"/>
    </row>
    <row r="695" spans="1:17">
      <c r="A695" s="61"/>
      <c r="B695" s="24"/>
      <c r="C695" s="60"/>
      <c r="E695" s="47"/>
      <c r="F695" s="48"/>
      <c r="G695" s="47"/>
      <c r="J695" s="61"/>
      <c r="K695" s="61"/>
      <c r="L695" s="30"/>
      <c r="N695" s="97"/>
      <c r="O695" s="109"/>
      <c r="P695" s="47"/>
      <c r="Q695" s="113"/>
    </row>
    <row r="696" spans="1:17">
      <c r="A696" s="61"/>
      <c r="B696" s="24"/>
      <c r="C696" s="60"/>
      <c r="E696" s="47"/>
      <c r="F696" s="48"/>
      <c r="G696" s="47"/>
      <c r="J696" s="61"/>
      <c r="K696" s="61"/>
      <c r="L696" s="30"/>
      <c r="N696" s="97"/>
      <c r="O696" s="109"/>
      <c r="P696" s="47"/>
      <c r="Q696" s="113"/>
    </row>
    <row r="697" spans="1:17">
      <c r="A697" s="61"/>
      <c r="B697" s="24"/>
      <c r="C697" s="60"/>
      <c r="E697" s="47"/>
      <c r="F697" s="48"/>
      <c r="G697" s="47"/>
      <c r="J697" s="61"/>
      <c r="K697" s="61"/>
      <c r="L697" s="30"/>
      <c r="N697" s="97"/>
      <c r="O697" s="109"/>
      <c r="P697" s="47"/>
      <c r="Q697" s="113"/>
    </row>
    <row r="698" spans="1:17">
      <c r="A698" s="61"/>
      <c r="B698" s="24"/>
      <c r="C698" s="60"/>
      <c r="E698" s="47"/>
      <c r="F698" s="48"/>
      <c r="G698" s="47"/>
      <c r="J698" s="61"/>
      <c r="K698" s="61"/>
      <c r="L698" s="30"/>
      <c r="N698" s="97"/>
      <c r="O698" s="109"/>
      <c r="P698" s="47"/>
      <c r="Q698" s="113"/>
    </row>
    <row r="699" spans="1:17">
      <c r="A699" s="61"/>
      <c r="B699" s="24"/>
      <c r="C699" s="60"/>
      <c r="E699" s="47"/>
      <c r="F699" s="48"/>
      <c r="G699" s="47"/>
      <c r="J699" s="61"/>
      <c r="K699" s="61"/>
      <c r="L699" s="30"/>
      <c r="N699" s="97"/>
      <c r="O699" s="109"/>
      <c r="P699" s="47"/>
      <c r="Q699" s="113"/>
    </row>
    <row r="700" spans="1:17">
      <c r="A700" s="61"/>
      <c r="B700" s="24"/>
      <c r="C700" s="60"/>
      <c r="E700" s="47"/>
      <c r="F700" s="48"/>
      <c r="G700" s="47"/>
      <c r="J700" s="61"/>
      <c r="K700" s="61"/>
      <c r="L700" s="30"/>
      <c r="N700" s="97"/>
      <c r="O700" s="109"/>
      <c r="P700" s="47"/>
      <c r="Q700" s="113"/>
    </row>
    <row r="701" spans="1:17">
      <c r="A701" s="61"/>
      <c r="B701" s="24"/>
      <c r="C701" s="60"/>
      <c r="E701" s="47"/>
      <c r="F701" s="48"/>
      <c r="G701" s="47"/>
      <c r="J701" s="61"/>
      <c r="K701" s="61"/>
      <c r="L701" s="30"/>
      <c r="N701" s="97"/>
      <c r="O701" s="109"/>
      <c r="P701" s="47"/>
      <c r="Q701" s="113"/>
    </row>
    <row r="702" spans="1:17">
      <c r="A702" s="61"/>
      <c r="B702" s="24"/>
      <c r="C702" s="60"/>
      <c r="E702" s="47"/>
      <c r="F702" s="48"/>
      <c r="G702" s="47"/>
      <c r="J702" s="61"/>
      <c r="K702" s="61"/>
      <c r="L702" s="30"/>
      <c r="N702" s="97"/>
      <c r="O702" s="109"/>
      <c r="P702" s="47"/>
      <c r="Q702" s="113"/>
    </row>
    <row r="703" spans="1:17">
      <c r="A703" s="61"/>
      <c r="B703" s="24"/>
      <c r="C703" s="60"/>
      <c r="E703" s="47"/>
      <c r="F703" s="48"/>
      <c r="G703" s="47"/>
      <c r="J703" s="61"/>
      <c r="K703" s="61"/>
      <c r="L703" s="30"/>
      <c r="N703" s="97"/>
      <c r="O703" s="109"/>
      <c r="P703" s="47"/>
      <c r="Q703" s="113"/>
    </row>
    <row r="704" spans="1:17">
      <c r="A704" s="61"/>
      <c r="B704" s="24"/>
      <c r="C704" s="60"/>
      <c r="E704" s="47"/>
      <c r="F704" s="48"/>
      <c r="G704" s="47"/>
      <c r="J704" s="61"/>
      <c r="K704" s="61"/>
      <c r="L704" s="30"/>
      <c r="N704" s="97"/>
      <c r="O704" s="109"/>
      <c r="P704" s="47"/>
      <c r="Q704" s="113"/>
    </row>
    <row r="705" spans="1:17">
      <c r="A705" s="61"/>
      <c r="B705" s="24"/>
      <c r="C705" s="60"/>
      <c r="E705" s="47"/>
      <c r="F705" s="48"/>
      <c r="G705" s="47"/>
      <c r="J705" s="61"/>
      <c r="K705" s="61"/>
      <c r="L705" s="30"/>
      <c r="N705" s="97"/>
      <c r="O705" s="109"/>
      <c r="P705" s="47"/>
      <c r="Q705" s="113"/>
    </row>
    <row r="706" spans="1:17">
      <c r="A706" s="61"/>
      <c r="B706" s="24"/>
      <c r="C706" s="60"/>
      <c r="E706" s="47"/>
      <c r="F706" s="48"/>
      <c r="G706" s="47"/>
      <c r="J706" s="61"/>
      <c r="K706" s="61"/>
      <c r="L706" s="30"/>
      <c r="N706" s="97"/>
      <c r="O706" s="109"/>
      <c r="P706" s="47"/>
      <c r="Q706" s="113"/>
    </row>
    <row r="707" spans="1:17">
      <c r="A707" s="61"/>
      <c r="B707" s="24"/>
      <c r="C707" s="60"/>
      <c r="E707" s="47"/>
      <c r="F707" s="48"/>
      <c r="G707" s="47"/>
      <c r="J707" s="61"/>
      <c r="K707" s="61"/>
      <c r="L707" s="30"/>
      <c r="N707" s="97"/>
      <c r="O707" s="109"/>
      <c r="P707" s="47"/>
      <c r="Q707" s="113"/>
    </row>
    <row r="708" spans="1:17">
      <c r="A708" s="61"/>
      <c r="B708" s="24"/>
      <c r="C708" s="60"/>
      <c r="E708" s="47"/>
      <c r="F708" s="48"/>
      <c r="G708" s="47"/>
      <c r="J708" s="61"/>
      <c r="K708" s="61"/>
      <c r="L708" s="30"/>
      <c r="N708" s="97"/>
      <c r="O708" s="109"/>
      <c r="P708" s="47"/>
      <c r="Q708" s="113"/>
    </row>
    <row r="709" spans="1:17">
      <c r="A709" s="61"/>
      <c r="B709" s="24"/>
      <c r="C709" s="60"/>
      <c r="E709" s="47"/>
      <c r="F709" s="48"/>
      <c r="G709" s="47"/>
      <c r="J709" s="61"/>
      <c r="K709" s="61"/>
      <c r="L709" s="30"/>
      <c r="N709" s="97"/>
      <c r="O709" s="109"/>
      <c r="P709" s="47"/>
      <c r="Q709" s="113"/>
    </row>
    <row r="710" spans="1:17">
      <c r="A710" s="61"/>
      <c r="B710" s="24"/>
      <c r="C710" s="60"/>
      <c r="E710" s="47"/>
      <c r="F710" s="48"/>
      <c r="G710" s="47"/>
      <c r="J710" s="61"/>
      <c r="K710" s="61"/>
      <c r="L710" s="30"/>
      <c r="N710" s="97"/>
      <c r="O710" s="109"/>
      <c r="P710" s="47"/>
      <c r="Q710" s="113"/>
    </row>
    <row r="711" spans="1:17">
      <c r="A711" s="61"/>
      <c r="B711" s="24"/>
      <c r="C711" s="60"/>
      <c r="E711" s="47"/>
      <c r="F711" s="48"/>
      <c r="G711" s="47"/>
      <c r="J711" s="61"/>
      <c r="K711" s="61"/>
      <c r="L711" s="30"/>
      <c r="N711" s="97"/>
      <c r="O711" s="109"/>
      <c r="P711" s="47"/>
      <c r="Q711" s="113"/>
    </row>
    <row r="712" spans="1:17">
      <c r="A712" s="61"/>
      <c r="B712" s="24"/>
      <c r="C712" s="60"/>
      <c r="E712" s="47"/>
      <c r="F712" s="48"/>
      <c r="G712" s="47"/>
      <c r="J712" s="61"/>
      <c r="K712" s="61"/>
      <c r="L712" s="30"/>
      <c r="N712" s="97"/>
      <c r="O712" s="109"/>
      <c r="P712" s="47"/>
      <c r="Q712" s="113"/>
    </row>
    <row r="713" spans="1:17">
      <c r="A713" s="61"/>
      <c r="B713" s="24"/>
      <c r="C713" s="60"/>
      <c r="E713" s="47"/>
      <c r="F713" s="48"/>
      <c r="G713" s="47"/>
      <c r="J713" s="61"/>
      <c r="K713" s="61"/>
      <c r="L713" s="30"/>
      <c r="N713" s="97"/>
      <c r="O713" s="109"/>
      <c r="P713" s="47"/>
      <c r="Q713" s="24"/>
    </row>
    <row r="714" spans="1:17">
      <c r="A714" s="61"/>
      <c r="B714" s="24"/>
      <c r="C714" s="60"/>
      <c r="E714" s="47"/>
      <c r="F714" s="48"/>
      <c r="G714" s="47"/>
      <c r="J714" s="61"/>
      <c r="K714" s="61"/>
      <c r="L714" s="30"/>
      <c r="N714" s="97"/>
      <c r="O714" s="109"/>
      <c r="P714" s="47"/>
      <c r="Q714" s="24"/>
    </row>
    <row r="715" spans="1:17">
      <c r="A715" s="61"/>
      <c r="B715" s="24"/>
      <c r="C715" s="60"/>
      <c r="E715" s="47"/>
      <c r="F715" s="48"/>
      <c r="G715" s="47"/>
      <c r="J715" s="61"/>
      <c r="K715" s="61"/>
      <c r="L715" s="30"/>
      <c r="N715" s="97"/>
      <c r="O715" s="109"/>
      <c r="P715" s="47"/>
      <c r="Q715" s="24"/>
    </row>
    <row r="716" spans="1:17">
      <c r="A716" s="61"/>
      <c r="B716" s="24"/>
      <c r="C716" s="60"/>
      <c r="E716" s="47"/>
      <c r="F716" s="48"/>
      <c r="G716" s="47"/>
      <c r="J716" s="61"/>
      <c r="K716" s="61"/>
      <c r="L716" s="30"/>
      <c r="N716" s="97"/>
      <c r="O716" s="109"/>
      <c r="P716" s="47"/>
      <c r="Q716" s="24"/>
    </row>
    <row r="717" spans="1:17">
      <c r="A717" s="61"/>
      <c r="B717" s="24"/>
      <c r="C717" s="60"/>
      <c r="E717" s="47"/>
      <c r="F717" s="48"/>
      <c r="G717" s="47"/>
      <c r="J717" s="61"/>
      <c r="K717" s="61"/>
      <c r="L717" s="30"/>
      <c r="N717" s="97"/>
      <c r="O717" s="109"/>
      <c r="P717" s="47"/>
      <c r="Q717" s="24"/>
    </row>
    <row r="718" spans="1:17">
      <c r="A718" s="61"/>
      <c r="B718" s="24"/>
      <c r="C718" s="60"/>
      <c r="E718" s="47"/>
      <c r="F718" s="48"/>
      <c r="G718" s="47"/>
      <c r="J718" s="61"/>
      <c r="K718" s="61"/>
      <c r="L718" s="30"/>
      <c r="N718" s="97"/>
      <c r="O718" s="109"/>
      <c r="P718" s="47"/>
      <c r="Q718" s="24"/>
    </row>
    <row r="719" spans="1:17">
      <c r="A719" s="61"/>
      <c r="B719" s="24"/>
      <c r="C719" s="60"/>
      <c r="E719" s="47"/>
      <c r="F719" s="48"/>
      <c r="G719" s="47"/>
      <c r="J719" s="61"/>
      <c r="K719" s="61"/>
      <c r="L719" s="30"/>
      <c r="N719" s="97"/>
      <c r="O719" s="109"/>
      <c r="P719" s="47"/>
      <c r="Q719" s="24"/>
    </row>
    <row r="720" spans="1:17">
      <c r="A720" s="61"/>
      <c r="B720" s="24"/>
      <c r="C720" s="60"/>
      <c r="E720" s="47"/>
      <c r="F720" s="48"/>
      <c r="G720" s="47"/>
      <c r="J720" s="61"/>
      <c r="K720" s="61"/>
      <c r="L720" s="30"/>
      <c r="N720" s="97"/>
      <c r="O720" s="109"/>
      <c r="P720" s="47"/>
      <c r="Q720" s="24"/>
    </row>
    <row r="721" spans="1:17">
      <c r="A721" s="61"/>
      <c r="B721" s="24"/>
      <c r="C721" s="60"/>
      <c r="E721" s="47"/>
      <c r="F721" s="48"/>
      <c r="G721" s="47"/>
      <c r="J721" s="61"/>
      <c r="K721" s="61"/>
      <c r="L721" s="30"/>
      <c r="N721" s="97"/>
      <c r="O721" s="109"/>
      <c r="P721" s="47"/>
      <c r="Q721" s="24"/>
    </row>
    <row r="722" spans="1:17">
      <c r="A722" s="61"/>
      <c r="B722" s="24"/>
      <c r="C722" s="60"/>
      <c r="E722" s="47"/>
      <c r="F722" s="48"/>
      <c r="G722" s="47"/>
      <c r="J722" s="61"/>
      <c r="K722" s="61"/>
      <c r="L722" s="30"/>
      <c r="N722" s="97"/>
      <c r="O722" s="109"/>
      <c r="P722" s="47"/>
      <c r="Q722" s="24"/>
    </row>
    <row r="723" spans="1:17">
      <c r="A723" s="61"/>
      <c r="B723" s="24"/>
      <c r="C723" s="60"/>
      <c r="E723" s="47"/>
      <c r="F723" s="48"/>
      <c r="G723" s="47"/>
      <c r="J723" s="61"/>
      <c r="K723" s="61"/>
      <c r="L723" s="30"/>
      <c r="N723" s="97"/>
      <c r="O723" s="109"/>
      <c r="P723" s="47"/>
      <c r="Q723" s="24"/>
    </row>
    <row r="724" spans="1:17">
      <c r="A724" s="61"/>
      <c r="B724" s="24"/>
      <c r="C724" s="60"/>
      <c r="E724" s="47"/>
      <c r="F724" s="48"/>
      <c r="G724" s="47"/>
      <c r="J724" s="61"/>
      <c r="K724" s="61"/>
      <c r="L724" s="30"/>
      <c r="N724" s="97"/>
      <c r="O724" s="109"/>
      <c r="P724" s="47"/>
      <c r="Q724" s="24"/>
    </row>
    <row r="725" spans="1:17">
      <c r="A725" s="61"/>
      <c r="B725" s="24"/>
      <c r="C725" s="60"/>
      <c r="E725" s="47"/>
      <c r="F725" s="48"/>
      <c r="G725" s="47"/>
      <c r="J725" s="61"/>
      <c r="K725" s="61"/>
      <c r="L725" s="30"/>
      <c r="N725" s="97"/>
      <c r="O725" s="109"/>
      <c r="P725" s="47"/>
      <c r="Q725" s="24"/>
    </row>
    <row r="726" spans="1:17">
      <c r="A726" s="61"/>
      <c r="B726" s="24"/>
      <c r="C726" s="60"/>
      <c r="E726" s="47"/>
      <c r="F726" s="48"/>
      <c r="G726" s="47"/>
      <c r="J726" s="61"/>
      <c r="K726" s="61"/>
      <c r="L726" s="30"/>
      <c r="N726" s="97"/>
      <c r="O726" s="109"/>
      <c r="P726" s="47"/>
      <c r="Q726" s="24"/>
    </row>
    <row r="727" spans="1:17">
      <c r="A727" s="61"/>
      <c r="B727" s="24"/>
      <c r="C727" s="60"/>
      <c r="E727" s="47"/>
      <c r="F727" s="48"/>
      <c r="G727" s="47"/>
      <c r="J727" s="61"/>
      <c r="K727" s="61"/>
      <c r="L727" s="30"/>
      <c r="N727" s="97"/>
      <c r="O727" s="109"/>
      <c r="P727" s="47"/>
      <c r="Q727" s="24"/>
    </row>
    <row r="728" spans="1:17">
      <c r="A728" s="61"/>
      <c r="B728" s="24"/>
      <c r="C728" s="60"/>
      <c r="E728" s="47"/>
      <c r="F728" s="48"/>
      <c r="G728" s="47"/>
      <c r="J728" s="61"/>
      <c r="K728" s="61"/>
      <c r="L728" s="30"/>
      <c r="N728" s="97"/>
      <c r="O728" s="109"/>
      <c r="P728" s="47"/>
      <c r="Q728" s="24"/>
    </row>
    <row r="729" spans="1:17">
      <c r="A729" s="61"/>
      <c r="B729" s="24"/>
      <c r="C729" s="60"/>
      <c r="E729" s="47"/>
      <c r="F729" s="48"/>
      <c r="G729" s="47"/>
      <c r="J729" s="61"/>
      <c r="K729" s="61"/>
      <c r="L729" s="30"/>
      <c r="N729" s="97"/>
      <c r="O729" s="109"/>
      <c r="P729" s="47"/>
      <c r="Q729" s="24"/>
    </row>
    <row r="730" spans="1:17">
      <c r="A730" s="61"/>
      <c r="B730" s="24"/>
      <c r="C730" s="60"/>
      <c r="E730" s="47"/>
      <c r="F730" s="48"/>
      <c r="G730" s="47"/>
      <c r="J730" s="61"/>
      <c r="K730" s="61"/>
      <c r="L730" s="30"/>
      <c r="N730" s="97"/>
      <c r="O730" s="109"/>
      <c r="P730" s="47"/>
      <c r="Q730" s="24"/>
    </row>
    <row r="731" spans="1:17">
      <c r="A731" s="61"/>
      <c r="B731" s="24"/>
      <c r="C731" s="60"/>
      <c r="E731" s="47"/>
      <c r="F731" s="48"/>
      <c r="G731" s="47"/>
      <c r="J731" s="61"/>
      <c r="K731" s="61"/>
      <c r="L731" s="30"/>
      <c r="N731" s="97"/>
      <c r="O731" s="109"/>
      <c r="P731" s="47"/>
      <c r="Q731" s="24"/>
    </row>
    <row r="732" spans="1:17">
      <c r="A732" s="61"/>
      <c r="B732" s="24"/>
      <c r="C732" s="60"/>
      <c r="E732" s="47"/>
      <c r="F732" s="48"/>
      <c r="G732" s="47"/>
      <c r="J732" s="61"/>
      <c r="K732" s="61"/>
      <c r="L732" s="30"/>
      <c r="N732" s="97"/>
      <c r="O732" s="109"/>
      <c r="P732" s="47"/>
      <c r="Q732" s="24"/>
    </row>
    <row r="733" spans="1:17">
      <c r="A733" s="61"/>
      <c r="B733" s="24"/>
      <c r="C733" s="60"/>
      <c r="E733" s="47"/>
      <c r="F733" s="48"/>
      <c r="G733" s="47"/>
      <c r="J733" s="61"/>
      <c r="K733" s="61"/>
      <c r="L733" s="30"/>
      <c r="N733" s="97"/>
      <c r="O733" s="109"/>
      <c r="P733" s="47"/>
      <c r="Q733" s="24"/>
    </row>
    <row r="734" spans="1:17">
      <c r="A734" s="61"/>
      <c r="B734" s="24"/>
      <c r="C734" s="60"/>
      <c r="E734" s="47"/>
      <c r="F734" s="48"/>
      <c r="G734" s="47"/>
      <c r="J734" s="61"/>
      <c r="K734" s="61"/>
      <c r="L734" s="30"/>
      <c r="N734" s="97"/>
      <c r="O734" s="109"/>
      <c r="P734" s="47"/>
      <c r="Q734" s="24"/>
    </row>
    <row r="735" spans="1:17">
      <c r="A735" s="61"/>
      <c r="B735" s="24"/>
      <c r="C735" s="60"/>
      <c r="E735" s="47"/>
      <c r="F735" s="48"/>
      <c r="G735" s="47"/>
      <c r="J735" s="61"/>
      <c r="K735" s="61"/>
      <c r="L735" s="30"/>
      <c r="N735" s="97"/>
      <c r="O735" s="109"/>
      <c r="P735" s="47"/>
      <c r="Q735" s="24"/>
    </row>
    <row r="736" spans="1:17">
      <c r="A736" s="61"/>
      <c r="B736" s="24"/>
      <c r="C736" s="60"/>
      <c r="E736" s="47"/>
      <c r="F736" s="48"/>
      <c r="G736" s="47"/>
      <c r="J736" s="61"/>
      <c r="K736" s="61"/>
      <c r="L736" s="30"/>
      <c r="N736" s="97"/>
      <c r="O736" s="109"/>
      <c r="P736" s="47"/>
      <c r="Q736" s="24"/>
    </row>
    <row r="737" spans="1:17">
      <c r="A737" s="61"/>
      <c r="B737" s="24"/>
      <c r="C737" s="60"/>
      <c r="E737" s="47"/>
      <c r="F737" s="48"/>
      <c r="G737" s="47"/>
      <c r="J737" s="61"/>
      <c r="K737" s="61"/>
      <c r="L737" s="30"/>
      <c r="N737" s="97"/>
      <c r="O737" s="109"/>
      <c r="P737" s="47"/>
      <c r="Q737" s="24"/>
    </row>
    <row r="738" spans="1:17">
      <c r="A738" s="61"/>
      <c r="B738" s="24"/>
      <c r="C738" s="60"/>
      <c r="E738" s="47"/>
      <c r="F738" s="48"/>
      <c r="G738" s="47"/>
      <c r="J738" s="61"/>
      <c r="K738" s="61"/>
      <c r="L738" s="30"/>
      <c r="N738" s="97"/>
      <c r="O738" s="109"/>
      <c r="P738" s="47"/>
      <c r="Q738" s="24"/>
    </row>
    <row r="739" spans="1:17">
      <c r="A739" s="61"/>
      <c r="B739" s="24"/>
      <c r="C739" s="60"/>
      <c r="E739" s="47"/>
      <c r="F739" s="48"/>
      <c r="G739" s="47"/>
      <c r="J739" s="61"/>
      <c r="K739" s="61"/>
      <c r="L739" s="30"/>
      <c r="N739" s="97"/>
      <c r="O739" s="109"/>
      <c r="P739" s="47"/>
      <c r="Q739" s="24"/>
    </row>
    <row r="740" spans="1:17">
      <c r="A740" s="61"/>
      <c r="B740" s="24"/>
      <c r="C740" s="60"/>
      <c r="E740" s="47"/>
      <c r="F740" s="48"/>
      <c r="G740" s="47"/>
      <c r="J740" s="61"/>
      <c r="K740" s="61"/>
      <c r="L740" s="30"/>
      <c r="N740" s="97"/>
      <c r="O740" s="109"/>
      <c r="P740" s="47"/>
      <c r="Q740" s="24"/>
    </row>
    <row r="741" spans="1:17">
      <c r="A741" s="61"/>
      <c r="B741" s="24"/>
      <c r="C741" s="60"/>
      <c r="E741" s="47"/>
      <c r="F741" s="48"/>
      <c r="G741" s="47"/>
      <c r="J741" s="61"/>
      <c r="K741" s="61"/>
      <c r="L741" s="30"/>
      <c r="N741" s="97"/>
      <c r="O741" s="109"/>
      <c r="P741" s="47"/>
      <c r="Q741" s="24"/>
    </row>
    <row r="742" spans="1:17">
      <c r="A742" s="61"/>
      <c r="B742" s="24"/>
      <c r="C742" s="60"/>
      <c r="E742" s="47"/>
      <c r="F742" s="48"/>
      <c r="G742" s="47"/>
      <c r="J742" s="61"/>
      <c r="K742" s="61"/>
      <c r="L742" s="30"/>
      <c r="N742" s="97"/>
      <c r="O742" s="109"/>
      <c r="P742" s="47"/>
      <c r="Q742" s="24"/>
    </row>
    <row r="743" spans="1:17">
      <c r="A743" s="61"/>
      <c r="B743" s="24"/>
      <c r="C743" s="60"/>
      <c r="E743" s="47"/>
      <c r="F743" s="48"/>
      <c r="G743" s="47"/>
      <c r="J743" s="61"/>
      <c r="K743" s="61"/>
      <c r="L743" s="30"/>
      <c r="N743" s="97"/>
      <c r="O743" s="109"/>
      <c r="P743" s="47"/>
      <c r="Q743" s="24"/>
    </row>
    <row r="744" spans="1:17">
      <c r="A744" s="61"/>
      <c r="B744" s="24"/>
      <c r="C744" s="60"/>
      <c r="E744" s="47"/>
      <c r="F744" s="48"/>
      <c r="G744" s="47"/>
      <c r="J744" s="61"/>
      <c r="K744" s="61"/>
      <c r="L744" s="30"/>
      <c r="N744" s="97"/>
      <c r="O744" s="109"/>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ht="15">
      <c r="A747" s="61"/>
      <c r="B747" s="24"/>
      <c r="C747" s="60"/>
      <c r="E747" s="47"/>
      <c r="F747" s="48"/>
      <c r="G747" s="47"/>
      <c r="J747" s="61"/>
      <c r="K747" s="61"/>
      <c r="N747" s="97"/>
      <c r="O747" s="49"/>
      <c r="P747" s="50"/>
      <c r="Q747" s="51">
        <f>SUM(Q82:Q746)</f>
        <v>0</v>
      </c>
    </row>
    <row r="748" spans="1:17">
      <c r="A748" s="61"/>
      <c r="B748" s="24"/>
      <c r="C748" s="60"/>
      <c r="E748" s="47"/>
      <c r="F748" s="48"/>
      <c r="G748" s="47"/>
      <c r="J748" s="61"/>
      <c r="K748" s="61"/>
      <c r="N748" s="97"/>
    </row>
    <row r="749" spans="1:17">
      <c r="A749" s="61"/>
      <c r="B749" s="24"/>
      <c r="C749" s="60"/>
      <c r="E749" s="47"/>
      <c r="F749" s="48"/>
      <c r="G749" s="47"/>
      <c r="J749" s="61"/>
      <c r="K749" s="61"/>
      <c r="N749" s="97"/>
    </row>
    <row r="750" spans="1:17">
      <c r="A750" s="61"/>
      <c r="B750" s="24"/>
      <c r="C750" s="60"/>
      <c r="E750" s="47"/>
      <c r="F750" s="48"/>
      <c r="G750" s="47"/>
    </row>
    <row r="751" spans="1:17">
      <c r="A751" s="61"/>
      <c r="B751" s="24"/>
      <c r="C751" s="60"/>
      <c r="E751" s="47"/>
      <c r="F751" s="48"/>
      <c r="G751" s="47"/>
    </row>
    <row r="752" spans="1:17">
      <c r="B752" s="24"/>
      <c r="C752" s="60"/>
      <c r="E752" s="47"/>
      <c r="F752" s="48"/>
      <c r="G752" s="47"/>
    </row>
    <row r="753" spans="2:7">
      <c r="B753" s="24"/>
      <c r="E753" s="47"/>
      <c r="F753" s="48"/>
      <c r="G753" s="47"/>
    </row>
    <row r="754" spans="2:7">
      <c r="B754" s="24"/>
      <c r="E754" s="47"/>
      <c r="F754" s="48"/>
      <c r="G754" s="47"/>
    </row>
    <row r="755" spans="2:7">
      <c r="B755" s="24"/>
      <c r="E755" s="47"/>
      <c r="F755" s="48"/>
      <c r="G755" s="47"/>
    </row>
    <row r="756" spans="2:7">
      <c r="B756" s="24"/>
      <c r="E756" s="47"/>
      <c r="F756" s="48"/>
      <c r="G756" s="47"/>
    </row>
    <row r="757" spans="2:7">
      <c r="B757" s="24"/>
      <c r="E757" s="47"/>
      <c r="F757" s="48"/>
      <c r="G757" s="47"/>
    </row>
    <row r="758" spans="2:7">
      <c r="B758" s="24"/>
      <c r="E758" s="47"/>
      <c r="F758" s="48"/>
      <c r="G758" s="47"/>
    </row>
    <row r="759" spans="2:7" ht="15">
      <c r="E759" s="49"/>
      <c r="F759" s="50"/>
      <c r="G759" s="51">
        <f>SUM(G84:G758)</f>
        <v>0</v>
      </c>
    </row>
  </sheetData>
  <autoFilter ref="A83:G116" xr:uid="{C4540A3A-C657-45FF-B514-B46CC9F2BB19}"/>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99" priority="11" operator="containsText" text="ERROR">
      <formula>NOT(ISERROR(SEARCH("ERROR",T17)))</formula>
    </cfRule>
  </conditionalFormatting>
  <conditionalFormatting sqref="T42">
    <cfRule type="containsText" dxfId="98" priority="10" operator="containsText" text="ERROR">
      <formula>NOT(ISERROR(SEARCH("ERROR",T42)))</formula>
    </cfRule>
  </conditionalFormatting>
  <conditionalFormatting sqref="W19">
    <cfRule type="containsText" dxfId="97" priority="6" operator="containsText" text="ERROR">
      <formula>NOT(ISERROR(SEARCH("ERROR",W19)))</formula>
    </cfRule>
  </conditionalFormatting>
  <conditionalFormatting sqref="BL72">
    <cfRule type="containsText" dxfId="96" priority="7" operator="containsText" text="ERROR">
      <formula>NOT(ISERROR(SEARCH("ERROR",BL72)))</formula>
    </cfRule>
  </conditionalFormatting>
  <dataValidations count="5">
    <dataValidation type="list" allowBlank="1" showInputMessage="1" showErrorMessage="1" sqref="N5:N8 N73 N75 N77:N79 N10:N71" xr:uid="{3E1F4415-D481-43E3-82AC-F6C05904A98A}">
      <formula1>FinalDiff</formula1>
    </dataValidation>
    <dataValidation type="list" allowBlank="1" showInputMessage="1" showErrorMessage="1" sqref="M127:M744 L106:L744 L101:M105 M93:M100 L84:L100" xr:uid="{A0182FBA-48DD-4D70-8FF9-B39481A81734}">
      <formula1>Taxes</formula1>
    </dataValidation>
    <dataValidation type="list" allowBlank="1" showErrorMessage="1" errorTitle="Taxes" error="Non valid entry. Please check the tax list" promptTitle="Taxes" prompt="Please select the tax subject to adjustment" sqref="A752:A757" xr:uid="{2BDB48AD-E140-4E2D-8469-240481859364}">
      <formula1>Taxes</formula1>
    </dataValidation>
    <dataValidation type="list" allowBlank="1" showInputMessage="1" showErrorMessage="1" sqref="N84:N749" xr:uid="{209AB0A2-1B2B-415B-967D-337911389637}">
      <formula1>Govadjust</formula1>
    </dataValidation>
    <dataValidation type="list" allowBlank="1" showInputMessage="1" showErrorMessage="1" sqref="C84:C757" xr:uid="{41967943-CBAD-4E82-8C57-39050807B8BB}">
      <formula1>Compadjust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44010C5C-594D-4662-AAFC-935B26CFA743}">
          <x14:formula1>
            <xm:f>Lists!$A$131:$A$132</xm:f>
          </x14:formula1>
          <xm:sqref>K84:K749 B84:B155</xm:sqref>
        </x14:dataValidation>
        <x14:dataValidation type="list" allowBlank="1" showInputMessage="1" showErrorMessage="1" xr:uid="{101BA763-D2A0-4A2C-940C-6EEA8D9D3592}">
          <x14:formula1>
            <xm:f>Lists!$A$7:$A$64</xm:f>
          </x14:formula1>
          <xm:sqref>J84:J749</xm:sqref>
        </x14:dataValidation>
        <x14:dataValidation type="list" allowBlank="1" showErrorMessage="1" errorTitle="Taxes" error="Non valid entry. Please check the tax list" promptTitle="Taxes" prompt="Please select the tax subject to adjustment" xr:uid="{831381EA-9C4B-4F3F-8163-664FDD3ED7CC}">
          <x14:formula1>
            <xm:f>Lists!$A$7:$A$64</xm:f>
          </x14:formula1>
          <xm:sqref>A84:A751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56C41-9A9F-48B4-ABDA-CA9E57E669CE}">
  <sheetPr codeName="Feuil8">
    <tabColor theme="4" tint="0.59999389629810485"/>
  </sheetPr>
  <dimension ref="A1:K25"/>
  <sheetViews>
    <sheetView zoomScaleNormal="100" workbookViewId="0">
      <selection activeCell="E12" sqref="E12"/>
    </sheetView>
  </sheetViews>
  <sheetFormatPr baseColWidth="10" defaultColWidth="11.453125" defaultRowHeight="12"/>
  <cols>
    <col min="1" max="1" width="15" style="229" bestFit="1" customWidth="1"/>
    <col min="2" max="2" width="4.54296875" style="229" customWidth="1"/>
    <col min="3" max="3" width="30.453125" style="229" bestFit="1" customWidth="1"/>
    <col min="4" max="4" width="15.7265625" style="229" bestFit="1" customWidth="1"/>
    <col min="5" max="5" width="14.81640625" style="229" bestFit="1" customWidth="1"/>
    <col min="6" max="6" width="15.7265625" style="229" bestFit="1" customWidth="1"/>
    <col min="7" max="7" width="21.26953125" style="229" bestFit="1" customWidth="1"/>
    <col min="8" max="8" width="6.453125" style="229" bestFit="1" customWidth="1"/>
    <col min="9" max="9" width="21.54296875" style="229" bestFit="1" customWidth="1"/>
    <col min="10" max="10" width="18.453125" style="229" bestFit="1" customWidth="1"/>
    <col min="11" max="11" width="13" style="229" bestFit="1" customWidth="1"/>
    <col min="12" max="12" width="11.453125" style="229"/>
    <col min="13" max="13" width="12.54296875" style="229" bestFit="1" customWidth="1"/>
    <col min="14" max="16384" width="11.453125" style="229"/>
  </cols>
  <sheetData>
    <row r="1" spans="1:11">
      <c r="A1" s="228"/>
    </row>
    <row r="2" spans="1:11" ht="15.5">
      <c r="A2" s="228"/>
      <c r="C2" s="609" t="s">
        <v>725</v>
      </c>
    </row>
    <row r="4" spans="1:11" ht="12.5" thickBot="1">
      <c r="C4" s="453" t="s">
        <v>761</v>
      </c>
      <c r="D4" s="476" t="s">
        <v>249</v>
      </c>
      <c r="E4" s="476" t="s">
        <v>250</v>
      </c>
      <c r="F4" s="476" t="s">
        <v>251</v>
      </c>
      <c r="G4" s="453" t="s">
        <v>242</v>
      </c>
      <c r="H4" s="453" t="s">
        <v>248</v>
      </c>
    </row>
    <row r="5" spans="1:11" s="235" customFormat="1" ht="12.5" thickTop="1">
      <c r="C5" s="472" t="s">
        <v>170</v>
      </c>
      <c r="D5" s="490">
        <f>(+'Tableau Général'!BM23+'Tableau Général'!BM30+'Tableau Général'!BM34)/1000000</f>
        <v>2370.3494500062047</v>
      </c>
      <c r="E5" s="490">
        <f>+('Tableau Général'!AW23+'Tableau Général'!AW30+'Tableau Général'!AW34+'Tableau Général'!AW37)/1000000</f>
        <v>1025.1222893900001</v>
      </c>
      <c r="F5" s="490">
        <f ca="1">(+'26'!K13+'26'!K15+'26'!K40+'26'!K47+'26'!K52+'26'!K55+'26'!K62+'26'!K68+'27'!K13+'27'!K15+'27'!K40+'27'!K47+'27'!K52+'27'!K55+'27'!K62+'27'!K68)/1000000</f>
        <v>161.57451900000001</v>
      </c>
      <c r="G5" s="491">
        <f ca="1">SUM(D5:F5)</f>
        <v>3557.0462583962044</v>
      </c>
      <c r="H5" s="660">
        <f ca="1">+G5/$G$9</f>
        <v>0.46416623385439792</v>
      </c>
      <c r="I5" s="234"/>
    </row>
    <row r="6" spans="1:11">
      <c r="C6" s="391" t="s">
        <v>81</v>
      </c>
      <c r="D6" s="493">
        <f>+'Tableau Général'!BM5/1000000</f>
        <v>2696.8563083614213</v>
      </c>
      <c r="E6" s="493">
        <f>+'Tableau Général'!AW5/1000000</f>
        <v>265.45407299999999</v>
      </c>
      <c r="F6" s="493">
        <f ca="1">(+'26'!K17+'27'!K17)/1000000</f>
        <v>0</v>
      </c>
      <c r="G6" s="494">
        <f ca="1">SUM(D6:F6)</f>
        <v>2962.3103813614212</v>
      </c>
      <c r="H6" s="495">
        <f ca="1">+G6/$G$9</f>
        <v>0.38655793412264366</v>
      </c>
      <c r="I6" s="234"/>
      <c r="J6" s="231"/>
      <c r="K6" s="231"/>
    </row>
    <row r="7" spans="1:11">
      <c r="C7" s="472" t="s">
        <v>166</v>
      </c>
      <c r="D7" s="490">
        <f>+'Tableau Général'!BM20/1000000</f>
        <v>437.14609000000002</v>
      </c>
      <c r="E7" s="490">
        <f>+'Tableau Général'!AW20/1000000</f>
        <v>706.7997661149999</v>
      </c>
      <c r="F7" s="490">
        <f ca="1">(+'26'!K9+'27'!K9)/1000000</f>
        <v>0</v>
      </c>
      <c r="G7" s="491">
        <f ca="1">SUM(D7:F7)</f>
        <v>1143.945856115</v>
      </c>
      <c r="H7" s="492">
        <f ca="1">+G7/$G$9</f>
        <v>0.14927583202295841</v>
      </c>
      <c r="I7" s="234"/>
    </row>
    <row r="8" spans="1:11" hidden="1">
      <c r="C8" s="391" t="s">
        <v>261</v>
      </c>
      <c r="D8" s="493">
        <f>+'Tableau Général'!BM37/1000000</f>
        <v>0</v>
      </c>
      <c r="E8" s="493" t="s">
        <v>826</v>
      </c>
      <c r="F8" s="493">
        <f ca="1">(+'26'!K77+'27'!K77)/1000000</f>
        <v>0</v>
      </c>
      <c r="G8" s="494">
        <f ca="1">SUM(D8:F8)</f>
        <v>0</v>
      </c>
      <c r="H8" s="495">
        <f ca="1">+G8/$G$9</f>
        <v>0</v>
      </c>
      <c r="I8" s="234"/>
    </row>
    <row r="9" spans="1:11" ht="12.5" thickBot="1">
      <c r="C9" s="453" t="s">
        <v>1</v>
      </c>
      <c r="D9" s="496">
        <f t="shared" ref="D9:F9" si="0">SUM(D5:D8)</f>
        <v>5504.3518483676262</v>
      </c>
      <c r="E9" s="496">
        <f t="shared" si="0"/>
        <v>1997.376128505</v>
      </c>
      <c r="F9" s="496">
        <f t="shared" ca="1" si="0"/>
        <v>161.57451900000001</v>
      </c>
      <c r="G9" s="496">
        <f ca="1">SUM(G5:G8)</f>
        <v>7663.3024958726255</v>
      </c>
      <c r="H9" s="497">
        <f ca="1">SUM(H5:H8)</f>
        <v>1</v>
      </c>
      <c r="I9" s="234"/>
    </row>
    <row r="10" spans="1:11" ht="12.5" thickTop="1"/>
    <row r="11" spans="1:11">
      <c r="G11" s="242"/>
    </row>
    <row r="12" spans="1:11">
      <c r="F12" s="243"/>
      <c r="G12" s="244"/>
      <c r="J12" s="383"/>
    </row>
    <row r="15" spans="1:11" ht="12.5" hidden="1" thickBot="1">
      <c r="C15" s="399" t="s">
        <v>529</v>
      </c>
      <c r="D15" s="230" t="s">
        <v>249</v>
      </c>
      <c r="E15" s="230" t="s">
        <v>250</v>
      </c>
      <c r="F15" s="230" t="s">
        <v>251</v>
      </c>
      <c r="G15" s="211" t="s">
        <v>242</v>
      </c>
      <c r="H15" s="198" t="s">
        <v>248</v>
      </c>
    </row>
    <row r="16" spans="1:11" ht="24.5" hidden="1" thickTop="1">
      <c r="C16" s="397" t="s">
        <v>528</v>
      </c>
      <c r="D16" s="231">
        <f ca="1">(+'17'!K52+'18'!K52+'19'!K52+'20'!K52+'21'!K52+'22'!K52+'23'!K52+'24'!K52+'25'!K52)/1000000</f>
        <v>1369.8634187114969</v>
      </c>
      <c r="E16" s="231">
        <f ca="1">(+'1'!K52+'2'!K52+'3'!K52+'4'!K52+'5'!K52+'6'!K52+'7'!K52+'8'!K52+'9'!K52+'10'!K52+'11'!K52+'12'!K52+'13'!K52+'14'!K52+'15'!K52+'16'!K52)/1000000</f>
        <v>0</v>
      </c>
      <c r="F16" s="231">
        <f ca="1">(+'26'!K52+'27'!K52)/1000000</f>
        <v>0</v>
      </c>
      <c r="G16" s="232">
        <f t="shared" ref="G16:G20" ca="1" si="1">SUM(D16:F16)</f>
        <v>1369.8634187114969</v>
      </c>
      <c r="H16" s="233">
        <f ca="1">+G16/$G$21</f>
        <v>0.48982828667543932</v>
      </c>
    </row>
    <row r="17" spans="3:8" ht="24" hidden="1">
      <c r="C17" s="236" t="s">
        <v>519</v>
      </c>
      <c r="D17" s="237">
        <f ca="1">(+'17'!K47+'18'!K47+'19'!K47+'20'!K47+'21'!K47+'22'!K47+'23'!K47+'24'!K47+'25'!K47)/1000000</f>
        <v>961.09989284535709</v>
      </c>
      <c r="E17" s="237">
        <f ca="1">(+'1'!K47+'2'!K47+'3'!K47+'4'!K47+'5'!K47+'6'!K47+'7'!K47+'8'!K47+'9'!K47+'10'!K47+'11'!K47+'12'!K47+'13'!K47+'14'!K47+'15'!K47+'16'!K47)/1000000</f>
        <v>0</v>
      </c>
      <c r="F17" s="237">
        <f ca="1">(+'26'!K47+'27'!K47)/1000000</f>
        <v>0</v>
      </c>
      <c r="G17" s="238">
        <f t="shared" ca="1" si="1"/>
        <v>961.09989284535709</v>
      </c>
      <c r="H17" s="239">
        <f ca="1">+G17/$G$21</f>
        <v>0.34366485549282189</v>
      </c>
    </row>
    <row r="18" spans="3:8" hidden="1">
      <c r="C18" s="206" t="s">
        <v>193</v>
      </c>
      <c r="D18" s="231">
        <f ca="1">(+'17'!K40+'18'!K40+'19'!K40+'20'!K40+'21'!K40+'22'!K40+'23'!K40+'24'!K40+'25'!K40)/1000000</f>
        <v>0</v>
      </c>
      <c r="E18" s="231">
        <f ca="1">(+'1'!K40+'2'!K40+'3'!K40+'4'!K40+'5'!K40+'6'!K40+'7'!K40+'8'!K40+'9'!K40+'10'!K40+'11'!K40+'12'!K40+'13'!K40++'14'!K40+'15'!K40+'16'!K40)/1000000</f>
        <v>280.08183387499997</v>
      </c>
      <c r="F18" s="231">
        <f ca="1">(+'26'!K40+'27'!K40)/1000000</f>
        <v>161.57451900000001</v>
      </c>
      <c r="G18" s="232">
        <f t="shared" ca="1" si="1"/>
        <v>441.65635287499998</v>
      </c>
      <c r="H18" s="233">
        <f ca="1">+G18/$G$21</f>
        <v>0.15792506878647172</v>
      </c>
    </row>
    <row r="19" spans="3:8" hidden="1">
      <c r="C19" s="236" t="s">
        <v>520</v>
      </c>
      <c r="D19" s="237">
        <f ca="1">(+'17'!K68+'18'!K68+'19'!K68+'20'!K68+'21'!K68+'22'!K68+'23'!K68+'24'!K68+'25'!K68)/1000000</f>
        <v>24</v>
      </c>
      <c r="E19" s="237">
        <f ca="1">(+'1'!K68+'2'!K68+'3'!K68+'4'!K68+'5'!K68+'6'!K68+'7'!K68+'8'!K68+'9'!K68+'10'!K68+'11'!K68+'12'!K68+'13'!K68+'14'!K68+'15'!K68+'16'!K68)/1000000</f>
        <v>0</v>
      </c>
      <c r="F19" s="237">
        <f ca="1">(+'26'!K68+'27'!K68)/1000000</f>
        <v>0</v>
      </c>
      <c r="G19" s="238">
        <f t="shared" ca="1" si="1"/>
        <v>24</v>
      </c>
      <c r="H19" s="239">
        <f ca="1">+G19/$G$21</f>
        <v>8.5817890452671592E-3</v>
      </c>
    </row>
    <row r="20" spans="3:8" hidden="1">
      <c r="C20" s="206" t="s">
        <v>169</v>
      </c>
      <c r="D20" s="231">
        <f ca="1">(+'17'!K13+'18'!K13+'19'!K13+'20'!K13+'21'!K13+'22'!K13+'23'!K13+'24'!K13+'25'!K13)/1000000</f>
        <v>0</v>
      </c>
      <c r="E20" s="231">
        <f ca="1">(+'1'!K13+'2'!K13+'3'!K13+'4'!K13+'5'!K13+'6'!K13+'7'!K13+'8'!K13+'9'!K13+'10'!K13+'11'!K13+'12'!K13+'13'!K13+'14'!K13+'15'!K13+'16'!K13)/1000000</f>
        <v>0</v>
      </c>
      <c r="F20" s="231">
        <f ca="1">(+'26'!K13+'27'!K13)/1000000</f>
        <v>0</v>
      </c>
      <c r="G20" s="232">
        <f t="shared" ca="1" si="1"/>
        <v>0</v>
      </c>
      <c r="H20" s="398">
        <f ca="1">+G20/$G$21</f>
        <v>0</v>
      </c>
    </row>
    <row r="21" spans="3:8" ht="12.5" hidden="1" thickBot="1">
      <c r="C21" s="198" t="s">
        <v>1</v>
      </c>
      <c r="D21" s="240">
        <f ca="1">SUM(D16:D20)</f>
        <v>2354.963311556854</v>
      </c>
      <c r="E21" s="240">
        <f ca="1">SUM(E16:E20)</f>
        <v>280.08183387499997</v>
      </c>
      <c r="F21" s="240">
        <f ca="1">SUM(F16:F20)</f>
        <v>161.57451900000001</v>
      </c>
      <c r="G21" s="240">
        <f ca="1">SUM(G16:G20)</f>
        <v>2796.6196644318538</v>
      </c>
      <c r="H21" s="241">
        <f ca="1">SUM(H16:H20)</f>
        <v>1</v>
      </c>
    </row>
    <row r="22" spans="3:8" ht="12.5" hidden="1" thickTop="1"/>
    <row r="23" spans="3:8" hidden="1"/>
    <row r="24" spans="3:8" hidden="1">
      <c r="F24" s="243" t="s">
        <v>236</v>
      </c>
      <c r="G24" s="244">
        <f ca="1">+G21-G5</f>
        <v>-760.42659396435056</v>
      </c>
    </row>
    <row r="25" spans="3:8" hidden="1"/>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BL753"/>
  <sheetViews>
    <sheetView showGridLines="0" topLeftCell="B1" zoomScaleNormal="100" workbookViewId="0">
      <selection activeCell="C22" sqref="C22"/>
    </sheetView>
  </sheetViews>
  <sheetFormatPr baseColWidth="10" defaultColWidth="11.54296875" defaultRowHeight="12" outlineLevelCol="1"/>
  <cols>
    <col min="1" max="1" width="28.54296875" style="17" customWidth="1"/>
    <col min="2" max="2" width="4.453125" style="17" customWidth="1"/>
    <col min="3" max="3" width="49.81640625"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Companies!B6</f>
        <v>STE SIGMA GOLD LTD</v>
      </c>
      <c r="F1" s="32">
        <f>Companies!C6</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3"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3"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3"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127421336.97750001</v>
      </c>
      <c r="J8" s="164">
        <f ca="1">+J9+J13+J15+J17+J40+J45+J47+J52+J55+J62+J65+J68+J77</f>
        <v>0</v>
      </c>
      <c r="K8" s="164">
        <f ca="1">+K9+K13+K15+K17+K40+K45+K47+K52+K55+K62+K65+K68+K77</f>
        <v>127421336.97750001</v>
      </c>
      <c r="L8" s="114"/>
      <c r="M8" s="164">
        <f ca="1">+M9+M13+M15+M17+M40+M45+M52+M55+M62+M65+M68+M77+M47</f>
        <v>-127421336.97750001</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97192150.982500002</v>
      </c>
      <c r="J9" s="166">
        <f t="shared" ref="J9" ca="1" si="26">SUM(J10:J12)</f>
        <v>0</v>
      </c>
      <c r="K9" s="166">
        <f t="shared" ref="K9" ca="1" si="27">SUM(K10:K12)</f>
        <v>97192150.982500002</v>
      </c>
      <c r="L9" s="114"/>
      <c r="M9" s="166">
        <f t="shared" ref="M9" ca="1" si="28">SUM(M10:M12)</f>
        <v>-97192150.982500002</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27769185.995000001</v>
      </c>
      <c r="J10" s="165">
        <f>SUMIF($J$83:$J$1048576,C10,$Q$83:$Q$1048576)</f>
        <v>0</v>
      </c>
      <c r="K10" s="165">
        <f>I10+J10</f>
        <v>27769185.995000001</v>
      </c>
      <c r="L10" s="114"/>
      <c r="M10" s="165">
        <f>+G10-K10</f>
        <v>-27769185.995000001</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69422964.987499997</v>
      </c>
      <c r="J11" s="114">
        <f>SUMIF($J$83:$J$1048576,C11,$Q$83:$Q$1048576)</f>
        <v>0</v>
      </c>
      <c r="K11" s="114">
        <f>I11+J11</f>
        <v>69422964.987499997</v>
      </c>
      <c r="L11" s="114"/>
      <c r="M11" s="114">
        <f>+G11-K11</f>
        <v>-69422964.987499997</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C17</f>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SUM(AA14:AI14)</f>
        <v>0</v>
      </c>
      <c r="AL14" s="17">
        <f>+B17</f>
        <v>0</v>
      </c>
      <c r="AM14" s="26" t="str">
        <f>+C17</f>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SUM(AN14:AU14)</f>
        <v>0</v>
      </c>
      <c r="AW14" s="18"/>
      <c r="AX14" s="17">
        <f>B17</f>
        <v>0</v>
      </c>
      <c r="AY14" s="26" t="str">
        <f>C17</f>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25" ca="1" si="46">IF(M16=0,"",IF(N16=0,"ERROR",""))</f>
        <v/>
      </c>
      <c r="P16" s="39" t="str">
        <f t="shared" ref="P16:P25" ca="1" si="47">IF(O16="ERROR","Please insert comment","")</f>
        <v/>
      </c>
      <c r="Q16" s="35"/>
      <c r="U16" s="40"/>
      <c r="V16" s="22"/>
      <c r="Y16" s="15">
        <f>B19</f>
        <v>7</v>
      </c>
      <c r="Z16" s="25" t="str">
        <f>C19</f>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SUM(AA16:AI16)</f>
        <v>0</v>
      </c>
      <c r="AL16" s="17">
        <f>+B19</f>
        <v>7</v>
      </c>
      <c r="AM16" s="26" t="str">
        <f>+C19</f>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SUM(AN16:AU16)</f>
        <v>0</v>
      </c>
      <c r="AW16" s="18"/>
      <c r="AX16" s="17">
        <f>B19</f>
        <v>7</v>
      </c>
      <c r="AY16" s="26" t="str">
        <f>C19</f>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48">SUM(F18:F39)</f>
        <v>0</v>
      </c>
      <c r="G17" s="166">
        <f t="shared" si="48"/>
        <v>0</v>
      </c>
      <c r="H17" s="114"/>
      <c r="I17" s="166">
        <f>SUM(I18:I39)</f>
        <v>2460000</v>
      </c>
      <c r="J17" s="166">
        <f t="shared" ref="J17" ca="1" si="49">SUM(J18:J39)</f>
        <v>0</v>
      </c>
      <c r="K17" s="166">
        <f t="shared" ref="K17" ca="1" si="50">SUM(K18:K39)</f>
        <v>2460000</v>
      </c>
      <c r="L17" s="114"/>
      <c r="M17" s="166">
        <f t="shared" ref="M17" ca="1" si="51">SUM(M18:M39)</f>
        <v>-2460000</v>
      </c>
      <c r="N17" s="58"/>
      <c r="O17" s="38" t="str">
        <f t="shared" ca="1" si="46"/>
        <v>ERROR</v>
      </c>
      <c r="P17" s="39" t="str">
        <f t="shared" ca="1" si="47"/>
        <v>Please insert comment</v>
      </c>
      <c r="Q17" s="35"/>
      <c r="T17" s="41" t="str">
        <f>IF(F8=S12,"","ERROR")</f>
        <v/>
      </c>
      <c r="W17" s="42"/>
      <c r="Y17" s="15">
        <f t="shared" ref="Y17:Z21" si="52">B20</f>
        <v>8</v>
      </c>
      <c r="Z17" s="25" t="str">
        <f t="shared" si="52"/>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ref="AL17:AM21" si="53">+B20</f>
        <v>8</v>
      </c>
      <c r="AM17" s="26" t="str">
        <f t="shared" si="53"/>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ref="AX17:AY21" si="54">B20</f>
        <v>8</v>
      </c>
      <c r="AY17" s="26" t="str">
        <f t="shared" si="54"/>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ca="1" si="46"/>
        <v/>
      </c>
      <c r="P18" s="39" t="str">
        <f t="shared" ca="1" si="47"/>
        <v/>
      </c>
      <c r="Q18" s="35"/>
      <c r="Y18" s="15">
        <f t="shared" si="52"/>
        <v>9</v>
      </c>
      <c r="Z18" s="25" t="str">
        <f t="shared" si="52"/>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53"/>
        <v>9</v>
      </c>
      <c r="AM18" s="26" t="str">
        <f t="shared" si="53"/>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4"/>
        <v>9</v>
      </c>
      <c r="AY18" s="26" t="str">
        <f t="shared" si="54"/>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46"/>
        <v/>
      </c>
      <c r="P19" s="39" t="str">
        <f t="shared" ca="1" si="47"/>
        <v/>
      </c>
      <c r="Q19" s="35"/>
      <c r="W19" s="41" t="str">
        <f ca="1">IF(M8=V15,"","ERROR")</f>
        <v>ERROR</v>
      </c>
      <c r="Y19" s="15">
        <f t="shared" si="52"/>
        <v>10</v>
      </c>
      <c r="Z19" s="25" t="str">
        <f t="shared" si="52"/>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53"/>
        <v>10</v>
      </c>
      <c r="AM19" s="26" t="str">
        <f t="shared" si="53"/>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4"/>
        <v>10</v>
      </c>
      <c r="AY19" s="26" t="str">
        <f t="shared" si="54"/>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1440000</v>
      </c>
      <c r="J20" s="114">
        <f t="shared" ca="1" si="57"/>
        <v>0</v>
      </c>
      <c r="K20" s="114">
        <f t="shared" ca="1" si="58"/>
        <v>1440000</v>
      </c>
      <c r="L20" s="114"/>
      <c r="M20" s="114">
        <f t="shared" ca="1" si="59"/>
        <v>-1440000</v>
      </c>
      <c r="N20" s="18"/>
      <c r="O20" s="38" t="str">
        <f t="shared" ca="1" si="46"/>
        <v>ERROR</v>
      </c>
      <c r="P20" s="39" t="str">
        <f t="shared" ca="1" si="47"/>
        <v>Please insert comment</v>
      </c>
      <c r="Q20" s="35"/>
      <c r="S20" s="18"/>
      <c r="Y20" s="15">
        <f t="shared" si="52"/>
        <v>11</v>
      </c>
      <c r="Z20" s="25" t="str">
        <f t="shared" si="52"/>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53"/>
        <v>11</v>
      </c>
      <c r="AM20" s="26" t="str">
        <f t="shared" si="53"/>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4"/>
        <v>11</v>
      </c>
      <c r="AY20" s="26" t="str">
        <f t="shared" si="54"/>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46"/>
        <v/>
      </c>
      <c r="P21" s="39" t="str">
        <f t="shared" ca="1" si="47"/>
        <v/>
      </c>
      <c r="Q21" s="35"/>
      <c r="V21" s="18"/>
      <c r="Y21" s="15">
        <f t="shared" si="52"/>
        <v>12</v>
      </c>
      <c r="Z21" s="25" t="str">
        <f t="shared" si="52"/>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53"/>
        <v>12</v>
      </c>
      <c r="AM21" s="26" t="str">
        <f t="shared" si="53"/>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4"/>
        <v>12</v>
      </c>
      <c r="AY21" s="26" t="str">
        <f t="shared" si="54"/>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6"/>
        <v/>
      </c>
      <c r="P22" s="39" t="str">
        <f t="shared" ca="1" si="47"/>
        <v/>
      </c>
      <c r="Q22" s="35"/>
      <c r="Y22" s="28"/>
      <c r="Z22" s="28" t="str">
        <f t="shared" ref="Z22:Z48"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48"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48"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SUMPRODUCT(($A$84:$A$751=$Y23&amp;"- "&amp;$Z23)*($C$84:$C$751=AA$1)*($G$84:$G$751))</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SUMPRODUCT(($J$84:$M$748=$AL23&amp;"- "&amp;$AM23)*($N$84:$N$748=AN$1)*($Q$84:$Q$748))</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v>660000</v>
      </c>
      <c r="J24" s="114">
        <f t="shared" ca="1" si="57"/>
        <v>0</v>
      </c>
      <c r="K24" s="114">
        <f t="shared" ca="1" si="58"/>
        <v>660000</v>
      </c>
      <c r="L24" s="114"/>
      <c r="M24" s="114">
        <f t="shared" ca="1" si="59"/>
        <v>-660000</v>
      </c>
      <c r="N24" s="18"/>
      <c r="O24" s="38" t="str">
        <f t="shared" ca="1" si="46"/>
        <v>ERROR</v>
      </c>
      <c r="P24" s="39" t="str">
        <f t="shared" ca="1" si="47"/>
        <v>Please insert comment</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4">SUMIF($N$84:$N$749,R25,$Q$84:$Q$749)</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ref="O26:O35" ca="1" si="75">IF(M26=0,"",IF(N26=0,"ERROR",""))</f>
        <v/>
      </c>
      <c r="P26" s="39" t="str">
        <f t="shared" ref="P26:P35" ca="1" si="76">IF(O26="ERROR","Please insert comment","")</f>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75"/>
        <v/>
      </c>
      <c r="P27" s="39" t="str">
        <f t="shared" ca="1" si="76"/>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75"/>
        <v/>
      </c>
      <c r="P28" s="39" t="str">
        <f t="shared" ca="1" si="76"/>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75"/>
        <v/>
      </c>
      <c r="P29" s="39" t="str">
        <f t="shared" ca="1" si="76"/>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75"/>
        <v/>
      </c>
      <c r="P30" s="39" t="str">
        <f t="shared" ca="1" si="76"/>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75"/>
        <v/>
      </c>
      <c r="P31" s="39" t="str">
        <f t="shared" ca="1" si="76"/>
        <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360000</v>
      </c>
      <c r="J32" s="114">
        <f t="shared" ca="1" si="57"/>
        <v>0</v>
      </c>
      <c r="K32" s="114">
        <f t="shared" ca="1" si="58"/>
        <v>360000</v>
      </c>
      <c r="L32" s="114"/>
      <c r="M32" s="114">
        <f t="shared" ca="1" si="59"/>
        <v>-360000</v>
      </c>
      <c r="N32" s="18"/>
      <c r="O32" s="38" t="str">
        <f t="shared" ca="1" si="75"/>
        <v>ERROR</v>
      </c>
      <c r="P32" s="39" t="str">
        <f t="shared" ca="1" si="76"/>
        <v>Please insert comment</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75"/>
        <v/>
      </c>
      <c r="P33" s="39" t="str">
        <f t="shared" ca="1" si="76"/>
        <v/>
      </c>
      <c r="Q33" s="35"/>
      <c r="R33" s="40" t="s">
        <v>18</v>
      </c>
      <c r="S33" s="22">
        <f>SUM(S25:S32)</f>
        <v>0</v>
      </c>
      <c r="Y33" s="28"/>
      <c r="Z33" s="28" t="str">
        <f t="shared" si="60"/>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2"/>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4"/>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75"/>
        <v/>
      </c>
      <c r="P34" s="39" t="str">
        <f t="shared" ca="1" si="76"/>
        <v/>
      </c>
      <c r="Q34" s="35"/>
      <c r="R34" s="43"/>
      <c r="S34" s="27"/>
      <c r="Y34" s="15">
        <f t="shared" ref="Y34:Y48" si="80">B37</f>
        <v>25</v>
      </c>
      <c r="Z34" s="25" t="str">
        <f t="shared" si="60"/>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9" si="82">SUM(AA34:AI34)</f>
        <v>0</v>
      </c>
      <c r="AK34" s="21"/>
      <c r="AL34" s="17">
        <f t="shared" ref="AL34:AL48" si="83">+B37</f>
        <v>25</v>
      </c>
      <c r="AM34" s="26" t="str">
        <f t="shared" si="62"/>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9" si="85">SUM(AN34:AU34)</f>
        <v>0</v>
      </c>
      <c r="AW34" s="18"/>
      <c r="AX34" s="17">
        <f t="shared" ref="AX34:AX48" si="86">B37</f>
        <v>25</v>
      </c>
      <c r="AY34" s="26" t="str">
        <f t="shared" si="64"/>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38" t="str">
        <f t="shared" ca="1" si="75"/>
        <v/>
      </c>
      <c r="P35" s="39" t="str">
        <f t="shared" ca="1" si="76"/>
        <v/>
      </c>
      <c r="Q35" s="35"/>
      <c r="Y35" s="15">
        <f t="shared" si="80"/>
        <v>26</v>
      </c>
      <c r="Z35" s="25" t="str">
        <f t="shared" si="60"/>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2"/>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4"/>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0"/>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2"/>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4"/>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ref="O37:O52" ca="1" si="88">IF(M37=0,"",IF(N37=0,"ERROR",""))</f>
        <v/>
      </c>
      <c r="P37" s="39" t="str">
        <f t="shared" ref="P37:P51" ca="1" si="89">IF(O37="ERROR","Please insert comment","")</f>
        <v/>
      </c>
      <c r="Q37" s="35"/>
      <c r="Y37" s="15">
        <f t="shared" si="80"/>
        <v>0</v>
      </c>
      <c r="Z37" s="25" t="str">
        <f t="shared" si="60"/>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2"/>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4"/>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88"/>
        <v/>
      </c>
      <c r="P38" s="39" t="str">
        <f t="shared" ca="1" si="89"/>
        <v/>
      </c>
      <c r="Q38" s="35"/>
      <c r="Y38" s="15">
        <f t="shared" si="80"/>
        <v>28</v>
      </c>
      <c r="Z38" s="25" t="str">
        <f t="shared" si="60"/>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2"/>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4"/>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88"/>
        <v/>
      </c>
      <c r="P39" s="39" t="str">
        <f t="shared" ca="1" si="89"/>
        <v/>
      </c>
      <c r="Q39" s="35"/>
      <c r="Y39" s="15">
        <f t="shared" si="80"/>
        <v>29</v>
      </c>
      <c r="Z39" s="25" t="str">
        <f t="shared" si="60"/>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2"/>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4"/>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27769185.995000001</v>
      </c>
      <c r="J40" s="166">
        <f ca="1">SUM(J41:J44)</f>
        <v>0</v>
      </c>
      <c r="K40" s="166">
        <f ca="1">SUM(K41:K44)</f>
        <v>27769185.995000001</v>
      </c>
      <c r="L40" s="114"/>
      <c r="M40" s="166">
        <f ca="1">SUM(M41:M44)</f>
        <v>-27769185.995000001</v>
      </c>
      <c r="N40" s="58"/>
      <c r="O40" s="38" t="str">
        <f t="shared" ca="1" si="88"/>
        <v>ERROR</v>
      </c>
      <c r="P40" s="39" t="str">
        <f t="shared" ca="1" si="89"/>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88"/>
        <v/>
      </c>
      <c r="P41" s="39" t="str">
        <f t="shared" ca="1" si="89"/>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88"/>
        <v/>
      </c>
      <c r="P42" s="39" t="str">
        <f t="shared" ca="1" si="89"/>
        <v/>
      </c>
      <c r="Q42" s="35"/>
      <c r="T42" s="41" t="str">
        <f ca="1">IF(J76=S33,"","ERROR")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88"/>
        <v/>
      </c>
      <c r="P43" s="39" t="str">
        <f t="shared" ca="1" si="89"/>
        <v/>
      </c>
      <c r="Q43" s="35"/>
      <c r="Y43" s="15">
        <f t="shared" si="80"/>
        <v>32</v>
      </c>
      <c r="Z43" s="25" t="str">
        <f t="shared" si="60"/>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2"/>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4"/>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27769185.995000001</v>
      </c>
      <c r="J44" s="165">
        <f ca="1">SUMIF($J$84:$M$749,B44&amp;"- "&amp;C44,$Q$84:$Q$749)</f>
        <v>0</v>
      </c>
      <c r="K44" s="165">
        <f ca="1">I44+J44</f>
        <v>27769185.995000001</v>
      </c>
      <c r="L44" s="114"/>
      <c r="M44" s="165">
        <f ca="1">+G44-K44</f>
        <v>-27769185.995000001</v>
      </c>
      <c r="N44" s="68"/>
      <c r="O44" s="38" t="str">
        <f t="shared" ca="1" si="88"/>
        <v>ERROR</v>
      </c>
      <c r="P44" s="39" t="str">
        <f t="shared" ca="1" si="89"/>
        <v>Please insert comment</v>
      </c>
      <c r="Y44" s="15">
        <f t="shared" ref="Y44:Z46" si="90">B48</f>
        <v>33</v>
      </c>
      <c r="Z44" s="25" t="str">
        <f t="shared" si="90"/>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1">+B48</f>
        <v>33</v>
      </c>
      <c r="AM44" s="26" t="str">
        <f t="shared" si="91"/>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2">B48</f>
        <v>33</v>
      </c>
      <c r="AY44" s="26" t="str">
        <f t="shared" si="92"/>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88"/>
        <v/>
      </c>
      <c r="P45" s="39" t="str">
        <f t="shared" ca="1" si="89"/>
        <v/>
      </c>
      <c r="Y45" s="15">
        <f t="shared" si="90"/>
        <v>34</v>
      </c>
      <c r="Z45" s="25" t="str">
        <f t="shared" si="90"/>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1"/>
        <v>34</v>
      </c>
      <c r="AM45" s="26" t="str">
        <f t="shared" si="91"/>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2"/>
        <v>34</v>
      </c>
      <c r="AY45" s="26" t="str">
        <f t="shared" si="92"/>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88"/>
        <v/>
      </c>
      <c r="P46" s="39" t="str">
        <f t="shared" ca="1" si="89"/>
        <v/>
      </c>
      <c r="Y46" s="15">
        <f t="shared" si="90"/>
        <v>35</v>
      </c>
      <c r="Z46" s="25" t="str">
        <f t="shared" si="90"/>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1"/>
        <v>35</v>
      </c>
      <c r="AM46" s="26" t="str">
        <f t="shared" si="91"/>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2"/>
        <v>35</v>
      </c>
      <c r="AY46" s="26" t="str">
        <f t="shared" si="92"/>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88"/>
        <v/>
      </c>
      <c r="P48" s="39" t="str">
        <f t="shared" ca="1" si="89"/>
        <v/>
      </c>
      <c r="Y48" s="15">
        <f t="shared" si="80"/>
        <v>36</v>
      </c>
      <c r="Z48" s="25" t="str">
        <f t="shared" si="60"/>
        <v>Taxes environnementales sur les Stes forestières et Minières (+)</v>
      </c>
      <c r="AA48" s="16">
        <f t="shared" ref="AA48:AI49" si="93">SUMPRODUCT(($A$84:$A$751=$Y48&amp;"- "&amp;$Z48)*($C$84:$C$751=AA$1)*($G$84:$G$751))</f>
        <v>0</v>
      </c>
      <c r="AB48" s="16">
        <f t="shared" si="93"/>
        <v>0</v>
      </c>
      <c r="AC48" s="16">
        <f t="shared" si="93"/>
        <v>0</v>
      </c>
      <c r="AD48" s="16">
        <f t="shared" si="93"/>
        <v>0</v>
      </c>
      <c r="AE48" s="16">
        <f t="shared" si="93"/>
        <v>0</v>
      </c>
      <c r="AF48" s="16">
        <f t="shared" si="93"/>
        <v>0</v>
      </c>
      <c r="AG48" s="16">
        <f t="shared" si="93"/>
        <v>0</v>
      </c>
      <c r="AH48" s="16">
        <f t="shared" si="93"/>
        <v>0</v>
      </c>
      <c r="AI48" s="16">
        <f t="shared" si="93"/>
        <v>0</v>
      </c>
      <c r="AJ48" s="16">
        <f t="shared" si="82"/>
        <v>0</v>
      </c>
      <c r="AL48" s="17">
        <f t="shared" si="83"/>
        <v>36</v>
      </c>
      <c r="AM48" s="26" t="str">
        <f t="shared" si="62"/>
        <v>Taxes environnementales sur les Stes forestières et Minières (+)</v>
      </c>
      <c r="AN48" s="18">
        <f t="shared" ref="AN48:AU49" si="94">SUMPRODUCT(($J$84:$M$748=$AL48&amp;"- "&amp;$AM48)*($N$84:$N$748=AN$1)*($Q$84:$Q$748))</f>
        <v>0</v>
      </c>
      <c r="AO48" s="18">
        <f t="shared" si="94"/>
        <v>0</v>
      </c>
      <c r="AP48" s="18">
        <f t="shared" si="94"/>
        <v>0</v>
      </c>
      <c r="AQ48" s="18">
        <f t="shared" si="94"/>
        <v>0</v>
      </c>
      <c r="AR48" s="18">
        <f t="shared" si="94"/>
        <v>0</v>
      </c>
      <c r="AS48" s="18">
        <f t="shared" si="94"/>
        <v>0</v>
      </c>
      <c r="AT48" s="18">
        <f t="shared" si="94"/>
        <v>0</v>
      </c>
      <c r="AU48" s="18">
        <f t="shared" si="94"/>
        <v>0</v>
      </c>
      <c r="AV48" s="18">
        <f t="shared" si="85"/>
        <v>0</v>
      </c>
      <c r="AW48" s="38"/>
      <c r="AX48" s="17">
        <f t="shared" si="86"/>
        <v>36</v>
      </c>
      <c r="AY48" s="26" t="str">
        <f t="shared" si="64"/>
        <v>Taxes environnementales sur les Stes forestières et Minières (+)</v>
      </c>
      <c r="AZ48" s="18">
        <f t="shared" ref="AZ48:BK49" ca="1" si="95">SUMPRODUCT(($C$10:$C$75=$AY48)*($N$10:$N$75=AZ$1)*($M$10:$M$75))</f>
        <v>0</v>
      </c>
      <c r="BA48" s="18">
        <f t="shared" ca="1" si="95"/>
        <v>0</v>
      </c>
      <c r="BB48" s="18">
        <f t="shared" ca="1" si="95"/>
        <v>0</v>
      </c>
      <c r="BC48" s="18">
        <f t="shared" ca="1" si="95"/>
        <v>0</v>
      </c>
      <c r="BD48" s="18">
        <f t="shared" ca="1" si="95"/>
        <v>0</v>
      </c>
      <c r="BE48" s="18">
        <f t="shared" ca="1" si="95"/>
        <v>0</v>
      </c>
      <c r="BF48" s="18">
        <f t="shared" ca="1" si="95"/>
        <v>0</v>
      </c>
      <c r="BG48" s="18">
        <f t="shared" ca="1" si="95"/>
        <v>0</v>
      </c>
      <c r="BH48" s="18">
        <f t="shared" ca="1" si="95"/>
        <v>0</v>
      </c>
      <c r="BI48" s="18">
        <f t="shared" ca="1" si="95"/>
        <v>0</v>
      </c>
      <c r="BJ48" s="18">
        <f t="shared" ca="1" si="95"/>
        <v>0</v>
      </c>
      <c r="BK48" s="18">
        <f t="shared" ca="1" si="95"/>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88"/>
        <v/>
      </c>
      <c r="P49" s="39" t="str">
        <f t="shared" ca="1" si="89"/>
        <v/>
      </c>
      <c r="Y49" s="15">
        <f>B52</f>
        <v>0</v>
      </c>
      <c r="Z49" s="25" t="str">
        <f>C52</f>
        <v>Affectations spéciales</v>
      </c>
      <c r="AA49" s="16">
        <f t="shared" si="93"/>
        <v>0</v>
      </c>
      <c r="AB49" s="16">
        <f t="shared" si="93"/>
        <v>0</v>
      </c>
      <c r="AC49" s="16">
        <f t="shared" si="93"/>
        <v>0</v>
      </c>
      <c r="AD49" s="16">
        <f t="shared" si="93"/>
        <v>0</v>
      </c>
      <c r="AE49" s="16">
        <f t="shared" si="93"/>
        <v>0</v>
      </c>
      <c r="AF49" s="16">
        <f t="shared" si="93"/>
        <v>0</v>
      </c>
      <c r="AG49" s="16">
        <f t="shared" si="93"/>
        <v>0</v>
      </c>
      <c r="AH49" s="16">
        <f t="shared" si="93"/>
        <v>0</v>
      </c>
      <c r="AI49" s="16">
        <f t="shared" si="93"/>
        <v>0</v>
      </c>
      <c r="AJ49" s="16">
        <f t="shared" si="82"/>
        <v>0</v>
      </c>
      <c r="AL49" s="17">
        <f>+B52</f>
        <v>0</v>
      </c>
      <c r="AM49" s="26" t="str">
        <f>+C52</f>
        <v>Affectations spéciales</v>
      </c>
      <c r="AN49" s="18">
        <f t="shared" si="94"/>
        <v>0</v>
      </c>
      <c r="AO49" s="18">
        <f t="shared" si="94"/>
        <v>0</v>
      </c>
      <c r="AP49" s="18">
        <f t="shared" si="94"/>
        <v>0</v>
      </c>
      <c r="AQ49" s="18">
        <f t="shared" si="94"/>
        <v>0</v>
      </c>
      <c r="AR49" s="18">
        <f t="shared" si="94"/>
        <v>0</v>
      </c>
      <c r="AS49" s="18">
        <f t="shared" si="94"/>
        <v>0</v>
      </c>
      <c r="AT49" s="18">
        <f t="shared" si="94"/>
        <v>0</v>
      </c>
      <c r="AU49" s="18">
        <f t="shared" si="94"/>
        <v>0</v>
      </c>
      <c r="AV49" s="18">
        <f t="shared" si="85"/>
        <v>0</v>
      </c>
      <c r="AW49" s="18"/>
      <c r="AX49" s="17">
        <f>B52</f>
        <v>0</v>
      </c>
      <c r="AY49" s="26" t="str">
        <f>C52</f>
        <v>Affectations spéciales</v>
      </c>
      <c r="AZ49" s="18">
        <f t="shared" ca="1" si="95"/>
        <v>0</v>
      </c>
      <c r="BA49" s="18">
        <f t="shared" ca="1" si="95"/>
        <v>0</v>
      </c>
      <c r="BB49" s="18">
        <f t="shared" ca="1" si="95"/>
        <v>0</v>
      </c>
      <c r="BC49" s="18">
        <f t="shared" ca="1" si="95"/>
        <v>0</v>
      </c>
      <c r="BD49" s="18">
        <f t="shared" ca="1" si="95"/>
        <v>0</v>
      </c>
      <c r="BE49" s="18">
        <f t="shared" ca="1" si="95"/>
        <v>0</v>
      </c>
      <c r="BF49" s="18">
        <f t="shared" ca="1" si="95"/>
        <v>0</v>
      </c>
      <c r="BG49" s="18">
        <f t="shared" ca="1" si="95"/>
        <v>0</v>
      </c>
      <c r="BH49" s="18">
        <f t="shared" ca="1" si="95"/>
        <v>0</v>
      </c>
      <c r="BI49" s="18">
        <f t="shared" ca="1" si="95"/>
        <v>0</v>
      </c>
      <c r="BJ49" s="18">
        <f t="shared" ca="1" si="95"/>
        <v>0</v>
      </c>
      <c r="BK49" s="18">
        <f t="shared" ca="1" si="95"/>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88"/>
        <v/>
      </c>
      <c r="P50" s="39" t="str">
        <f t="shared" ca="1" si="89"/>
        <v/>
      </c>
      <c r="Y50" s="28"/>
      <c r="Z50" s="28" t="str">
        <f t="shared" ref="Z50:Z58" si="96">C53</f>
        <v>Affectation au titre la taxe de reboisement (+)</v>
      </c>
      <c r="AA50" s="29">
        <f t="shared" ref="AA50:AJ50" si="97">SUM(AA51:AA59)</f>
        <v>0</v>
      </c>
      <c r="AB50" s="29">
        <f t="shared" si="97"/>
        <v>0</v>
      </c>
      <c r="AC50" s="29">
        <f t="shared" si="97"/>
        <v>0</v>
      </c>
      <c r="AD50" s="29">
        <f t="shared" si="97"/>
        <v>0</v>
      </c>
      <c r="AE50" s="29">
        <f t="shared" si="97"/>
        <v>0</v>
      </c>
      <c r="AF50" s="29">
        <f t="shared" si="97"/>
        <v>0</v>
      </c>
      <c r="AG50" s="29">
        <f t="shared" si="97"/>
        <v>0</v>
      </c>
      <c r="AH50" s="29">
        <f t="shared" si="97"/>
        <v>0</v>
      </c>
      <c r="AI50" s="29">
        <f t="shared" si="97"/>
        <v>0</v>
      </c>
      <c r="AJ50" s="29">
        <f t="shared" si="97"/>
        <v>0</v>
      </c>
      <c r="AL50" s="28"/>
      <c r="AM50" s="28" t="str">
        <f t="shared" ref="AM50:AM57" si="98">+C53</f>
        <v>Affectation au titre la taxe de reboisement (+)</v>
      </c>
      <c r="AN50" s="29">
        <f t="shared" ref="AN50:AV50" si="99">SUM(AN51:AN59)</f>
        <v>0</v>
      </c>
      <c r="AO50" s="29">
        <f t="shared" si="99"/>
        <v>0</v>
      </c>
      <c r="AP50" s="29">
        <f t="shared" si="99"/>
        <v>0</v>
      </c>
      <c r="AQ50" s="29">
        <f t="shared" si="99"/>
        <v>0</v>
      </c>
      <c r="AR50" s="29">
        <f t="shared" si="99"/>
        <v>0</v>
      </c>
      <c r="AS50" s="29">
        <f t="shared" si="99"/>
        <v>0</v>
      </c>
      <c r="AT50" s="29">
        <f t="shared" si="99"/>
        <v>0</v>
      </c>
      <c r="AU50" s="29">
        <f t="shared" si="99"/>
        <v>0</v>
      </c>
      <c r="AV50" s="29">
        <f t="shared" si="99"/>
        <v>0</v>
      </c>
      <c r="AW50" s="18"/>
      <c r="AX50" s="28"/>
      <c r="AY50" s="28" t="str">
        <f t="shared" ref="AY50:AY57" si="100">C53</f>
        <v>Affectation au titre la taxe de reboisement (+)</v>
      </c>
      <c r="AZ50" s="29">
        <f t="shared" ref="AZ50:BK50" ca="1" si="101">SUM(AZ51:AZ59)</f>
        <v>0</v>
      </c>
      <c r="BA50" s="29">
        <f t="shared" ca="1" si="101"/>
        <v>0</v>
      </c>
      <c r="BB50" s="29">
        <f t="shared" ca="1" si="101"/>
        <v>0</v>
      </c>
      <c r="BC50" s="29">
        <f t="shared" ca="1" si="101"/>
        <v>0</v>
      </c>
      <c r="BD50" s="29">
        <f t="shared" ca="1" si="101"/>
        <v>0</v>
      </c>
      <c r="BE50" s="29">
        <f t="shared" ca="1" si="101"/>
        <v>0</v>
      </c>
      <c r="BF50" s="29">
        <f t="shared" ca="1" si="101"/>
        <v>0</v>
      </c>
      <c r="BG50" s="29">
        <f t="shared" ca="1" si="101"/>
        <v>0</v>
      </c>
      <c r="BH50" s="29">
        <f t="shared" ca="1" si="101"/>
        <v>0</v>
      </c>
      <c r="BI50" s="29">
        <f t="shared" ca="1" si="101"/>
        <v>0</v>
      </c>
      <c r="BJ50" s="29">
        <f t="shared" ca="1" si="101"/>
        <v>0</v>
      </c>
      <c r="BK50" s="29">
        <f t="shared" ca="1" si="101"/>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88"/>
        <v/>
      </c>
      <c r="P51" s="39" t="str">
        <f t="shared" ca="1" si="89"/>
        <v/>
      </c>
      <c r="Y51" s="15">
        <f t="shared" ref="Y51:Y58" si="102">B54</f>
        <v>38</v>
      </c>
      <c r="Z51" s="25" t="str">
        <f t="shared" si="96"/>
        <v>Affectation au titre de taxe d’abattage (+)</v>
      </c>
      <c r="AA51" s="16">
        <f t="shared" ref="AA51:AI59" si="103">SUMPRODUCT(($A$84:$A$751=$Y51&amp;"- "&amp;$Z51)*($C$84:$C$751=AA$1)*($G$84:$G$751))</f>
        <v>0</v>
      </c>
      <c r="AB51" s="16">
        <f t="shared" si="103"/>
        <v>0</v>
      </c>
      <c r="AC51" s="16">
        <f t="shared" si="103"/>
        <v>0</v>
      </c>
      <c r="AD51" s="16">
        <f t="shared" si="103"/>
        <v>0</v>
      </c>
      <c r="AE51" s="16">
        <f t="shared" si="103"/>
        <v>0</v>
      </c>
      <c r="AF51" s="16">
        <f t="shared" si="103"/>
        <v>0</v>
      </c>
      <c r="AG51" s="16">
        <f t="shared" si="103"/>
        <v>0</v>
      </c>
      <c r="AH51" s="16">
        <f t="shared" si="103"/>
        <v>0</v>
      </c>
      <c r="AI51" s="16">
        <f t="shared" si="103"/>
        <v>0</v>
      </c>
      <c r="AJ51" s="16">
        <f t="shared" ref="AJ51:AJ59" si="104">SUM(AA51:AI51)</f>
        <v>0</v>
      </c>
      <c r="AL51" s="17">
        <f t="shared" ref="AL51:AL57" si="105">+B54</f>
        <v>38</v>
      </c>
      <c r="AM51" s="26" t="str">
        <f t="shared" si="98"/>
        <v>Affectation au titre de taxe d’abattage (+)</v>
      </c>
      <c r="AN51" s="18">
        <f t="shared" ref="AN51:AU59" si="106">SUMPRODUCT(($J$84:$M$748=$AL51&amp;"- "&amp;$AM51)*($N$84:$N$748=AN$1)*($Q$84:$Q$748))</f>
        <v>0</v>
      </c>
      <c r="AO51" s="18">
        <f t="shared" si="106"/>
        <v>0</v>
      </c>
      <c r="AP51" s="18">
        <f t="shared" si="106"/>
        <v>0</v>
      </c>
      <c r="AQ51" s="18">
        <f t="shared" si="106"/>
        <v>0</v>
      </c>
      <c r="AR51" s="18">
        <f t="shared" si="106"/>
        <v>0</v>
      </c>
      <c r="AS51" s="18">
        <f t="shared" si="106"/>
        <v>0</v>
      </c>
      <c r="AT51" s="18">
        <f t="shared" si="106"/>
        <v>0</v>
      </c>
      <c r="AU51" s="18">
        <f t="shared" si="106"/>
        <v>0</v>
      </c>
      <c r="AV51" s="18">
        <f t="shared" ref="AV51:AV59" si="107">SUM(AN51:AU51)</f>
        <v>0</v>
      </c>
      <c r="AW51" s="18"/>
      <c r="AX51" s="17">
        <f t="shared" ref="AX51:AX57" si="108">B54</f>
        <v>38</v>
      </c>
      <c r="AY51" s="26" t="str">
        <f t="shared" si="100"/>
        <v>Affectation au titre de taxe d’abattage (+)</v>
      </c>
      <c r="AZ51" s="18">
        <f t="shared" ref="AZ51:BK59" ca="1" si="109">SUMPRODUCT(($C$10:$C$75=$AY51)*($N$10:$N$75=AZ$1)*($M$10:$M$75))</f>
        <v>0</v>
      </c>
      <c r="BA51" s="18">
        <f t="shared" ca="1" si="109"/>
        <v>0</v>
      </c>
      <c r="BB51" s="18">
        <f t="shared" ca="1" si="109"/>
        <v>0</v>
      </c>
      <c r="BC51" s="18">
        <f t="shared" ca="1" si="109"/>
        <v>0</v>
      </c>
      <c r="BD51" s="18">
        <f t="shared" ca="1" si="109"/>
        <v>0</v>
      </c>
      <c r="BE51" s="18">
        <f t="shared" ca="1" si="109"/>
        <v>0</v>
      </c>
      <c r="BF51" s="18">
        <f t="shared" ca="1" si="109"/>
        <v>0</v>
      </c>
      <c r="BG51" s="18">
        <f t="shared" ca="1" si="109"/>
        <v>0</v>
      </c>
      <c r="BH51" s="18">
        <f t="shared" ca="1" si="109"/>
        <v>0</v>
      </c>
      <c r="BI51" s="18">
        <f t="shared" ca="1" si="109"/>
        <v>0</v>
      </c>
      <c r="BJ51" s="18">
        <f t="shared" ca="1" si="109"/>
        <v>0</v>
      </c>
      <c r="BK51" s="18">
        <f t="shared" ca="1" si="109"/>
        <v>0</v>
      </c>
    </row>
    <row r="52" spans="1:63">
      <c r="A52" s="80"/>
      <c r="B52" s="163"/>
      <c r="C52" s="58" t="str">
        <f>+'Taxes RCA 2022'!B45</f>
        <v>Affectations spéciales</v>
      </c>
      <c r="E52" s="166">
        <f>+E53+E54</f>
        <v>0</v>
      </c>
      <c r="F52" s="166">
        <f t="shared" ref="F52:G52" si="110">+F53+F54</f>
        <v>0</v>
      </c>
      <c r="G52" s="166">
        <f t="shared" si="110"/>
        <v>0</v>
      </c>
      <c r="H52" s="114"/>
      <c r="I52" s="166">
        <f>+I53+I54</f>
        <v>0</v>
      </c>
      <c r="J52" s="166">
        <f t="shared" ref="J52" ca="1" si="111">+J53+J54</f>
        <v>0</v>
      </c>
      <c r="K52" s="166">
        <f t="shared" ref="K52" ca="1" si="112">+K53+K54</f>
        <v>0</v>
      </c>
      <c r="L52" s="114"/>
      <c r="M52" s="166">
        <f t="shared" ref="M52" ca="1" si="113">+M53+M54</f>
        <v>0</v>
      </c>
      <c r="N52" s="58"/>
      <c r="O52" s="38" t="str">
        <f t="shared" ca="1" si="88"/>
        <v/>
      </c>
      <c r="P52" s="39" t="str">
        <f ca="1">IF(O52="ERROR","Please insert comment","")</f>
        <v/>
      </c>
      <c r="Y52" s="15">
        <f t="shared" si="102"/>
        <v>0</v>
      </c>
      <c r="Z52" s="25" t="str">
        <f t="shared" si="96"/>
        <v xml:space="preserve">Transferts du Trésor aux communes </v>
      </c>
      <c r="AA52" s="16">
        <f t="shared" si="103"/>
        <v>0</v>
      </c>
      <c r="AB52" s="16">
        <f t="shared" si="103"/>
        <v>0</v>
      </c>
      <c r="AC52" s="16">
        <f t="shared" si="103"/>
        <v>0</v>
      </c>
      <c r="AD52" s="16">
        <f t="shared" si="103"/>
        <v>0</v>
      </c>
      <c r="AE52" s="16">
        <f t="shared" si="103"/>
        <v>0</v>
      </c>
      <c r="AF52" s="16">
        <f t="shared" si="103"/>
        <v>0</v>
      </c>
      <c r="AG52" s="16">
        <f t="shared" si="103"/>
        <v>0</v>
      </c>
      <c r="AH52" s="16">
        <f t="shared" si="103"/>
        <v>0</v>
      </c>
      <c r="AI52" s="16">
        <f t="shared" si="103"/>
        <v>0</v>
      </c>
      <c r="AJ52" s="16">
        <f t="shared" si="104"/>
        <v>0</v>
      </c>
      <c r="AL52" s="17">
        <f t="shared" si="105"/>
        <v>0</v>
      </c>
      <c r="AM52" s="26" t="str">
        <f t="shared" si="98"/>
        <v xml:space="preserve">Transferts du Trésor aux communes </v>
      </c>
      <c r="AN52" s="18">
        <f t="shared" si="106"/>
        <v>0</v>
      </c>
      <c r="AO52" s="18">
        <f t="shared" si="106"/>
        <v>0</v>
      </c>
      <c r="AP52" s="18">
        <f t="shared" si="106"/>
        <v>0</v>
      </c>
      <c r="AQ52" s="18">
        <f t="shared" si="106"/>
        <v>0</v>
      </c>
      <c r="AR52" s="18">
        <f t="shared" si="106"/>
        <v>0</v>
      </c>
      <c r="AS52" s="18">
        <f t="shared" si="106"/>
        <v>0</v>
      </c>
      <c r="AT52" s="18">
        <f t="shared" si="106"/>
        <v>0</v>
      </c>
      <c r="AU52" s="18">
        <f t="shared" si="106"/>
        <v>0</v>
      </c>
      <c r="AV52" s="18">
        <f t="shared" si="107"/>
        <v>0</v>
      </c>
      <c r="AW52" s="38"/>
      <c r="AX52" s="17">
        <f t="shared" si="108"/>
        <v>0</v>
      </c>
      <c r="AY52" s="26" t="str">
        <f t="shared" si="100"/>
        <v xml:space="preserve">Transferts du Trésor aux communes </v>
      </c>
      <c r="AZ52" s="18">
        <f t="shared" ca="1" si="109"/>
        <v>0</v>
      </c>
      <c r="BA52" s="18">
        <f t="shared" ca="1" si="109"/>
        <v>0</v>
      </c>
      <c r="BB52" s="18">
        <f t="shared" ca="1" si="109"/>
        <v>0</v>
      </c>
      <c r="BC52" s="18">
        <f t="shared" ca="1" si="109"/>
        <v>0</v>
      </c>
      <c r="BD52" s="18">
        <f t="shared" ca="1" si="109"/>
        <v>0</v>
      </c>
      <c r="BE52" s="18">
        <f t="shared" ca="1" si="109"/>
        <v>0</v>
      </c>
      <c r="BF52" s="18">
        <f t="shared" ca="1" si="109"/>
        <v>0</v>
      </c>
      <c r="BG52" s="18">
        <f t="shared" ca="1" si="109"/>
        <v>0</v>
      </c>
      <c r="BH52" s="18">
        <f t="shared" ca="1" si="109"/>
        <v>0</v>
      </c>
      <c r="BI52" s="18">
        <f t="shared" ca="1" si="109"/>
        <v>0</v>
      </c>
      <c r="BJ52" s="18">
        <f t="shared" ca="1" si="109"/>
        <v>0</v>
      </c>
      <c r="BK52" s="18">
        <f t="shared" ca="1" si="109"/>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102"/>
        <v>0</v>
      </c>
      <c r="Z53" s="25" t="str">
        <f t="shared" si="96"/>
        <v>Transfert du trésor aux communes</v>
      </c>
      <c r="AA53" s="16">
        <f t="shared" si="103"/>
        <v>0</v>
      </c>
      <c r="AB53" s="16">
        <f t="shared" si="103"/>
        <v>0</v>
      </c>
      <c r="AC53" s="16">
        <f t="shared" si="103"/>
        <v>0</v>
      </c>
      <c r="AD53" s="16">
        <f t="shared" si="103"/>
        <v>0</v>
      </c>
      <c r="AE53" s="16">
        <f t="shared" si="103"/>
        <v>0</v>
      </c>
      <c r="AF53" s="16">
        <f t="shared" si="103"/>
        <v>0</v>
      </c>
      <c r="AG53" s="16">
        <f t="shared" si="103"/>
        <v>0</v>
      </c>
      <c r="AH53" s="16">
        <f t="shared" si="103"/>
        <v>0</v>
      </c>
      <c r="AI53" s="16">
        <f t="shared" si="103"/>
        <v>0</v>
      </c>
      <c r="AJ53" s="16">
        <f t="shared" si="104"/>
        <v>0</v>
      </c>
      <c r="AL53" s="17">
        <f t="shared" si="105"/>
        <v>0</v>
      </c>
      <c r="AM53" s="26" t="str">
        <f t="shared" si="98"/>
        <v>Transfert du trésor aux communes</v>
      </c>
      <c r="AN53" s="18">
        <f t="shared" si="106"/>
        <v>0</v>
      </c>
      <c r="AO53" s="18">
        <f t="shared" si="106"/>
        <v>0</v>
      </c>
      <c r="AP53" s="18">
        <f t="shared" si="106"/>
        <v>0</v>
      </c>
      <c r="AQ53" s="18">
        <f t="shared" si="106"/>
        <v>0</v>
      </c>
      <c r="AR53" s="18">
        <f t="shared" si="106"/>
        <v>0</v>
      </c>
      <c r="AS53" s="18">
        <f t="shared" si="106"/>
        <v>0</v>
      </c>
      <c r="AT53" s="18">
        <f t="shared" si="106"/>
        <v>0</v>
      </c>
      <c r="AU53" s="18">
        <f t="shared" si="106"/>
        <v>0</v>
      </c>
      <c r="AV53" s="18">
        <f t="shared" si="107"/>
        <v>0</v>
      </c>
      <c r="AW53" s="18"/>
      <c r="AX53" s="17">
        <f t="shared" si="108"/>
        <v>0</v>
      </c>
      <c r="AY53" s="26" t="str">
        <f t="shared" si="100"/>
        <v>Transfert du trésor aux communes</v>
      </c>
      <c r="AZ53" s="18">
        <f t="shared" ca="1" si="109"/>
        <v>0</v>
      </c>
      <c r="BA53" s="18">
        <f t="shared" ca="1" si="109"/>
        <v>0</v>
      </c>
      <c r="BB53" s="18">
        <f t="shared" ca="1" si="109"/>
        <v>0</v>
      </c>
      <c r="BC53" s="18">
        <f t="shared" ca="1" si="109"/>
        <v>0</v>
      </c>
      <c r="BD53" s="18">
        <f t="shared" ca="1" si="109"/>
        <v>0</v>
      </c>
      <c r="BE53" s="18">
        <f t="shared" ca="1" si="109"/>
        <v>0</v>
      </c>
      <c r="BF53" s="18">
        <f t="shared" ca="1" si="109"/>
        <v>0</v>
      </c>
      <c r="BG53" s="18">
        <f t="shared" ca="1" si="109"/>
        <v>0</v>
      </c>
      <c r="BH53" s="18">
        <f t="shared" ca="1" si="109"/>
        <v>0</v>
      </c>
      <c r="BI53" s="18">
        <f t="shared" ca="1" si="109"/>
        <v>0</v>
      </c>
      <c r="BJ53" s="18">
        <f t="shared" ca="1" si="109"/>
        <v>0</v>
      </c>
      <c r="BK53" s="18">
        <f t="shared" ca="1" si="109"/>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ca="1">IF(M54=0,"",IF(N54=0,"ERROR",""))</f>
        <v/>
      </c>
      <c r="P54" s="39" t="str">
        <f ca="1">IF(O54="ERROR","Please insert comment","")</f>
        <v/>
      </c>
      <c r="Y54" s="15">
        <f t="shared" si="102"/>
        <v>39</v>
      </c>
      <c r="Z54" s="25" t="str">
        <f t="shared" si="96"/>
        <v>Transfert infranational au titre de la taxe d'abattage (+)</v>
      </c>
      <c r="AA54" s="16">
        <f t="shared" si="103"/>
        <v>0</v>
      </c>
      <c r="AB54" s="16">
        <f t="shared" si="103"/>
        <v>0</v>
      </c>
      <c r="AC54" s="16">
        <f t="shared" si="103"/>
        <v>0</v>
      </c>
      <c r="AD54" s="16">
        <f t="shared" si="103"/>
        <v>0</v>
      </c>
      <c r="AE54" s="16">
        <f t="shared" si="103"/>
        <v>0</v>
      </c>
      <c r="AF54" s="16">
        <f t="shared" si="103"/>
        <v>0</v>
      </c>
      <c r="AG54" s="16">
        <f t="shared" si="103"/>
        <v>0</v>
      </c>
      <c r="AH54" s="16">
        <f t="shared" si="103"/>
        <v>0</v>
      </c>
      <c r="AI54" s="16">
        <f t="shared" si="103"/>
        <v>0</v>
      </c>
      <c r="AJ54" s="16">
        <f t="shared" si="104"/>
        <v>0</v>
      </c>
      <c r="AL54" s="17">
        <f t="shared" si="105"/>
        <v>39</v>
      </c>
      <c r="AM54" s="26" t="str">
        <f t="shared" si="98"/>
        <v>Transfert infranational au titre de la taxe d'abattage (+)</v>
      </c>
      <c r="AN54" s="18">
        <f t="shared" si="106"/>
        <v>0</v>
      </c>
      <c r="AO54" s="18">
        <f t="shared" si="106"/>
        <v>0</v>
      </c>
      <c r="AP54" s="18">
        <f t="shared" si="106"/>
        <v>0</v>
      </c>
      <c r="AQ54" s="18">
        <f t="shared" si="106"/>
        <v>0</v>
      </c>
      <c r="AR54" s="18">
        <f t="shared" si="106"/>
        <v>0</v>
      </c>
      <c r="AS54" s="18">
        <f t="shared" si="106"/>
        <v>0</v>
      </c>
      <c r="AT54" s="18">
        <f t="shared" si="106"/>
        <v>0</v>
      </c>
      <c r="AU54" s="18">
        <f t="shared" si="106"/>
        <v>0</v>
      </c>
      <c r="AV54" s="18">
        <f t="shared" si="107"/>
        <v>0</v>
      </c>
      <c r="AW54" s="18"/>
      <c r="AX54" s="17">
        <f t="shared" si="108"/>
        <v>39</v>
      </c>
      <c r="AY54" s="26" t="str">
        <f t="shared" si="100"/>
        <v>Transfert infranational au titre de la taxe d'abattage (+)</v>
      </c>
      <c r="AZ54" s="18">
        <f t="shared" ca="1" si="109"/>
        <v>0</v>
      </c>
      <c r="BA54" s="18">
        <f t="shared" ca="1" si="109"/>
        <v>0</v>
      </c>
      <c r="BB54" s="18">
        <f t="shared" ca="1" si="109"/>
        <v>0</v>
      </c>
      <c r="BC54" s="18">
        <f t="shared" ca="1" si="109"/>
        <v>0</v>
      </c>
      <c r="BD54" s="18">
        <f t="shared" ca="1" si="109"/>
        <v>0</v>
      </c>
      <c r="BE54" s="18">
        <f t="shared" ca="1" si="109"/>
        <v>0</v>
      </c>
      <c r="BF54" s="18">
        <f t="shared" ca="1" si="109"/>
        <v>0</v>
      </c>
      <c r="BG54" s="18">
        <f t="shared" ca="1" si="109"/>
        <v>0</v>
      </c>
      <c r="BH54" s="18">
        <f t="shared" ca="1" si="109"/>
        <v>0</v>
      </c>
      <c r="BI54" s="18">
        <f t="shared" ca="1" si="109"/>
        <v>0</v>
      </c>
      <c r="BJ54" s="18">
        <f t="shared" ca="1" si="109"/>
        <v>0</v>
      </c>
      <c r="BK54" s="18">
        <f t="shared" ca="1" si="109"/>
        <v>0</v>
      </c>
    </row>
    <row r="55" spans="1:63">
      <c r="A55" s="80">
        <f t="shared" si="29"/>
        <v>0</v>
      </c>
      <c r="B55" s="163"/>
      <c r="C55" s="58" t="str">
        <f>+'Taxes RCA 2022'!B48</f>
        <v xml:space="preserve">Transferts du Trésor aux communes </v>
      </c>
      <c r="E55" s="166">
        <f>SUM(E56:E61)</f>
        <v>0</v>
      </c>
      <c r="F55" s="166">
        <f t="shared" ref="F55:G55" si="114">SUM(F56:F61)</f>
        <v>0</v>
      </c>
      <c r="G55" s="166">
        <f t="shared" si="114"/>
        <v>0</v>
      </c>
      <c r="H55" s="114"/>
      <c r="I55" s="166">
        <f>SUM(I56:I61)</f>
        <v>0</v>
      </c>
      <c r="J55" s="166">
        <f t="shared" ref="J55" ca="1" si="115">SUM(J56:J61)</f>
        <v>0</v>
      </c>
      <c r="K55" s="166">
        <f t="shared" ref="K55" ca="1" si="116">SUM(K56:K61)</f>
        <v>0</v>
      </c>
      <c r="L55" s="114"/>
      <c r="M55" s="166">
        <f t="shared" ref="M55" ca="1" si="117">SUM(M56:M61)</f>
        <v>0</v>
      </c>
      <c r="N55" s="58"/>
      <c r="O55" s="38" t="str">
        <f ca="1">IF(M55=0,"",IF(N55=0,"ERROR",""))</f>
        <v/>
      </c>
      <c r="P55" s="39" t="str">
        <f ca="1">IF(O55="ERROR","Please insert comment","")</f>
        <v/>
      </c>
      <c r="Y55" s="15">
        <f t="shared" si="102"/>
        <v>40</v>
      </c>
      <c r="Z55" s="25" t="str">
        <f t="shared" si="96"/>
        <v>Transfert infranational au titre de la taxe reboisement (+)</v>
      </c>
      <c r="AA55" s="16">
        <f t="shared" si="103"/>
        <v>0</v>
      </c>
      <c r="AB55" s="16">
        <f t="shared" si="103"/>
        <v>0</v>
      </c>
      <c r="AC55" s="16">
        <f t="shared" si="103"/>
        <v>0</v>
      </c>
      <c r="AD55" s="16">
        <f t="shared" si="103"/>
        <v>0</v>
      </c>
      <c r="AE55" s="16">
        <f t="shared" si="103"/>
        <v>0</v>
      </c>
      <c r="AF55" s="16">
        <f t="shared" si="103"/>
        <v>0</v>
      </c>
      <c r="AG55" s="16">
        <f t="shared" si="103"/>
        <v>0</v>
      </c>
      <c r="AH55" s="16">
        <f t="shared" si="103"/>
        <v>0</v>
      </c>
      <c r="AI55" s="16">
        <f t="shared" si="103"/>
        <v>0</v>
      </c>
      <c r="AJ55" s="16">
        <f t="shared" si="104"/>
        <v>0</v>
      </c>
      <c r="AL55" s="17">
        <f t="shared" si="105"/>
        <v>40</v>
      </c>
      <c r="AM55" s="26" t="str">
        <f t="shared" si="98"/>
        <v>Transfert infranational au titre de la taxe reboisement (+)</v>
      </c>
      <c r="AN55" s="18">
        <f t="shared" si="106"/>
        <v>0</v>
      </c>
      <c r="AO55" s="18">
        <f t="shared" si="106"/>
        <v>0</v>
      </c>
      <c r="AP55" s="18">
        <f t="shared" si="106"/>
        <v>0</v>
      </c>
      <c r="AQ55" s="18">
        <f t="shared" si="106"/>
        <v>0</v>
      </c>
      <c r="AR55" s="18">
        <f t="shared" si="106"/>
        <v>0</v>
      </c>
      <c r="AS55" s="18">
        <f t="shared" si="106"/>
        <v>0</v>
      </c>
      <c r="AT55" s="18">
        <f t="shared" si="106"/>
        <v>0</v>
      </c>
      <c r="AU55" s="18">
        <f t="shared" si="106"/>
        <v>0</v>
      </c>
      <c r="AV55" s="18">
        <f t="shared" si="107"/>
        <v>0</v>
      </c>
      <c r="AW55" s="18"/>
      <c r="AX55" s="17">
        <f t="shared" si="108"/>
        <v>40</v>
      </c>
      <c r="AY55" s="26" t="str">
        <f t="shared" si="100"/>
        <v>Transfert infranational au titre de la taxe reboisement (+)</v>
      </c>
      <c r="AZ55" s="18">
        <f t="shared" ca="1" si="109"/>
        <v>0</v>
      </c>
      <c r="BA55" s="18">
        <f t="shared" ca="1" si="109"/>
        <v>0</v>
      </c>
      <c r="BB55" s="18">
        <f t="shared" ca="1" si="109"/>
        <v>0</v>
      </c>
      <c r="BC55" s="18">
        <f t="shared" ca="1" si="109"/>
        <v>0</v>
      </c>
      <c r="BD55" s="18">
        <f t="shared" ca="1" si="109"/>
        <v>0</v>
      </c>
      <c r="BE55" s="18">
        <f t="shared" ca="1" si="109"/>
        <v>0</v>
      </c>
      <c r="BF55" s="18">
        <f t="shared" ca="1" si="109"/>
        <v>0</v>
      </c>
      <c r="BG55" s="18">
        <f t="shared" ca="1" si="109"/>
        <v>0</v>
      </c>
      <c r="BH55" s="18">
        <f t="shared" ca="1" si="109"/>
        <v>0</v>
      </c>
      <c r="BI55" s="18">
        <f t="shared" ca="1" si="109"/>
        <v>0</v>
      </c>
      <c r="BJ55" s="18">
        <f t="shared" ca="1" si="109"/>
        <v>0</v>
      </c>
      <c r="BK55" s="18">
        <f t="shared" ca="1" si="109"/>
        <v>0</v>
      </c>
    </row>
    <row r="56" spans="1:63">
      <c r="A56" s="80"/>
      <c r="B56" s="53">
        <f>+'Taxes RCA 2022'!A49</f>
        <v>0</v>
      </c>
      <c r="C56" s="18" t="str">
        <f>+'Taxes RCA 2022'!B49</f>
        <v>Transfert du trésor aux communes</v>
      </c>
      <c r="E56" s="114"/>
      <c r="F56" s="114">
        <f t="shared" ref="F56:F61" si="118">SUMIF($A$84:$A$751,B56&amp;"- "&amp;C56,$G$84:$G$751)</f>
        <v>0</v>
      </c>
      <c r="G56" s="114">
        <f t="shared" ref="G56:G61" si="119">E56+F56</f>
        <v>0</v>
      </c>
      <c r="H56" s="114"/>
      <c r="I56" s="114"/>
      <c r="J56" s="114">
        <f t="shared" ref="J56:J61" ca="1" si="120">SUMIF($J$84:$M$749,B56&amp;"- "&amp;C56,$Q$84:$Q$749)</f>
        <v>0</v>
      </c>
      <c r="K56" s="114">
        <f t="shared" ref="K56:K61" ca="1" si="121">I56+J56</f>
        <v>0</v>
      </c>
      <c r="L56" s="114"/>
      <c r="M56" s="114">
        <f t="shared" ref="M56:M61" ca="1" si="122">+G56-K56</f>
        <v>0</v>
      </c>
      <c r="N56" s="18"/>
      <c r="O56" s="38"/>
      <c r="P56" s="39"/>
      <c r="Y56" s="15">
        <f t="shared" si="102"/>
        <v>41</v>
      </c>
      <c r="Z56" s="25" t="str">
        <f t="shared" si="96"/>
        <v>Transfert infranational au titre de la taxe environnementale (+)</v>
      </c>
      <c r="AA56" s="16">
        <f t="shared" si="103"/>
        <v>0</v>
      </c>
      <c r="AB56" s="16">
        <f t="shared" si="103"/>
        <v>0</v>
      </c>
      <c r="AC56" s="16">
        <f t="shared" si="103"/>
        <v>0</v>
      </c>
      <c r="AD56" s="16">
        <f t="shared" si="103"/>
        <v>0</v>
      </c>
      <c r="AE56" s="16">
        <f t="shared" si="103"/>
        <v>0</v>
      </c>
      <c r="AF56" s="16">
        <f t="shared" si="103"/>
        <v>0</v>
      </c>
      <c r="AG56" s="16">
        <f t="shared" si="103"/>
        <v>0</v>
      </c>
      <c r="AH56" s="16">
        <f t="shared" si="103"/>
        <v>0</v>
      </c>
      <c r="AI56" s="16">
        <f t="shared" si="103"/>
        <v>0</v>
      </c>
      <c r="AJ56" s="16">
        <f t="shared" si="104"/>
        <v>0</v>
      </c>
      <c r="AL56" s="17">
        <f t="shared" si="105"/>
        <v>41</v>
      </c>
      <c r="AM56" s="26" t="str">
        <f t="shared" si="98"/>
        <v>Transfert infranational au titre de la taxe environnementale (+)</v>
      </c>
      <c r="AN56" s="18">
        <f t="shared" si="106"/>
        <v>0</v>
      </c>
      <c r="AO56" s="18">
        <f t="shared" si="106"/>
        <v>0</v>
      </c>
      <c r="AP56" s="18">
        <f t="shared" si="106"/>
        <v>0</v>
      </c>
      <c r="AQ56" s="18">
        <f t="shared" si="106"/>
        <v>0</v>
      </c>
      <c r="AR56" s="18">
        <f t="shared" si="106"/>
        <v>0</v>
      </c>
      <c r="AS56" s="18">
        <f t="shared" si="106"/>
        <v>0</v>
      </c>
      <c r="AT56" s="18">
        <f t="shared" si="106"/>
        <v>0</v>
      </c>
      <c r="AU56" s="18">
        <f t="shared" si="106"/>
        <v>0</v>
      </c>
      <c r="AV56" s="18">
        <f t="shared" si="107"/>
        <v>0</v>
      </c>
      <c r="AW56" s="18"/>
      <c r="AX56" s="17">
        <f t="shared" si="108"/>
        <v>41</v>
      </c>
      <c r="AY56" s="26" t="str">
        <f t="shared" si="100"/>
        <v>Transfert infranational au titre de la taxe environnementale (+)</v>
      </c>
      <c r="AZ56" s="18">
        <f t="shared" ca="1" si="109"/>
        <v>0</v>
      </c>
      <c r="BA56" s="18">
        <f t="shared" ca="1" si="109"/>
        <v>0</v>
      </c>
      <c r="BB56" s="18">
        <f t="shared" ca="1" si="109"/>
        <v>0</v>
      </c>
      <c r="BC56" s="18">
        <f t="shared" ca="1" si="109"/>
        <v>0</v>
      </c>
      <c r="BD56" s="18">
        <f t="shared" ca="1" si="109"/>
        <v>0</v>
      </c>
      <c r="BE56" s="18">
        <f t="shared" ca="1" si="109"/>
        <v>0</v>
      </c>
      <c r="BF56" s="18">
        <f t="shared" ca="1" si="109"/>
        <v>0</v>
      </c>
      <c r="BG56" s="18">
        <f t="shared" ca="1" si="109"/>
        <v>0</v>
      </c>
      <c r="BH56" s="18">
        <f t="shared" ca="1" si="109"/>
        <v>0</v>
      </c>
      <c r="BI56" s="18">
        <f t="shared" ca="1" si="109"/>
        <v>0</v>
      </c>
      <c r="BJ56" s="18">
        <f t="shared" ca="1" si="109"/>
        <v>0</v>
      </c>
      <c r="BK56" s="18">
        <f t="shared" ca="1" si="109"/>
        <v>0</v>
      </c>
    </row>
    <row r="57" spans="1:63">
      <c r="A57" s="80"/>
      <c r="B57" s="64">
        <f>+'Taxes RCA 2022'!A50</f>
        <v>39</v>
      </c>
      <c r="C57" s="68" t="str">
        <f>+'Taxes RCA 2022'!B50</f>
        <v>Transfert infranational au titre de la taxe d'abattage (+)</v>
      </c>
      <c r="E57" s="165"/>
      <c r="F57" s="165">
        <f t="shared" si="118"/>
        <v>0</v>
      </c>
      <c r="G57" s="165">
        <f t="shared" si="119"/>
        <v>0</v>
      </c>
      <c r="H57" s="114"/>
      <c r="I57" s="165"/>
      <c r="J57" s="165">
        <f t="shared" ca="1" si="120"/>
        <v>0</v>
      </c>
      <c r="K57" s="165">
        <f t="shared" ca="1" si="121"/>
        <v>0</v>
      </c>
      <c r="L57" s="114"/>
      <c r="M57" s="165">
        <f t="shared" ca="1" si="122"/>
        <v>0</v>
      </c>
      <c r="N57" s="68"/>
      <c r="O57" s="38"/>
      <c r="P57" s="39"/>
      <c r="Y57" s="15">
        <f t="shared" si="102"/>
        <v>42</v>
      </c>
      <c r="Z57" s="25" t="str">
        <f t="shared" si="96"/>
        <v>Droit de sortie (DS)/Taxe Export (+)</v>
      </c>
      <c r="AA57" s="16">
        <f t="shared" si="103"/>
        <v>0</v>
      </c>
      <c r="AB57" s="16">
        <f t="shared" si="103"/>
        <v>0</v>
      </c>
      <c r="AC57" s="16">
        <f t="shared" si="103"/>
        <v>0</v>
      </c>
      <c r="AD57" s="16">
        <f t="shared" si="103"/>
        <v>0</v>
      </c>
      <c r="AE57" s="16">
        <f t="shared" si="103"/>
        <v>0</v>
      </c>
      <c r="AF57" s="16">
        <f t="shared" si="103"/>
        <v>0</v>
      </c>
      <c r="AG57" s="16">
        <f t="shared" si="103"/>
        <v>0</v>
      </c>
      <c r="AH57" s="16">
        <f t="shared" si="103"/>
        <v>0</v>
      </c>
      <c r="AI57" s="16">
        <f t="shared" si="103"/>
        <v>0</v>
      </c>
      <c r="AJ57" s="16">
        <f t="shared" si="104"/>
        <v>0</v>
      </c>
      <c r="AL57" s="17">
        <f t="shared" si="105"/>
        <v>42</v>
      </c>
      <c r="AM57" s="26" t="str">
        <f t="shared" si="98"/>
        <v>Droit de sortie (DS)/Taxe Export (+)</v>
      </c>
      <c r="AN57" s="18">
        <f t="shared" si="106"/>
        <v>0</v>
      </c>
      <c r="AO57" s="18">
        <f t="shared" si="106"/>
        <v>0</v>
      </c>
      <c r="AP57" s="18">
        <f t="shared" si="106"/>
        <v>0</v>
      </c>
      <c r="AQ57" s="18">
        <f t="shared" si="106"/>
        <v>0</v>
      </c>
      <c r="AR57" s="18">
        <f t="shared" si="106"/>
        <v>0</v>
      </c>
      <c r="AS57" s="18">
        <f t="shared" si="106"/>
        <v>0</v>
      </c>
      <c r="AT57" s="18">
        <f t="shared" si="106"/>
        <v>0</v>
      </c>
      <c r="AU57" s="18">
        <f t="shared" si="106"/>
        <v>0</v>
      </c>
      <c r="AV57" s="18">
        <f t="shared" si="107"/>
        <v>0</v>
      </c>
      <c r="AW57" s="18"/>
      <c r="AX57" s="17">
        <f t="shared" si="108"/>
        <v>42</v>
      </c>
      <c r="AY57" s="26" t="str">
        <f t="shared" si="100"/>
        <v>Droit de sortie (DS)/Taxe Export (+)</v>
      </c>
      <c r="AZ57" s="18">
        <f t="shared" ca="1" si="109"/>
        <v>0</v>
      </c>
      <c r="BA57" s="18">
        <f t="shared" ca="1" si="109"/>
        <v>0</v>
      </c>
      <c r="BB57" s="18">
        <f t="shared" ca="1" si="109"/>
        <v>0</v>
      </c>
      <c r="BC57" s="18">
        <f t="shared" ca="1" si="109"/>
        <v>0</v>
      </c>
      <c r="BD57" s="18">
        <f t="shared" ca="1" si="109"/>
        <v>0</v>
      </c>
      <c r="BE57" s="18">
        <f t="shared" ca="1" si="109"/>
        <v>0</v>
      </c>
      <c r="BF57" s="18">
        <f t="shared" ca="1" si="109"/>
        <v>0</v>
      </c>
      <c r="BG57" s="18">
        <f t="shared" ca="1" si="109"/>
        <v>0</v>
      </c>
      <c r="BH57" s="18">
        <f t="shared" ca="1" si="109"/>
        <v>0</v>
      </c>
      <c r="BI57" s="18">
        <f t="shared" ca="1" si="109"/>
        <v>0</v>
      </c>
      <c r="BJ57" s="18">
        <f t="shared" ca="1" si="109"/>
        <v>0</v>
      </c>
      <c r="BK57" s="18">
        <f t="shared" ca="1" si="109"/>
        <v>0</v>
      </c>
    </row>
    <row r="58" spans="1:63">
      <c r="A58" s="80"/>
      <c r="B58" s="53">
        <f>+'Taxes RCA 2022'!A51</f>
        <v>40</v>
      </c>
      <c r="C58" s="18" t="str">
        <f>+'Taxes RCA 2022'!B51</f>
        <v>Transfert infranational au titre de la taxe reboisement (+)</v>
      </c>
      <c r="E58" s="114"/>
      <c r="F58" s="114">
        <f t="shared" si="118"/>
        <v>0</v>
      </c>
      <c r="G58" s="114">
        <f t="shared" si="119"/>
        <v>0</v>
      </c>
      <c r="H58" s="114"/>
      <c r="I58" s="114"/>
      <c r="J58" s="114">
        <f t="shared" ca="1" si="120"/>
        <v>0</v>
      </c>
      <c r="K58" s="114">
        <f t="shared" ca="1" si="121"/>
        <v>0</v>
      </c>
      <c r="L58" s="114"/>
      <c r="M58" s="114">
        <f t="shared" ca="1" si="122"/>
        <v>0</v>
      </c>
      <c r="N58" s="18"/>
      <c r="O58" s="38"/>
      <c r="P58" s="39"/>
      <c r="Y58" s="15">
        <f t="shared" si="102"/>
        <v>43</v>
      </c>
      <c r="Z58" s="25" t="str">
        <f t="shared" si="96"/>
        <v xml:space="preserve">Autres transferts au profit des communes </v>
      </c>
      <c r="AA58" s="16">
        <f t="shared" si="103"/>
        <v>0</v>
      </c>
      <c r="AB58" s="16">
        <f t="shared" si="103"/>
        <v>0</v>
      </c>
      <c r="AC58" s="16">
        <f t="shared" si="103"/>
        <v>0</v>
      </c>
      <c r="AD58" s="16">
        <f t="shared" si="103"/>
        <v>0</v>
      </c>
      <c r="AE58" s="16">
        <f t="shared" si="103"/>
        <v>0</v>
      </c>
      <c r="AF58" s="16">
        <f t="shared" si="103"/>
        <v>0</v>
      </c>
      <c r="AG58" s="16">
        <f t="shared" si="103"/>
        <v>0</v>
      </c>
      <c r="AH58" s="16">
        <f t="shared" si="103"/>
        <v>0</v>
      </c>
      <c r="AI58" s="16">
        <f t="shared" si="103"/>
        <v>0</v>
      </c>
      <c r="AJ58" s="16">
        <f t="shared" si="104"/>
        <v>0</v>
      </c>
      <c r="AL58" s="17">
        <f>+B61</f>
        <v>43</v>
      </c>
      <c r="AM58" s="26" t="str">
        <f>+C61</f>
        <v xml:space="preserve">Autres transferts au profit des communes </v>
      </c>
      <c r="AN58" s="18">
        <f t="shared" si="106"/>
        <v>0</v>
      </c>
      <c r="AO58" s="18">
        <f t="shared" si="106"/>
        <v>0</v>
      </c>
      <c r="AP58" s="18">
        <f t="shared" si="106"/>
        <v>0</v>
      </c>
      <c r="AQ58" s="18">
        <f t="shared" si="106"/>
        <v>0</v>
      </c>
      <c r="AR58" s="18">
        <f t="shared" si="106"/>
        <v>0</v>
      </c>
      <c r="AS58" s="18">
        <f t="shared" si="106"/>
        <v>0</v>
      </c>
      <c r="AT58" s="18">
        <f t="shared" si="106"/>
        <v>0</v>
      </c>
      <c r="AU58" s="18">
        <f t="shared" si="106"/>
        <v>0</v>
      </c>
      <c r="AV58" s="18">
        <f t="shared" si="107"/>
        <v>0</v>
      </c>
      <c r="AW58" s="18"/>
      <c r="AX58" s="17">
        <f>B61</f>
        <v>43</v>
      </c>
      <c r="AY58" s="26" t="str">
        <f>C61</f>
        <v xml:space="preserve">Autres transferts au profit des communes </v>
      </c>
      <c r="AZ58" s="18">
        <f t="shared" ca="1" si="109"/>
        <v>0</v>
      </c>
      <c r="BA58" s="18">
        <f t="shared" ca="1" si="109"/>
        <v>0</v>
      </c>
      <c r="BB58" s="18">
        <f t="shared" ca="1" si="109"/>
        <v>0</v>
      </c>
      <c r="BC58" s="18">
        <f t="shared" ca="1" si="109"/>
        <v>0</v>
      </c>
      <c r="BD58" s="18">
        <f t="shared" ca="1" si="109"/>
        <v>0</v>
      </c>
      <c r="BE58" s="18">
        <f t="shared" ca="1" si="109"/>
        <v>0</v>
      </c>
      <c r="BF58" s="18">
        <f t="shared" ca="1" si="109"/>
        <v>0</v>
      </c>
      <c r="BG58" s="18">
        <f t="shared" ca="1" si="109"/>
        <v>0</v>
      </c>
      <c r="BH58" s="18">
        <f t="shared" ca="1" si="109"/>
        <v>0</v>
      </c>
      <c r="BI58" s="18">
        <f t="shared" ca="1" si="109"/>
        <v>0</v>
      </c>
      <c r="BJ58" s="18">
        <f t="shared" ca="1" si="109"/>
        <v>0</v>
      </c>
      <c r="BK58" s="18">
        <f t="shared" ca="1" si="109"/>
        <v>0</v>
      </c>
    </row>
    <row r="59" spans="1:63">
      <c r="A59" s="80"/>
      <c r="B59" s="64">
        <f>+'Taxes RCA 2022'!A52</f>
        <v>41</v>
      </c>
      <c r="C59" s="68" t="str">
        <f>+'Taxes RCA 2022'!B52</f>
        <v>Transfert infranational au titre de la taxe environnementale (+)</v>
      </c>
      <c r="E59" s="165"/>
      <c r="F59" s="165">
        <f t="shared" si="118"/>
        <v>0</v>
      </c>
      <c r="G59" s="165">
        <f t="shared" si="119"/>
        <v>0</v>
      </c>
      <c r="H59" s="114"/>
      <c r="I59" s="165"/>
      <c r="J59" s="165">
        <f t="shared" ca="1" si="120"/>
        <v>0</v>
      </c>
      <c r="K59" s="165">
        <f t="shared" ca="1" si="121"/>
        <v>0</v>
      </c>
      <c r="L59" s="114"/>
      <c r="M59" s="165">
        <f t="shared" ca="1" si="122"/>
        <v>0</v>
      </c>
      <c r="N59" s="68"/>
      <c r="O59" s="38"/>
      <c r="P59" s="39"/>
      <c r="Y59" s="15">
        <f>B62</f>
        <v>0</v>
      </c>
      <c r="Z59" s="25" t="str">
        <f>C62</f>
        <v>DGTCP (DGP)</v>
      </c>
      <c r="AA59" s="16">
        <f t="shared" si="103"/>
        <v>0</v>
      </c>
      <c r="AB59" s="16">
        <f t="shared" si="103"/>
        <v>0</v>
      </c>
      <c r="AC59" s="16">
        <f t="shared" si="103"/>
        <v>0</v>
      </c>
      <c r="AD59" s="16">
        <f t="shared" si="103"/>
        <v>0</v>
      </c>
      <c r="AE59" s="16">
        <f t="shared" si="103"/>
        <v>0</v>
      </c>
      <c r="AF59" s="16">
        <f t="shared" si="103"/>
        <v>0</v>
      </c>
      <c r="AG59" s="16">
        <f t="shared" si="103"/>
        <v>0</v>
      </c>
      <c r="AH59" s="16">
        <f t="shared" si="103"/>
        <v>0</v>
      </c>
      <c r="AI59" s="16">
        <f t="shared" si="103"/>
        <v>0</v>
      </c>
      <c r="AJ59" s="16">
        <f t="shared" si="104"/>
        <v>0</v>
      </c>
      <c r="AL59" s="17">
        <f>+B62</f>
        <v>0</v>
      </c>
      <c r="AM59" s="26" t="str">
        <f>+C62</f>
        <v>DGTCP (DGP)</v>
      </c>
      <c r="AN59" s="18">
        <f t="shared" si="106"/>
        <v>0</v>
      </c>
      <c r="AO59" s="18">
        <f t="shared" si="106"/>
        <v>0</v>
      </c>
      <c r="AP59" s="18">
        <f t="shared" si="106"/>
        <v>0</v>
      </c>
      <c r="AQ59" s="18">
        <f t="shared" si="106"/>
        <v>0</v>
      </c>
      <c r="AR59" s="18">
        <f t="shared" si="106"/>
        <v>0</v>
      </c>
      <c r="AS59" s="18">
        <f t="shared" si="106"/>
        <v>0</v>
      </c>
      <c r="AT59" s="18">
        <f t="shared" si="106"/>
        <v>0</v>
      </c>
      <c r="AU59" s="18">
        <f t="shared" si="106"/>
        <v>0</v>
      </c>
      <c r="AV59" s="18">
        <f t="shared" si="107"/>
        <v>0</v>
      </c>
      <c r="AW59" s="18"/>
      <c r="AX59" s="17">
        <f>B62</f>
        <v>0</v>
      </c>
      <c r="AY59" s="26" t="str">
        <f>C62</f>
        <v>DGTCP (DGP)</v>
      </c>
      <c r="AZ59" s="18">
        <f t="shared" ca="1" si="109"/>
        <v>0</v>
      </c>
      <c r="BA59" s="18">
        <f t="shared" ca="1" si="109"/>
        <v>0</v>
      </c>
      <c r="BB59" s="18">
        <f t="shared" ca="1" si="109"/>
        <v>0</v>
      </c>
      <c r="BC59" s="18">
        <f t="shared" ca="1" si="109"/>
        <v>0</v>
      </c>
      <c r="BD59" s="18">
        <f t="shared" ca="1" si="109"/>
        <v>0</v>
      </c>
      <c r="BE59" s="18">
        <f t="shared" ca="1" si="109"/>
        <v>0</v>
      </c>
      <c r="BF59" s="18">
        <f t="shared" ca="1" si="109"/>
        <v>0</v>
      </c>
      <c r="BG59" s="18">
        <f t="shared" ca="1" si="109"/>
        <v>0</v>
      </c>
      <c r="BH59" s="18">
        <f t="shared" ca="1" si="109"/>
        <v>0</v>
      </c>
      <c r="BI59" s="18">
        <f t="shared" ca="1" si="109"/>
        <v>0</v>
      </c>
      <c r="BJ59" s="18">
        <f t="shared" ca="1" si="109"/>
        <v>0</v>
      </c>
      <c r="BK59" s="18">
        <f t="shared" ca="1" si="109"/>
        <v>0</v>
      </c>
    </row>
    <row r="60" spans="1:63">
      <c r="A60" s="80"/>
      <c r="B60" s="53">
        <f>+'Taxes RCA 2022'!A53</f>
        <v>42</v>
      </c>
      <c r="C60" s="18" t="str">
        <f>+'Taxes RCA 2022'!B53</f>
        <v>Droit de sortie (DS)/Taxe Export (+)</v>
      </c>
      <c r="E60" s="114"/>
      <c r="F60" s="114">
        <f t="shared" si="118"/>
        <v>0</v>
      </c>
      <c r="G60" s="114">
        <f t="shared" si="119"/>
        <v>0</v>
      </c>
      <c r="H60" s="114"/>
      <c r="I60" s="114"/>
      <c r="J60" s="114">
        <f t="shared" ca="1" si="120"/>
        <v>0</v>
      </c>
      <c r="K60" s="114">
        <f t="shared" ca="1" si="121"/>
        <v>0</v>
      </c>
      <c r="L60" s="114"/>
      <c r="M60" s="114">
        <f t="shared" ca="1" si="122"/>
        <v>0</v>
      </c>
      <c r="N60" s="18"/>
      <c r="O60" s="38"/>
      <c r="P60" s="39"/>
      <c r="Y60" s="15"/>
      <c r="Z60" s="25" t="str">
        <f>C63</f>
        <v xml:space="preserve">Fonds du soutien à la Promotion Pétrolière </v>
      </c>
      <c r="AA60" s="16">
        <f>SUM(AA61:AA64)</f>
        <v>0</v>
      </c>
      <c r="AB60" s="16">
        <f t="shared" ref="AB60:AJ60" si="123">SUM(AB61:AB64)</f>
        <v>0</v>
      </c>
      <c r="AC60" s="16">
        <f t="shared" si="123"/>
        <v>0</v>
      </c>
      <c r="AD60" s="16">
        <f t="shared" si="123"/>
        <v>0</v>
      </c>
      <c r="AE60" s="16">
        <f t="shared" si="123"/>
        <v>0</v>
      </c>
      <c r="AF60" s="16">
        <f t="shared" si="123"/>
        <v>0</v>
      </c>
      <c r="AG60" s="16">
        <f t="shared" si="123"/>
        <v>0</v>
      </c>
      <c r="AH60" s="16">
        <f t="shared" si="123"/>
        <v>0</v>
      </c>
      <c r="AI60" s="16">
        <f t="shared" si="123"/>
        <v>0</v>
      </c>
      <c r="AJ60" s="16">
        <f t="shared" si="123"/>
        <v>0</v>
      </c>
      <c r="AL60" s="17"/>
      <c r="AM60" s="26" t="str">
        <f>+C63</f>
        <v xml:space="preserve">Fonds du soutien à la Promotion Pétrolière </v>
      </c>
      <c r="AN60" s="18">
        <f t="shared" ref="AN60:AV60" si="124">SUM(AN61:AN64)</f>
        <v>0</v>
      </c>
      <c r="AO60" s="18">
        <f t="shared" si="124"/>
        <v>0</v>
      </c>
      <c r="AP60" s="18">
        <f t="shared" si="124"/>
        <v>0</v>
      </c>
      <c r="AQ60" s="18">
        <f t="shared" si="124"/>
        <v>0</v>
      </c>
      <c r="AR60" s="18">
        <f t="shared" si="124"/>
        <v>0</v>
      </c>
      <c r="AS60" s="18">
        <f t="shared" si="124"/>
        <v>0</v>
      </c>
      <c r="AT60" s="18">
        <f t="shared" si="124"/>
        <v>0</v>
      </c>
      <c r="AU60" s="18">
        <f t="shared" si="124"/>
        <v>0</v>
      </c>
      <c r="AV60" s="18">
        <f t="shared" si="124"/>
        <v>0</v>
      </c>
      <c r="AW60" s="18"/>
      <c r="AX60" s="17"/>
      <c r="AY60" s="26" t="str">
        <f>C63</f>
        <v xml:space="preserve">Fonds du soutien à la Promotion Pétrolière </v>
      </c>
      <c r="AZ60" s="18">
        <f t="shared" ref="AZ60:BK60" ca="1" si="125">SUM(AZ61:AZ64)</f>
        <v>0</v>
      </c>
      <c r="BA60" s="18">
        <f t="shared" ca="1" si="125"/>
        <v>0</v>
      </c>
      <c r="BB60" s="18">
        <f t="shared" ca="1" si="125"/>
        <v>0</v>
      </c>
      <c r="BC60" s="18">
        <f t="shared" ca="1" si="125"/>
        <v>0</v>
      </c>
      <c r="BD60" s="18">
        <f t="shared" ca="1" si="125"/>
        <v>0</v>
      </c>
      <c r="BE60" s="18">
        <f t="shared" ca="1" si="125"/>
        <v>0</v>
      </c>
      <c r="BF60" s="18">
        <f t="shared" ca="1" si="125"/>
        <v>0</v>
      </c>
      <c r="BG60" s="18">
        <f t="shared" ca="1" si="125"/>
        <v>0</v>
      </c>
      <c r="BH60" s="18">
        <f t="shared" ca="1" si="125"/>
        <v>0</v>
      </c>
      <c r="BI60" s="18">
        <f t="shared" ca="1" si="125"/>
        <v>0</v>
      </c>
      <c r="BJ60" s="18">
        <f t="shared" ca="1" si="125"/>
        <v>0</v>
      </c>
      <c r="BK60" s="18">
        <f t="shared" ca="1" si="125"/>
        <v>0</v>
      </c>
    </row>
    <row r="61" spans="1:63">
      <c r="A61" s="80"/>
      <c r="B61" s="64">
        <f>+'Taxes RCA 2022'!A54</f>
        <v>43</v>
      </c>
      <c r="C61" s="68" t="str">
        <f>+'Taxes RCA 2022'!B54</f>
        <v xml:space="preserve">Autres transferts au profit des communes </v>
      </c>
      <c r="E61" s="165"/>
      <c r="F61" s="165">
        <f t="shared" si="118"/>
        <v>0</v>
      </c>
      <c r="G61" s="165">
        <f t="shared" si="119"/>
        <v>0</v>
      </c>
      <c r="H61" s="114"/>
      <c r="I61" s="165"/>
      <c r="J61" s="165">
        <f t="shared" ca="1" si="120"/>
        <v>0</v>
      </c>
      <c r="K61" s="165">
        <f t="shared" ca="1" si="121"/>
        <v>0</v>
      </c>
      <c r="L61" s="114"/>
      <c r="M61" s="165">
        <f t="shared" ca="1" si="122"/>
        <v>0</v>
      </c>
      <c r="N61" s="68"/>
      <c r="O61" s="38"/>
      <c r="P61" s="39"/>
      <c r="Y61" s="15">
        <f>B64</f>
        <v>45</v>
      </c>
      <c r="Z61" s="25" t="str">
        <f>C64</f>
        <v>Fonds de Soutien aux projets de Développement Communautaire</v>
      </c>
      <c r="AA61" s="16">
        <f t="shared" ref="AA61:AI61" si="126">SUMPRODUCT(($A$84:$A$751=$Y61&amp;"- "&amp;$Z61)*($C$84:$C$751=AA$1)*($G$84:$G$751))</f>
        <v>0</v>
      </c>
      <c r="AB61" s="16">
        <f t="shared" si="126"/>
        <v>0</v>
      </c>
      <c r="AC61" s="16">
        <f t="shared" si="126"/>
        <v>0</v>
      </c>
      <c r="AD61" s="16">
        <f t="shared" si="126"/>
        <v>0</v>
      </c>
      <c r="AE61" s="16">
        <f t="shared" si="126"/>
        <v>0</v>
      </c>
      <c r="AF61" s="16">
        <f t="shared" si="126"/>
        <v>0</v>
      </c>
      <c r="AG61" s="16">
        <f t="shared" si="126"/>
        <v>0</v>
      </c>
      <c r="AH61" s="16">
        <f t="shared" si="126"/>
        <v>0</v>
      </c>
      <c r="AI61" s="16">
        <f t="shared" si="126"/>
        <v>0</v>
      </c>
      <c r="AJ61" s="16">
        <f>SUM(AA61:AI61)</f>
        <v>0</v>
      </c>
      <c r="AL61" s="17">
        <f>+B64</f>
        <v>45</v>
      </c>
      <c r="AM61" s="26" t="str">
        <f>+C64</f>
        <v>Fonds de Soutien aux projets de Développement Communautaire</v>
      </c>
      <c r="AN61" s="18">
        <f t="shared" ref="AN61:AU61" si="127">SUMPRODUCT(($J$84:$M$748=$AL61&amp;"- "&amp;$AM61)*($N$84:$N$748=AN$1)*($Q$84:$Q$748))</f>
        <v>0</v>
      </c>
      <c r="AO61" s="18">
        <f t="shared" si="127"/>
        <v>0</v>
      </c>
      <c r="AP61" s="18">
        <f t="shared" si="127"/>
        <v>0</v>
      </c>
      <c r="AQ61" s="18">
        <f t="shared" si="127"/>
        <v>0</v>
      </c>
      <c r="AR61" s="18">
        <f t="shared" si="127"/>
        <v>0</v>
      </c>
      <c r="AS61" s="18">
        <f t="shared" si="127"/>
        <v>0</v>
      </c>
      <c r="AT61" s="18">
        <f t="shared" si="127"/>
        <v>0</v>
      </c>
      <c r="AU61" s="18">
        <f t="shared" si="127"/>
        <v>0</v>
      </c>
      <c r="AV61" s="18">
        <f>SUM(AN61:AU61)</f>
        <v>0</v>
      </c>
      <c r="AW61" s="18"/>
      <c r="AX61" s="17">
        <f>B64</f>
        <v>45</v>
      </c>
      <c r="AY61" s="26" t="str">
        <f>C64</f>
        <v>Fonds de Soutien aux projets de Développement Communautaire</v>
      </c>
      <c r="AZ61" s="18">
        <f t="shared" ref="AZ61:BK61" ca="1" si="128">SUMPRODUCT(($C$10:$C$75=$AY61)*($N$10:$N$75=AZ$1)*($M$10:$M$75))</f>
        <v>0</v>
      </c>
      <c r="BA61" s="18">
        <f t="shared" ca="1" si="128"/>
        <v>0</v>
      </c>
      <c r="BB61" s="18">
        <f t="shared" ca="1" si="128"/>
        <v>0</v>
      </c>
      <c r="BC61" s="18">
        <f t="shared" ca="1" si="128"/>
        <v>0</v>
      </c>
      <c r="BD61" s="18">
        <f t="shared" ca="1" si="128"/>
        <v>0</v>
      </c>
      <c r="BE61" s="18">
        <f t="shared" ca="1" si="128"/>
        <v>0</v>
      </c>
      <c r="BF61" s="18">
        <f t="shared" ca="1" si="128"/>
        <v>0</v>
      </c>
      <c r="BG61" s="18">
        <f t="shared" ca="1" si="128"/>
        <v>0</v>
      </c>
      <c r="BH61" s="18">
        <f t="shared" ca="1" si="128"/>
        <v>0</v>
      </c>
      <c r="BI61" s="18">
        <f t="shared" ca="1" si="128"/>
        <v>0</v>
      </c>
      <c r="BJ61" s="18">
        <f t="shared" ca="1" si="128"/>
        <v>0</v>
      </c>
      <c r="BK61" s="18">
        <f t="shared" ca="1" si="128"/>
        <v>0</v>
      </c>
    </row>
    <row r="62" spans="1:63">
      <c r="A62" s="80"/>
      <c r="B62" s="163"/>
      <c r="C62" s="58" t="str">
        <f>+'Taxes RCA 2022'!B55</f>
        <v>DGTCP (DGP)</v>
      </c>
      <c r="E62" s="166">
        <f>+E64+E63</f>
        <v>0</v>
      </c>
      <c r="F62" s="166">
        <f t="shared" ref="F62:G62" si="129">+F64+F63</f>
        <v>0</v>
      </c>
      <c r="G62" s="166">
        <f t="shared" si="129"/>
        <v>0</v>
      </c>
      <c r="H62" s="114"/>
      <c r="I62" s="166">
        <f>+I64+I63</f>
        <v>0</v>
      </c>
      <c r="J62" s="166">
        <f t="shared" ref="J62" ca="1" si="130">+J64+J63</f>
        <v>0</v>
      </c>
      <c r="K62" s="166">
        <f t="shared" ref="K62" ca="1" si="131">+K64+K63</f>
        <v>0</v>
      </c>
      <c r="L62" s="114"/>
      <c r="M62" s="166">
        <f t="shared" ref="M62" ca="1" si="132">+M64+M63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ca="1">IF(M63=0,"",IF(N63=0,"ERROR",""))</f>
        <v/>
      </c>
      <c r="P63" s="39"/>
      <c r="Q63" s="23"/>
      <c r="Y63" s="15">
        <f>B65</f>
        <v>0</v>
      </c>
      <c r="Z63" s="25" t="str">
        <f>C65</f>
        <v xml:space="preserve">Paiements Sociaux </v>
      </c>
      <c r="AA63" s="16">
        <f t="shared" ref="AA63:AI64" si="133">SUMPRODUCT(($A$84:$A$751=$Y63&amp;"- "&amp;$Z63)*($C$84:$C$751=AA$1)*($G$84:$G$751))</f>
        <v>0</v>
      </c>
      <c r="AB63" s="16">
        <f t="shared" si="133"/>
        <v>0</v>
      </c>
      <c r="AC63" s="16">
        <f t="shared" si="133"/>
        <v>0</v>
      </c>
      <c r="AD63" s="16">
        <f t="shared" si="133"/>
        <v>0</v>
      </c>
      <c r="AE63" s="16">
        <f t="shared" si="133"/>
        <v>0</v>
      </c>
      <c r="AF63" s="16">
        <f t="shared" si="133"/>
        <v>0</v>
      </c>
      <c r="AG63" s="16">
        <f t="shared" si="133"/>
        <v>0</v>
      </c>
      <c r="AH63" s="16">
        <f t="shared" si="133"/>
        <v>0</v>
      </c>
      <c r="AI63" s="16">
        <f t="shared" si="133"/>
        <v>0</v>
      </c>
      <c r="AJ63" s="16">
        <f>SUM(AA63:AI63)</f>
        <v>0</v>
      </c>
      <c r="AL63" s="17">
        <f>+B65</f>
        <v>0</v>
      </c>
      <c r="AM63" s="26" t="str">
        <f>+C65</f>
        <v xml:space="preserve">Paiements Sociaux </v>
      </c>
      <c r="AN63" s="18">
        <f t="shared" ref="AN63:AU64" si="134">SUMPRODUCT(($J$84:$M$748=$AL63&amp;"- "&amp;$AM63)*($N$84:$N$748=AN$1)*($Q$84:$Q$748))</f>
        <v>0</v>
      </c>
      <c r="AO63" s="18">
        <f t="shared" si="134"/>
        <v>0</v>
      </c>
      <c r="AP63" s="18">
        <f t="shared" si="134"/>
        <v>0</v>
      </c>
      <c r="AQ63" s="18">
        <f t="shared" si="134"/>
        <v>0</v>
      </c>
      <c r="AR63" s="18">
        <f t="shared" si="134"/>
        <v>0</v>
      </c>
      <c r="AS63" s="18">
        <f t="shared" si="134"/>
        <v>0</v>
      </c>
      <c r="AT63" s="18">
        <f t="shared" si="134"/>
        <v>0</v>
      </c>
      <c r="AU63" s="18">
        <f t="shared" si="134"/>
        <v>0</v>
      </c>
      <c r="AV63" s="18">
        <f>SUM(AN63:AU63)</f>
        <v>0</v>
      </c>
      <c r="AW63" s="18"/>
      <c r="AX63" s="17">
        <f>B65</f>
        <v>0</v>
      </c>
      <c r="AY63" s="26" t="str">
        <f>C65</f>
        <v xml:space="preserve">Paiements Sociaux </v>
      </c>
      <c r="AZ63" s="18">
        <f t="shared" ref="AZ63:BK64" ca="1" si="135">SUMPRODUCT(($C$10:$C$75=$AY63)*($N$10:$N$75=AZ$1)*($M$10:$M$75))</f>
        <v>0</v>
      </c>
      <c r="BA63" s="18">
        <f t="shared" ca="1" si="135"/>
        <v>0</v>
      </c>
      <c r="BB63" s="18">
        <f t="shared" ca="1" si="135"/>
        <v>0</v>
      </c>
      <c r="BC63" s="18">
        <f t="shared" ca="1" si="135"/>
        <v>0</v>
      </c>
      <c r="BD63" s="18">
        <f t="shared" ca="1" si="135"/>
        <v>0</v>
      </c>
      <c r="BE63" s="18">
        <f t="shared" ca="1" si="135"/>
        <v>0</v>
      </c>
      <c r="BF63" s="18">
        <f t="shared" ca="1" si="135"/>
        <v>0</v>
      </c>
      <c r="BG63" s="18">
        <f t="shared" ca="1" si="135"/>
        <v>0</v>
      </c>
      <c r="BH63" s="18">
        <f t="shared" ca="1" si="135"/>
        <v>0</v>
      </c>
      <c r="BI63" s="18">
        <f t="shared" ca="1" si="135"/>
        <v>0</v>
      </c>
      <c r="BJ63" s="18">
        <f t="shared" ca="1" si="135"/>
        <v>0</v>
      </c>
      <c r="BK63" s="18">
        <f t="shared" ca="1" si="135"/>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ca="1">IF(M64=0,"",IF(N64=0,"ERROR",""))</f>
        <v/>
      </c>
      <c r="P64" s="39" t="str">
        <f ca="1">IF(O64="ERROR","Please insert comment","")</f>
        <v/>
      </c>
      <c r="Y64" s="15">
        <f>B66</f>
        <v>46</v>
      </c>
      <c r="Z64" s="25" t="str">
        <f>C66</f>
        <v>Paiements sociaux obligatoires</v>
      </c>
      <c r="AA64" s="16">
        <f t="shared" si="133"/>
        <v>0</v>
      </c>
      <c r="AB64" s="16">
        <f t="shared" si="133"/>
        <v>0</v>
      </c>
      <c r="AC64" s="16">
        <f t="shared" si="133"/>
        <v>0</v>
      </c>
      <c r="AD64" s="16">
        <f t="shared" si="133"/>
        <v>0</v>
      </c>
      <c r="AE64" s="16">
        <f t="shared" si="133"/>
        <v>0</v>
      </c>
      <c r="AF64" s="16">
        <f t="shared" si="133"/>
        <v>0</v>
      </c>
      <c r="AG64" s="16">
        <f t="shared" si="133"/>
        <v>0</v>
      </c>
      <c r="AH64" s="16">
        <f t="shared" si="133"/>
        <v>0</v>
      </c>
      <c r="AI64" s="16">
        <f t="shared" si="133"/>
        <v>0</v>
      </c>
      <c r="AJ64" s="16">
        <f>SUM(AA64:AI64)</f>
        <v>0</v>
      </c>
      <c r="AL64" s="17">
        <f>+B66</f>
        <v>46</v>
      </c>
      <c r="AM64" s="26" t="str">
        <f>+C66</f>
        <v>Paiements sociaux obligatoires</v>
      </c>
      <c r="AN64" s="18">
        <f t="shared" si="134"/>
        <v>0</v>
      </c>
      <c r="AO64" s="18">
        <f t="shared" si="134"/>
        <v>0</v>
      </c>
      <c r="AP64" s="18">
        <f t="shared" si="134"/>
        <v>0</v>
      </c>
      <c r="AQ64" s="18">
        <f t="shared" si="134"/>
        <v>0</v>
      </c>
      <c r="AR64" s="18">
        <f t="shared" si="134"/>
        <v>0</v>
      </c>
      <c r="AS64" s="18">
        <f t="shared" si="134"/>
        <v>0</v>
      </c>
      <c r="AT64" s="18">
        <f t="shared" si="134"/>
        <v>0</v>
      </c>
      <c r="AU64" s="18">
        <f t="shared" si="134"/>
        <v>0</v>
      </c>
      <c r="AV64" s="18">
        <f>SUM(AN64:AU64)</f>
        <v>0</v>
      </c>
      <c r="AW64" s="38"/>
      <c r="AX64" s="17">
        <f>B66</f>
        <v>46</v>
      </c>
      <c r="AY64" s="26" t="str">
        <f>C66</f>
        <v>Paiements sociaux obligatoires</v>
      </c>
      <c r="AZ64" s="18">
        <f t="shared" ca="1" si="135"/>
        <v>0</v>
      </c>
      <c r="BA64" s="18">
        <f t="shared" ca="1" si="135"/>
        <v>0</v>
      </c>
      <c r="BB64" s="18">
        <f t="shared" ca="1" si="135"/>
        <v>0</v>
      </c>
      <c r="BC64" s="18">
        <f t="shared" ca="1" si="135"/>
        <v>0</v>
      </c>
      <c r="BD64" s="18">
        <f t="shared" ca="1" si="135"/>
        <v>0</v>
      </c>
      <c r="BE64" s="18">
        <f t="shared" ca="1" si="135"/>
        <v>0</v>
      </c>
      <c r="BF64" s="18">
        <f t="shared" ca="1" si="135"/>
        <v>0</v>
      </c>
      <c r="BG64" s="18">
        <f t="shared" ca="1" si="135"/>
        <v>0</v>
      </c>
      <c r="BH64" s="18">
        <f t="shared" ca="1" si="135"/>
        <v>0</v>
      </c>
      <c r="BI64" s="18">
        <f t="shared" ca="1" si="135"/>
        <v>0</v>
      </c>
      <c r="BJ64" s="18">
        <f t="shared" ca="1" si="135"/>
        <v>0</v>
      </c>
      <c r="BK64" s="18">
        <f t="shared" ca="1" si="135"/>
        <v>0</v>
      </c>
    </row>
    <row r="65" spans="1:64">
      <c r="A65" s="80">
        <f t="shared" si="29"/>
        <v>0</v>
      </c>
      <c r="B65" s="163"/>
      <c r="C65" s="58" t="str">
        <f>+'Taxes RCA 2022'!B58</f>
        <v xml:space="preserve">Paiements Sociaux </v>
      </c>
      <c r="E65" s="166">
        <f>+E67+E66</f>
        <v>0</v>
      </c>
      <c r="F65" s="166">
        <f t="shared" ref="F65:G65" si="136">+F67+F66</f>
        <v>0</v>
      </c>
      <c r="G65" s="166">
        <f t="shared" si="136"/>
        <v>0</v>
      </c>
      <c r="H65" s="114"/>
      <c r="I65" s="166">
        <f>+I67+I66</f>
        <v>0</v>
      </c>
      <c r="J65" s="166">
        <f t="shared" ref="J65" ca="1" si="137">+J67+J66</f>
        <v>0</v>
      </c>
      <c r="K65" s="166">
        <f t="shared" ref="K65" ca="1" si="138">+K67+K66</f>
        <v>0</v>
      </c>
      <c r="L65" s="114"/>
      <c r="M65" s="166">
        <f t="shared" ref="M65" ca="1" si="139">+M67+M66</f>
        <v>0</v>
      </c>
      <c r="N65" s="58"/>
      <c r="O65" s="38" t="str">
        <f ca="1">IF(M65=0,"",IF(N65=0,"ERROR",""))</f>
        <v/>
      </c>
      <c r="P65" s="39" t="str">
        <f ca="1">IF(O65="ERROR","Please insert comment","")</f>
        <v/>
      </c>
      <c r="Y65" s="15"/>
      <c r="Z65" s="25" t="str">
        <f t="shared" ref="Z65:Z73" si="140">C67</f>
        <v>Paiements sociaux volontaires</v>
      </c>
      <c r="AA65" s="16">
        <f>SUM(AA66:AA67)</f>
        <v>0</v>
      </c>
      <c r="AB65" s="16">
        <f t="shared" ref="AB65:AJ65" si="141">SUM(AB66:AB67)</f>
        <v>0</v>
      </c>
      <c r="AC65" s="16">
        <f t="shared" si="141"/>
        <v>0</v>
      </c>
      <c r="AD65" s="16">
        <f t="shared" si="141"/>
        <v>0</v>
      </c>
      <c r="AE65" s="16">
        <f t="shared" si="141"/>
        <v>0</v>
      </c>
      <c r="AF65" s="16">
        <f t="shared" si="141"/>
        <v>0</v>
      </c>
      <c r="AG65" s="16">
        <f t="shared" si="141"/>
        <v>0</v>
      </c>
      <c r="AH65" s="16">
        <f t="shared" si="141"/>
        <v>0</v>
      </c>
      <c r="AI65" s="16">
        <f t="shared" si="141"/>
        <v>0</v>
      </c>
      <c r="AJ65" s="16">
        <f t="shared" si="141"/>
        <v>0</v>
      </c>
      <c r="AL65" s="17"/>
      <c r="AM65" s="26" t="str">
        <f t="shared" ref="AM65:AM73" si="142">+C67</f>
        <v>Paiements sociaux volontaires</v>
      </c>
      <c r="AN65" s="18">
        <f>SUM(AN66:AN67)</f>
        <v>0</v>
      </c>
      <c r="AO65" s="18">
        <f t="shared" ref="AO65:AV65" si="143">SUM(AO66:AO67)</f>
        <v>0</v>
      </c>
      <c r="AP65" s="18">
        <f t="shared" si="143"/>
        <v>0</v>
      </c>
      <c r="AQ65" s="18">
        <f t="shared" si="143"/>
        <v>0</v>
      </c>
      <c r="AR65" s="18">
        <f t="shared" si="143"/>
        <v>0</v>
      </c>
      <c r="AS65" s="18">
        <f t="shared" si="143"/>
        <v>0</v>
      </c>
      <c r="AT65" s="18">
        <f t="shared" si="143"/>
        <v>0</v>
      </c>
      <c r="AU65" s="18">
        <f t="shared" si="143"/>
        <v>0</v>
      </c>
      <c r="AV65" s="18">
        <f t="shared" si="143"/>
        <v>0</v>
      </c>
      <c r="AW65" s="18"/>
      <c r="AX65" s="17"/>
      <c r="AY65" s="26" t="str">
        <f t="shared" ref="AY65:AY73" si="144">C67</f>
        <v>Paiements sociaux volontaires</v>
      </c>
      <c r="AZ65" s="18">
        <f ca="1">SUM(AZ66:AZ67)</f>
        <v>0</v>
      </c>
      <c r="BA65" s="18">
        <f t="shared" ref="BA65:BK65" ca="1" si="145">SUM(BA66:BA67)</f>
        <v>0</v>
      </c>
      <c r="BB65" s="18">
        <f t="shared" ca="1" si="145"/>
        <v>0</v>
      </c>
      <c r="BC65" s="18">
        <f t="shared" ca="1" si="145"/>
        <v>0</v>
      </c>
      <c r="BD65" s="18">
        <f t="shared" ca="1" si="145"/>
        <v>0</v>
      </c>
      <c r="BE65" s="18">
        <f t="shared" ca="1" si="145"/>
        <v>0</v>
      </c>
      <c r="BF65" s="18">
        <f t="shared" ca="1" si="145"/>
        <v>0</v>
      </c>
      <c r="BG65" s="18">
        <f t="shared" ca="1" si="145"/>
        <v>0</v>
      </c>
      <c r="BH65" s="18">
        <f t="shared" ca="1" si="145"/>
        <v>0</v>
      </c>
      <c r="BI65" s="18">
        <f t="shared" ca="1" si="145"/>
        <v>0</v>
      </c>
      <c r="BJ65" s="18">
        <f t="shared" ca="1" si="145"/>
        <v>0</v>
      </c>
      <c r="BK65" s="18">
        <f t="shared" ca="1" si="145"/>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ca="1">IF(M66=0,"",IF(N66=0,"ERROR",""))</f>
        <v/>
      </c>
      <c r="P66" s="39" t="str">
        <f ca="1">IF(O66="ERROR","Please insert comment","")</f>
        <v/>
      </c>
      <c r="Y66" s="15">
        <f>B68</f>
        <v>0</v>
      </c>
      <c r="Z66" s="25" t="str">
        <f t="shared" si="140"/>
        <v>Paiements environnementaux - DGTCP (FNE)</v>
      </c>
      <c r="AA66" s="16">
        <f t="shared" ref="AA66:AI67" si="146">SUMPRODUCT(($A$84:$A$751=$Y66&amp;"- "&amp;$Z66)*($C$84:$C$751=AA$1)*($G$84:$G$751))</f>
        <v>0</v>
      </c>
      <c r="AB66" s="16">
        <f t="shared" si="146"/>
        <v>0</v>
      </c>
      <c r="AC66" s="16">
        <f t="shared" si="146"/>
        <v>0</v>
      </c>
      <c r="AD66" s="16">
        <f t="shared" si="146"/>
        <v>0</v>
      </c>
      <c r="AE66" s="16">
        <f t="shared" si="146"/>
        <v>0</v>
      </c>
      <c r="AF66" s="16">
        <f t="shared" si="146"/>
        <v>0</v>
      </c>
      <c r="AG66" s="16">
        <f t="shared" si="146"/>
        <v>0</v>
      </c>
      <c r="AH66" s="16">
        <f t="shared" si="146"/>
        <v>0</v>
      </c>
      <c r="AI66" s="16">
        <f t="shared" si="146"/>
        <v>0</v>
      </c>
      <c r="AJ66" s="16">
        <f>SUM(AA66:AI66)</f>
        <v>0</v>
      </c>
      <c r="AL66" s="17">
        <f>+B68</f>
        <v>0</v>
      </c>
      <c r="AM66" s="26" t="str">
        <f t="shared" si="142"/>
        <v>Paiements environnementaux - DGTCP (FNE)</v>
      </c>
      <c r="AN66" s="18">
        <f t="shared" ref="AN66:AU67" si="147">SUMPRODUCT(($J$84:$M$748=$AL66&amp;"- "&amp;$AM66)*($N$84:$N$748=AN$1)*($Q$84:$Q$748))</f>
        <v>0</v>
      </c>
      <c r="AO66" s="18">
        <f t="shared" si="147"/>
        <v>0</v>
      </c>
      <c r="AP66" s="18">
        <f t="shared" si="147"/>
        <v>0</v>
      </c>
      <c r="AQ66" s="18">
        <f t="shared" si="147"/>
        <v>0</v>
      </c>
      <c r="AR66" s="18">
        <f t="shared" si="147"/>
        <v>0</v>
      </c>
      <c r="AS66" s="18">
        <f t="shared" si="147"/>
        <v>0</v>
      </c>
      <c r="AT66" s="18">
        <f t="shared" si="147"/>
        <v>0</v>
      </c>
      <c r="AU66" s="18">
        <f t="shared" si="147"/>
        <v>0</v>
      </c>
      <c r="AV66" s="18">
        <f>SUM(AN66:AU66)</f>
        <v>0</v>
      </c>
      <c r="AW66" s="18"/>
      <c r="AX66" s="17">
        <f>B68</f>
        <v>0</v>
      </c>
      <c r="AY66" s="26" t="str">
        <f t="shared" si="144"/>
        <v>Paiements environnementaux - DGTCP (FNE)</v>
      </c>
      <c r="AZ66" s="18">
        <f t="shared" ref="AZ66:BK67" ca="1" si="148">SUMPRODUCT(($C$10:$C$75=$AY66)*($N$10:$N$75=AZ$1)*($M$10:$M$75))</f>
        <v>0</v>
      </c>
      <c r="BA66" s="18">
        <f t="shared" ca="1" si="148"/>
        <v>0</v>
      </c>
      <c r="BB66" s="18">
        <f t="shared" ca="1" si="148"/>
        <v>0</v>
      </c>
      <c r="BC66" s="18">
        <f t="shared" ca="1" si="148"/>
        <v>0</v>
      </c>
      <c r="BD66" s="18">
        <f t="shared" ca="1" si="148"/>
        <v>0</v>
      </c>
      <c r="BE66" s="18">
        <f t="shared" ca="1" si="148"/>
        <v>0</v>
      </c>
      <c r="BF66" s="18">
        <f t="shared" ca="1" si="148"/>
        <v>0</v>
      </c>
      <c r="BG66" s="18">
        <f t="shared" ca="1" si="148"/>
        <v>0</v>
      </c>
      <c r="BH66" s="18">
        <f t="shared" ca="1" si="148"/>
        <v>0</v>
      </c>
      <c r="BI66" s="18">
        <f t="shared" ca="1" si="148"/>
        <v>0</v>
      </c>
      <c r="BJ66" s="18">
        <f t="shared" ca="1" si="148"/>
        <v>0</v>
      </c>
      <c r="BK66" s="18">
        <f t="shared" ca="1" si="148"/>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40"/>
        <v>Taxes sur les appareils à pression de vapeur et de gaz (+)</v>
      </c>
      <c r="AA67" s="16">
        <f t="shared" si="146"/>
        <v>0</v>
      </c>
      <c r="AB67" s="16">
        <f t="shared" si="146"/>
        <v>0</v>
      </c>
      <c r="AC67" s="16">
        <f t="shared" si="146"/>
        <v>0</v>
      </c>
      <c r="AD67" s="16">
        <f t="shared" si="146"/>
        <v>0</v>
      </c>
      <c r="AE67" s="16">
        <f t="shared" si="146"/>
        <v>0</v>
      </c>
      <c r="AF67" s="16">
        <f t="shared" si="146"/>
        <v>0</v>
      </c>
      <c r="AG67" s="16">
        <f t="shared" si="146"/>
        <v>0</v>
      </c>
      <c r="AH67" s="16">
        <f t="shared" si="146"/>
        <v>0</v>
      </c>
      <c r="AI67" s="16">
        <f t="shared" si="146"/>
        <v>0</v>
      </c>
      <c r="AJ67" s="16">
        <f>SUM(AA67:AI67)</f>
        <v>0</v>
      </c>
      <c r="AL67" s="17">
        <f>+B69</f>
        <v>48</v>
      </c>
      <c r="AM67" s="26" t="str">
        <f t="shared" si="142"/>
        <v>Taxes sur les appareils à pression de vapeur et de gaz (+)</v>
      </c>
      <c r="AN67" s="18">
        <f t="shared" si="147"/>
        <v>0</v>
      </c>
      <c r="AO67" s="18">
        <f t="shared" si="147"/>
        <v>0</v>
      </c>
      <c r="AP67" s="18">
        <f t="shared" si="147"/>
        <v>0</v>
      </c>
      <c r="AQ67" s="18">
        <f t="shared" si="147"/>
        <v>0</v>
      </c>
      <c r="AR67" s="18">
        <f t="shared" si="147"/>
        <v>0</v>
      </c>
      <c r="AS67" s="18">
        <f t="shared" si="147"/>
        <v>0</v>
      </c>
      <c r="AT67" s="18">
        <f t="shared" si="147"/>
        <v>0</v>
      </c>
      <c r="AU67" s="18">
        <f t="shared" si="147"/>
        <v>0</v>
      </c>
      <c r="AV67" s="18">
        <f>SUM(AN67:AU67)</f>
        <v>0</v>
      </c>
      <c r="AW67" s="18"/>
      <c r="AX67" s="17">
        <f>B69</f>
        <v>48</v>
      </c>
      <c r="AY67" s="26" t="str">
        <f t="shared" si="144"/>
        <v>Taxes sur les appareils à pression de vapeur et de gaz (+)</v>
      </c>
      <c r="AZ67" s="18">
        <f t="shared" ca="1" si="148"/>
        <v>0</v>
      </c>
      <c r="BA67" s="18">
        <f t="shared" ca="1" si="148"/>
        <v>0</v>
      </c>
      <c r="BB67" s="18">
        <f t="shared" ca="1" si="148"/>
        <v>0</v>
      </c>
      <c r="BC67" s="18">
        <f t="shared" ca="1" si="148"/>
        <v>0</v>
      </c>
      <c r="BD67" s="18">
        <f t="shared" ca="1" si="148"/>
        <v>0</v>
      </c>
      <c r="BE67" s="18">
        <f t="shared" ca="1" si="148"/>
        <v>0</v>
      </c>
      <c r="BF67" s="18">
        <f t="shared" ca="1" si="148"/>
        <v>0</v>
      </c>
      <c r="BG67" s="18">
        <f t="shared" ca="1" si="148"/>
        <v>0</v>
      </c>
      <c r="BH67" s="18">
        <f t="shared" ca="1" si="148"/>
        <v>0</v>
      </c>
      <c r="BI67" s="18">
        <f t="shared" ca="1" si="148"/>
        <v>0</v>
      </c>
      <c r="BJ67" s="18">
        <f t="shared" ca="1" si="148"/>
        <v>0</v>
      </c>
      <c r="BK67" s="18">
        <f t="shared" ca="1" si="148"/>
        <v>0</v>
      </c>
    </row>
    <row r="68" spans="1:64">
      <c r="A68" s="80"/>
      <c r="B68" s="163"/>
      <c r="C68" s="58" t="str">
        <f>+'Taxes RCA 2022'!B61</f>
        <v>Paiements environnementaux - DGTCP (FNE)</v>
      </c>
      <c r="E68" s="166">
        <f>SUM(E69:E76)</f>
        <v>0</v>
      </c>
      <c r="F68" s="166">
        <f t="shared" ref="F68:G68" si="149">SUM(F69:F76)</f>
        <v>0</v>
      </c>
      <c r="G68" s="166">
        <f t="shared" si="149"/>
        <v>0</v>
      </c>
      <c r="H68" s="114"/>
      <c r="I68" s="166">
        <f>SUM(I69:I76)</f>
        <v>0</v>
      </c>
      <c r="J68" s="166">
        <f t="shared" ref="J68" ca="1" si="150">SUM(J69:J76)</f>
        <v>0</v>
      </c>
      <c r="K68" s="166">
        <f t="shared" ref="K68" ca="1" si="151">SUM(K69:K76)</f>
        <v>0</v>
      </c>
      <c r="L68" s="114"/>
      <c r="M68" s="166">
        <f t="shared" ref="M68" ca="1" si="152">SUM(M69:M76)</f>
        <v>0</v>
      </c>
      <c r="N68" s="58"/>
      <c r="O68" s="38"/>
      <c r="P68" s="39"/>
      <c r="Y68" s="28"/>
      <c r="Z68" s="28" t="str">
        <f t="shared" si="140"/>
        <v>Taxes à la pollution (+)</v>
      </c>
      <c r="AA68" s="29">
        <f>SUM(AA69:AA69)</f>
        <v>0</v>
      </c>
      <c r="AB68" s="29">
        <f t="shared" ref="AB68:AJ68" si="153">SUM(AB69:AB69)</f>
        <v>0</v>
      </c>
      <c r="AC68" s="29">
        <f t="shared" si="153"/>
        <v>0</v>
      </c>
      <c r="AD68" s="29">
        <f t="shared" si="153"/>
        <v>0</v>
      </c>
      <c r="AE68" s="29">
        <f t="shared" si="153"/>
        <v>0</v>
      </c>
      <c r="AF68" s="29">
        <f t="shared" si="153"/>
        <v>0</v>
      </c>
      <c r="AG68" s="29">
        <f t="shared" si="153"/>
        <v>0</v>
      </c>
      <c r="AH68" s="29">
        <f t="shared" si="153"/>
        <v>0</v>
      </c>
      <c r="AI68" s="29">
        <f t="shared" si="153"/>
        <v>0</v>
      </c>
      <c r="AJ68" s="29">
        <f t="shared" si="153"/>
        <v>0</v>
      </c>
      <c r="AL68" s="28"/>
      <c r="AM68" s="28" t="str">
        <f t="shared" si="142"/>
        <v>Taxes à la pollution (+)</v>
      </c>
      <c r="AN68" s="29">
        <f t="shared" ref="AN68:AV68" si="154">SUM(AN69:AN70)</f>
        <v>0</v>
      </c>
      <c r="AO68" s="29">
        <f t="shared" si="154"/>
        <v>0</v>
      </c>
      <c r="AP68" s="29">
        <f t="shared" si="154"/>
        <v>0</v>
      </c>
      <c r="AQ68" s="29">
        <f t="shared" si="154"/>
        <v>0</v>
      </c>
      <c r="AR68" s="29">
        <f t="shared" si="154"/>
        <v>0</v>
      </c>
      <c r="AS68" s="29">
        <f t="shared" si="154"/>
        <v>0</v>
      </c>
      <c r="AT68" s="29">
        <f t="shared" si="154"/>
        <v>0</v>
      </c>
      <c r="AU68" s="29">
        <f t="shared" si="154"/>
        <v>0</v>
      </c>
      <c r="AV68" s="29">
        <f t="shared" si="154"/>
        <v>0</v>
      </c>
      <c r="AW68" s="38"/>
      <c r="AX68" s="28"/>
      <c r="AY68" s="28" t="str">
        <f t="shared" si="144"/>
        <v>Taxes à la pollution (+)</v>
      </c>
      <c r="AZ68" s="29">
        <f t="shared" ref="AZ68:BK68" ca="1" si="155">SUM(AZ69:AZ70)</f>
        <v>0</v>
      </c>
      <c r="BA68" s="29">
        <f t="shared" ca="1" si="155"/>
        <v>0</v>
      </c>
      <c r="BB68" s="29">
        <f t="shared" ca="1" si="155"/>
        <v>0</v>
      </c>
      <c r="BC68" s="29">
        <f t="shared" ca="1" si="155"/>
        <v>0</v>
      </c>
      <c r="BD68" s="29">
        <f t="shared" ca="1" si="155"/>
        <v>0</v>
      </c>
      <c r="BE68" s="29">
        <f t="shared" ca="1" si="155"/>
        <v>0</v>
      </c>
      <c r="BF68" s="29">
        <f t="shared" ca="1" si="155"/>
        <v>0</v>
      </c>
      <c r="BG68" s="29">
        <f t="shared" ca="1" si="155"/>
        <v>0</v>
      </c>
      <c r="BH68" s="29">
        <f t="shared" ca="1" si="155"/>
        <v>0</v>
      </c>
      <c r="BI68" s="29">
        <f t="shared" ca="1" si="155"/>
        <v>0</v>
      </c>
      <c r="BJ68" s="29">
        <f t="shared" ca="1" si="155"/>
        <v>0</v>
      </c>
      <c r="BK68" s="29">
        <f t="shared" ca="1" si="155"/>
        <v>0</v>
      </c>
    </row>
    <row r="69" spans="1:64">
      <c r="A69" s="80"/>
      <c r="B69" s="53">
        <f>+'Taxes RCA 2022'!A62</f>
        <v>48</v>
      </c>
      <c r="C69" s="18" t="str">
        <f>+'Taxes RCA 2022'!B62</f>
        <v>Taxes sur les appareils à pression de vapeur et de gaz (+)</v>
      </c>
      <c r="E69" s="114"/>
      <c r="F69" s="114">
        <f t="shared" ref="F69:F76" si="156">SUMIF($A$84:$A$751,B69&amp;"- "&amp;C69,$G$84:$G$751)</f>
        <v>0</v>
      </c>
      <c r="G69" s="114">
        <f t="shared" ref="G69:G76" si="157">E69+F69</f>
        <v>0</v>
      </c>
      <c r="H69" s="114"/>
      <c r="I69" s="114"/>
      <c r="J69" s="114">
        <f t="shared" ref="J69:J76" ca="1" si="158">SUMIF($J$84:$M$749,B69&amp;"- "&amp;C69,$Q$84:$Q$749)</f>
        <v>0</v>
      </c>
      <c r="K69" s="114">
        <f t="shared" ref="K69:K76" ca="1" si="159">I69+J69</f>
        <v>0</v>
      </c>
      <c r="L69" s="114"/>
      <c r="M69" s="114">
        <f t="shared" ref="M69:M76" ca="1" si="160">+G69-K69</f>
        <v>0</v>
      </c>
      <c r="N69" s="18"/>
      <c r="O69" s="38"/>
      <c r="P69" s="39"/>
      <c r="Y69" s="15">
        <f>B71</f>
        <v>50</v>
      </c>
      <c r="Z69" s="25" t="str">
        <f t="shared" si="140"/>
        <v>Redevances annuelles résultant des inspections et contrôle des installations classées (+)</v>
      </c>
      <c r="AA69" s="16">
        <f t="shared" ref="AA69:AI69" si="161">SUMPRODUCT(($A$84:$A$751=$Y69&amp;"- "&amp;$Z69)*($C$84:$C$751=AA$1)*($G$84:$G$751))</f>
        <v>0</v>
      </c>
      <c r="AB69" s="16">
        <f t="shared" si="161"/>
        <v>0</v>
      </c>
      <c r="AC69" s="16">
        <f t="shared" si="161"/>
        <v>0</v>
      </c>
      <c r="AD69" s="16">
        <f t="shared" si="161"/>
        <v>0</v>
      </c>
      <c r="AE69" s="16">
        <f t="shared" si="161"/>
        <v>0</v>
      </c>
      <c r="AF69" s="16">
        <f t="shared" si="161"/>
        <v>0</v>
      </c>
      <c r="AG69" s="16">
        <f t="shared" si="161"/>
        <v>0</v>
      </c>
      <c r="AH69" s="16">
        <f t="shared" si="161"/>
        <v>0</v>
      </c>
      <c r="AI69" s="16">
        <f t="shared" si="161"/>
        <v>0</v>
      </c>
      <c r="AJ69" s="16">
        <f>SUM(AA69:AI69)</f>
        <v>0</v>
      </c>
      <c r="AL69" s="17">
        <f>+B71</f>
        <v>50</v>
      </c>
      <c r="AM69" s="26" t="str">
        <f t="shared" si="142"/>
        <v>Redevances annuelles résultant des inspections et contrôle des installations classées (+)</v>
      </c>
      <c r="AN69" s="18">
        <f t="shared" ref="AN69:AU69" si="162">SUMPRODUCT(($J$84:$M$748=$AL69&amp;"- "&amp;$AM69)*($N$84:$N$748=AN$1)*($Q$84:$Q$748))</f>
        <v>0</v>
      </c>
      <c r="AO69" s="18">
        <f t="shared" si="162"/>
        <v>0</v>
      </c>
      <c r="AP69" s="18">
        <f t="shared" si="162"/>
        <v>0</v>
      </c>
      <c r="AQ69" s="18">
        <f t="shared" si="162"/>
        <v>0</v>
      </c>
      <c r="AR69" s="18">
        <f t="shared" si="162"/>
        <v>0</v>
      </c>
      <c r="AS69" s="18">
        <f t="shared" si="162"/>
        <v>0</v>
      </c>
      <c r="AT69" s="18">
        <f t="shared" si="162"/>
        <v>0</v>
      </c>
      <c r="AU69" s="18">
        <f t="shared" si="162"/>
        <v>0</v>
      </c>
      <c r="AV69" s="18">
        <f>SUM(AN69:AU69)</f>
        <v>0</v>
      </c>
      <c r="AW69" s="18"/>
      <c r="AX69" s="17">
        <f>B71</f>
        <v>50</v>
      </c>
      <c r="AY69" s="26" t="str">
        <f t="shared" si="144"/>
        <v>Redevances annuelles résultant des inspections et contrôle des installations classées (+)</v>
      </c>
      <c r="AZ69" s="18">
        <f t="shared" ref="AZ69:BK69" ca="1" si="163">SUMPRODUCT(($C$10:$C$75=$AY69)*($N$10:$N$75=AZ$1)*($M$10:$M$75))</f>
        <v>0</v>
      </c>
      <c r="BA69" s="18">
        <f t="shared" ca="1" si="163"/>
        <v>0</v>
      </c>
      <c r="BB69" s="18">
        <f t="shared" ca="1" si="163"/>
        <v>0</v>
      </c>
      <c r="BC69" s="18">
        <f t="shared" ca="1" si="163"/>
        <v>0</v>
      </c>
      <c r="BD69" s="18">
        <f t="shared" ca="1" si="163"/>
        <v>0</v>
      </c>
      <c r="BE69" s="18">
        <f t="shared" ca="1" si="163"/>
        <v>0</v>
      </c>
      <c r="BF69" s="18">
        <f t="shared" ca="1" si="163"/>
        <v>0</v>
      </c>
      <c r="BG69" s="18">
        <f t="shared" ca="1" si="163"/>
        <v>0</v>
      </c>
      <c r="BH69" s="18">
        <f t="shared" ca="1" si="163"/>
        <v>0</v>
      </c>
      <c r="BI69" s="18">
        <f t="shared" ca="1" si="163"/>
        <v>0</v>
      </c>
      <c r="BJ69" s="18">
        <f t="shared" ca="1" si="163"/>
        <v>0</v>
      </c>
      <c r="BK69" s="18">
        <f t="shared" ca="1" si="163"/>
        <v>0</v>
      </c>
    </row>
    <row r="70" spans="1:64">
      <c r="A70" s="80">
        <f t="shared" si="29"/>
        <v>49</v>
      </c>
      <c r="B70" s="64">
        <f>+'Taxes RCA 2022'!A63</f>
        <v>49</v>
      </c>
      <c r="C70" s="68" t="str">
        <f>+'Taxes RCA 2022'!B63</f>
        <v>Taxes à la pollution (+)</v>
      </c>
      <c r="E70" s="165"/>
      <c r="F70" s="165">
        <f t="shared" si="156"/>
        <v>0</v>
      </c>
      <c r="G70" s="165">
        <f t="shared" si="157"/>
        <v>0</v>
      </c>
      <c r="H70" s="114"/>
      <c r="I70" s="165"/>
      <c r="J70" s="165">
        <f t="shared" ca="1" si="158"/>
        <v>0</v>
      </c>
      <c r="K70" s="165">
        <f t="shared" ca="1" si="159"/>
        <v>0</v>
      </c>
      <c r="L70" s="114"/>
      <c r="M70" s="165">
        <f t="shared" ca="1" si="160"/>
        <v>0</v>
      </c>
      <c r="N70" s="68"/>
      <c r="O70" s="38" t="str">
        <f ca="1">IF(M70=0,"",IF(N70=0,"ERROR",""))</f>
        <v/>
      </c>
      <c r="P70" s="39"/>
      <c r="Y70" s="15"/>
      <c r="Z70" s="25" t="str">
        <f t="shared" si="140"/>
        <v>Taxes superficiaires encaissées par le FNE (+)</v>
      </c>
      <c r="AA70" s="16">
        <f t="shared" ref="AA70:AJ70" si="164">SUM(AA71:AA71)</f>
        <v>0</v>
      </c>
      <c r="AB70" s="16">
        <f t="shared" si="164"/>
        <v>0</v>
      </c>
      <c r="AC70" s="16">
        <f t="shared" si="164"/>
        <v>0</v>
      </c>
      <c r="AD70" s="16">
        <f t="shared" si="164"/>
        <v>0</v>
      </c>
      <c r="AE70" s="16">
        <f t="shared" si="164"/>
        <v>0</v>
      </c>
      <c r="AF70" s="16">
        <f t="shared" si="164"/>
        <v>0</v>
      </c>
      <c r="AG70" s="16">
        <f t="shared" si="164"/>
        <v>0</v>
      </c>
      <c r="AH70" s="16">
        <f t="shared" si="164"/>
        <v>0</v>
      </c>
      <c r="AI70" s="16">
        <f t="shared" si="164"/>
        <v>0</v>
      </c>
      <c r="AJ70" s="16">
        <f t="shared" si="164"/>
        <v>0</v>
      </c>
      <c r="AL70" s="17"/>
      <c r="AM70" s="26" t="str">
        <f t="shared" si="142"/>
        <v>Taxes superficiaires encaissées par le FNE (+)</v>
      </c>
      <c r="AN70" s="18">
        <f t="shared" ref="AN70:AU70" si="165">SUM(AN71:AN71)</f>
        <v>0</v>
      </c>
      <c r="AO70" s="18">
        <f t="shared" si="165"/>
        <v>0</v>
      </c>
      <c r="AP70" s="18">
        <f t="shared" si="165"/>
        <v>0</v>
      </c>
      <c r="AQ70" s="18">
        <f t="shared" si="165"/>
        <v>0</v>
      </c>
      <c r="AR70" s="18">
        <f t="shared" si="165"/>
        <v>0</v>
      </c>
      <c r="AS70" s="18">
        <f t="shared" si="165"/>
        <v>0</v>
      </c>
      <c r="AT70" s="18">
        <f t="shared" si="165"/>
        <v>0</v>
      </c>
      <c r="AU70" s="18">
        <f t="shared" si="165"/>
        <v>0</v>
      </c>
      <c r="AV70" s="18">
        <f>SUM(AV71:AV71)</f>
        <v>0</v>
      </c>
      <c r="AW70" s="18"/>
      <c r="AX70" s="17"/>
      <c r="AY70" s="26" t="str">
        <f t="shared" si="144"/>
        <v>Taxes superficiaires encaissées par le FNE (+)</v>
      </c>
      <c r="AZ70" s="18">
        <f t="shared" ref="AZ70:BK70" ca="1" si="166">SUM(AZ71:AZ71)</f>
        <v>0</v>
      </c>
      <c r="BA70" s="18">
        <f t="shared" ca="1" si="166"/>
        <v>0</v>
      </c>
      <c r="BB70" s="18">
        <f t="shared" ca="1" si="166"/>
        <v>0</v>
      </c>
      <c r="BC70" s="18">
        <f t="shared" ca="1" si="166"/>
        <v>0</v>
      </c>
      <c r="BD70" s="18">
        <f t="shared" ca="1" si="166"/>
        <v>0</v>
      </c>
      <c r="BE70" s="18">
        <f t="shared" ca="1" si="166"/>
        <v>0</v>
      </c>
      <c r="BF70" s="18">
        <f t="shared" ca="1" si="166"/>
        <v>0</v>
      </c>
      <c r="BG70" s="18">
        <f t="shared" ca="1" si="166"/>
        <v>0</v>
      </c>
      <c r="BH70" s="18">
        <f t="shared" ca="1" si="166"/>
        <v>0</v>
      </c>
      <c r="BI70" s="18">
        <f t="shared" ca="1" si="166"/>
        <v>0</v>
      </c>
      <c r="BJ70" s="18">
        <f t="shared" ca="1" si="166"/>
        <v>0</v>
      </c>
      <c r="BK70" s="18">
        <f t="shared" ca="1" si="166"/>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6"/>
        <v>0</v>
      </c>
      <c r="G71" s="114">
        <f t="shared" si="157"/>
        <v>0</v>
      </c>
      <c r="H71" s="114"/>
      <c r="I71" s="114"/>
      <c r="J71" s="114">
        <f t="shared" ca="1" si="158"/>
        <v>0</v>
      </c>
      <c r="K71" s="114">
        <f t="shared" ca="1" si="159"/>
        <v>0</v>
      </c>
      <c r="L71" s="114"/>
      <c r="M71" s="114">
        <f t="shared" ca="1" si="160"/>
        <v>0</v>
      </c>
      <c r="N71" s="18"/>
      <c r="O71" s="38" t="str">
        <f ca="1">IF(M71=0,"",IF(N71=0,"ERROR",""))</f>
        <v/>
      </c>
      <c r="P71" s="39" t="str">
        <f ca="1">IF(O71="ERROR","Please insert comment","")</f>
        <v/>
      </c>
      <c r="Y71" s="15">
        <f>B73</f>
        <v>52</v>
      </c>
      <c r="Z71" s="25" t="str">
        <f t="shared" si="140"/>
        <v>Taxes de remise en état (+)</v>
      </c>
      <c r="AA71" s="16">
        <f t="shared" ref="AA71:AI73" si="167">SUMPRODUCT(($A$84:$A$751=$Y71&amp;"- "&amp;$Z71)*($C$84:$C$751=AA$1)*($G$84:$G$751))</f>
        <v>0</v>
      </c>
      <c r="AB71" s="16">
        <f t="shared" si="167"/>
        <v>0</v>
      </c>
      <c r="AC71" s="16">
        <f t="shared" si="167"/>
        <v>0</v>
      </c>
      <c r="AD71" s="16">
        <f t="shared" si="167"/>
        <v>0</v>
      </c>
      <c r="AE71" s="16">
        <f t="shared" si="167"/>
        <v>0</v>
      </c>
      <c r="AF71" s="16">
        <f t="shared" si="167"/>
        <v>0</v>
      </c>
      <c r="AG71" s="16">
        <f t="shared" si="167"/>
        <v>0</v>
      </c>
      <c r="AH71" s="16">
        <f t="shared" si="167"/>
        <v>0</v>
      </c>
      <c r="AI71" s="16">
        <f t="shared" si="167"/>
        <v>0</v>
      </c>
      <c r="AJ71" s="16">
        <f>SUM(AA71:AI71)</f>
        <v>0</v>
      </c>
      <c r="AL71" s="17">
        <f>+B73</f>
        <v>52</v>
      </c>
      <c r="AM71" s="26" t="str">
        <f t="shared" si="142"/>
        <v>Taxes de remise en état (+)</v>
      </c>
      <c r="AN71" s="18">
        <f t="shared" ref="AN71:AU71" si="168">SUMPRODUCT(($J$84:$M$748=$AL71&amp;"- "&amp;$AM71)*($N$84:$N$748=AN$1)*($Q$84:$Q$748))</f>
        <v>0</v>
      </c>
      <c r="AO71" s="18">
        <f t="shared" si="168"/>
        <v>0</v>
      </c>
      <c r="AP71" s="18">
        <f t="shared" si="168"/>
        <v>0</v>
      </c>
      <c r="AQ71" s="18">
        <f t="shared" si="168"/>
        <v>0</v>
      </c>
      <c r="AR71" s="18">
        <f t="shared" si="168"/>
        <v>0</v>
      </c>
      <c r="AS71" s="18">
        <f t="shared" si="168"/>
        <v>0</v>
      </c>
      <c r="AT71" s="18">
        <f t="shared" si="168"/>
        <v>0</v>
      </c>
      <c r="AU71" s="18">
        <f t="shared" si="168"/>
        <v>0</v>
      </c>
      <c r="AV71" s="18">
        <f>SUM(AN71:AU71)</f>
        <v>0</v>
      </c>
      <c r="AW71" s="18"/>
      <c r="AX71" s="17">
        <f>B73</f>
        <v>52</v>
      </c>
      <c r="AY71" s="26" t="str">
        <f t="shared" si="144"/>
        <v>Taxes de remise en état (+)</v>
      </c>
      <c r="AZ71" s="18">
        <f t="shared" ref="AZ71:BK71" ca="1" si="169">SUMPRODUCT(($C$10:$C$75=$AY71)*($N$10:$N$75=AZ$1)*($M$10:$M$75))</f>
        <v>0</v>
      </c>
      <c r="BA71" s="18">
        <f t="shared" ca="1" si="169"/>
        <v>0</v>
      </c>
      <c r="BB71" s="18">
        <f t="shared" ca="1" si="169"/>
        <v>0</v>
      </c>
      <c r="BC71" s="18">
        <f t="shared" ca="1" si="169"/>
        <v>0</v>
      </c>
      <c r="BD71" s="18">
        <f t="shared" ca="1" si="169"/>
        <v>0</v>
      </c>
      <c r="BE71" s="18">
        <f t="shared" ca="1" si="169"/>
        <v>0</v>
      </c>
      <c r="BF71" s="18">
        <f t="shared" ca="1" si="169"/>
        <v>0</v>
      </c>
      <c r="BG71" s="18">
        <f t="shared" ca="1" si="169"/>
        <v>0</v>
      </c>
      <c r="BH71" s="18">
        <f t="shared" ca="1" si="169"/>
        <v>0</v>
      </c>
      <c r="BI71" s="18">
        <f t="shared" ca="1" si="169"/>
        <v>0</v>
      </c>
      <c r="BJ71" s="18">
        <f t="shared" ca="1" si="169"/>
        <v>0</v>
      </c>
      <c r="BK71" s="18">
        <f t="shared" ca="1" si="169"/>
        <v>0</v>
      </c>
    </row>
    <row r="72" spans="1:64">
      <c r="A72" s="80">
        <f t="shared" si="29"/>
        <v>51</v>
      </c>
      <c r="B72" s="64">
        <f>+'Taxes RCA 2022'!A65</f>
        <v>51</v>
      </c>
      <c r="C72" s="68" t="str">
        <f>+'Taxes RCA 2022'!B65</f>
        <v>Taxes superficiaires encaissées par le FNE (+)</v>
      </c>
      <c r="E72" s="165"/>
      <c r="F72" s="165">
        <f t="shared" si="156"/>
        <v>0</v>
      </c>
      <c r="G72" s="165">
        <f t="shared" si="157"/>
        <v>0</v>
      </c>
      <c r="H72" s="114"/>
      <c r="I72" s="165"/>
      <c r="J72" s="165">
        <f t="shared" ca="1" si="158"/>
        <v>0</v>
      </c>
      <c r="K72" s="165">
        <f t="shared" ca="1" si="159"/>
        <v>0</v>
      </c>
      <c r="L72" s="114"/>
      <c r="M72" s="165">
        <f t="shared" ca="1" si="160"/>
        <v>0</v>
      </c>
      <c r="N72" s="68"/>
      <c r="Y72" s="15"/>
      <c r="Z72" s="25" t="str">
        <f t="shared" si="140"/>
        <v>Taxes environnementales sur les Stes forestières et Minières (+)</v>
      </c>
      <c r="AA72" s="16">
        <f t="shared" si="167"/>
        <v>0</v>
      </c>
      <c r="AB72" s="16">
        <f t="shared" si="167"/>
        <v>0</v>
      </c>
      <c r="AC72" s="16">
        <f t="shared" si="167"/>
        <v>0</v>
      </c>
      <c r="AD72" s="16">
        <f t="shared" si="167"/>
        <v>0</v>
      </c>
      <c r="AE72" s="16">
        <f t="shared" si="167"/>
        <v>0</v>
      </c>
      <c r="AF72" s="16">
        <f t="shared" si="167"/>
        <v>0</v>
      </c>
      <c r="AG72" s="16">
        <f t="shared" si="167"/>
        <v>0</v>
      </c>
      <c r="AH72" s="16">
        <f t="shared" si="167"/>
        <v>0</v>
      </c>
      <c r="AI72" s="16">
        <f t="shared" si="167"/>
        <v>0</v>
      </c>
      <c r="AJ72" s="16">
        <f>SUM(AA72:AI72)</f>
        <v>0</v>
      </c>
      <c r="AL72" s="17"/>
      <c r="AM72" s="26" t="str">
        <f t="shared" si="142"/>
        <v>Taxes environnementales sur les Stes forestières et Minières (+)</v>
      </c>
      <c r="AN72" s="18">
        <f t="shared" ref="AN72:AV72" si="170">SUM(AN73:AN73)</f>
        <v>0</v>
      </c>
      <c r="AO72" s="18">
        <f t="shared" si="170"/>
        <v>0</v>
      </c>
      <c r="AP72" s="18">
        <f t="shared" si="170"/>
        <v>0</v>
      </c>
      <c r="AQ72" s="18">
        <f t="shared" si="170"/>
        <v>0</v>
      </c>
      <c r="AR72" s="18">
        <f t="shared" si="170"/>
        <v>0</v>
      </c>
      <c r="AS72" s="18">
        <f t="shared" si="170"/>
        <v>0</v>
      </c>
      <c r="AT72" s="18">
        <f t="shared" si="170"/>
        <v>0</v>
      </c>
      <c r="AU72" s="18">
        <f t="shared" si="170"/>
        <v>0</v>
      </c>
      <c r="AV72" s="18">
        <f t="shared" si="170"/>
        <v>0</v>
      </c>
      <c r="AW72" s="18"/>
      <c r="AX72" s="17"/>
      <c r="AY72" s="26" t="str">
        <f t="shared" si="144"/>
        <v>Taxes environnementales sur les Stes forestières et Minières (+)</v>
      </c>
      <c r="AZ72" s="18">
        <f t="shared" ref="AZ72:BK72" ca="1" si="171">SUM(AZ73:AZ73)</f>
        <v>0</v>
      </c>
      <c r="BA72" s="18">
        <f t="shared" ca="1" si="171"/>
        <v>0</v>
      </c>
      <c r="BB72" s="18">
        <f t="shared" ca="1" si="171"/>
        <v>0</v>
      </c>
      <c r="BC72" s="18">
        <f t="shared" ca="1" si="171"/>
        <v>0</v>
      </c>
      <c r="BD72" s="18">
        <f t="shared" ca="1" si="171"/>
        <v>0</v>
      </c>
      <c r="BE72" s="18">
        <f t="shared" ca="1" si="171"/>
        <v>0</v>
      </c>
      <c r="BF72" s="18">
        <f t="shared" ca="1" si="171"/>
        <v>0</v>
      </c>
      <c r="BG72" s="18">
        <f t="shared" ca="1" si="171"/>
        <v>0</v>
      </c>
      <c r="BH72" s="18">
        <f t="shared" ca="1" si="171"/>
        <v>0</v>
      </c>
      <c r="BI72" s="18">
        <f t="shared" ca="1" si="171"/>
        <v>0</v>
      </c>
      <c r="BJ72" s="18">
        <f t="shared" ca="1" si="171"/>
        <v>0</v>
      </c>
      <c r="BK72" s="18">
        <f t="shared" ca="1" si="171"/>
        <v>0</v>
      </c>
      <c r="BL72" s="41"/>
    </row>
    <row r="73" spans="1:64">
      <c r="A73" s="80">
        <f t="shared" si="29"/>
        <v>52</v>
      </c>
      <c r="B73" s="53">
        <f>+'Taxes RCA 2022'!A66</f>
        <v>52</v>
      </c>
      <c r="C73" s="18" t="str">
        <f>+'Taxes RCA 2022'!B66</f>
        <v>Taxes de remise en état (+)</v>
      </c>
      <c r="E73" s="114"/>
      <c r="F73" s="114">
        <f t="shared" si="156"/>
        <v>0</v>
      </c>
      <c r="G73" s="114">
        <f t="shared" si="157"/>
        <v>0</v>
      </c>
      <c r="H73" s="114"/>
      <c r="I73" s="114"/>
      <c r="J73" s="114">
        <f t="shared" ca="1" si="158"/>
        <v>0</v>
      </c>
      <c r="K73" s="114">
        <f t="shared" ca="1" si="159"/>
        <v>0</v>
      </c>
      <c r="L73" s="114"/>
      <c r="M73" s="114">
        <f t="shared" ca="1" si="160"/>
        <v>0</v>
      </c>
      <c r="N73" s="18"/>
      <c r="O73" s="38" t="str">
        <f ca="1">IF(M73=0,"",IF(N73=0,"ERROR",""))</f>
        <v/>
      </c>
      <c r="P73" s="39" t="str">
        <f ca="1">IF(O73="ERROR","Please insert comment","")</f>
        <v/>
      </c>
      <c r="Y73" s="15">
        <v>58</v>
      </c>
      <c r="Z73" s="25" t="str">
        <f t="shared" si="140"/>
        <v xml:space="preserve">Amendes environnementales </v>
      </c>
      <c r="AA73" s="16">
        <f t="shared" si="167"/>
        <v>0</v>
      </c>
      <c r="AB73" s="16">
        <f t="shared" si="167"/>
        <v>0</v>
      </c>
      <c r="AC73" s="16">
        <f t="shared" si="167"/>
        <v>0</v>
      </c>
      <c r="AD73" s="16">
        <f t="shared" si="167"/>
        <v>0</v>
      </c>
      <c r="AE73" s="16">
        <f t="shared" si="167"/>
        <v>0</v>
      </c>
      <c r="AF73" s="16">
        <f t="shared" si="167"/>
        <v>0</v>
      </c>
      <c r="AG73" s="16">
        <f t="shared" si="167"/>
        <v>0</v>
      </c>
      <c r="AH73" s="16">
        <f t="shared" si="167"/>
        <v>0</v>
      </c>
      <c r="AI73" s="16">
        <f t="shared" si="167"/>
        <v>0</v>
      </c>
      <c r="AJ73" s="16">
        <f>SUM(AA73:AI73)</f>
        <v>0</v>
      </c>
      <c r="AL73" s="17">
        <f>+B75</f>
        <v>54</v>
      </c>
      <c r="AM73" s="26" t="str">
        <f t="shared" si="142"/>
        <v xml:space="preserve">Amendes environnementales </v>
      </c>
      <c r="AN73" s="18">
        <f t="shared" ref="AN73:AU73" si="172">SUMPRODUCT(($J$84:$M$748=$AL73&amp;"- "&amp;$AM73)*($N$84:$N$748=AN$1)*($Q$84:$Q$748))</f>
        <v>0</v>
      </c>
      <c r="AO73" s="18">
        <f t="shared" si="172"/>
        <v>0</v>
      </c>
      <c r="AP73" s="18">
        <f t="shared" si="172"/>
        <v>0</v>
      </c>
      <c r="AQ73" s="18">
        <f t="shared" si="172"/>
        <v>0</v>
      </c>
      <c r="AR73" s="18">
        <f t="shared" si="172"/>
        <v>0</v>
      </c>
      <c r="AS73" s="18">
        <f t="shared" si="172"/>
        <v>0</v>
      </c>
      <c r="AT73" s="18">
        <f t="shared" si="172"/>
        <v>0</v>
      </c>
      <c r="AU73" s="18">
        <f t="shared" si="172"/>
        <v>0</v>
      </c>
      <c r="AV73" s="18">
        <f>SUM(AN73:AU73)</f>
        <v>0</v>
      </c>
      <c r="AW73" s="18"/>
      <c r="AX73" s="17">
        <f>B75</f>
        <v>54</v>
      </c>
      <c r="AY73" s="26" t="str">
        <f t="shared" si="144"/>
        <v xml:space="preserve">Amendes environnementales </v>
      </c>
      <c r="AZ73" s="18">
        <f t="shared" ref="AZ73:BK73" ca="1" si="173">SUMPRODUCT(($C$10:$C$75=$AY73)*($N$10:$N$75=AZ$1)*($M$10:$M$75))</f>
        <v>0</v>
      </c>
      <c r="BA73" s="18">
        <f t="shared" ca="1" si="173"/>
        <v>0</v>
      </c>
      <c r="BB73" s="18">
        <f t="shared" ca="1" si="173"/>
        <v>0</v>
      </c>
      <c r="BC73" s="18">
        <f t="shared" ca="1" si="173"/>
        <v>0</v>
      </c>
      <c r="BD73" s="18">
        <f t="shared" ca="1" si="173"/>
        <v>0</v>
      </c>
      <c r="BE73" s="18">
        <f t="shared" ca="1" si="173"/>
        <v>0</v>
      </c>
      <c r="BF73" s="18">
        <f t="shared" ca="1" si="173"/>
        <v>0</v>
      </c>
      <c r="BG73" s="18">
        <f t="shared" ca="1" si="173"/>
        <v>0</v>
      </c>
      <c r="BH73" s="18">
        <f t="shared" ca="1" si="173"/>
        <v>0</v>
      </c>
      <c r="BI73" s="18">
        <f t="shared" ca="1" si="173"/>
        <v>0</v>
      </c>
      <c r="BJ73" s="18">
        <f t="shared" ca="1" si="173"/>
        <v>0</v>
      </c>
      <c r="BK73" s="18">
        <f t="shared" ca="1" si="173"/>
        <v>0</v>
      </c>
    </row>
    <row r="74" spans="1:64">
      <c r="A74" s="80"/>
      <c r="B74" s="64">
        <f>+'Taxes RCA 2022'!A67</f>
        <v>53</v>
      </c>
      <c r="C74" s="68" t="str">
        <f>+'Taxes RCA 2022'!B67</f>
        <v>Taxes environnementales sur les Stes forestières et Minières (+)</v>
      </c>
      <c r="E74" s="165"/>
      <c r="F74" s="165">
        <f t="shared" si="156"/>
        <v>0</v>
      </c>
      <c r="G74" s="165">
        <f t="shared" si="157"/>
        <v>0</v>
      </c>
      <c r="H74" s="167">
        <v>808920</v>
      </c>
      <c r="I74" s="165"/>
      <c r="J74" s="165">
        <f t="shared" ca="1" si="158"/>
        <v>0</v>
      </c>
      <c r="K74" s="165">
        <f t="shared" ca="1" si="159"/>
        <v>0</v>
      </c>
      <c r="L74" s="114"/>
      <c r="M74" s="165">
        <f t="shared" ca="1" si="160"/>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6"/>
        <v>0</v>
      </c>
      <c r="G75" s="114">
        <f t="shared" si="157"/>
        <v>0</v>
      </c>
      <c r="H75" s="114"/>
      <c r="I75" s="114"/>
      <c r="J75" s="114">
        <f t="shared" ca="1" si="158"/>
        <v>0</v>
      </c>
      <c r="K75" s="114">
        <f t="shared" ca="1" si="159"/>
        <v>0</v>
      </c>
      <c r="L75" s="114"/>
      <c r="M75" s="114">
        <f t="shared" ca="1" si="160"/>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6"/>
        <v>0</v>
      </c>
      <c r="G76" s="165">
        <f t="shared" si="157"/>
        <v>0</v>
      </c>
      <c r="H76" s="168"/>
      <c r="I76" s="165"/>
      <c r="J76" s="165">
        <f t="shared" ca="1" si="158"/>
        <v>0</v>
      </c>
      <c r="K76" s="165">
        <f t="shared" ca="1" si="159"/>
        <v>0</v>
      </c>
      <c r="L76" s="168"/>
      <c r="M76" s="165">
        <f t="shared" ca="1" si="160"/>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4">+F78+F79</f>
        <v>0</v>
      </c>
      <c r="G77" s="166">
        <f t="shared" si="174"/>
        <v>0</v>
      </c>
      <c r="H77" s="169"/>
      <c r="I77" s="166">
        <f t="shared" ref="I77:K77" si="175">+I78+I79</f>
        <v>0</v>
      </c>
      <c r="J77" s="166">
        <f t="shared" ca="1" si="175"/>
        <v>0</v>
      </c>
      <c r="K77" s="166">
        <f t="shared" ca="1" si="175"/>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6">SUMPRODUCT(($A$84:$A$751=$Y78&amp;"- "&amp;$Z78)*($C$84:$C$751=AA$1)*($G$84:$G$751))</f>
        <v>0</v>
      </c>
      <c r="AB78" s="16">
        <f t="shared" si="176"/>
        <v>0</v>
      </c>
      <c r="AC78" s="16">
        <f t="shared" si="176"/>
        <v>0</v>
      </c>
      <c r="AD78" s="16">
        <f t="shared" si="176"/>
        <v>0</v>
      </c>
      <c r="AE78" s="16">
        <f t="shared" si="176"/>
        <v>0</v>
      </c>
      <c r="AF78" s="16">
        <f t="shared" si="176"/>
        <v>0</v>
      </c>
      <c r="AG78" s="16">
        <f t="shared" si="176"/>
        <v>0</v>
      </c>
      <c r="AH78" s="16">
        <f t="shared" si="176"/>
        <v>0</v>
      </c>
      <c r="AI78" s="16">
        <f t="shared" si="176"/>
        <v>0</v>
      </c>
      <c r="AJ78" s="16">
        <f>SUM(AA78:AI78)</f>
        <v>0</v>
      </c>
      <c r="AL78" s="17">
        <f>+B45</f>
        <v>0</v>
      </c>
      <c r="AM78" s="26" t="str">
        <f>+C45</f>
        <v xml:space="preserve">Paiements infranationaux au profit des communes </v>
      </c>
      <c r="AN78" s="18">
        <f t="shared" ref="AN78:AU78" si="177">SUMPRODUCT(($J$84:$M$748=$AL78&amp;"- "&amp;$AM78)*($N$84:$N$748=AN$1)*($Q$84:$Q$748))</f>
        <v>0</v>
      </c>
      <c r="AO78" s="18">
        <f t="shared" si="177"/>
        <v>0</v>
      </c>
      <c r="AP78" s="18">
        <f t="shared" si="177"/>
        <v>0</v>
      </c>
      <c r="AQ78" s="18">
        <f t="shared" si="177"/>
        <v>0</v>
      </c>
      <c r="AR78" s="18">
        <f t="shared" si="177"/>
        <v>0</v>
      </c>
      <c r="AS78" s="18">
        <f t="shared" si="177"/>
        <v>0</v>
      </c>
      <c r="AT78" s="18">
        <f t="shared" si="177"/>
        <v>0</v>
      </c>
      <c r="AU78" s="18">
        <f t="shared" si="177"/>
        <v>0</v>
      </c>
      <c r="AV78" s="18">
        <f>SUM(AN78:AU78)</f>
        <v>0</v>
      </c>
      <c r="AW78" s="18"/>
      <c r="AX78" s="17">
        <f>B45</f>
        <v>0</v>
      </c>
      <c r="AY78" s="26" t="str">
        <f>C45</f>
        <v xml:space="preserve">Paiements infranationaux au profit des communes </v>
      </c>
      <c r="AZ78" s="18">
        <f t="shared" ref="AZ78:BK78" ca="1" si="178">SUMPRODUCT(($C$10:$C$75=$AY78)*($N$10:$N$75=AZ$1)*($M$10:$M$75))</f>
        <v>0</v>
      </c>
      <c r="BA78" s="18">
        <f t="shared" ca="1" si="178"/>
        <v>0</v>
      </c>
      <c r="BB78" s="18">
        <f t="shared" ca="1" si="178"/>
        <v>0</v>
      </c>
      <c r="BC78" s="18">
        <f t="shared" ca="1" si="178"/>
        <v>0</v>
      </c>
      <c r="BD78" s="18">
        <f t="shared" ca="1" si="178"/>
        <v>0</v>
      </c>
      <c r="BE78" s="18">
        <f t="shared" ca="1" si="178"/>
        <v>0</v>
      </c>
      <c r="BF78" s="18">
        <f t="shared" ca="1" si="178"/>
        <v>0</v>
      </c>
      <c r="BG78" s="18">
        <f t="shared" ca="1" si="178"/>
        <v>0</v>
      </c>
      <c r="BH78" s="18">
        <f t="shared" ca="1" si="178"/>
        <v>0</v>
      </c>
      <c r="BI78" s="18">
        <f t="shared" ca="1" si="178"/>
        <v>0</v>
      </c>
      <c r="BJ78" s="18">
        <f t="shared" ca="1" si="178"/>
        <v>0</v>
      </c>
      <c r="BK78" s="18">
        <f t="shared" ca="1" si="178"/>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IF(J76=Q751,"","ERROR")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F84" s="122"/>
      <c r="G84" s="146"/>
      <c r="L84" s="60"/>
      <c r="N84" s="97"/>
      <c r="O84" s="121"/>
      <c r="P84" s="129"/>
      <c r="Q84" s="14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O85" s="121"/>
      <c r="P85" s="129"/>
      <c r="Q85" s="145"/>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95" priority="6" operator="containsText" text="ERROR">
      <formula>NOT(ISERROR(SEARCH("ERROR",T17)))</formula>
    </cfRule>
  </conditionalFormatting>
  <conditionalFormatting sqref="T42">
    <cfRule type="containsText" dxfId="94" priority="5" operator="containsText" text="ERROR">
      <formula>NOT(ISERROR(SEARCH("ERROR",T42)))</formula>
    </cfRule>
  </conditionalFormatting>
  <conditionalFormatting sqref="W19">
    <cfRule type="containsText" dxfId="93" priority="1" operator="containsText" text="ERROR">
      <formula>NOT(ISERROR(SEARCH("ERROR",W19)))</formula>
    </cfRule>
  </conditionalFormatting>
  <conditionalFormatting sqref="BL72">
    <cfRule type="containsText" dxfId="92" priority="2" operator="containsText" text="ERROR">
      <formula>NOT(ISERROR(SEARCH("ERROR",BL72)))</formula>
    </cfRule>
  </conditionalFormatting>
  <dataValidations disablePrompts="1" count="5">
    <dataValidation type="list" allowBlank="1" showInputMessage="1" showErrorMessage="1" sqref="C84:C752" xr:uid="{681D3A05-494E-4232-99AB-3486EF3B10C2}">
      <formula1>Compadjust</formula1>
    </dataValidation>
    <dataValidation type="list" allowBlank="1" showInputMessage="1" showErrorMessage="1" sqref="M93:M95 L100:L748 M131:M748 L97:M98 L84:L96" xr:uid="{E176008C-78B5-4C0C-B6DE-0146512C8391}">
      <formula1>Taxes</formula1>
    </dataValidation>
    <dataValidation type="list" allowBlank="1" showInputMessage="1" showErrorMessage="1" sqref="N84:N749" xr:uid="{F5E6E174-FF1F-4F39-BCEE-621FD0DCCE64}">
      <formula1>Govadjust</formula1>
    </dataValidation>
    <dataValidation type="list" allowBlank="1" showInputMessage="1" showErrorMessage="1" sqref="N5:N8 N73 N75 N77:N79 N10:N71" xr:uid="{8E908506-5874-4C5E-8545-9CFA087C3865}">
      <formula1>FinalDiff</formula1>
    </dataValidation>
    <dataValidation type="list" allowBlank="1" showErrorMessage="1" errorTitle="Taxes" error="Non valid entry. Please check the tax list" promptTitle="Taxes" prompt="Please select the tax subject to adjustment" sqref="B84:B105" xr:uid="{48424567-52A5-4B91-B5D5-A783CD43B2FD}">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disablePrompts="1" count="3">
        <x14:dataValidation type="list" allowBlank="1" showErrorMessage="1" errorTitle="Taxes" error="Non valid entry. Please check the tax list" promptTitle="Taxes" prompt="Please select the tax subject to adjustment" xr:uid="{0843E4F1-00F4-4CCE-B7AB-309DD3C15E38}">
          <x14:formula1>
            <xm:f>Lists!$A$131:$A$132</xm:f>
          </x14:formula1>
          <xm:sqref>K84:K749</xm:sqref>
        </x14:dataValidation>
        <x14:dataValidation type="list" allowBlank="1" showInputMessage="1" showErrorMessage="1" xr:uid="{25665F8B-90A3-4B83-8AB7-9842DEE195A0}">
          <x14:formula1>
            <xm:f>Lists!$A$7:$A$64</xm:f>
          </x14:formula1>
          <xm:sqref>J84:J749</xm:sqref>
        </x14:dataValidation>
        <x14:dataValidation type="list" allowBlank="1" showErrorMessage="1" errorTitle="Taxes" error="Non valid entry. Please check the tax list" promptTitle="Taxes" prompt="Please select the tax subject to adjustment" xr:uid="{82020E2E-D751-4092-A7D5-00B0295EC503}">
          <x14:formula1>
            <xm:f>Lists!$A$7:$A$64</xm:f>
          </x14:formula1>
          <xm:sqref>A84:A751</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dimension ref="A1:BL753"/>
  <sheetViews>
    <sheetView showGridLines="0" topLeftCell="B1" zoomScaleNormal="100" workbookViewId="0">
      <selection activeCell="I33" sqref="I33"/>
    </sheetView>
  </sheetViews>
  <sheetFormatPr baseColWidth="10" defaultColWidth="11.54296875" defaultRowHeight="12" outlineLevelCol="1"/>
  <cols>
    <col min="1" max="1" width="28.54296875" style="17" hidden="1" customWidth="1"/>
    <col min="2" max="2" width="4.453125" style="17" customWidth="1"/>
    <col min="3" max="3" width="51.269531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Companies!B7</f>
        <v>ADAMA SWISS</v>
      </c>
      <c r="F1" s="32" t="str">
        <f>Companies!C7</f>
        <v>M312013J001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3"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3"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3"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230117607.11250001</v>
      </c>
      <c r="J8" s="164">
        <f ca="1">+J9+J13+J15+J17+J40+J45+J47+J52+J55+J62+J65+J68+J77</f>
        <v>0</v>
      </c>
      <c r="K8" s="164">
        <f ca="1">+K9+K13+K15+K17+K40+K45+K47+K52+K55+K62+K65+K68+K77</f>
        <v>230117607.11250001</v>
      </c>
      <c r="L8" s="114"/>
      <c r="M8" s="164">
        <f ca="1">+M9+M13+M15+M17+M40+M45+M52+M55+M62+M65+M68+M77+M47</f>
        <v>-230117607.11250001</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175200186.08750001</v>
      </c>
      <c r="J9" s="166">
        <f t="shared" ref="J9" ca="1" si="26">SUM(J10:J12)</f>
        <v>0</v>
      </c>
      <c r="K9" s="166">
        <f t="shared" ref="K9" ca="1" si="27">SUM(K10:K12)</f>
        <v>175200186.08750001</v>
      </c>
      <c r="L9" s="114"/>
      <c r="M9" s="166">
        <f t="shared" ref="M9" ca="1" si="28">SUM(M10:M12)</f>
        <v>-175200186.08750001</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50057196.024999999</v>
      </c>
      <c r="J10" s="165">
        <f>SUMIF($J$83:$J$1048576,C10,$Q$83:$Q$1048576)</f>
        <v>0</v>
      </c>
      <c r="K10" s="165">
        <f>I10+J10</f>
        <v>50057196.024999999</v>
      </c>
      <c r="L10" s="114"/>
      <c r="M10" s="165">
        <f>+G10-K10</f>
        <v>-50057196.024999999</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125142990.0625</v>
      </c>
      <c r="J11" s="114">
        <f>SUMIF($J$83:$J$1048576,C11,$Q$83:$Q$1048576)</f>
        <v>0</v>
      </c>
      <c r="K11" s="114">
        <f>I11+J11</f>
        <v>125142990.0625</v>
      </c>
      <c r="L11" s="114"/>
      <c r="M11" s="114">
        <f>+G11-K11</f>
        <v>-125142990.0625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C17</f>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SUM(AA14:AI14)</f>
        <v>0</v>
      </c>
      <c r="AL14" s="17">
        <f>+B17</f>
        <v>0</v>
      </c>
      <c r="AM14" s="26" t="str">
        <f>+C17</f>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SUM(AN14:AU14)</f>
        <v>0</v>
      </c>
      <c r="AW14" s="18"/>
      <c r="AX14" s="17">
        <f>B17</f>
        <v>0</v>
      </c>
      <c r="AY14" s="26" t="str">
        <f>C17</f>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25" ca="1" si="46">IF(M16=0,"",IF(N16=0,"ERROR",""))</f>
        <v/>
      </c>
      <c r="P16" s="39" t="str">
        <f t="shared" ref="P16:P2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4860225</v>
      </c>
      <c r="J17" s="166">
        <f t="shared" ref="J17" ca="1" si="52">SUM(J18:J39)</f>
        <v>0</v>
      </c>
      <c r="K17" s="166">
        <f t="shared" ref="K17" ca="1" si="53">SUM(K18:K39)</f>
        <v>4860225</v>
      </c>
      <c r="L17" s="114"/>
      <c r="M17" s="166">
        <f t="shared" ref="M17" ca="1" si="54">SUM(M18:M39)</f>
        <v>-4860225</v>
      </c>
      <c r="N17" s="58"/>
      <c r="O17" s="38" t="str">
        <f t="shared" ca="1" si="46"/>
        <v>ERROR</v>
      </c>
      <c r="P17" s="39" t="str">
        <f t="shared" ca="1" si="47"/>
        <v>Please insert comment</v>
      </c>
      <c r="Q17" s="35"/>
      <c r="T17" s="41" t="str">
        <f>IF(F72=S12,"","ERROR")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ca="1" si="46"/>
        <v/>
      </c>
      <c r="P18" s="39" t="str">
        <f t="shared" ca="1" si="47"/>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46"/>
        <v/>
      </c>
      <c r="P19" s="39" t="str">
        <f t="shared" ca="1" si="47"/>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288000</v>
      </c>
      <c r="J20" s="114">
        <f t="shared" ca="1" si="57"/>
        <v>0</v>
      </c>
      <c r="K20" s="114">
        <f t="shared" ca="1" si="58"/>
        <v>288000</v>
      </c>
      <c r="L20" s="114"/>
      <c r="M20" s="114">
        <f t="shared" ca="1" si="59"/>
        <v>-288000</v>
      </c>
      <c r="N20" s="18"/>
      <c r="O20" s="38" t="str">
        <f t="shared" ca="1" si="46"/>
        <v>ERROR</v>
      </c>
      <c r="P20" s="39" t="str">
        <f t="shared" ca="1" si="47"/>
        <v>Please insert comment</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6"/>
        <v/>
      </c>
      <c r="P22" s="39" t="str">
        <f t="shared" ca="1" si="47"/>
        <v/>
      </c>
      <c r="Q22" s="35"/>
      <c r="Y22" s="28"/>
      <c r="Z22" s="28" t="str">
        <f t="shared" ref="Z22:Z53"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53"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53"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SUMPRODUCT(($A$84:$A$751=$Y23&amp;"- "&amp;$Z23)*($C$84:$C$751=AA$1)*($G$84:$G$751))</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SUMPRODUCT(($J$84:$M$748=$AL23&amp;"- "&amp;$AM23)*($N$84:$N$748=AN$1)*($Q$84:$Q$748))</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v>4500225</v>
      </c>
      <c r="J24" s="114">
        <f t="shared" ca="1" si="57"/>
        <v>0</v>
      </c>
      <c r="K24" s="114">
        <f t="shared" ca="1" si="58"/>
        <v>4500225</v>
      </c>
      <c r="L24" s="114"/>
      <c r="M24" s="114">
        <f t="shared" ca="1" si="59"/>
        <v>-4500225</v>
      </c>
      <c r="N24" s="18"/>
      <c r="O24" s="38" t="str">
        <f t="shared" ca="1" si="46"/>
        <v>ERROR</v>
      </c>
      <c r="P24" s="39" t="str">
        <f t="shared" ca="1" si="47"/>
        <v>Please insert comment</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4">SUMIF($N$84:$N$749,R25,$Q$84:$Q$749)</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ref="O26:O35" ca="1" si="75">IF(M26=0,"",IF(N26=0,"ERROR",""))</f>
        <v/>
      </c>
      <c r="P26" s="39" t="str">
        <f t="shared" ref="P26:P35" ca="1" si="76">IF(O26="ERROR","Please insert comment","")</f>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75"/>
        <v/>
      </c>
      <c r="P27" s="39" t="str">
        <f t="shared" ca="1" si="76"/>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75"/>
        <v/>
      </c>
      <c r="P28" s="39" t="str">
        <f t="shared" ca="1" si="76"/>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75"/>
        <v/>
      </c>
      <c r="P29" s="39" t="str">
        <f t="shared" ca="1" si="76"/>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75"/>
        <v/>
      </c>
      <c r="P30" s="39" t="str">
        <f t="shared" ca="1" si="76"/>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75"/>
        <v/>
      </c>
      <c r="P31" s="39" t="str">
        <f t="shared" ca="1" si="76"/>
        <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72000</v>
      </c>
      <c r="J32" s="114">
        <f t="shared" ca="1" si="57"/>
        <v>0</v>
      </c>
      <c r="K32" s="114">
        <f t="shared" ca="1" si="58"/>
        <v>72000</v>
      </c>
      <c r="L32" s="114"/>
      <c r="M32" s="114">
        <f t="shared" ca="1" si="59"/>
        <v>-72000</v>
      </c>
      <c r="N32" s="18"/>
      <c r="O32" s="38" t="str">
        <f t="shared" ca="1" si="75"/>
        <v>ERROR</v>
      </c>
      <c r="P32" s="39" t="str">
        <f t="shared" ca="1" si="76"/>
        <v>Please insert comment</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75"/>
        <v/>
      </c>
      <c r="P33" s="39" t="str">
        <f t="shared" ca="1" si="76"/>
        <v/>
      </c>
      <c r="Q33" s="35"/>
      <c r="R33" s="40" t="s">
        <v>18</v>
      </c>
      <c r="S33" s="22">
        <f>SUM(S25:S32)</f>
        <v>0</v>
      </c>
      <c r="Y33" s="28"/>
      <c r="Z33" s="28" t="str">
        <f t="shared" si="60"/>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2"/>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4"/>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75"/>
        <v/>
      </c>
      <c r="P34" s="39" t="str">
        <f t="shared" ca="1" si="76"/>
        <v/>
      </c>
      <c r="Q34" s="35"/>
      <c r="R34" s="43"/>
      <c r="S34" s="27"/>
      <c r="Y34" s="15">
        <f t="shared" ref="Y34:Y49" si="80">B37</f>
        <v>25</v>
      </c>
      <c r="Z34" s="25" t="str">
        <f t="shared" si="60"/>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2"/>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4"/>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38" t="str">
        <f t="shared" ca="1" si="75"/>
        <v/>
      </c>
      <c r="P35" s="39" t="str">
        <f t="shared" ca="1" si="76"/>
        <v/>
      </c>
      <c r="Q35" s="35"/>
      <c r="Y35" s="15">
        <f t="shared" si="80"/>
        <v>26</v>
      </c>
      <c r="Z35" s="25" t="str">
        <f t="shared" si="60"/>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2"/>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4"/>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0"/>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2"/>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4"/>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ref="O37:O52" ca="1" si="88">IF(M37=0,"",IF(N37=0,"ERROR",""))</f>
        <v/>
      </c>
      <c r="P37" s="39" t="str">
        <f t="shared" ref="P37:P51" ca="1" si="89">IF(O37="ERROR","Please insert comment","")</f>
        <v/>
      </c>
      <c r="Q37" s="35"/>
      <c r="Y37" s="15">
        <f t="shared" si="80"/>
        <v>0</v>
      </c>
      <c r="Z37" s="25" t="str">
        <f t="shared" si="60"/>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2"/>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4"/>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88"/>
        <v/>
      </c>
      <c r="P38" s="39" t="str">
        <f t="shared" ca="1" si="89"/>
        <v/>
      </c>
      <c r="Q38" s="35"/>
      <c r="Y38" s="15">
        <f t="shared" si="80"/>
        <v>28</v>
      </c>
      <c r="Z38" s="25" t="str">
        <f t="shared" si="60"/>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2"/>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4"/>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88"/>
        <v/>
      </c>
      <c r="P39" s="39" t="str">
        <f t="shared" ca="1" si="89"/>
        <v/>
      </c>
      <c r="Q39" s="35"/>
      <c r="Y39" s="15">
        <f t="shared" si="80"/>
        <v>29</v>
      </c>
      <c r="Z39" s="25" t="str">
        <f t="shared" si="60"/>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2"/>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4"/>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50057196.024999999</v>
      </c>
      <c r="J40" s="166">
        <f ca="1">SUM(J41:J44)</f>
        <v>0</v>
      </c>
      <c r="K40" s="166">
        <f ca="1">SUM(K41:K44)</f>
        <v>50057196.024999999</v>
      </c>
      <c r="L40" s="114"/>
      <c r="M40" s="166">
        <f ca="1">SUM(M41:M44)</f>
        <v>-50057196.024999999</v>
      </c>
      <c r="N40" s="58"/>
      <c r="O40" s="38" t="str">
        <f t="shared" ca="1" si="88"/>
        <v>ERROR</v>
      </c>
      <c r="P40" s="39" t="str">
        <f t="shared" ca="1" si="89"/>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88"/>
        <v/>
      </c>
      <c r="P41" s="39" t="str">
        <f t="shared" ca="1" si="89"/>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88"/>
        <v/>
      </c>
      <c r="P42" s="39" t="str">
        <f t="shared" ca="1" si="89"/>
        <v/>
      </c>
      <c r="Q42" s="35"/>
      <c r="T42" s="41" t="str">
        <f ca="1">IF(J8=S33,"","ERROR")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88"/>
        <v/>
      </c>
      <c r="P43" s="39" t="str">
        <f t="shared" ca="1" si="89"/>
        <v/>
      </c>
      <c r="Q43" s="35"/>
      <c r="Y43" s="15">
        <f t="shared" si="80"/>
        <v>32</v>
      </c>
      <c r="Z43" s="25" t="str">
        <f t="shared" si="60"/>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2"/>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4"/>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50057196.024999999</v>
      </c>
      <c r="J44" s="165">
        <f ca="1">SUMIF($J$84:$M$749,B44&amp;"- "&amp;C44,$Q$84:$Q$749)</f>
        <v>0</v>
      </c>
      <c r="K44" s="165">
        <f ca="1">I44+J44</f>
        <v>50057196.024999999</v>
      </c>
      <c r="L44" s="114"/>
      <c r="M44" s="165">
        <f ca="1">+G44-K44</f>
        <v>-50057196.024999999</v>
      </c>
      <c r="N44" s="68"/>
      <c r="O44" s="38" t="str">
        <f t="shared" ca="1" si="88"/>
        <v>ERROR</v>
      </c>
      <c r="P44" s="39" t="str">
        <f t="shared" ca="1" si="89"/>
        <v>Please insert comment</v>
      </c>
      <c r="Y44" s="15">
        <f t="shared" ref="Y44:Z46" si="90">B48</f>
        <v>33</v>
      </c>
      <c r="Z44" s="25" t="str">
        <f t="shared" si="90"/>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1">+B48</f>
        <v>33</v>
      </c>
      <c r="AM44" s="26" t="str">
        <f t="shared" si="91"/>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2">B48</f>
        <v>33</v>
      </c>
      <c r="AY44" s="26" t="str">
        <f t="shared" si="92"/>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88"/>
        <v/>
      </c>
      <c r="P45" s="39" t="str">
        <f t="shared" ca="1" si="89"/>
        <v/>
      </c>
      <c r="Y45" s="15">
        <f t="shared" si="90"/>
        <v>34</v>
      </c>
      <c r="Z45" s="25" t="str">
        <f t="shared" si="90"/>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1"/>
        <v>34</v>
      </c>
      <c r="AM45" s="26" t="str">
        <f t="shared" si="91"/>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2"/>
        <v>34</v>
      </c>
      <c r="AY45" s="26" t="str">
        <f t="shared" si="92"/>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88"/>
        <v/>
      </c>
      <c r="P46" s="39" t="str">
        <f t="shared" ca="1" si="89"/>
        <v/>
      </c>
      <c r="Y46" s="15">
        <f t="shared" si="90"/>
        <v>35</v>
      </c>
      <c r="Z46" s="25" t="str">
        <f t="shared" si="90"/>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1"/>
        <v>35</v>
      </c>
      <c r="AM46" s="26" t="str">
        <f t="shared" si="91"/>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2"/>
        <v>35</v>
      </c>
      <c r="AY46" s="26" t="str">
        <f t="shared" si="92"/>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88"/>
        <v/>
      </c>
      <c r="P48" s="39" t="str">
        <f t="shared" ca="1" si="89"/>
        <v/>
      </c>
      <c r="Y48" s="15">
        <f t="shared" si="80"/>
        <v>36</v>
      </c>
      <c r="Z48" s="25" t="str">
        <f t="shared" si="60"/>
        <v>Taxes environnementales sur les Stes forestières et Minières (+)</v>
      </c>
      <c r="AA48" s="16">
        <f t="shared" ref="AA48:AI49" si="93">SUMPRODUCT(($A$84:$A$751=$Y48&amp;"- "&amp;$Z48)*($C$84:$C$751=AA$1)*($G$84:$G$751))</f>
        <v>0</v>
      </c>
      <c r="AB48" s="16">
        <f t="shared" si="93"/>
        <v>0</v>
      </c>
      <c r="AC48" s="16">
        <f t="shared" si="93"/>
        <v>0</v>
      </c>
      <c r="AD48" s="16">
        <f t="shared" si="93"/>
        <v>0</v>
      </c>
      <c r="AE48" s="16">
        <f t="shared" si="93"/>
        <v>0</v>
      </c>
      <c r="AF48" s="16">
        <f t="shared" si="93"/>
        <v>0</v>
      </c>
      <c r="AG48" s="16">
        <f t="shared" si="93"/>
        <v>0</v>
      </c>
      <c r="AH48" s="16">
        <f t="shared" si="93"/>
        <v>0</v>
      </c>
      <c r="AI48" s="16">
        <f t="shared" si="93"/>
        <v>0</v>
      </c>
      <c r="AJ48" s="16">
        <f t="shared" si="82"/>
        <v>0</v>
      </c>
      <c r="AL48" s="17">
        <f t="shared" si="83"/>
        <v>36</v>
      </c>
      <c r="AM48" s="26" t="str">
        <f t="shared" si="62"/>
        <v>Taxes environnementales sur les Stes forestières et Minières (+)</v>
      </c>
      <c r="AN48" s="18">
        <f t="shared" ref="AN48:AU49" si="94">SUMPRODUCT(($J$84:$M$748=$AL48&amp;"- "&amp;$AM48)*($N$84:$N$748=AN$1)*($Q$84:$Q$748))</f>
        <v>0</v>
      </c>
      <c r="AO48" s="18">
        <f t="shared" si="94"/>
        <v>0</v>
      </c>
      <c r="AP48" s="18">
        <f t="shared" si="94"/>
        <v>0</v>
      </c>
      <c r="AQ48" s="18">
        <f t="shared" si="94"/>
        <v>0</v>
      </c>
      <c r="AR48" s="18">
        <f t="shared" si="94"/>
        <v>0</v>
      </c>
      <c r="AS48" s="18">
        <f t="shared" si="94"/>
        <v>0</v>
      </c>
      <c r="AT48" s="18">
        <f t="shared" si="94"/>
        <v>0</v>
      </c>
      <c r="AU48" s="18">
        <f t="shared" si="94"/>
        <v>0</v>
      </c>
      <c r="AV48" s="18">
        <f t="shared" si="85"/>
        <v>0</v>
      </c>
      <c r="AW48" s="38"/>
      <c r="AX48" s="17">
        <f t="shared" si="86"/>
        <v>36</v>
      </c>
      <c r="AY48" s="26" t="str">
        <f t="shared" si="64"/>
        <v>Taxes environnementales sur les Stes forestières et Minières (+)</v>
      </c>
      <c r="AZ48" s="18">
        <f t="shared" ref="AZ48:BK49" ca="1" si="95">SUMPRODUCT(($C$10:$C$75=$AY48)*($N$10:$N$75=AZ$1)*($M$10:$M$75))</f>
        <v>0</v>
      </c>
      <c r="BA48" s="18">
        <f t="shared" ca="1" si="95"/>
        <v>0</v>
      </c>
      <c r="BB48" s="18">
        <f t="shared" ca="1" si="95"/>
        <v>0</v>
      </c>
      <c r="BC48" s="18">
        <f t="shared" ca="1" si="95"/>
        <v>0</v>
      </c>
      <c r="BD48" s="18">
        <f t="shared" ca="1" si="95"/>
        <v>0</v>
      </c>
      <c r="BE48" s="18">
        <f t="shared" ca="1" si="95"/>
        <v>0</v>
      </c>
      <c r="BF48" s="18">
        <f t="shared" ca="1" si="95"/>
        <v>0</v>
      </c>
      <c r="BG48" s="18">
        <f t="shared" ca="1" si="95"/>
        <v>0</v>
      </c>
      <c r="BH48" s="18">
        <f t="shared" ca="1" si="95"/>
        <v>0</v>
      </c>
      <c r="BI48" s="18">
        <f t="shared" ca="1" si="95"/>
        <v>0</v>
      </c>
      <c r="BJ48" s="18">
        <f t="shared" ca="1" si="95"/>
        <v>0</v>
      </c>
      <c r="BK48" s="18">
        <f t="shared" ca="1" si="95"/>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88"/>
        <v/>
      </c>
      <c r="P49" s="39" t="str">
        <f t="shared" ca="1" si="89"/>
        <v/>
      </c>
      <c r="Y49" s="15">
        <f t="shared" si="80"/>
        <v>0</v>
      </c>
      <c r="Z49" s="25" t="str">
        <f t="shared" si="60"/>
        <v>Affectations spéciales</v>
      </c>
      <c r="AA49" s="16">
        <f t="shared" si="93"/>
        <v>0</v>
      </c>
      <c r="AB49" s="16">
        <f t="shared" si="93"/>
        <v>0</v>
      </c>
      <c r="AC49" s="16">
        <f t="shared" si="93"/>
        <v>0</v>
      </c>
      <c r="AD49" s="16">
        <f t="shared" si="93"/>
        <v>0</v>
      </c>
      <c r="AE49" s="16">
        <f t="shared" si="93"/>
        <v>0</v>
      </c>
      <c r="AF49" s="16">
        <f t="shared" si="93"/>
        <v>0</v>
      </c>
      <c r="AG49" s="16">
        <f t="shared" si="93"/>
        <v>0</v>
      </c>
      <c r="AH49" s="16">
        <f t="shared" si="93"/>
        <v>0</v>
      </c>
      <c r="AI49" s="16">
        <f t="shared" si="93"/>
        <v>0</v>
      </c>
      <c r="AJ49" s="16">
        <f>SUM(AA49:AI49)</f>
        <v>0</v>
      </c>
      <c r="AL49" s="17">
        <f t="shared" si="83"/>
        <v>0</v>
      </c>
      <c r="AM49" s="26" t="str">
        <f t="shared" si="62"/>
        <v>Affectations spéciales</v>
      </c>
      <c r="AN49" s="18">
        <f t="shared" si="94"/>
        <v>0</v>
      </c>
      <c r="AO49" s="18">
        <f t="shared" si="94"/>
        <v>0</v>
      </c>
      <c r="AP49" s="18">
        <f t="shared" si="94"/>
        <v>0</v>
      </c>
      <c r="AQ49" s="18">
        <f t="shared" si="94"/>
        <v>0</v>
      </c>
      <c r="AR49" s="18">
        <f t="shared" si="94"/>
        <v>0</v>
      </c>
      <c r="AS49" s="18">
        <f t="shared" si="94"/>
        <v>0</v>
      </c>
      <c r="AT49" s="18">
        <f t="shared" si="94"/>
        <v>0</v>
      </c>
      <c r="AU49" s="18">
        <f t="shared" si="94"/>
        <v>0</v>
      </c>
      <c r="AV49" s="18">
        <f>SUM(AN49:AU49)</f>
        <v>0</v>
      </c>
      <c r="AW49" s="38"/>
      <c r="AX49" s="17">
        <f t="shared" si="86"/>
        <v>0</v>
      </c>
      <c r="AY49" s="26" t="str">
        <f t="shared" si="64"/>
        <v>Affectations spéciales</v>
      </c>
      <c r="AZ49" s="18">
        <f t="shared" ca="1" si="95"/>
        <v>0</v>
      </c>
      <c r="BA49" s="18">
        <f t="shared" ca="1" si="95"/>
        <v>0</v>
      </c>
      <c r="BB49" s="18">
        <f t="shared" ca="1" si="95"/>
        <v>0</v>
      </c>
      <c r="BC49" s="18">
        <f t="shared" ca="1" si="95"/>
        <v>0</v>
      </c>
      <c r="BD49" s="18">
        <f t="shared" ca="1" si="95"/>
        <v>0</v>
      </c>
      <c r="BE49" s="18">
        <f t="shared" ca="1" si="95"/>
        <v>0</v>
      </c>
      <c r="BF49" s="18">
        <f t="shared" ca="1" si="95"/>
        <v>0</v>
      </c>
      <c r="BG49" s="18">
        <f t="shared" ca="1" si="95"/>
        <v>0</v>
      </c>
      <c r="BH49" s="18">
        <f t="shared" ca="1" si="95"/>
        <v>0</v>
      </c>
      <c r="BI49" s="18">
        <f t="shared" ca="1" si="95"/>
        <v>0</v>
      </c>
      <c r="BJ49" s="18">
        <f t="shared" ca="1" si="95"/>
        <v>0</v>
      </c>
      <c r="BK49" s="18">
        <f t="shared" ca="1" si="95"/>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88"/>
        <v/>
      </c>
      <c r="P50" s="39" t="str">
        <f t="shared" ca="1" si="89"/>
        <v/>
      </c>
      <c r="Y50" s="28"/>
      <c r="Z50" s="28" t="str">
        <f t="shared" si="60"/>
        <v>Affectation au titre la taxe de reboisement (+)</v>
      </c>
      <c r="AA50" s="29">
        <f t="shared" ref="AA50:AJ50" si="96">SUM(AA51:AA59)</f>
        <v>0</v>
      </c>
      <c r="AB50" s="29">
        <f t="shared" si="96"/>
        <v>0</v>
      </c>
      <c r="AC50" s="29">
        <f t="shared" si="96"/>
        <v>0</v>
      </c>
      <c r="AD50" s="29">
        <f t="shared" si="96"/>
        <v>0</v>
      </c>
      <c r="AE50" s="29">
        <f t="shared" si="96"/>
        <v>0</v>
      </c>
      <c r="AF50" s="29">
        <f t="shared" si="96"/>
        <v>0</v>
      </c>
      <c r="AG50" s="29">
        <f t="shared" si="96"/>
        <v>0</v>
      </c>
      <c r="AH50" s="29">
        <f t="shared" si="96"/>
        <v>0</v>
      </c>
      <c r="AI50" s="29">
        <f t="shared" si="96"/>
        <v>0</v>
      </c>
      <c r="AJ50" s="29">
        <f t="shared" si="96"/>
        <v>0</v>
      </c>
      <c r="AL50" s="28"/>
      <c r="AM50" s="28" t="str">
        <f t="shared" si="62"/>
        <v>Affectation au titre la taxe de reboisement (+)</v>
      </c>
      <c r="AN50" s="29">
        <f t="shared" ref="AN50:AV50" si="97">SUM(AN51:AN59)</f>
        <v>0</v>
      </c>
      <c r="AO50" s="29">
        <f t="shared" si="97"/>
        <v>0</v>
      </c>
      <c r="AP50" s="29">
        <f t="shared" si="97"/>
        <v>0</v>
      </c>
      <c r="AQ50" s="29">
        <f t="shared" si="97"/>
        <v>0</v>
      </c>
      <c r="AR50" s="29">
        <f t="shared" si="97"/>
        <v>0</v>
      </c>
      <c r="AS50" s="29">
        <f t="shared" si="97"/>
        <v>0</v>
      </c>
      <c r="AT50" s="29">
        <f t="shared" si="97"/>
        <v>0</v>
      </c>
      <c r="AU50" s="29">
        <f t="shared" si="97"/>
        <v>0</v>
      </c>
      <c r="AV50" s="29">
        <f t="shared" si="97"/>
        <v>0</v>
      </c>
      <c r="AW50" s="18"/>
      <c r="AX50" s="28"/>
      <c r="AY50" s="28" t="str">
        <f t="shared" si="64"/>
        <v>Affectation au titre la taxe de reboisement (+)</v>
      </c>
      <c r="AZ50" s="29">
        <f t="shared" ref="AZ50:BK50" ca="1" si="98">SUM(AZ51:AZ59)</f>
        <v>0</v>
      </c>
      <c r="BA50" s="29">
        <f t="shared" ca="1" si="98"/>
        <v>0</v>
      </c>
      <c r="BB50" s="29">
        <f t="shared" ca="1" si="98"/>
        <v>0</v>
      </c>
      <c r="BC50" s="29">
        <f t="shared" ca="1" si="98"/>
        <v>0</v>
      </c>
      <c r="BD50" s="29">
        <f t="shared" ca="1" si="98"/>
        <v>0</v>
      </c>
      <c r="BE50" s="29">
        <f t="shared" ca="1" si="98"/>
        <v>0</v>
      </c>
      <c r="BF50" s="29">
        <f t="shared" ca="1" si="98"/>
        <v>0</v>
      </c>
      <c r="BG50" s="29">
        <f t="shared" ca="1" si="98"/>
        <v>0</v>
      </c>
      <c r="BH50" s="29">
        <f t="shared" ca="1" si="98"/>
        <v>0</v>
      </c>
      <c r="BI50" s="29">
        <f t="shared" ca="1" si="98"/>
        <v>0</v>
      </c>
      <c r="BJ50" s="29">
        <f t="shared" ca="1" si="98"/>
        <v>0</v>
      </c>
      <c r="BK50" s="29">
        <f t="shared" ca="1" si="98"/>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88"/>
        <v/>
      </c>
      <c r="P51" s="39" t="str">
        <f t="shared" ca="1" si="89"/>
        <v/>
      </c>
      <c r="Y51" s="15">
        <f t="shared" ref="Y51:Y58" si="99">B54</f>
        <v>38</v>
      </c>
      <c r="Z51" s="25" t="str">
        <f t="shared" si="60"/>
        <v>Affectation au titre de taxe d’abattage (+)</v>
      </c>
      <c r="AA51" s="16">
        <f t="shared" ref="AA51:AI59" si="100">SUMPRODUCT(($A$84:$A$751=$Y51&amp;"- "&amp;$Z51)*($C$84:$C$751=AA$1)*($G$84:$G$751))</f>
        <v>0</v>
      </c>
      <c r="AB51" s="16">
        <f t="shared" si="100"/>
        <v>0</v>
      </c>
      <c r="AC51" s="16">
        <f t="shared" si="100"/>
        <v>0</v>
      </c>
      <c r="AD51" s="16">
        <f t="shared" si="100"/>
        <v>0</v>
      </c>
      <c r="AE51" s="16">
        <f t="shared" si="100"/>
        <v>0</v>
      </c>
      <c r="AF51" s="16">
        <f t="shared" si="100"/>
        <v>0</v>
      </c>
      <c r="AG51" s="16">
        <f t="shared" si="100"/>
        <v>0</v>
      </c>
      <c r="AH51" s="16">
        <f t="shared" si="100"/>
        <v>0</v>
      </c>
      <c r="AI51" s="16">
        <f t="shared" si="100"/>
        <v>0</v>
      </c>
      <c r="AJ51" s="16">
        <f t="shared" ref="AJ51:AJ59" si="101">SUM(AA51:AI51)</f>
        <v>0</v>
      </c>
      <c r="AL51" s="17">
        <f t="shared" ref="AL51:AL57" si="102">+B54</f>
        <v>38</v>
      </c>
      <c r="AM51" s="26" t="str">
        <f t="shared" si="62"/>
        <v>Affectation au titre de taxe d’abattage (+)</v>
      </c>
      <c r="AN51" s="18">
        <f t="shared" ref="AN51:AU59" si="103">SUMPRODUCT(($J$84:$M$748=$AL51&amp;"- "&amp;$AM51)*($N$84:$N$748=AN$1)*($Q$84:$Q$748))</f>
        <v>0</v>
      </c>
      <c r="AO51" s="18">
        <f t="shared" si="103"/>
        <v>0</v>
      </c>
      <c r="AP51" s="18">
        <f t="shared" si="103"/>
        <v>0</v>
      </c>
      <c r="AQ51" s="18">
        <f t="shared" si="103"/>
        <v>0</v>
      </c>
      <c r="AR51" s="18">
        <f t="shared" si="103"/>
        <v>0</v>
      </c>
      <c r="AS51" s="18">
        <f t="shared" si="103"/>
        <v>0</v>
      </c>
      <c r="AT51" s="18">
        <f t="shared" si="103"/>
        <v>0</v>
      </c>
      <c r="AU51" s="18">
        <f t="shared" si="103"/>
        <v>0</v>
      </c>
      <c r="AV51" s="18">
        <f t="shared" ref="AV51:AV59" si="104">SUM(AN51:AU51)</f>
        <v>0</v>
      </c>
      <c r="AW51" s="18"/>
      <c r="AX51" s="17">
        <f t="shared" ref="AX51:AX57" si="105">B54</f>
        <v>38</v>
      </c>
      <c r="AY51" s="26" t="str">
        <f t="shared" si="64"/>
        <v>Affectation au titre de taxe d’abattage (+)</v>
      </c>
      <c r="AZ51" s="18">
        <f t="shared" ref="AZ51:BK59" ca="1" si="106">SUMPRODUCT(($C$10:$C$75=$AY51)*($N$10:$N$75=AZ$1)*($M$10:$M$75))</f>
        <v>0</v>
      </c>
      <c r="BA51" s="18">
        <f t="shared" ca="1" si="106"/>
        <v>0</v>
      </c>
      <c r="BB51" s="18">
        <f t="shared" ca="1" si="106"/>
        <v>0</v>
      </c>
      <c r="BC51" s="18">
        <f t="shared" ca="1" si="106"/>
        <v>0</v>
      </c>
      <c r="BD51" s="18">
        <f t="shared" ca="1" si="106"/>
        <v>0</v>
      </c>
      <c r="BE51" s="18">
        <f t="shared" ca="1" si="106"/>
        <v>0</v>
      </c>
      <c r="BF51" s="18">
        <f t="shared" ca="1" si="106"/>
        <v>0</v>
      </c>
      <c r="BG51" s="18">
        <f t="shared" ca="1" si="106"/>
        <v>0</v>
      </c>
      <c r="BH51" s="18">
        <f t="shared" ca="1" si="106"/>
        <v>0</v>
      </c>
      <c r="BI51" s="18">
        <f t="shared" ca="1" si="106"/>
        <v>0</v>
      </c>
      <c r="BJ51" s="18">
        <f t="shared" ca="1" si="106"/>
        <v>0</v>
      </c>
      <c r="BK51" s="18">
        <f t="shared" ca="1" si="106"/>
        <v>0</v>
      </c>
    </row>
    <row r="52" spans="1:63">
      <c r="A52" s="80"/>
      <c r="B52" s="163"/>
      <c r="C52" s="58" t="str">
        <f>+'Taxes RCA 2022'!B45</f>
        <v>Affectations spéciales</v>
      </c>
      <c r="E52" s="166">
        <f>+E53+E54</f>
        <v>0</v>
      </c>
      <c r="F52" s="166">
        <f t="shared" ref="F52:G52" si="107">+F53+F54</f>
        <v>0</v>
      </c>
      <c r="G52" s="166">
        <f t="shared" si="107"/>
        <v>0</v>
      </c>
      <c r="H52" s="114"/>
      <c r="I52" s="166">
        <f>+I53+I54</f>
        <v>0</v>
      </c>
      <c r="J52" s="166">
        <f t="shared" ref="J52" ca="1" si="108">+J53+J54</f>
        <v>0</v>
      </c>
      <c r="K52" s="166">
        <f t="shared" ref="K52" ca="1" si="109">+K53+K54</f>
        <v>0</v>
      </c>
      <c r="L52" s="114"/>
      <c r="M52" s="166">
        <f t="shared" ref="M52" ca="1" si="110">+M53+M54</f>
        <v>0</v>
      </c>
      <c r="N52" s="58"/>
      <c r="O52" s="38" t="str">
        <f t="shared" ca="1" si="88"/>
        <v/>
      </c>
      <c r="P52" s="39" t="str">
        <f ca="1">IF(O52="ERROR","Please insert comment","")</f>
        <v/>
      </c>
      <c r="Y52" s="15">
        <f t="shared" si="99"/>
        <v>0</v>
      </c>
      <c r="Z52" s="25" t="str">
        <f t="shared" si="60"/>
        <v xml:space="preserve">Transferts du Trésor aux communes </v>
      </c>
      <c r="AA52" s="16">
        <f t="shared" si="100"/>
        <v>0</v>
      </c>
      <c r="AB52" s="16">
        <f t="shared" si="100"/>
        <v>0</v>
      </c>
      <c r="AC52" s="16">
        <f t="shared" si="100"/>
        <v>0</v>
      </c>
      <c r="AD52" s="16">
        <f t="shared" si="100"/>
        <v>0</v>
      </c>
      <c r="AE52" s="16">
        <f t="shared" si="100"/>
        <v>0</v>
      </c>
      <c r="AF52" s="16">
        <f t="shared" si="100"/>
        <v>0</v>
      </c>
      <c r="AG52" s="16">
        <f t="shared" si="100"/>
        <v>0</v>
      </c>
      <c r="AH52" s="16">
        <f t="shared" si="100"/>
        <v>0</v>
      </c>
      <c r="AI52" s="16">
        <f t="shared" si="100"/>
        <v>0</v>
      </c>
      <c r="AJ52" s="16">
        <f t="shared" si="101"/>
        <v>0</v>
      </c>
      <c r="AL52" s="17">
        <f t="shared" si="102"/>
        <v>0</v>
      </c>
      <c r="AM52" s="26" t="str">
        <f t="shared" si="62"/>
        <v xml:space="preserve">Transferts du Trésor aux communes </v>
      </c>
      <c r="AN52" s="18">
        <f t="shared" si="103"/>
        <v>0</v>
      </c>
      <c r="AO52" s="18">
        <f t="shared" si="103"/>
        <v>0</v>
      </c>
      <c r="AP52" s="18">
        <f t="shared" si="103"/>
        <v>0</v>
      </c>
      <c r="AQ52" s="18">
        <f t="shared" si="103"/>
        <v>0</v>
      </c>
      <c r="AR52" s="18">
        <f t="shared" si="103"/>
        <v>0</v>
      </c>
      <c r="AS52" s="18">
        <f t="shared" si="103"/>
        <v>0</v>
      </c>
      <c r="AT52" s="18">
        <f t="shared" si="103"/>
        <v>0</v>
      </c>
      <c r="AU52" s="18">
        <f t="shared" si="103"/>
        <v>0</v>
      </c>
      <c r="AV52" s="18">
        <f t="shared" si="104"/>
        <v>0</v>
      </c>
      <c r="AW52" s="38"/>
      <c r="AX52" s="17">
        <f t="shared" si="105"/>
        <v>0</v>
      </c>
      <c r="AY52" s="26" t="str">
        <f t="shared" si="64"/>
        <v xml:space="preserve">Transferts du Trésor aux communes </v>
      </c>
      <c r="AZ52" s="18">
        <f t="shared" ca="1" si="106"/>
        <v>0</v>
      </c>
      <c r="BA52" s="18">
        <f t="shared" ca="1" si="106"/>
        <v>0</v>
      </c>
      <c r="BB52" s="18">
        <f t="shared" ca="1" si="106"/>
        <v>0</v>
      </c>
      <c r="BC52" s="18">
        <f t="shared" ca="1" si="106"/>
        <v>0</v>
      </c>
      <c r="BD52" s="18">
        <f t="shared" ca="1" si="106"/>
        <v>0</v>
      </c>
      <c r="BE52" s="18">
        <f t="shared" ca="1" si="106"/>
        <v>0</v>
      </c>
      <c r="BF52" s="18">
        <f t="shared" ca="1" si="106"/>
        <v>0</v>
      </c>
      <c r="BG52" s="18">
        <f t="shared" ca="1" si="106"/>
        <v>0</v>
      </c>
      <c r="BH52" s="18">
        <f t="shared" ca="1" si="106"/>
        <v>0</v>
      </c>
      <c r="BI52" s="18">
        <f t="shared" ca="1" si="106"/>
        <v>0</v>
      </c>
      <c r="BJ52" s="18">
        <f t="shared" ca="1" si="106"/>
        <v>0</v>
      </c>
      <c r="BK52" s="18">
        <f t="shared" ca="1" si="106"/>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9"/>
        <v>0</v>
      </c>
      <c r="Z53" s="25" t="str">
        <f t="shared" si="60"/>
        <v>Transfert du trésor aux communes</v>
      </c>
      <c r="AA53" s="16">
        <f t="shared" si="100"/>
        <v>0</v>
      </c>
      <c r="AB53" s="16">
        <f t="shared" si="100"/>
        <v>0</v>
      </c>
      <c r="AC53" s="16">
        <f t="shared" si="100"/>
        <v>0</v>
      </c>
      <c r="AD53" s="16">
        <f t="shared" si="100"/>
        <v>0</v>
      </c>
      <c r="AE53" s="16">
        <f t="shared" si="100"/>
        <v>0</v>
      </c>
      <c r="AF53" s="16">
        <f t="shared" si="100"/>
        <v>0</v>
      </c>
      <c r="AG53" s="16">
        <f t="shared" si="100"/>
        <v>0</v>
      </c>
      <c r="AH53" s="16">
        <f t="shared" si="100"/>
        <v>0</v>
      </c>
      <c r="AI53" s="16">
        <f t="shared" si="100"/>
        <v>0</v>
      </c>
      <c r="AJ53" s="16">
        <f t="shared" si="101"/>
        <v>0</v>
      </c>
      <c r="AL53" s="17">
        <f t="shared" si="102"/>
        <v>0</v>
      </c>
      <c r="AM53" s="26" t="str">
        <f t="shared" si="62"/>
        <v>Transfert du trésor aux communes</v>
      </c>
      <c r="AN53" s="18">
        <f t="shared" si="103"/>
        <v>0</v>
      </c>
      <c r="AO53" s="18">
        <f t="shared" si="103"/>
        <v>0</v>
      </c>
      <c r="AP53" s="18">
        <f t="shared" si="103"/>
        <v>0</v>
      </c>
      <c r="AQ53" s="18">
        <f t="shared" si="103"/>
        <v>0</v>
      </c>
      <c r="AR53" s="18">
        <f t="shared" si="103"/>
        <v>0</v>
      </c>
      <c r="AS53" s="18">
        <f t="shared" si="103"/>
        <v>0</v>
      </c>
      <c r="AT53" s="18">
        <f t="shared" si="103"/>
        <v>0</v>
      </c>
      <c r="AU53" s="18">
        <f t="shared" si="103"/>
        <v>0</v>
      </c>
      <c r="AV53" s="18">
        <f t="shared" si="104"/>
        <v>0</v>
      </c>
      <c r="AW53" s="18"/>
      <c r="AX53" s="17">
        <f t="shared" si="105"/>
        <v>0</v>
      </c>
      <c r="AY53" s="26" t="str">
        <f t="shared" si="64"/>
        <v>Transfert du trésor aux communes</v>
      </c>
      <c r="AZ53" s="18">
        <f t="shared" ca="1" si="106"/>
        <v>0</v>
      </c>
      <c r="BA53" s="18">
        <f t="shared" ca="1" si="106"/>
        <v>0</v>
      </c>
      <c r="BB53" s="18">
        <f t="shared" ca="1" si="106"/>
        <v>0</v>
      </c>
      <c r="BC53" s="18">
        <f t="shared" ca="1" si="106"/>
        <v>0</v>
      </c>
      <c r="BD53" s="18">
        <f t="shared" ca="1" si="106"/>
        <v>0</v>
      </c>
      <c r="BE53" s="18">
        <f t="shared" ca="1" si="106"/>
        <v>0</v>
      </c>
      <c r="BF53" s="18">
        <f t="shared" ca="1" si="106"/>
        <v>0</v>
      </c>
      <c r="BG53" s="18">
        <f t="shared" ca="1" si="106"/>
        <v>0</v>
      </c>
      <c r="BH53" s="18">
        <f t="shared" ca="1" si="106"/>
        <v>0</v>
      </c>
      <c r="BI53" s="18">
        <f t="shared" ca="1" si="106"/>
        <v>0</v>
      </c>
      <c r="BJ53" s="18">
        <f t="shared" ca="1" si="106"/>
        <v>0</v>
      </c>
      <c r="BK53" s="18">
        <f t="shared" ca="1" si="106"/>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ca="1">IF(M54=0,"",IF(N54=0,"ERROR",""))</f>
        <v/>
      </c>
      <c r="P54" s="39" t="str">
        <f ca="1">IF(O54="ERROR","Please insert comment","")</f>
        <v/>
      </c>
      <c r="Y54" s="15">
        <f t="shared" si="99"/>
        <v>39</v>
      </c>
      <c r="Z54" s="25" t="str">
        <f t="shared" ref="Z54:Z61" si="111">C57</f>
        <v>Transfert infranational au titre de la taxe d'abattage (+)</v>
      </c>
      <c r="AA54" s="16">
        <f t="shared" si="100"/>
        <v>0</v>
      </c>
      <c r="AB54" s="16">
        <f t="shared" si="100"/>
        <v>0</v>
      </c>
      <c r="AC54" s="16">
        <f t="shared" si="100"/>
        <v>0</v>
      </c>
      <c r="AD54" s="16">
        <f t="shared" si="100"/>
        <v>0</v>
      </c>
      <c r="AE54" s="16">
        <f t="shared" si="100"/>
        <v>0</v>
      </c>
      <c r="AF54" s="16">
        <f t="shared" si="100"/>
        <v>0</v>
      </c>
      <c r="AG54" s="16">
        <f t="shared" si="100"/>
        <v>0</v>
      </c>
      <c r="AH54" s="16">
        <f t="shared" si="100"/>
        <v>0</v>
      </c>
      <c r="AI54" s="16">
        <f t="shared" si="100"/>
        <v>0</v>
      </c>
      <c r="AJ54" s="16">
        <f t="shared" si="101"/>
        <v>0</v>
      </c>
      <c r="AL54" s="17">
        <f t="shared" si="102"/>
        <v>39</v>
      </c>
      <c r="AM54" s="26" t="str">
        <f t="shared" ref="AM54:AM61" si="112">+C57</f>
        <v>Transfert infranational au titre de la taxe d'abattage (+)</v>
      </c>
      <c r="AN54" s="18">
        <f t="shared" si="103"/>
        <v>0</v>
      </c>
      <c r="AO54" s="18">
        <f t="shared" si="103"/>
        <v>0</v>
      </c>
      <c r="AP54" s="18">
        <f t="shared" si="103"/>
        <v>0</v>
      </c>
      <c r="AQ54" s="18">
        <f t="shared" si="103"/>
        <v>0</v>
      </c>
      <c r="AR54" s="18">
        <f t="shared" si="103"/>
        <v>0</v>
      </c>
      <c r="AS54" s="18">
        <f t="shared" si="103"/>
        <v>0</v>
      </c>
      <c r="AT54" s="18">
        <f t="shared" si="103"/>
        <v>0</v>
      </c>
      <c r="AU54" s="18">
        <f t="shared" si="103"/>
        <v>0</v>
      </c>
      <c r="AV54" s="18">
        <f t="shared" si="104"/>
        <v>0</v>
      </c>
      <c r="AW54" s="18"/>
      <c r="AX54" s="17">
        <f t="shared" si="105"/>
        <v>39</v>
      </c>
      <c r="AY54" s="26" t="str">
        <f t="shared" ref="AY54:AY61" si="113">C57</f>
        <v>Transfert infranational au titre de la taxe d'abattage (+)</v>
      </c>
      <c r="AZ54" s="18">
        <f t="shared" ca="1" si="106"/>
        <v>0</v>
      </c>
      <c r="BA54" s="18">
        <f t="shared" ca="1" si="106"/>
        <v>0</v>
      </c>
      <c r="BB54" s="18">
        <f t="shared" ca="1" si="106"/>
        <v>0</v>
      </c>
      <c r="BC54" s="18">
        <f t="shared" ca="1" si="106"/>
        <v>0</v>
      </c>
      <c r="BD54" s="18">
        <f t="shared" ca="1" si="106"/>
        <v>0</v>
      </c>
      <c r="BE54" s="18">
        <f t="shared" ca="1" si="106"/>
        <v>0</v>
      </c>
      <c r="BF54" s="18">
        <f t="shared" ca="1" si="106"/>
        <v>0</v>
      </c>
      <c r="BG54" s="18">
        <f t="shared" ca="1" si="106"/>
        <v>0</v>
      </c>
      <c r="BH54" s="18">
        <f t="shared" ca="1" si="106"/>
        <v>0</v>
      </c>
      <c r="BI54" s="18">
        <f t="shared" ca="1" si="106"/>
        <v>0</v>
      </c>
      <c r="BJ54" s="18">
        <f t="shared" ca="1" si="106"/>
        <v>0</v>
      </c>
      <c r="BK54" s="18">
        <f t="shared" ca="1" si="106"/>
        <v>0</v>
      </c>
    </row>
    <row r="55" spans="1:63">
      <c r="A55" s="80">
        <f t="shared" si="29"/>
        <v>0</v>
      </c>
      <c r="B55" s="163"/>
      <c r="C55" s="58" t="str">
        <f>+'Taxes RCA 2022'!B48</f>
        <v xml:space="preserve">Transferts du Trésor aux communes </v>
      </c>
      <c r="E55" s="166">
        <f>SUM(E56:E61)</f>
        <v>0</v>
      </c>
      <c r="F55" s="166">
        <f t="shared" ref="F55:G55" si="114">SUM(F56:F61)</f>
        <v>0</v>
      </c>
      <c r="G55" s="166">
        <f t="shared" si="114"/>
        <v>0</v>
      </c>
      <c r="H55" s="114"/>
      <c r="I55" s="166">
        <f>SUM(I56:I61)</f>
        <v>0</v>
      </c>
      <c r="J55" s="166">
        <f t="shared" ref="J55" ca="1" si="115">SUM(J56:J61)</f>
        <v>0</v>
      </c>
      <c r="K55" s="166">
        <f t="shared" ref="K55" ca="1" si="116">SUM(K56:K61)</f>
        <v>0</v>
      </c>
      <c r="L55" s="114"/>
      <c r="M55" s="166">
        <f t="shared" ref="M55" ca="1" si="117">SUM(M56:M61)</f>
        <v>0</v>
      </c>
      <c r="N55" s="58"/>
      <c r="O55" s="38" t="str">
        <f ca="1">IF(M55=0,"",IF(N55=0,"ERROR",""))</f>
        <v/>
      </c>
      <c r="P55" s="39" t="str">
        <f ca="1">IF(O55="ERROR","Please insert comment","")</f>
        <v/>
      </c>
      <c r="Y55" s="15">
        <f t="shared" si="99"/>
        <v>40</v>
      </c>
      <c r="Z55" s="25" t="str">
        <f t="shared" si="111"/>
        <v>Transfert infranational au titre de la taxe reboisement (+)</v>
      </c>
      <c r="AA55" s="16">
        <f t="shared" si="100"/>
        <v>0</v>
      </c>
      <c r="AB55" s="16">
        <f t="shared" si="100"/>
        <v>0</v>
      </c>
      <c r="AC55" s="16">
        <f t="shared" si="100"/>
        <v>0</v>
      </c>
      <c r="AD55" s="16">
        <f t="shared" si="100"/>
        <v>0</v>
      </c>
      <c r="AE55" s="16">
        <f t="shared" si="100"/>
        <v>0</v>
      </c>
      <c r="AF55" s="16">
        <f t="shared" si="100"/>
        <v>0</v>
      </c>
      <c r="AG55" s="16">
        <f t="shared" si="100"/>
        <v>0</v>
      </c>
      <c r="AH55" s="16">
        <f t="shared" si="100"/>
        <v>0</v>
      </c>
      <c r="AI55" s="16">
        <f t="shared" si="100"/>
        <v>0</v>
      </c>
      <c r="AJ55" s="16">
        <f t="shared" si="101"/>
        <v>0</v>
      </c>
      <c r="AL55" s="17">
        <f t="shared" si="102"/>
        <v>40</v>
      </c>
      <c r="AM55" s="26" t="str">
        <f t="shared" si="112"/>
        <v>Transfert infranational au titre de la taxe reboisement (+)</v>
      </c>
      <c r="AN55" s="18">
        <f t="shared" si="103"/>
        <v>0</v>
      </c>
      <c r="AO55" s="18">
        <f t="shared" si="103"/>
        <v>0</v>
      </c>
      <c r="AP55" s="18">
        <f t="shared" si="103"/>
        <v>0</v>
      </c>
      <c r="AQ55" s="18">
        <f t="shared" si="103"/>
        <v>0</v>
      </c>
      <c r="AR55" s="18">
        <f t="shared" si="103"/>
        <v>0</v>
      </c>
      <c r="AS55" s="18">
        <f t="shared" si="103"/>
        <v>0</v>
      </c>
      <c r="AT55" s="18">
        <f t="shared" si="103"/>
        <v>0</v>
      </c>
      <c r="AU55" s="18">
        <f t="shared" si="103"/>
        <v>0</v>
      </c>
      <c r="AV55" s="18">
        <f t="shared" si="104"/>
        <v>0</v>
      </c>
      <c r="AW55" s="18"/>
      <c r="AX55" s="17">
        <f t="shared" si="105"/>
        <v>40</v>
      </c>
      <c r="AY55" s="26" t="str">
        <f t="shared" si="113"/>
        <v>Transfert infranational au titre de la taxe reboisement (+)</v>
      </c>
      <c r="AZ55" s="18">
        <f t="shared" ca="1" si="106"/>
        <v>0</v>
      </c>
      <c r="BA55" s="18">
        <f t="shared" ca="1" si="106"/>
        <v>0</v>
      </c>
      <c r="BB55" s="18">
        <f t="shared" ca="1" si="106"/>
        <v>0</v>
      </c>
      <c r="BC55" s="18">
        <f t="shared" ca="1" si="106"/>
        <v>0</v>
      </c>
      <c r="BD55" s="18">
        <f t="shared" ca="1" si="106"/>
        <v>0</v>
      </c>
      <c r="BE55" s="18">
        <f t="shared" ca="1" si="106"/>
        <v>0</v>
      </c>
      <c r="BF55" s="18">
        <f t="shared" ca="1" si="106"/>
        <v>0</v>
      </c>
      <c r="BG55" s="18">
        <f t="shared" ca="1" si="106"/>
        <v>0</v>
      </c>
      <c r="BH55" s="18">
        <f t="shared" ca="1" si="106"/>
        <v>0</v>
      </c>
      <c r="BI55" s="18">
        <f t="shared" ca="1" si="106"/>
        <v>0</v>
      </c>
      <c r="BJ55" s="18">
        <f t="shared" ca="1" si="106"/>
        <v>0</v>
      </c>
      <c r="BK55" s="18">
        <f t="shared" ca="1" si="106"/>
        <v>0</v>
      </c>
    </row>
    <row r="56" spans="1:63">
      <c r="A56" s="80"/>
      <c r="B56" s="53">
        <f>+'Taxes RCA 2022'!A49</f>
        <v>0</v>
      </c>
      <c r="C56" s="18" t="str">
        <f>+'Taxes RCA 2022'!B49</f>
        <v>Transfert du trésor aux communes</v>
      </c>
      <c r="E56" s="114"/>
      <c r="F56" s="114">
        <f t="shared" ref="F56:F61" si="118">SUMIF($A$84:$A$751,B56&amp;"- "&amp;C56,$G$84:$G$751)</f>
        <v>0</v>
      </c>
      <c r="G56" s="114">
        <f t="shared" ref="G56:G61" si="119">E56+F56</f>
        <v>0</v>
      </c>
      <c r="H56" s="114"/>
      <c r="I56" s="114"/>
      <c r="J56" s="114">
        <f t="shared" ref="J56:J61" ca="1" si="120">SUMIF($J$84:$M$749,B56&amp;"- "&amp;C56,$Q$84:$Q$749)</f>
        <v>0</v>
      </c>
      <c r="K56" s="114">
        <f t="shared" ref="K56:K61" ca="1" si="121">I56+J56</f>
        <v>0</v>
      </c>
      <c r="L56" s="114"/>
      <c r="M56" s="114">
        <f t="shared" ref="M56:M61" ca="1" si="122">+G56-K56</f>
        <v>0</v>
      </c>
      <c r="N56" s="18"/>
      <c r="O56" s="38"/>
      <c r="P56" s="39"/>
      <c r="Y56" s="15">
        <f t="shared" si="99"/>
        <v>41</v>
      </c>
      <c r="Z56" s="25" t="str">
        <f t="shared" si="111"/>
        <v>Transfert infranational au titre de la taxe environnementale (+)</v>
      </c>
      <c r="AA56" s="16">
        <f t="shared" si="100"/>
        <v>0</v>
      </c>
      <c r="AB56" s="16">
        <f t="shared" si="100"/>
        <v>0</v>
      </c>
      <c r="AC56" s="16">
        <f t="shared" si="100"/>
        <v>0</v>
      </c>
      <c r="AD56" s="16">
        <f t="shared" si="100"/>
        <v>0</v>
      </c>
      <c r="AE56" s="16">
        <f t="shared" si="100"/>
        <v>0</v>
      </c>
      <c r="AF56" s="16">
        <f t="shared" si="100"/>
        <v>0</v>
      </c>
      <c r="AG56" s="16">
        <f t="shared" si="100"/>
        <v>0</v>
      </c>
      <c r="AH56" s="16">
        <f t="shared" si="100"/>
        <v>0</v>
      </c>
      <c r="AI56" s="16">
        <f t="shared" si="100"/>
        <v>0</v>
      </c>
      <c r="AJ56" s="16">
        <f t="shared" si="101"/>
        <v>0</v>
      </c>
      <c r="AL56" s="17">
        <f t="shared" si="102"/>
        <v>41</v>
      </c>
      <c r="AM56" s="26" t="str">
        <f t="shared" si="112"/>
        <v>Transfert infranational au titre de la taxe environnementale (+)</v>
      </c>
      <c r="AN56" s="18">
        <f t="shared" si="103"/>
        <v>0</v>
      </c>
      <c r="AO56" s="18">
        <f t="shared" si="103"/>
        <v>0</v>
      </c>
      <c r="AP56" s="18">
        <f t="shared" si="103"/>
        <v>0</v>
      </c>
      <c r="AQ56" s="18">
        <f t="shared" si="103"/>
        <v>0</v>
      </c>
      <c r="AR56" s="18">
        <f t="shared" si="103"/>
        <v>0</v>
      </c>
      <c r="AS56" s="18">
        <f t="shared" si="103"/>
        <v>0</v>
      </c>
      <c r="AT56" s="18">
        <f t="shared" si="103"/>
        <v>0</v>
      </c>
      <c r="AU56" s="18">
        <f t="shared" si="103"/>
        <v>0</v>
      </c>
      <c r="AV56" s="18">
        <f t="shared" si="104"/>
        <v>0</v>
      </c>
      <c r="AW56" s="18"/>
      <c r="AX56" s="17">
        <f t="shared" si="105"/>
        <v>41</v>
      </c>
      <c r="AY56" s="26" t="str">
        <f t="shared" si="113"/>
        <v>Transfert infranational au titre de la taxe environnementale (+)</v>
      </c>
      <c r="AZ56" s="18">
        <f t="shared" ca="1" si="106"/>
        <v>0</v>
      </c>
      <c r="BA56" s="18">
        <f t="shared" ca="1" si="106"/>
        <v>0</v>
      </c>
      <c r="BB56" s="18">
        <f t="shared" ca="1" si="106"/>
        <v>0</v>
      </c>
      <c r="BC56" s="18">
        <f t="shared" ca="1" si="106"/>
        <v>0</v>
      </c>
      <c r="BD56" s="18">
        <f t="shared" ca="1" si="106"/>
        <v>0</v>
      </c>
      <c r="BE56" s="18">
        <f t="shared" ca="1" si="106"/>
        <v>0</v>
      </c>
      <c r="BF56" s="18">
        <f t="shared" ca="1" si="106"/>
        <v>0</v>
      </c>
      <c r="BG56" s="18">
        <f t="shared" ca="1" si="106"/>
        <v>0</v>
      </c>
      <c r="BH56" s="18">
        <f t="shared" ca="1" si="106"/>
        <v>0</v>
      </c>
      <c r="BI56" s="18">
        <f t="shared" ca="1" si="106"/>
        <v>0</v>
      </c>
      <c r="BJ56" s="18">
        <f t="shared" ca="1" si="106"/>
        <v>0</v>
      </c>
      <c r="BK56" s="18">
        <f t="shared" ca="1" si="106"/>
        <v>0</v>
      </c>
    </row>
    <row r="57" spans="1:63">
      <c r="A57" s="80"/>
      <c r="B57" s="64">
        <f>+'Taxes RCA 2022'!A50</f>
        <v>39</v>
      </c>
      <c r="C57" s="68" t="str">
        <f>+'Taxes RCA 2022'!B50</f>
        <v>Transfert infranational au titre de la taxe d'abattage (+)</v>
      </c>
      <c r="E57" s="165"/>
      <c r="F57" s="165">
        <f t="shared" si="118"/>
        <v>0</v>
      </c>
      <c r="G57" s="165">
        <f t="shared" si="119"/>
        <v>0</v>
      </c>
      <c r="H57" s="114"/>
      <c r="I57" s="165"/>
      <c r="J57" s="165">
        <f t="shared" ca="1" si="120"/>
        <v>0</v>
      </c>
      <c r="K57" s="165">
        <f t="shared" ca="1" si="121"/>
        <v>0</v>
      </c>
      <c r="L57" s="114"/>
      <c r="M57" s="165">
        <f t="shared" ca="1" si="122"/>
        <v>0</v>
      </c>
      <c r="N57" s="68"/>
      <c r="O57" s="38"/>
      <c r="P57" s="39"/>
      <c r="Y57" s="15">
        <f t="shared" si="99"/>
        <v>42</v>
      </c>
      <c r="Z57" s="25" t="str">
        <f t="shared" si="111"/>
        <v>Droit de sortie (DS)/Taxe Export (+)</v>
      </c>
      <c r="AA57" s="16">
        <f t="shared" si="100"/>
        <v>0</v>
      </c>
      <c r="AB57" s="16">
        <f t="shared" si="100"/>
        <v>0</v>
      </c>
      <c r="AC57" s="16">
        <f t="shared" si="100"/>
        <v>0</v>
      </c>
      <c r="AD57" s="16">
        <f t="shared" si="100"/>
        <v>0</v>
      </c>
      <c r="AE57" s="16">
        <f t="shared" si="100"/>
        <v>0</v>
      </c>
      <c r="AF57" s="16">
        <f t="shared" si="100"/>
        <v>0</v>
      </c>
      <c r="AG57" s="16">
        <f t="shared" si="100"/>
        <v>0</v>
      </c>
      <c r="AH57" s="16">
        <f t="shared" si="100"/>
        <v>0</v>
      </c>
      <c r="AI57" s="16">
        <f t="shared" si="100"/>
        <v>0</v>
      </c>
      <c r="AJ57" s="16">
        <f t="shared" si="101"/>
        <v>0</v>
      </c>
      <c r="AL57" s="17">
        <f t="shared" si="102"/>
        <v>42</v>
      </c>
      <c r="AM57" s="26" t="str">
        <f t="shared" si="112"/>
        <v>Droit de sortie (DS)/Taxe Export (+)</v>
      </c>
      <c r="AN57" s="18">
        <f t="shared" si="103"/>
        <v>0</v>
      </c>
      <c r="AO57" s="18">
        <f t="shared" si="103"/>
        <v>0</v>
      </c>
      <c r="AP57" s="18">
        <f t="shared" si="103"/>
        <v>0</v>
      </c>
      <c r="AQ57" s="18">
        <f t="shared" si="103"/>
        <v>0</v>
      </c>
      <c r="AR57" s="18">
        <f t="shared" si="103"/>
        <v>0</v>
      </c>
      <c r="AS57" s="18">
        <f t="shared" si="103"/>
        <v>0</v>
      </c>
      <c r="AT57" s="18">
        <f t="shared" si="103"/>
        <v>0</v>
      </c>
      <c r="AU57" s="18">
        <f t="shared" si="103"/>
        <v>0</v>
      </c>
      <c r="AV57" s="18">
        <f t="shared" si="104"/>
        <v>0</v>
      </c>
      <c r="AW57" s="18"/>
      <c r="AX57" s="17">
        <f t="shared" si="105"/>
        <v>42</v>
      </c>
      <c r="AY57" s="26" t="str">
        <f t="shared" si="113"/>
        <v>Droit de sortie (DS)/Taxe Export (+)</v>
      </c>
      <c r="AZ57" s="18">
        <f t="shared" ca="1" si="106"/>
        <v>0</v>
      </c>
      <c r="BA57" s="18">
        <f t="shared" ca="1" si="106"/>
        <v>0</v>
      </c>
      <c r="BB57" s="18">
        <f t="shared" ca="1" si="106"/>
        <v>0</v>
      </c>
      <c r="BC57" s="18">
        <f t="shared" ca="1" si="106"/>
        <v>0</v>
      </c>
      <c r="BD57" s="18">
        <f t="shared" ca="1" si="106"/>
        <v>0</v>
      </c>
      <c r="BE57" s="18">
        <f t="shared" ca="1" si="106"/>
        <v>0</v>
      </c>
      <c r="BF57" s="18">
        <f t="shared" ca="1" si="106"/>
        <v>0</v>
      </c>
      <c r="BG57" s="18">
        <f t="shared" ca="1" si="106"/>
        <v>0</v>
      </c>
      <c r="BH57" s="18">
        <f t="shared" ca="1" si="106"/>
        <v>0</v>
      </c>
      <c r="BI57" s="18">
        <f t="shared" ca="1" si="106"/>
        <v>0</v>
      </c>
      <c r="BJ57" s="18">
        <f t="shared" ca="1" si="106"/>
        <v>0</v>
      </c>
      <c r="BK57" s="18">
        <f t="shared" ca="1" si="106"/>
        <v>0</v>
      </c>
    </row>
    <row r="58" spans="1:63">
      <c r="A58" s="80"/>
      <c r="B58" s="53">
        <f>+'Taxes RCA 2022'!A51</f>
        <v>40</v>
      </c>
      <c r="C58" s="18" t="str">
        <f>+'Taxes RCA 2022'!B51</f>
        <v>Transfert infranational au titre de la taxe reboisement (+)</v>
      </c>
      <c r="E58" s="114"/>
      <c r="F58" s="114">
        <f t="shared" si="118"/>
        <v>0</v>
      </c>
      <c r="G58" s="114">
        <f t="shared" si="119"/>
        <v>0</v>
      </c>
      <c r="H58" s="114"/>
      <c r="I58" s="114"/>
      <c r="J58" s="114">
        <f t="shared" ca="1" si="120"/>
        <v>0</v>
      </c>
      <c r="K58" s="114">
        <f t="shared" ca="1" si="121"/>
        <v>0</v>
      </c>
      <c r="L58" s="114"/>
      <c r="M58" s="114">
        <f t="shared" ca="1" si="122"/>
        <v>0</v>
      </c>
      <c r="N58" s="18"/>
      <c r="O58" s="38"/>
      <c r="P58" s="39"/>
      <c r="Y58" s="15">
        <f t="shared" si="99"/>
        <v>43</v>
      </c>
      <c r="Z58" s="25" t="str">
        <f t="shared" si="111"/>
        <v xml:space="preserve">Autres transferts au profit des communes </v>
      </c>
      <c r="AA58" s="16">
        <f t="shared" si="100"/>
        <v>0</v>
      </c>
      <c r="AB58" s="16">
        <f t="shared" si="100"/>
        <v>0</v>
      </c>
      <c r="AC58" s="16">
        <f t="shared" si="100"/>
        <v>0</v>
      </c>
      <c r="AD58" s="16">
        <f t="shared" si="100"/>
        <v>0</v>
      </c>
      <c r="AE58" s="16">
        <f t="shared" si="100"/>
        <v>0</v>
      </c>
      <c r="AF58" s="16">
        <f t="shared" si="100"/>
        <v>0</v>
      </c>
      <c r="AG58" s="16">
        <f t="shared" si="100"/>
        <v>0</v>
      </c>
      <c r="AH58" s="16">
        <f t="shared" si="100"/>
        <v>0</v>
      </c>
      <c r="AI58" s="16">
        <f t="shared" si="100"/>
        <v>0</v>
      </c>
      <c r="AJ58" s="16">
        <f t="shared" si="101"/>
        <v>0</v>
      </c>
      <c r="AL58" s="17">
        <f>+B61</f>
        <v>43</v>
      </c>
      <c r="AM58" s="26" t="str">
        <f t="shared" si="112"/>
        <v xml:space="preserve">Autres transferts au profit des communes </v>
      </c>
      <c r="AN58" s="18">
        <f t="shared" si="103"/>
        <v>0</v>
      </c>
      <c r="AO58" s="18">
        <f t="shared" si="103"/>
        <v>0</v>
      </c>
      <c r="AP58" s="18">
        <f t="shared" si="103"/>
        <v>0</v>
      </c>
      <c r="AQ58" s="18">
        <f t="shared" si="103"/>
        <v>0</v>
      </c>
      <c r="AR58" s="18">
        <f t="shared" si="103"/>
        <v>0</v>
      </c>
      <c r="AS58" s="18">
        <f t="shared" si="103"/>
        <v>0</v>
      </c>
      <c r="AT58" s="18">
        <f t="shared" si="103"/>
        <v>0</v>
      </c>
      <c r="AU58" s="18">
        <f t="shared" si="103"/>
        <v>0</v>
      </c>
      <c r="AV58" s="18">
        <f t="shared" si="104"/>
        <v>0</v>
      </c>
      <c r="AW58" s="18"/>
      <c r="AX58" s="17">
        <f>B61</f>
        <v>43</v>
      </c>
      <c r="AY58" s="26" t="str">
        <f t="shared" si="113"/>
        <v xml:space="preserve">Autres transferts au profit des communes </v>
      </c>
      <c r="AZ58" s="18">
        <f t="shared" ca="1" si="106"/>
        <v>0</v>
      </c>
      <c r="BA58" s="18">
        <f t="shared" ca="1" si="106"/>
        <v>0</v>
      </c>
      <c r="BB58" s="18">
        <f t="shared" ca="1" si="106"/>
        <v>0</v>
      </c>
      <c r="BC58" s="18">
        <f t="shared" ca="1" si="106"/>
        <v>0</v>
      </c>
      <c r="BD58" s="18">
        <f t="shared" ca="1" si="106"/>
        <v>0</v>
      </c>
      <c r="BE58" s="18">
        <f t="shared" ca="1" si="106"/>
        <v>0</v>
      </c>
      <c r="BF58" s="18">
        <f t="shared" ca="1" si="106"/>
        <v>0</v>
      </c>
      <c r="BG58" s="18">
        <f t="shared" ca="1" si="106"/>
        <v>0</v>
      </c>
      <c r="BH58" s="18">
        <f t="shared" ca="1" si="106"/>
        <v>0</v>
      </c>
      <c r="BI58" s="18">
        <f t="shared" ca="1" si="106"/>
        <v>0</v>
      </c>
      <c r="BJ58" s="18">
        <f t="shared" ca="1" si="106"/>
        <v>0</v>
      </c>
      <c r="BK58" s="18">
        <f t="shared" ca="1" si="106"/>
        <v>0</v>
      </c>
    </row>
    <row r="59" spans="1:63">
      <c r="A59" s="80"/>
      <c r="B59" s="64">
        <f>+'Taxes RCA 2022'!A52</f>
        <v>41</v>
      </c>
      <c r="C59" s="68" t="str">
        <f>+'Taxes RCA 2022'!B52</f>
        <v>Transfert infranational au titre de la taxe environnementale (+)</v>
      </c>
      <c r="E59" s="165"/>
      <c r="F59" s="165">
        <f t="shared" si="118"/>
        <v>0</v>
      </c>
      <c r="G59" s="165">
        <f t="shared" si="119"/>
        <v>0</v>
      </c>
      <c r="H59" s="114"/>
      <c r="I59" s="165"/>
      <c r="J59" s="165">
        <f t="shared" ca="1" si="120"/>
        <v>0</v>
      </c>
      <c r="K59" s="165">
        <f t="shared" ca="1" si="121"/>
        <v>0</v>
      </c>
      <c r="L59" s="114"/>
      <c r="M59" s="165">
        <f t="shared" ca="1" si="122"/>
        <v>0</v>
      </c>
      <c r="N59" s="68"/>
      <c r="O59" s="38"/>
      <c r="P59" s="39"/>
      <c r="Y59" s="15">
        <f>B62</f>
        <v>0</v>
      </c>
      <c r="Z59" s="25" t="str">
        <f t="shared" si="111"/>
        <v>DGTCP (DGP)</v>
      </c>
      <c r="AA59" s="16">
        <f t="shared" si="100"/>
        <v>0</v>
      </c>
      <c r="AB59" s="16">
        <f t="shared" si="100"/>
        <v>0</v>
      </c>
      <c r="AC59" s="16">
        <f t="shared" si="100"/>
        <v>0</v>
      </c>
      <c r="AD59" s="16">
        <f t="shared" si="100"/>
        <v>0</v>
      </c>
      <c r="AE59" s="16">
        <f t="shared" si="100"/>
        <v>0</v>
      </c>
      <c r="AF59" s="16">
        <f t="shared" si="100"/>
        <v>0</v>
      </c>
      <c r="AG59" s="16">
        <f t="shared" si="100"/>
        <v>0</v>
      </c>
      <c r="AH59" s="16">
        <f t="shared" si="100"/>
        <v>0</v>
      </c>
      <c r="AI59" s="16">
        <f t="shared" si="100"/>
        <v>0</v>
      </c>
      <c r="AJ59" s="16">
        <f t="shared" si="101"/>
        <v>0</v>
      </c>
      <c r="AL59" s="17">
        <f>+B62</f>
        <v>0</v>
      </c>
      <c r="AM59" s="26" t="str">
        <f t="shared" si="112"/>
        <v>DGTCP (DGP)</v>
      </c>
      <c r="AN59" s="18">
        <f t="shared" si="103"/>
        <v>0</v>
      </c>
      <c r="AO59" s="18">
        <f t="shared" si="103"/>
        <v>0</v>
      </c>
      <c r="AP59" s="18">
        <f t="shared" si="103"/>
        <v>0</v>
      </c>
      <c r="AQ59" s="18">
        <f t="shared" si="103"/>
        <v>0</v>
      </c>
      <c r="AR59" s="18">
        <f t="shared" si="103"/>
        <v>0</v>
      </c>
      <c r="AS59" s="18">
        <f t="shared" si="103"/>
        <v>0</v>
      </c>
      <c r="AT59" s="18">
        <f t="shared" si="103"/>
        <v>0</v>
      </c>
      <c r="AU59" s="18">
        <f t="shared" si="103"/>
        <v>0</v>
      </c>
      <c r="AV59" s="18">
        <f t="shared" si="104"/>
        <v>0</v>
      </c>
      <c r="AW59" s="18"/>
      <c r="AX59" s="17">
        <f>B62</f>
        <v>0</v>
      </c>
      <c r="AY59" s="26" t="str">
        <f t="shared" si="113"/>
        <v>DGTCP (DGP)</v>
      </c>
      <c r="AZ59" s="18">
        <f t="shared" ca="1" si="106"/>
        <v>0</v>
      </c>
      <c r="BA59" s="18">
        <f t="shared" ca="1" si="106"/>
        <v>0</v>
      </c>
      <c r="BB59" s="18">
        <f t="shared" ca="1" si="106"/>
        <v>0</v>
      </c>
      <c r="BC59" s="18">
        <f t="shared" ca="1" si="106"/>
        <v>0</v>
      </c>
      <c r="BD59" s="18">
        <f t="shared" ca="1" si="106"/>
        <v>0</v>
      </c>
      <c r="BE59" s="18">
        <f t="shared" ca="1" si="106"/>
        <v>0</v>
      </c>
      <c r="BF59" s="18">
        <f t="shared" ca="1" si="106"/>
        <v>0</v>
      </c>
      <c r="BG59" s="18">
        <f t="shared" ca="1" si="106"/>
        <v>0</v>
      </c>
      <c r="BH59" s="18">
        <f t="shared" ca="1" si="106"/>
        <v>0</v>
      </c>
      <c r="BI59" s="18">
        <f t="shared" ca="1" si="106"/>
        <v>0</v>
      </c>
      <c r="BJ59" s="18">
        <f t="shared" ca="1" si="106"/>
        <v>0</v>
      </c>
      <c r="BK59" s="18">
        <f t="shared" ca="1" si="106"/>
        <v>0</v>
      </c>
    </row>
    <row r="60" spans="1:63">
      <c r="A60" s="80"/>
      <c r="B60" s="53">
        <f>+'Taxes RCA 2022'!A53</f>
        <v>42</v>
      </c>
      <c r="C60" s="18" t="str">
        <f>+'Taxes RCA 2022'!B53</f>
        <v>Droit de sortie (DS)/Taxe Export (+)</v>
      </c>
      <c r="E60" s="114"/>
      <c r="F60" s="114">
        <f t="shared" si="118"/>
        <v>0</v>
      </c>
      <c r="G60" s="114">
        <f t="shared" si="119"/>
        <v>0</v>
      </c>
      <c r="H60" s="114"/>
      <c r="I60" s="114"/>
      <c r="J60" s="114">
        <f t="shared" ca="1" si="120"/>
        <v>0</v>
      </c>
      <c r="K60" s="114">
        <f t="shared" ca="1" si="121"/>
        <v>0</v>
      </c>
      <c r="L60" s="114"/>
      <c r="M60" s="114">
        <f t="shared" ca="1" si="122"/>
        <v>0</v>
      </c>
      <c r="N60" s="18"/>
      <c r="O60" s="38"/>
      <c r="P60" s="39"/>
      <c r="Y60" s="15"/>
      <c r="Z60" s="25" t="str">
        <f t="shared" si="111"/>
        <v xml:space="preserve">Fonds du soutien à la Promotion Pétrolière </v>
      </c>
      <c r="AA60" s="16">
        <f>SUM(AA61:AA64)</f>
        <v>0</v>
      </c>
      <c r="AB60" s="16">
        <f t="shared" ref="AB60:AJ60" si="123">SUM(AB61:AB64)</f>
        <v>0</v>
      </c>
      <c r="AC60" s="16">
        <f t="shared" si="123"/>
        <v>0</v>
      </c>
      <c r="AD60" s="16">
        <f t="shared" si="123"/>
        <v>0</v>
      </c>
      <c r="AE60" s="16">
        <f t="shared" si="123"/>
        <v>0</v>
      </c>
      <c r="AF60" s="16">
        <f t="shared" si="123"/>
        <v>0</v>
      </c>
      <c r="AG60" s="16">
        <f t="shared" si="123"/>
        <v>0</v>
      </c>
      <c r="AH60" s="16">
        <f t="shared" si="123"/>
        <v>0</v>
      </c>
      <c r="AI60" s="16">
        <f t="shared" si="123"/>
        <v>0</v>
      </c>
      <c r="AJ60" s="16">
        <f t="shared" si="123"/>
        <v>0</v>
      </c>
      <c r="AL60" s="17"/>
      <c r="AM60" s="26" t="str">
        <f t="shared" si="112"/>
        <v xml:space="preserve">Fonds du soutien à la Promotion Pétrolière </v>
      </c>
      <c r="AN60" s="18">
        <f t="shared" ref="AN60:AV60" si="124">SUM(AN61:AN64)</f>
        <v>0</v>
      </c>
      <c r="AO60" s="18">
        <f t="shared" si="124"/>
        <v>0</v>
      </c>
      <c r="AP60" s="18">
        <f t="shared" si="124"/>
        <v>0</v>
      </c>
      <c r="AQ60" s="18">
        <f t="shared" si="124"/>
        <v>0</v>
      </c>
      <c r="AR60" s="18">
        <f t="shared" si="124"/>
        <v>0</v>
      </c>
      <c r="AS60" s="18">
        <f t="shared" si="124"/>
        <v>0</v>
      </c>
      <c r="AT60" s="18">
        <f t="shared" si="124"/>
        <v>0</v>
      </c>
      <c r="AU60" s="18">
        <f t="shared" si="124"/>
        <v>0</v>
      </c>
      <c r="AV60" s="18">
        <f t="shared" si="124"/>
        <v>0</v>
      </c>
      <c r="AW60" s="18"/>
      <c r="AX60" s="17"/>
      <c r="AY60" s="26" t="str">
        <f t="shared" si="113"/>
        <v xml:space="preserve">Fonds du soutien à la Promotion Pétrolière </v>
      </c>
      <c r="AZ60" s="18">
        <f t="shared" ref="AZ60:BK60" ca="1" si="125">SUM(AZ61:AZ64)</f>
        <v>0</v>
      </c>
      <c r="BA60" s="18">
        <f t="shared" ca="1" si="125"/>
        <v>0</v>
      </c>
      <c r="BB60" s="18">
        <f t="shared" ca="1" si="125"/>
        <v>0</v>
      </c>
      <c r="BC60" s="18">
        <f t="shared" ca="1" si="125"/>
        <v>0</v>
      </c>
      <c r="BD60" s="18">
        <f t="shared" ca="1" si="125"/>
        <v>0</v>
      </c>
      <c r="BE60" s="18">
        <f t="shared" ca="1" si="125"/>
        <v>0</v>
      </c>
      <c r="BF60" s="18">
        <f t="shared" ca="1" si="125"/>
        <v>0</v>
      </c>
      <c r="BG60" s="18">
        <f t="shared" ca="1" si="125"/>
        <v>0</v>
      </c>
      <c r="BH60" s="18">
        <f t="shared" ca="1" si="125"/>
        <v>0</v>
      </c>
      <c r="BI60" s="18">
        <f t="shared" ca="1" si="125"/>
        <v>0</v>
      </c>
      <c r="BJ60" s="18">
        <f t="shared" ca="1" si="125"/>
        <v>0</v>
      </c>
      <c r="BK60" s="18">
        <f t="shared" ca="1" si="125"/>
        <v>0</v>
      </c>
    </row>
    <row r="61" spans="1:63">
      <c r="A61" s="80"/>
      <c r="B61" s="64">
        <f>+'Taxes RCA 2022'!A54</f>
        <v>43</v>
      </c>
      <c r="C61" s="68" t="str">
        <f>+'Taxes RCA 2022'!B54</f>
        <v xml:space="preserve">Autres transferts au profit des communes </v>
      </c>
      <c r="E61" s="165"/>
      <c r="F61" s="165">
        <f t="shared" si="118"/>
        <v>0</v>
      </c>
      <c r="G61" s="165">
        <f t="shared" si="119"/>
        <v>0</v>
      </c>
      <c r="H61" s="114"/>
      <c r="I61" s="165"/>
      <c r="J61" s="165">
        <f t="shared" ca="1" si="120"/>
        <v>0</v>
      </c>
      <c r="K61" s="165">
        <f t="shared" ca="1" si="121"/>
        <v>0</v>
      </c>
      <c r="L61" s="114"/>
      <c r="M61" s="165">
        <f t="shared" ca="1" si="122"/>
        <v>0</v>
      </c>
      <c r="N61" s="68"/>
      <c r="O61" s="38"/>
      <c r="P61" s="39"/>
      <c r="Y61" s="15">
        <f>B64</f>
        <v>45</v>
      </c>
      <c r="Z61" s="25" t="str">
        <f t="shared" si="111"/>
        <v>Fonds de Soutien aux projets de Développement Communautaire</v>
      </c>
      <c r="AA61" s="16">
        <f t="shared" ref="AA61:AI61" si="126">SUMPRODUCT(($A$84:$A$751=$Y61&amp;"- "&amp;$Z61)*($C$84:$C$751=AA$1)*($G$84:$G$751))</f>
        <v>0</v>
      </c>
      <c r="AB61" s="16">
        <f t="shared" si="126"/>
        <v>0</v>
      </c>
      <c r="AC61" s="16">
        <f t="shared" si="126"/>
        <v>0</v>
      </c>
      <c r="AD61" s="16">
        <f t="shared" si="126"/>
        <v>0</v>
      </c>
      <c r="AE61" s="16">
        <f t="shared" si="126"/>
        <v>0</v>
      </c>
      <c r="AF61" s="16">
        <f t="shared" si="126"/>
        <v>0</v>
      </c>
      <c r="AG61" s="16">
        <f t="shared" si="126"/>
        <v>0</v>
      </c>
      <c r="AH61" s="16">
        <f t="shared" si="126"/>
        <v>0</v>
      </c>
      <c r="AI61" s="16">
        <f t="shared" si="126"/>
        <v>0</v>
      </c>
      <c r="AJ61" s="16">
        <f>SUM(AA61:AI61)</f>
        <v>0</v>
      </c>
      <c r="AL61" s="17">
        <f>+B64</f>
        <v>45</v>
      </c>
      <c r="AM61" s="26" t="str">
        <f t="shared" si="112"/>
        <v>Fonds de Soutien aux projets de Développement Communautaire</v>
      </c>
      <c r="AN61" s="18">
        <f t="shared" ref="AN61:AU61" si="127">SUMPRODUCT(($J$84:$M$748=$AL61&amp;"- "&amp;$AM61)*($N$84:$N$748=AN$1)*($Q$84:$Q$748))</f>
        <v>0</v>
      </c>
      <c r="AO61" s="18">
        <f t="shared" si="127"/>
        <v>0</v>
      </c>
      <c r="AP61" s="18">
        <f t="shared" si="127"/>
        <v>0</v>
      </c>
      <c r="AQ61" s="18">
        <f t="shared" si="127"/>
        <v>0</v>
      </c>
      <c r="AR61" s="18">
        <f t="shared" si="127"/>
        <v>0</v>
      </c>
      <c r="AS61" s="18">
        <f t="shared" si="127"/>
        <v>0</v>
      </c>
      <c r="AT61" s="18">
        <f t="shared" si="127"/>
        <v>0</v>
      </c>
      <c r="AU61" s="18">
        <f t="shared" si="127"/>
        <v>0</v>
      </c>
      <c r="AV61" s="18">
        <f>SUM(AN61:AU61)</f>
        <v>0</v>
      </c>
      <c r="AW61" s="18"/>
      <c r="AX61" s="17">
        <f>B64</f>
        <v>45</v>
      </c>
      <c r="AY61" s="26" t="str">
        <f t="shared" si="113"/>
        <v>Fonds de Soutien aux projets de Développement Communautaire</v>
      </c>
      <c r="AZ61" s="18">
        <f t="shared" ref="AZ61:BK61" ca="1" si="128">SUMPRODUCT(($C$10:$C$75=$AY61)*($N$10:$N$75=AZ$1)*($M$10:$M$75))</f>
        <v>0</v>
      </c>
      <c r="BA61" s="18">
        <f t="shared" ca="1" si="128"/>
        <v>0</v>
      </c>
      <c r="BB61" s="18">
        <f t="shared" ca="1" si="128"/>
        <v>0</v>
      </c>
      <c r="BC61" s="18">
        <f t="shared" ca="1" si="128"/>
        <v>0</v>
      </c>
      <c r="BD61" s="18">
        <f t="shared" ca="1" si="128"/>
        <v>0</v>
      </c>
      <c r="BE61" s="18">
        <f t="shared" ca="1" si="128"/>
        <v>0</v>
      </c>
      <c r="BF61" s="18">
        <f t="shared" ca="1" si="128"/>
        <v>0</v>
      </c>
      <c r="BG61" s="18">
        <f t="shared" ca="1" si="128"/>
        <v>0</v>
      </c>
      <c r="BH61" s="18">
        <f t="shared" ca="1" si="128"/>
        <v>0</v>
      </c>
      <c r="BI61" s="18">
        <f t="shared" ca="1" si="128"/>
        <v>0</v>
      </c>
      <c r="BJ61" s="18">
        <f t="shared" ca="1" si="128"/>
        <v>0</v>
      </c>
      <c r="BK61" s="18">
        <f t="shared" ca="1" si="128"/>
        <v>0</v>
      </c>
    </row>
    <row r="62" spans="1:63">
      <c r="A62" s="80"/>
      <c r="B62" s="163"/>
      <c r="C62" s="58" t="str">
        <f>+'Taxes RCA 2022'!B55</f>
        <v>DGTCP (DGP)</v>
      </c>
      <c r="E62" s="166">
        <f>+E64+E63</f>
        <v>0</v>
      </c>
      <c r="F62" s="166">
        <f t="shared" ref="F62:G62" si="129">+F64+F63</f>
        <v>0</v>
      </c>
      <c r="G62" s="166">
        <f t="shared" si="129"/>
        <v>0</v>
      </c>
      <c r="H62" s="114"/>
      <c r="I62" s="166">
        <f>+I64+I63</f>
        <v>0</v>
      </c>
      <c r="J62" s="166">
        <f t="shared" ref="J62" ca="1" si="130">+J64+J63</f>
        <v>0</v>
      </c>
      <c r="K62" s="166">
        <f t="shared" ref="K62" ca="1" si="131">+K64+K63</f>
        <v>0</v>
      </c>
      <c r="L62" s="114"/>
      <c r="M62" s="166">
        <f t="shared" ref="M62" ca="1" si="132">+M64+M63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ca="1">IF(M63=0,"",IF(N63=0,"ERROR",""))</f>
        <v/>
      </c>
      <c r="P63" s="39"/>
      <c r="Q63" s="23"/>
      <c r="Y63" s="15">
        <f>B65</f>
        <v>0</v>
      </c>
      <c r="Z63" s="25" t="str">
        <f>C65</f>
        <v xml:space="preserve">Paiements Sociaux </v>
      </c>
      <c r="AA63" s="16">
        <f t="shared" ref="AA63:AI64" si="133">SUMPRODUCT(($A$84:$A$751=$Y63&amp;"- "&amp;$Z63)*($C$84:$C$751=AA$1)*($G$84:$G$751))</f>
        <v>0</v>
      </c>
      <c r="AB63" s="16">
        <f t="shared" si="133"/>
        <v>0</v>
      </c>
      <c r="AC63" s="16">
        <f t="shared" si="133"/>
        <v>0</v>
      </c>
      <c r="AD63" s="16">
        <f t="shared" si="133"/>
        <v>0</v>
      </c>
      <c r="AE63" s="16">
        <f t="shared" si="133"/>
        <v>0</v>
      </c>
      <c r="AF63" s="16">
        <f t="shared" si="133"/>
        <v>0</v>
      </c>
      <c r="AG63" s="16">
        <f t="shared" si="133"/>
        <v>0</v>
      </c>
      <c r="AH63" s="16">
        <f t="shared" si="133"/>
        <v>0</v>
      </c>
      <c r="AI63" s="16">
        <f t="shared" si="133"/>
        <v>0</v>
      </c>
      <c r="AJ63" s="16">
        <f>SUM(AA63:AI63)</f>
        <v>0</v>
      </c>
      <c r="AL63" s="17">
        <f>+B65</f>
        <v>0</v>
      </c>
      <c r="AM63" s="26" t="str">
        <f>+C65</f>
        <v xml:space="preserve">Paiements Sociaux </v>
      </c>
      <c r="AN63" s="18">
        <f t="shared" ref="AN63:AU64" si="134">SUMPRODUCT(($J$84:$M$748=$AL63&amp;"- "&amp;$AM63)*($N$84:$N$748=AN$1)*($Q$84:$Q$748))</f>
        <v>0</v>
      </c>
      <c r="AO63" s="18">
        <f t="shared" si="134"/>
        <v>0</v>
      </c>
      <c r="AP63" s="18">
        <f t="shared" si="134"/>
        <v>0</v>
      </c>
      <c r="AQ63" s="18">
        <f t="shared" si="134"/>
        <v>0</v>
      </c>
      <c r="AR63" s="18">
        <f t="shared" si="134"/>
        <v>0</v>
      </c>
      <c r="AS63" s="18">
        <f t="shared" si="134"/>
        <v>0</v>
      </c>
      <c r="AT63" s="18">
        <f t="shared" si="134"/>
        <v>0</v>
      </c>
      <c r="AU63" s="18">
        <f t="shared" si="134"/>
        <v>0</v>
      </c>
      <c r="AV63" s="18">
        <f>SUM(AN63:AU63)</f>
        <v>0</v>
      </c>
      <c r="AW63" s="18"/>
      <c r="AX63" s="17">
        <f>B65</f>
        <v>0</v>
      </c>
      <c r="AY63" s="26" t="str">
        <f>C65</f>
        <v xml:space="preserve">Paiements Sociaux </v>
      </c>
      <c r="AZ63" s="18">
        <f t="shared" ref="AZ63:BK64" ca="1" si="135">SUMPRODUCT(($C$10:$C$75=$AY63)*($N$10:$N$75=AZ$1)*($M$10:$M$75))</f>
        <v>0</v>
      </c>
      <c r="BA63" s="18">
        <f t="shared" ca="1" si="135"/>
        <v>0</v>
      </c>
      <c r="BB63" s="18">
        <f t="shared" ca="1" si="135"/>
        <v>0</v>
      </c>
      <c r="BC63" s="18">
        <f t="shared" ca="1" si="135"/>
        <v>0</v>
      </c>
      <c r="BD63" s="18">
        <f t="shared" ca="1" si="135"/>
        <v>0</v>
      </c>
      <c r="BE63" s="18">
        <f t="shared" ca="1" si="135"/>
        <v>0</v>
      </c>
      <c r="BF63" s="18">
        <f t="shared" ca="1" si="135"/>
        <v>0</v>
      </c>
      <c r="BG63" s="18">
        <f t="shared" ca="1" si="135"/>
        <v>0</v>
      </c>
      <c r="BH63" s="18">
        <f t="shared" ca="1" si="135"/>
        <v>0</v>
      </c>
      <c r="BI63" s="18">
        <f t="shared" ca="1" si="135"/>
        <v>0</v>
      </c>
      <c r="BJ63" s="18">
        <f t="shared" ca="1" si="135"/>
        <v>0</v>
      </c>
      <c r="BK63" s="18">
        <f t="shared" ca="1" si="135"/>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ca="1">IF(M64=0,"",IF(N64=0,"ERROR",""))</f>
        <v/>
      </c>
      <c r="P64" s="39" t="str">
        <f ca="1">IF(O64="ERROR","Please insert comment","")</f>
        <v/>
      </c>
      <c r="Y64" s="15">
        <f>B66</f>
        <v>46</v>
      </c>
      <c r="Z64" s="25" t="str">
        <f>C66</f>
        <v>Paiements sociaux obligatoires</v>
      </c>
      <c r="AA64" s="16">
        <f t="shared" si="133"/>
        <v>0</v>
      </c>
      <c r="AB64" s="16">
        <f t="shared" si="133"/>
        <v>0</v>
      </c>
      <c r="AC64" s="16">
        <f t="shared" si="133"/>
        <v>0</v>
      </c>
      <c r="AD64" s="16">
        <f t="shared" si="133"/>
        <v>0</v>
      </c>
      <c r="AE64" s="16">
        <f t="shared" si="133"/>
        <v>0</v>
      </c>
      <c r="AF64" s="16">
        <f t="shared" si="133"/>
        <v>0</v>
      </c>
      <c r="AG64" s="16">
        <f t="shared" si="133"/>
        <v>0</v>
      </c>
      <c r="AH64" s="16">
        <f t="shared" si="133"/>
        <v>0</v>
      </c>
      <c r="AI64" s="16">
        <f t="shared" si="133"/>
        <v>0</v>
      </c>
      <c r="AJ64" s="16">
        <f>SUM(AA64:AI64)</f>
        <v>0</v>
      </c>
      <c r="AL64" s="17">
        <f>+B66</f>
        <v>46</v>
      </c>
      <c r="AM64" s="26" t="str">
        <f>+C66</f>
        <v>Paiements sociaux obligatoires</v>
      </c>
      <c r="AN64" s="18">
        <f t="shared" si="134"/>
        <v>0</v>
      </c>
      <c r="AO64" s="18">
        <f t="shared" si="134"/>
        <v>0</v>
      </c>
      <c r="AP64" s="18">
        <f t="shared" si="134"/>
        <v>0</v>
      </c>
      <c r="AQ64" s="18">
        <f t="shared" si="134"/>
        <v>0</v>
      </c>
      <c r="AR64" s="18">
        <f t="shared" si="134"/>
        <v>0</v>
      </c>
      <c r="AS64" s="18">
        <f t="shared" si="134"/>
        <v>0</v>
      </c>
      <c r="AT64" s="18">
        <f t="shared" si="134"/>
        <v>0</v>
      </c>
      <c r="AU64" s="18">
        <f t="shared" si="134"/>
        <v>0</v>
      </c>
      <c r="AV64" s="18">
        <f>SUM(AN64:AU64)</f>
        <v>0</v>
      </c>
      <c r="AW64" s="38"/>
      <c r="AX64" s="17">
        <f>B66</f>
        <v>46</v>
      </c>
      <c r="AY64" s="26" t="str">
        <f>C66</f>
        <v>Paiements sociaux obligatoires</v>
      </c>
      <c r="AZ64" s="18">
        <f t="shared" ca="1" si="135"/>
        <v>0</v>
      </c>
      <c r="BA64" s="18">
        <f t="shared" ca="1" si="135"/>
        <v>0</v>
      </c>
      <c r="BB64" s="18">
        <f t="shared" ca="1" si="135"/>
        <v>0</v>
      </c>
      <c r="BC64" s="18">
        <f t="shared" ca="1" si="135"/>
        <v>0</v>
      </c>
      <c r="BD64" s="18">
        <f t="shared" ca="1" si="135"/>
        <v>0</v>
      </c>
      <c r="BE64" s="18">
        <f t="shared" ca="1" si="135"/>
        <v>0</v>
      </c>
      <c r="BF64" s="18">
        <f t="shared" ca="1" si="135"/>
        <v>0</v>
      </c>
      <c r="BG64" s="18">
        <f t="shared" ca="1" si="135"/>
        <v>0</v>
      </c>
      <c r="BH64" s="18">
        <f t="shared" ca="1" si="135"/>
        <v>0</v>
      </c>
      <c r="BI64" s="18">
        <f t="shared" ca="1" si="135"/>
        <v>0</v>
      </c>
      <c r="BJ64" s="18">
        <f t="shared" ca="1" si="135"/>
        <v>0</v>
      </c>
      <c r="BK64" s="18">
        <f t="shared" ca="1" si="135"/>
        <v>0</v>
      </c>
    </row>
    <row r="65" spans="1:64">
      <c r="A65" s="80">
        <f t="shared" si="29"/>
        <v>0</v>
      </c>
      <c r="B65" s="163"/>
      <c r="C65" s="58" t="str">
        <f>+'Taxes RCA 2022'!B58</f>
        <v xml:space="preserve">Paiements Sociaux </v>
      </c>
      <c r="E65" s="166">
        <f>+E67+E66</f>
        <v>0</v>
      </c>
      <c r="F65" s="166">
        <f t="shared" ref="F65:G65" si="136">+F67+F66</f>
        <v>0</v>
      </c>
      <c r="G65" s="166">
        <f t="shared" si="136"/>
        <v>0</v>
      </c>
      <c r="H65" s="114"/>
      <c r="I65" s="166">
        <f>+I67+I66</f>
        <v>0</v>
      </c>
      <c r="J65" s="166">
        <f t="shared" ref="J65" ca="1" si="137">+J67+J66</f>
        <v>0</v>
      </c>
      <c r="K65" s="166">
        <f t="shared" ref="K65" ca="1" si="138">+K67+K66</f>
        <v>0</v>
      </c>
      <c r="L65" s="114"/>
      <c r="M65" s="166">
        <f t="shared" ref="M65" ca="1" si="139">+M67+M66</f>
        <v>0</v>
      </c>
      <c r="N65" s="58"/>
      <c r="O65" s="38" t="str">
        <f ca="1">IF(M65=0,"",IF(N65=0,"ERROR",""))</f>
        <v/>
      </c>
      <c r="P65" s="39" t="str">
        <f ca="1">IF(O65="ERROR","Please insert comment","")</f>
        <v/>
      </c>
      <c r="Y65" s="15"/>
      <c r="Z65" s="25" t="str">
        <f t="shared" ref="Z65:Z73" si="140">C67</f>
        <v>Paiements sociaux volontaires</v>
      </c>
      <c r="AA65" s="16">
        <f>SUM(AA66:AA67)</f>
        <v>0</v>
      </c>
      <c r="AB65" s="16">
        <f t="shared" ref="AB65:AJ65" si="141">SUM(AB66:AB67)</f>
        <v>0</v>
      </c>
      <c r="AC65" s="16">
        <f t="shared" si="141"/>
        <v>0</v>
      </c>
      <c r="AD65" s="16">
        <f t="shared" si="141"/>
        <v>0</v>
      </c>
      <c r="AE65" s="16">
        <f t="shared" si="141"/>
        <v>0</v>
      </c>
      <c r="AF65" s="16">
        <f t="shared" si="141"/>
        <v>0</v>
      </c>
      <c r="AG65" s="16">
        <f t="shared" si="141"/>
        <v>0</v>
      </c>
      <c r="AH65" s="16">
        <f t="shared" si="141"/>
        <v>0</v>
      </c>
      <c r="AI65" s="16">
        <f t="shared" si="141"/>
        <v>0</v>
      </c>
      <c r="AJ65" s="16">
        <f t="shared" si="141"/>
        <v>0</v>
      </c>
      <c r="AL65" s="17"/>
      <c r="AM65" s="26" t="str">
        <f t="shared" ref="AM65:AM73" si="142">+C67</f>
        <v>Paiements sociaux volontaires</v>
      </c>
      <c r="AN65" s="18">
        <f>SUM(AN66:AN67)</f>
        <v>0</v>
      </c>
      <c r="AO65" s="18">
        <f t="shared" ref="AO65:AV65" si="143">SUM(AO66:AO67)</f>
        <v>0</v>
      </c>
      <c r="AP65" s="18">
        <f t="shared" si="143"/>
        <v>0</v>
      </c>
      <c r="AQ65" s="18">
        <f t="shared" si="143"/>
        <v>0</v>
      </c>
      <c r="AR65" s="18">
        <f t="shared" si="143"/>
        <v>0</v>
      </c>
      <c r="AS65" s="18">
        <f t="shared" si="143"/>
        <v>0</v>
      </c>
      <c r="AT65" s="18">
        <f t="shared" si="143"/>
        <v>0</v>
      </c>
      <c r="AU65" s="18">
        <f t="shared" si="143"/>
        <v>0</v>
      </c>
      <c r="AV65" s="18">
        <f t="shared" si="143"/>
        <v>0</v>
      </c>
      <c r="AW65" s="18"/>
      <c r="AX65" s="17"/>
      <c r="AY65" s="26" t="str">
        <f t="shared" ref="AY65:AY73" si="144">C67</f>
        <v>Paiements sociaux volontaires</v>
      </c>
      <c r="AZ65" s="18">
        <f ca="1">SUM(AZ66:AZ67)</f>
        <v>0</v>
      </c>
      <c r="BA65" s="18">
        <f t="shared" ref="BA65:BK65" ca="1" si="145">SUM(BA66:BA67)</f>
        <v>0</v>
      </c>
      <c r="BB65" s="18">
        <f t="shared" ca="1" si="145"/>
        <v>0</v>
      </c>
      <c r="BC65" s="18">
        <f t="shared" ca="1" si="145"/>
        <v>0</v>
      </c>
      <c r="BD65" s="18">
        <f t="shared" ca="1" si="145"/>
        <v>0</v>
      </c>
      <c r="BE65" s="18">
        <f t="shared" ca="1" si="145"/>
        <v>0</v>
      </c>
      <c r="BF65" s="18">
        <f t="shared" ca="1" si="145"/>
        <v>0</v>
      </c>
      <c r="BG65" s="18">
        <f t="shared" ca="1" si="145"/>
        <v>0</v>
      </c>
      <c r="BH65" s="18">
        <f t="shared" ca="1" si="145"/>
        <v>0</v>
      </c>
      <c r="BI65" s="18">
        <f t="shared" ca="1" si="145"/>
        <v>0</v>
      </c>
      <c r="BJ65" s="18">
        <f t="shared" ca="1" si="145"/>
        <v>0</v>
      </c>
      <c r="BK65" s="18">
        <f t="shared" ca="1" si="145"/>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ca="1">IF(M66=0,"",IF(N66=0,"ERROR",""))</f>
        <v/>
      </c>
      <c r="P66" s="39" t="str">
        <f ca="1">IF(O66="ERROR","Please insert comment","")</f>
        <v/>
      </c>
      <c r="Y66" s="15">
        <f>B68</f>
        <v>0</v>
      </c>
      <c r="Z66" s="25" t="str">
        <f t="shared" si="140"/>
        <v>Paiements environnementaux - DGTCP (FNE)</v>
      </c>
      <c r="AA66" s="16">
        <f t="shared" ref="AA66:AI67" si="146">SUMPRODUCT(($A$84:$A$751=$Y66&amp;"- "&amp;$Z66)*($C$84:$C$751=AA$1)*($G$84:$G$751))</f>
        <v>0</v>
      </c>
      <c r="AB66" s="16">
        <f t="shared" si="146"/>
        <v>0</v>
      </c>
      <c r="AC66" s="16">
        <f t="shared" si="146"/>
        <v>0</v>
      </c>
      <c r="AD66" s="16">
        <f t="shared" si="146"/>
        <v>0</v>
      </c>
      <c r="AE66" s="16">
        <f t="shared" si="146"/>
        <v>0</v>
      </c>
      <c r="AF66" s="16">
        <f t="shared" si="146"/>
        <v>0</v>
      </c>
      <c r="AG66" s="16">
        <f t="shared" si="146"/>
        <v>0</v>
      </c>
      <c r="AH66" s="16">
        <f t="shared" si="146"/>
        <v>0</v>
      </c>
      <c r="AI66" s="16">
        <f t="shared" si="146"/>
        <v>0</v>
      </c>
      <c r="AJ66" s="16">
        <f>SUM(AA66:AI66)</f>
        <v>0</v>
      </c>
      <c r="AL66" s="17">
        <f>+B68</f>
        <v>0</v>
      </c>
      <c r="AM66" s="26" t="str">
        <f t="shared" si="142"/>
        <v>Paiements environnementaux - DGTCP (FNE)</v>
      </c>
      <c r="AN66" s="18">
        <f t="shared" ref="AN66:AU67" si="147">SUMPRODUCT(($J$84:$M$748=$AL66&amp;"- "&amp;$AM66)*($N$84:$N$748=AN$1)*($Q$84:$Q$748))</f>
        <v>0</v>
      </c>
      <c r="AO66" s="18">
        <f t="shared" si="147"/>
        <v>0</v>
      </c>
      <c r="AP66" s="18">
        <f t="shared" si="147"/>
        <v>0</v>
      </c>
      <c r="AQ66" s="18">
        <f t="shared" si="147"/>
        <v>0</v>
      </c>
      <c r="AR66" s="18">
        <f t="shared" si="147"/>
        <v>0</v>
      </c>
      <c r="AS66" s="18">
        <f t="shared" si="147"/>
        <v>0</v>
      </c>
      <c r="AT66" s="18">
        <f t="shared" si="147"/>
        <v>0</v>
      </c>
      <c r="AU66" s="18">
        <f t="shared" si="147"/>
        <v>0</v>
      </c>
      <c r="AV66" s="18">
        <f>SUM(AN66:AU66)</f>
        <v>0</v>
      </c>
      <c r="AW66" s="18"/>
      <c r="AX66" s="17">
        <f>B68</f>
        <v>0</v>
      </c>
      <c r="AY66" s="26" t="str">
        <f t="shared" si="144"/>
        <v>Paiements environnementaux - DGTCP (FNE)</v>
      </c>
      <c r="AZ66" s="18">
        <f t="shared" ref="AZ66:BK67" ca="1" si="148">SUMPRODUCT(($C$10:$C$75=$AY66)*($N$10:$N$75=AZ$1)*($M$10:$M$75))</f>
        <v>0</v>
      </c>
      <c r="BA66" s="18">
        <f t="shared" ca="1" si="148"/>
        <v>0</v>
      </c>
      <c r="BB66" s="18">
        <f t="shared" ca="1" si="148"/>
        <v>0</v>
      </c>
      <c r="BC66" s="18">
        <f t="shared" ca="1" si="148"/>
        <v>0</v>
      </c>
      <c r="BD66" s="18">
        <f t="shared" ca="1" si="148"/>
        <v>0</v>
      </c>
      <c r="BE66" s="18">
        <f t="shared" ca="1" si="148"/>
        <v>0</v>
      </c>
      <c r="BF66" s="18">
        <f t="shared" ca="1" si="148"/>
        <v>0</v>
      </c>
      <c r="BG66" s="18">
        <f t="shared" ca="1" si="148"/>
        <v>0</v>
      </c>
      <c r="BH66" s="18">
        <f t="shared" ca="1" si="148"/>
        <v>0</v>
      </c>
      <c r="BI66" s="18">
        <f t="shared" ca="1" si="148"/>
        <v>0</v>
      </c>
      <c r="BJ66" s="18">
        <f t="shared" ca="1" si="148"/>
        <v>0</v>
      </c>
      <c r="BK66" s="18">
        <f t="shared" ca="1" si="148"/>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40"/>
        <v>Taxes sur les appareils à pression de vapeur et de gaz (+)</v>
      </c>
      <c r="AA67" s="16">
        <f t="shared" si="146"/>
        <v>0</v>
      </c>
      <c r="AB67" s="16">
        <f t="shared" si="146"/>
        <v>0</v>
      </c>
      <c r="AC67" s="16">
        <f t="shared" si="146"/>
        <v>0</v>
      </c>
      <c r="AD67" s="16">
        <f t="shared" si="146"/>
        <v>0</v>
      </c>
      <c r="AE67" s="16">
        <f t="shared" si="146"/>
        <v>0</v>
      </c>
      <c r="AF67" s="16">
        <f t="shared" si="146"/>
        <v>0</v>
      </c>
      <c r="AG67" s="16">
        <f t="shared" si="146"/>
        <v>0</v>
      </c>
      <c r="AH67" s="16">
        <f t="shared" si="146"/>
        <v>0</v>
      </c>
      <c r="AI67" s="16">
        <f t="shared" si="146"/>
        <v>0</v>
      </c>
      <c r="AJ67" s="16">
        <f>SUM(AA67:AI67)</f>
        <v>0</v>
      </c>
      <c r="AL67" s="17">
        <f>+B69</f>
        <v>48</v>
      </c>
      <c r="AM67" s="26" t="str">
        <f t="shared" si="142"/>
        <v>Taxes sur les appareils à pression de vapeur et de gaz (+)</v>
      </c>
      <c r="AN67" s="18">
        <f t="shared" si="147"/>
        <v>0</v>
      </c>
      <c r="AO67" s="18">
        <f t="shared" si="147"/>
        <v>0</v>
      </c>
      <c r="AP67" s="18">
        <f t="shared" si="147"/>
        <v>0</v>
      </c>
      <c r="AQ67" s="18">
        <f t="shared" si="147"/>
        <v>0</v>
      </c>
      <c r="AR67" s="18">
        <f t="shared" si="147"/>
        <v>0</v>
      </c>
      <c r="AS67" s="18">
        <f t="shared" si="147"/>
        <v>0</v>
      </c>
      <c r="AT67" s="18">
        <f t="shared" si="147"/>
        <v>0</v>
      </c>
      <c r="AU67" s="18">
        <f t="shared" si="147"/>
        <v>0</v>
      </c>
      <c r="AV67" s="18">
        <f>SUM(AN67:AU67)</f>
        <v>0</v>
      </c>
      <c r="AW67" s="18"/>
      <c r="AX67" s="17">
        <f>B69</f>
        <v>48</v>
      </c>
      <c r="AY67" s="26" t="str">
        <f t="shared" si="144"/>
        <v>Taxes sur les appareils à pression de vapeur et de gaz (+)</v>
      </c>
      <c r="AZ67" s="18">
        <f t="shared" ca="1" si="148"/>
        <v>0</v>
      </c>
      <c r="BA67" s="18">
        <f t="shared" ca="1" si="148"/>
        <v>0</v>
      </c>
      <c r="BB67" s="18">
        <f t="shared" ca="1" si="148"/>
        <v>0</v>
      </c>
      <c r="BC67" s="18">
        <f t="shared" ca="1" si="148"/>
        <v>0</v>
      </c>
      <c r="BD67" s="18">
        <f t="shared" ca="1" si="148"/>
        <v>0</v>
      </c>
      <c r="BE67" s="18">
        <f t="shared" ca="1" si="148"/>
        <v>0</v>
      </c>
      <c r="BF67" s="18">
        <f t="shared" ca="1" si="148"/>
        <v>0</v>
      </c>
      <c r="BG67" s="18">
        <f t="shared" ca="1" si="148"/>
        <v>0</v>
      </c>
      <c r="BH67" s="18">
        <f t="shared" ca="1" si="148"/>
        <v>0</v>
      </c>
      <c r="BI67" s="18">
        <f t="shared" ca="1" si="148"/>
        <v>0</v>
      </c>
      <c r="BJ67" s="18">
        <f t="shared" ca="1" si="148"/>
        <v>0</v>
      </c>
      <c r="BK67" s="18">
        <f t="shared" ca="1" si="148"/>
        <v>0</v>
      </c>
    </row>
    <row r="68" spans="1:64">
      <c r="A68" s="80"/>
      <c r="B68" s="163"/>
      <c r="C68" s="58" t="str">
        <f>+'Taxes RCA 2022'!B61</f>
        <v>Paiements environnementaux - DGTCP (FNE)</v>
      </c>
      <c r="E68" s="166">
        <f>SUM(E69:E76)</f>
        <v>0</v>
      </c>
      <c r="F68" s="166">
        <f t="shared" ref="F68:G68" si="149">SUM(F69:F76)</f>
        <v>0</v>
      </c>
      <c r="G68" s="166">
        <f t="shared" si="149"/>
        <v>0</v>
      </c>
      <c r="H68" s="114"/>
      <c r="I68" s="166">
        <f>SUM(I69:I76)</f>
        <v>0</v>
      </c>
      <c r="J68" s="166">
        <f t="shared" ref="J68" ca="1" si="150">SUM(J69:J76)</f>
        <v>0</v>
      </c>
      <c r="K68" s="166">
        <f t="shared" ref="K68" ca="1" si="151">SUM(K69:K76)</f>
        <v>0</v>
      </c>
      <c r="L68" s="114"/>
      <c r="M68" s="166">
        <f t="shared" ref="M68" ca="1" si="152">SUM(M69:M76)</f>
        <v>0</v>
      </c>
      <c r="N68" s="58"/>
      <c r="O68" s="38"/>
      <c r="P68" s="39"/>
      <c r="Y68" s="28"/>
      <c r="Z68" s="28" t="str">
        <f t="shared" si="140"/>
        <v>Taxes à la pollution (+)</v>
      </c>
      <c r="AA68" s="29">
        <f>SUM(AA69:AA69)</f>
        <v>0</v>
      </c>
      <c r="AB68" s="29">
        <f t="shared" ref="AB68:AJ68" si="153">SUM(AB69:AB69)</f>
        <v>0</v>
      </c>
      <c r="AC68" s="29">
        <f t="shared" si="153"/>
        <v>0</v>
      </c>
      <c r="AD68" s="29">
        <f t="shared" si="153"/>
        <v>0</v>
      </c>
      <c r="AE68" s="29">
        <f t="shared" si="153"/>
        <v>0</v>
      </c>
      <c r="AF68" s="29">
        <f t="shared" si="153"/>
        <v>0</v>
      </c>
      <c r="AG68" s="29">
        <f t="shared" si="153"/>
        <v>0</v>
      </c>
      <c r="AH68" s="29">
        <f t="shared" si="153"/>
        <v>0</v>
      </c>
      <c r="AI68" s="29">
        <f t="shared" si="153"/>
        <v>0</v>
      </c>
      <c r="AJ68" s="29">
        <f t="shared" si="153"/>
        <v>0</v>
      </c>
      <c r="AL68" s="28"/>
      <c r="AM68" s="28" t="str">
        <f t="shared" si="142"/>
        <v>Taxes à la pollution (+)</v>
      </c>
      <c r="AN68" s="29">
        <f t="shared" ref="AN68:AV68" si="154">SUM(AN69:AN70)</f>
        <v>0</v>
      </c>
      <c r="AO68" s="29">
        <f t="shared" si="154"/>
        <v>0</v>
      </c>
      <c r="AP68" s="29">
        <f t="shared" si="154"/>
        <v>0</v>
      </c>
      <c r="AQ68" s="29">
        <f t="shared" si="154"/>
        <v>0</v>
      </c>
      <c r="AR68" s="29">
        <f t="shared" si="154"/>
        <v>0</v>
      </c>
      <c r="AS68" s="29">
        <f t="shared" si="154"/>
        <v>0</v>
      </c>
      <c r="AT68" s="29">
        <f t="shared" si="154"/>
        <v>0</v>
      </c>
      <c r="AU68" s="29">
        <f t="shared" si="154"/>
        <v>0</v>
      </c>
      <c r="AV68" s="29">
        <f t="shared" si="154"/>
        <v>0</v>
      </c>
      <c r="AW68" s="38"/>
      <c r="AX68" s="28"/>
      <c r="AY68" s="28" t="str">
        <f t="shared" si="144"/>
        <v>Taxes à la pollution (+)</v>
      </c>
      <c r="AZ68" s="29">
        <f t="shared" ref="AZ68:BK68" ca="1" si="155">SUM(AZ69:AZ70)</f>
        <v>0</v>
      </c>
      <c r="BA68" s="29">
        <f t="shared" ca="1" si="155"/>
        <v>0</v>
      </c>
      <c r="BB68" s="29">
        <f t="shared" ca="1" si="155"/>
        <v>0</v>
      </c>
      <c r="BC68" s="29">
        <f t="shared" ca="1" si="155"/>
        <v>0</v>
      </c>
      <c r="BD68" s="29">
        <f t="shared" ca="1" si="155"/>
        <v>0</v>
      </c>
      <c r="BE68" s="29">
        <f t="shared" ca="1" si="155"/>
        <v>0</v>
      </c>
      <c r="BF68" s="29">
        <f t="shared" ca="1" si="155"/>
        <v>0</v>
      </c>
      <c r="BG68" s="29">
        <f t="shared" ca="1" si="155"/>
        <v>0</v>
      </c>
      <c r="BH68" s="29">
        <f t="shared" ca="1" si="155"/>
        <v>0</v>
      </c>
      <c r="BI68" s="29">
        <f t="shared" ca="1" si="155"/>
        <v>0</v>
      </c>
      <c r="BJ68" s="29">
        <f t="shared" ca="1" si="155"/>
        <v>0</v>
      </c>
      <c r="BK68" s="29">
        <f t="shared" ca="1" si="155"/>
        <v>0</v>
      </c>
    </row>
    <row r="69" spans="1:64">
      <c r="A69" s="80"/>
      <c r="B69" s="53">
        <f>+'Taxes RCA 2022'!A62</f>
        <v>48</v>
      </c>
      <c r="C69" s="18" t="str">
        <f>+'Taxes RCA 2022'!B62</f>
        <v>Taxes sur les appareils à pression de vapeur et de gaz (+)</v>
      </c>
      <c r="E69" s="114"/>
      <c r="F69" s="114">
        <f t="shared" ref="F69:F76" si="156">SUMIF($A$84:$A$751,B69&amp;"- "&amp;C69,$G$84:$G$751)</f>
        <v>0</v>
      </c>
      <c r="G69" s="114">
        <f t="shared" ref="G69:G76" si="157">E69+F69</f>
        <v>0</v>
      </c>
      <c r="H69" s="114"/>
      <c r="I69" s="114"/>
      <c r="J69" s="114">
        <f t="shared" ref="J69:J76" ca="1" si="158">SUMIF($J$84:$M$749,B69&amp;"- "&amp;C69,$Q$84:$Q$749)</f>
        <v>0</v>
      </c>
      <c r="K69" s="114">
        <f t="shared" ref="K69:K76" ca="1" si="159">I69+J69</f>
        <v>0</v>
      </c>
      <c r="L69" s="114"/>
      <c r="M69" s="114">
        <f t="shared" ref="M69:M76" ca="1" si="160">+G69-K69</f>
        <v>0</v>
      </c>
      <c r="N69" s="18"/>
      <c r="O69" s="38"/>
      <c r="P69" s="39"/>
      <c r="Y69" s="15">
        <f>B71</f>
        <v>50</v>
      </c>
      <c r="Z69" s="25" t="str">
        <f t="shared" si="140"/>
        <v>Redevances annuelles résultant des inspections et contrôle des installations classées (+)</v>
      </c>
      <c r="AA69" s="16">
        <f t="shared" ref="AA69:AI69" si="161">SUMPRODUCT(($A$84:$A$751=$Y69&amp;"- "&amp;$Z69)*($C$84:$C$751=AA$1)*($G$84:$G$751))</f>
        <v>0</v>
      </c>
      <c r="AB69" s="16">
        <f t="shared" si="161"/>
        <v>0</v>
      </c>
      <c r="AC69" s="16">
        <f t="shared" si="161"/>
        <v>0</v>
      </c>
      <c r="AD69" s="16">
        <f t="shared" si="161"/>
        <v>0</v>
      </c>
      <c r="AE69" s="16">
        <f t="shared" si="161"/>
        <v>0</v>
      </c>
      <c r="AF69" s="16">
        <f t="shared" si="161"/>
        <v>0</v>
      </c>
      <c r="AG69" s="16">
        <f t="shared" si="161"/>
        <v>0</v>
      </c>
      <c r="AH69" s="16">
        <f t="shared" si="161"/>
        <v>0</v>
      </c>
      <c r="AI69" s="16">
        <f t="shared" si="161"/>
        <v>0</v>
      </c>
      <c r="AJ69" s="16">
        <f>SUM(AA69:AI69)</f>
        <v>0</v>
      </c>
      <c r="AL69" s="17">
        <f>+B71</f>
        <v>50</v>
      </c>
      <c r="AM69" s="26" t="str">
        <f t="shared" si="142"/>
        <v>Redevances annuelles résultant des inspections et contrôle des installations classées (+)</v>
      </c>
      <c r="AN69" s="18">
        <f t="shared" ref="AN69:AU69" si="162">SUMPRODUCT(($J$84:$M$748=$AL69&amp;"- "&amp;$AM69)*($N$84:$N$748=AN$1)*($Q$84:$Q$748))</f>
        <v>0</v>
      </c>
      <c r="AO69" s="18">
        <f t="shared" si="162"/>
        <v>0</v>
      </c>
      <c r="AP69" s="18">
        <f t="shared" si="162"/>
        <v>0</v>
      </c>
      <c r="AQ69" s="18">
        <f t="shared" si="162"/>
        <v>0</v>
      </c>
      <c r="AR69" s="18">
        <f t="shared" si="162"/>
        <v>0</v>
      </c>
      <c r="AS69" s="18">
        <f t="shared" si="162"/>
        <v>0</v>
      </c>
      <c r="AT69" s="18">
        <f t="shared" si="162"/>
        <v>0</v>
      </c>
      <c r="AU69" s="18">
        <f t="shared" si="162"/>
        <v>0</v>
      </c>
      <c r="AV69" s="18">
        <f>SUM(AN69:AU69)</f>
        <v>0</v>
      </c>
      <c r="AW69" s="18"/>
      <c r="AX69" s="17">
        <f>B71</f>
        <v>50</v>
      </c>
      <c r="AY69" s="26" t="str">
        <f t="shared" si="144"/>
        <v>Redevances annuelles résultant des inspections et contrôle des installations classées (+)</v>
      </c>
      <c r="AZ69" s="18">
        <f t="shared" ref="AZ69:BK69" ca="1" si="163">SUMPRODUCT(($C$10:$C$75=$AY69)*($N$10:$N$75=AZ$1)*($M$10:$M$75))</f>
        <v>0</v>
      </c>
      <c r="BA69" s="18">
        <f t="shared" ca="1" si="163"/>
        <v>0</v>
      </c>
      <c r="BB69" s="18">
        <f t="shared" ca="1" si="163"/>
        <v>0</v>
      </c>
      <c r="BC69" s="18">
        <f t="shared" ca="1" si="163"/>
        <v>0</v>
      </c>
      <c r="BD69" s="18">
        <f t="shared" ca="1" si="163"/>
        <v>0</v>
      </c>
      <c r="BE69" s="18">
        <f t="shared" ca="1" si="163"/>
        <v>0</v>
      </c>
      <c r="BF69" s="18">
        <f t="shared" ca="1" si="163"/>
        <v>0</v>
      </c>
      <c r="BG69" s="18">
        <f t="shared" ca="1" si="163"/>
        <v>0</v>
      </c>
      <c r="BH69" s="18">
        <f t="shared" ca="1" si="163"/>
        <v>0</v>
      </c>
      <c r="BI69" s="18">
        <f t="shared" ca="1" si="163"/>
        <v>0</v>
      </c>
      <c r="BJ69" s="18">
        <f t="shared" ca="1" si="163"/>
        <v>0</v>
      </c>
      <c r="BK69" s="18">
        <f t="shared" ca="1" si="163"/>
        <v>0</v>
      </c>
    </row>
    <row r="70" spans="1:64">
      <c r="A70" s="80">
        <f t="shared" si="29"/>
        <v>49</v>
      </c>
      <c r="B70" s="64">
        <f>+'Taxes RCA 2022'!A63</f>
        <v>49</v>
      </c>
      <c r="C70" s="68" t="str">
        <f>+'Taxes RCA 2022'!B63</f>
        <v>Taxes à la pollution (+)</v>
      </c>
      <c r="E70" s="165"/>
      <c r="F70" s="165">
        <f t="shared" si="156"/>
        <v>0</v>
      </c>
      <c r="G70" s="165">
        <f t="shared" si="157"/>
        <v>0</v>
      </c>
      <c r="H70" s="114"/>
      <c r="I70" s="165"/>
      <c r="J70" s="165">
        <f t="shared" ca="1" si="158"/>
        <v>0</v>
      </c>
      <c r="K70" s="165">
        <f t="shared" ca="1" si="159"/>
        <v>0</v>
      </c>
      <c r="L70" s="114"/>
      <c r="M70" s="165">
        <f t="shared" ca="1" si="160"/>
        <v>0</v>
      </c>
      <c r="N70" s="68"/>
      <c r="O70" s="38"/>
      <c r="P70" s="39"/>
      <c r="Y70" s="15"/>
      <c r="Z70" s="25" t="str">
        <f t="shared" si="140"/>
        <v>Taxes superficiaires encaissées par le FNE (+)</v>
      </c>
      <c r="AA70" s="16">
        <f t="shared" ref="AA70:AJ70" si="164">SUM(AA71:AA71)</f>
        <v>0</v>
      </c>
      <c r="AB70" s="16">
        <f t="shared" si="164"/>
        <v>0</v>
      </c>
      <c r="AC70" s="16">
        <f t="shared" si="164"/>
        <v>0</v>
      </c>
      <c r="AD70" s="16">
        <f t="shared" si="164"/>
        <v>0</v>
      </c>
      <c r="AE70" s="16">
        <f t="shared" si="164"/>
        <v>0</v>
      </c>
      <c r="AF70" s="16">
        <f t="shared" si="164"/>
        <v>0</v>
      </c>
      <c r="AG70" s="16">
        <f t="shared" si="164"/>
        <v>0</v>
      </c>
      <c r="AH70" s="16">
        <f t="shared" si="164"/>
        <v>0</v>
      </c>
      <c r="AI70" s="16">
        <f t="shared" si="164"/>
        <v>0</v>
      </c>
      <c r="AJ70" s="16">
        <f t="shared" si="164"/>
        <v>0</v>
      </c>
      <c r="AL70" s="17"/>
      <c r="AM70" s="26" t="str">
        <f t="shared" si="142"/>
        <v>Taxes superficiaires encaissées par le FNE (+)</v>
      </c>
      <c r="AN70" s="18">
        <f t="shared" ref="AN70:AU70" si="165">SUM(AN71:AN71)</f>
        <v>0</v>
      </c>
      <c r="AO70" s="18">
        <f t="shared" si="165"/>
        <v>0</v>
      </c>
      <c r="AP70" s="18">
        <f t="shared" si="165"/>
        <v>0</v>
      </c>
      <c r="AQ70" s="18">
        <f t="shared" si="165"/>
        <v>0</v>
      </c>
      <c r="AR70" s="18">
        <f t="shared" si="165"/>
        <v>0</v>
      </c>
      <c r="AS70" s="18">
        <f t="shared" si="165"/>
        <v>0</v>
      </c>
      <c r="AT70" s="18">
        <f t="shared" si="165"/>
        <v>0</v>
      </c>
      <c r="AU70" s="18">
        <f t="shared" si="165"/>
        <v>0</v>
      </c>
      <c r="AV70" s="18">
        <f>SUM(AV71:AV71)</f>
        <v>0</v>
      </c>
      <c r="AW70" s="18"/>
      <c r="AX70" s="17"/>
      <c r="AY70" s="26" t="str">
        <f t="shared" si="144"/>
        <v>Taxes superficiaires encaissées par le FNE (+)</v>
      </c>
      <c r="AZ70" s="18">
        <f t="shared" ref="AZ70:BK70" ca="1" si="166">SUM(AZ71:AZ71)</f>
        <v>0</v>
      </c>
      <c r="BA70" s="18">
        <f t="shared" ca="1" si="166"/>
        <v>0</v>
      </c>
      <c r="BB70" s="18">
        <f t="shared" ca="1" si="166"/>
        <v>0</v>
      </c>
      <c r="BC70" s="18">
        <f t="shared" ca="1" si="166"/>
        <v>0</v>
      </c>
      <c r="BD70" s="18">
        <f t="shared" ca="1" si="166"/>
        <v>0</v>
      </c>
      <c r="BE70" s="18">
        <f t="shared" ca="1" si="166"/>
        <v>0</v>
      </c>
      <c r="BF70" s="18">
        <f t="shared" ca="1" si="166"/>
        <v>0</v>
      </c>
      <c r="BG70" s="18">
        <f t="shared" ca="1" si="166"/>
        <v>0</v>
      </c>
      <c r="BH70" s="18">
        <f t="shared" ca="1" si="166"/>
        <v>0</v>
      </c>
      <c r="BI70" s="18">
        <f t="shared" ca="1" si="166"/>
        <v>0</v>
      </c>
      <c r="BJ70" s="18">
        <f t="shared" ca="1" si="166"/>
        <v>0</v>
      </c>
      <c r="BK70" s="18">
        <f t="shared" ca="1" si="166"/>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6"/>
        <v>0</v>
      </c>
      <c r="G71" s="114">
        <f t="shared" si="157"/>
        <v>0</v>
      </c>
      <c r="H71" s="114"/>
      <c r="I71" s="114"/>
      <c r="J71" s="114">
        <f t="shared" ca="1" si="158"/>
        <v>0</v>
      </c>
      <c r="K71" s="114">
        <f t="shared" ca="1" si="159"/>
        <v>0</v>
      </c>
      <c r="L71" s="114"/>
      <c r="M71" s="114">
        <f t="shared" ca="1" si="160"/>
        <v>0</v>
      </c>
      <c r="N71" s="18"/>
      <c r="O71" s="38" t="str">
        <f ca="1">IF(M71=0,"",IF(N71=0,"ERROR",""))</f>
        <v/>
      </c>
      <c r="P71" s="39" t="str">
        <f ca="1">IF(O71="ERROR","Please insert comment","")</f>
        <v/>
      </c>
      <c r="Y71" s="15">
        <f>B73</f>
        <v>52</v>
      </c>
      <c r="Z71" s="25" t="str">
        <f t="shared" si="140"/>
        <v>Taxes de remise en état (+)</v>
      </c>
      <c r="AA71" s="16">
        <f t="shared" ref="AA71:AI73" si="167">SUMPRODUCT(($A$84:$A$751=$Y71&amp;"- "&amp;$Z71)*($C$84:$C$751=AA$1)*($G$84:$G$751))</f>
        <v>0</v>
      </c>
      <c r="AB71" s="16">
        <f t="shared" si="167"/>
        <v>0</v>
      </c>
      <c r="AC71" s="16">
        <f t="shared" si="167"/>
        <v>0</v>
      </c>
      <c r="AD71" s="16">
        <f t="shared" si="167"/>
        <v>0</v>
      </c>
      <c r="AE71" s="16">
        <f t="shared" si="167"/>
        <v>0</v>
      </c>
      <c r="AF71" s="16">
        <f t="shared" si="167"/>
        <v>0</v>
      </c>
      <c r="AG71" s="16">
        <f t="shared" si="167"/>
        <v>0</v>
      </c>
      <c r="AH71" s="16">
        <f t="shared" si="167"/>
        <v>0</v>
      </c>
      <c r="AI71" s="16">
        <f t="shared" si="167"/>
        <v>0</v>
      </c>
      <c r="AJ71" s="16">
        <f>SUM(AA71:AI71)</f>
        <v>0</v>
      </c>
      <c r="AL71" s="17">
        <f>+B73</f>
        <v>52</v>
      </c>
      <c r="AM71" s="26" t="str">
        <f t="shared" si="142"/>
        <v>Taxes de remise en état (+)</v>
      </c>
      <c r="AN71" s="18">
        <f t="shared" ref="AN71:AU71" si="168">SUMPRODUCT(($J$84:$M$748=$AL71&amp;"- "&amp;$AM71)*($N$84:$N$748=AN$1)*($Q$84:$Q$748))</f>
        <v>0</v>
      </c>
      <c r="AO71" s="18">
        <f t="shared" si="168"/>
        <v>0</v>
      </c>
      <c r="AP71" s="18">
        <f t="shared" si="168"/>
        <v>0</v>
      </c>
      <c r="AQ71" s="18">
        <f t="shared" si="168"/>
        <v>0</v>
      </c>
      <c r="AR71" s="18">
        <f t="shared" si="168"/>
        <v>0</v>
      </c>
      <c r="AS71" s="18">
        <f t="shared" si="168"/>
        <v>0</v>
      </c>
      <c r="AT71" s="18">
        <f t="shared" si="168"/>
        <v>0</v>
      </c>
      <c r="AU71" s="18">
        <f t="shared" si="168"/>
        <v>0</v>
      </c>
      <c r="AV71" s="18">
        <f>SUM(AN71:AU71)</f>
        <v>0</v>
      </c>
      <c r="AW71" s="18"/>
      <c r="AX71" s="17">
        <f>B73</f>
        <v>52</v>
      </c>
      <c r="AY71" s="26" t="str">
        <f t="shared" si="144"/>
        <v>Taxes de remise en état (+)</v>
      </c>
      <c r="AZ71" s="18">
        <f t="shared" ref="AZ71:BK71" ca="1" si="169">SUMPRODUCT(($C$10:$C$75=$AY71)*($N$10:$N$75=AZ$1)*($M$10:$M$75))</f>
        <v>0</v>
      </c>
      <c r="BA71" s="18">
        <f t="shared" ca="1" si="169"/>
        <v>0</v>
      </c>
      <c r="BB71" s="18">
        <f t="shared" ca="1" si="169"/>
        <v>0</v>
      </c>
      <c r="BC71" s="18">
        <f t="shared" ca="1" si="169"/>
        <v>0</v>
      </c>
      <c r="BD71" s="18">
        <f t="shared" ca="1" si="169"/>
        <v>0</v>
      </c>
      <c r="BE71" s="18">
        <f t="shared" ca="1" si="169"/>
        <v>0</v>
      </c>
      <c r="BF71" s="18">
        <f t="shared" ca="1" si="169"/>
        <v>0</v>
      </c>
      <c r="BG71" s="18">
        <f t="shared" ca="1" si="169"/>
        <v>0</v>
      </c>
      <c r="BH71" s="18">
        <f t="shared" ca="1" si="169"/>
        <v>0</v>
      </c>
      <c r="BI71" s="18">
        <f t="shared" ca="1" si="169"/>
        <v>0</v>
      </c>
      <c r="BJ71" s="18">
        <f t="shared" ca="1" si="169"/>
        <v>0</v>
      </c>
      <c r="BK71" s="18">
        <f t="shared" ca="1" si="169"/>
        <v>0</v>
      </c>
    </row>
    <row r="72" spans="1:64">
      <c r="A72" s="80">
        <f t="shared" si="29"/>
        <v>51</v>
      </c>
      <c r="B72" s="64">
        <f>+'Taxes RCA 2022'!A65</f>
        <v>51</v>
      </c>
      <c r="C72" s="68" t="str">
        <f>+'Taxes RCA 2022'!B65</f>
        <v>Taxes superficiaires encaissées par le FNE (+)</v>
      </c>
      <c r="E72" s="165"/>
      <c r="F72" s="165">
        <f t="shared" si="156"/>
        <v>0</v>
      </c>
      <c r="G72" s="165">
        <f t="shared" si="157"/>
        <v>0</v>
      </c>
      <c r="H72" s="114"/>
      <c r="I72" s="165"/>
      <c r="J72" s="165">
        <f t="shared" ca="1" si="158"/>
        <v>0</v>
      </c>
      <c r="K72" s="165">
        <f t="shared" ca="1" si="159"/>
        <v>0</v>
      </c>
      <c r="L72" s="114"/>
      <c r="M72" s="165">
        <f t="shared" ca="1" si="160"/>
        <v>0</v>
      </c>
      <c r="N72" s="68"/>
      <c r="Y72" s="15"/>
      <c r="Z72" s="25" t="str">
        <f t="shared" si="140"/>
        <v>Taxes environnementales sur les Stes forestières et Minières (+)</v>
      </c>
      <c r="AA72" s="16">
        <f t="shared" si="167"/>
        <v>0</v>
      </c>
      <c r="AB72" s="16">
        <f t="shared" si="167"/>
        <v>0</v>
      </c>
      <c r="AC72" s="16">
        <f t="shared" si="167"/>
        <v>0</v>
      </c>
      <c r="AD72" s="16">
        <f t="shared" si="167"/>
        <v>0</v>
      </c>
      <c r="AE72" s="16">
        <f t="shared" si="167"/>
        <v>0</v>
      </c>
      <c r="AF72" s="16">
        <f t="shared" si="167"/>
        <v>0</v>
      </c>
      <c r="AG72" s="16">
        <f t="shared" si="167"/>
        <v>0</v>
      </c>
      <c r="AH72" s="16">
        <f t="shared" si="167"/>
        <v>0</v>
      </c>
      <c r="AI72" s="16">
        <f t="shared" si="167"/>
        <v>0</v>
      </c>
      <c r="AJ72" s="16">
        <f>SUM(AA72:AI72)</f>
        <v>0</v>
      </c>
      <c r="AL72" s="17"/>
      <c r="AM72" s="26" t="str">
        <f t="shared" si="142"/>
        <v>Taxes environnementales sur les Stes forestières et Minières (+)</v>
      </c>
      <c r="AN72" s="18">
        <f t="shared" ref="AN72:AV72" si="170">SUM(AN73:AN73)</f>
        <v>0</v>
      </c>
      <c r="AO72" s="18">
        <f t="shared" si="170"/>
        <v>0</v>
      </c>
      <c r="AP72" s="18">
        <f t="shared" si="170"/>
        <v>0</v>
      </c>
      <c r="AQ72" s="18">
        <f t="shared" si="170"/>
        <v>0</v>
      </c>
      <c r="AR72" s="18">
        <f t="shared" si="170"/>
        <v>0</v>
      </c>
      <c r="AS72" s="18">
        <f t="shared" si="170"/>
        <v>0</v>
      </c>
      <c r="AT72" s="18">
        <f t="shared" si="170"/>
        <v>0</v>
      </c>
      <c r="AU72" s="18">
        <f t="shared" si="170"/>
        <v>0</v>
      </c>
      <c r="AV72" s="18">
        <f t="shared" si="170"/>
        <v>0</v>
      </c>
      <c r="AW72" s="18"/>
      <c r="AX72" s="17"/>
      <c r="AY72" s="26" t="str">
        <f t="shared" si="144"/>
        <v>Taxes environnementales sur les Stes forestières et Minières (+)</v>
      </c>
      <c r="AZ72" s="18">
        <f t="shared" ref="AZ72:BK72" ca="1" si="171">SUM(AZ73:AZ73)</f>
        <v>0</v>
      </c>
      <c r="BA72" s="18">
        <f t="shared" ca="1" si="171"/>
        <v>0</v>
      </c>
      <c r="BB72" s="18">
        <f t="shared" ca="1" si="171"/>
        <v>0</v>
      </c>
      <c r="BC72" s="18">
        <f t="shared" ca="1" si="171"/>
        <v>0</v>
      </c>
      <c r="BD72" s="18">
        <f t="shared" ca="1" si="171"/>
        <v>0</v>
      </c>
      <c r="BE72" s="18">
        <f t="shared" ca="1" si="171"/>
        <v>0</v>
      </c>
      <c r="BF72" s="18">
        <f t="shared" ca="1" si="171"/>
        <v>0</v>
      </c>
      <c r="BG72" s="18">
        <f t="shared" ca="1" si="171"/>
        <v>0</v>
      </c>
      <c r="BH72" s="18">
        <f t="shared" ca="1" si="171"/>
        <v>0</v>
      </c>
      <c r="BI72" s="18">
        <f t="shared" ca="1" si="171"/>
        <v>0</v>
      </c>
      <c r="BJ72" s="18">
        <f t="shared" ca="1" si="171"/>
        <v>0</v>
      </c>
      <c r="BK72" s="18">
        <f t="shared" ca="1" si="171"/>
        <v>0</v>
      </c>
      <c r="BL72" s="41"/>
    </row>
    <row r="73" spans="1:64">
      <c r="A73" s="80">
        <f t="shared" si="29"/>
        <v>52</v>
      </c>
      <c r="B73" s="53">
        <f>+'Taxes RCA 2022'!A66</f>
        <v>52</v>
      </c>
      <c r="C73" s="18" t="str">
        <f>+'Taxes RCA 2022'!B66</f>
        <v>Taxes de remise en état (+)</v>
      </c>
      <c r="E73" s="114"/>
      <c r="F73" s="114">
        <f t="shared" si="156"/>
        <v>0</v>
      </c>
      <c r="G73" s="114">
        <f t="shared" si="157"/>
        <v>0</v>
      </c>
      <c r="H73" s="114"/>
      <c r="I73" s="114"/>
      <c r="J73" s="114">
        <f t="shared" ca="1" si="158"/>
        <v>0</v>
      </c>
      <c r="K73" s="114">
        <f t="shared" ca="1" si="159"/>
        <v>0</v>
      </c>
      <c r="L73" s="114"/>
      <c r="M73" s="114">
        <f t="shared" ca="1" si="160"/>
        <v>0</v>
      </c>
      <c r="N73" s="18"/>
      <c r="O73" s="38" t="str">
        <f ca="1">IF(M73=0,"",IF(N73=0,"ERROR",""))</f>
        <v/>
      </c>
      <c r="P73" s="39" t="str">
        <f ca="1">IF(O73="ERROR","Please insert comment","")</f>
        <v/>
      </c>
      <c r="Y73" s="15">
        <v>58</v>
      </c>
      <c r="Z73" s="25" t="str">
        <f t="shared" si="140"/>
        <v xml:space="preserve">Amendes environnementales </v>
      </c>
      <c r="AA73" s="16">
        <f t="shared" si="167"/>
        <v>0</v>
      </c>
      <c r="AB73" s="16">
        <f t="shared" si="167"/>
        <v>0</v>
      </c>
      <c r="AC73" s="16">
        <f t="shared" si="167"/>
        <v>0</v>
      </c>
      <c r="AD73" s="16">
        <f t="shared" si="167"/>
        <v>0</v>
      </c>
      <c r="AE73" s="16">
        <f t="shared" si="167"/>
        <v>0</v>
      </c>
      <c r="AF73" s="16">
        <f t="shared" si="167"/>
        <v>0</v>
      </c>
      <c r="AG73" s="16">
        <f t="shared" si="167"/>
        <v>0</v>
      </c>
      <c r="AH73" s="16">
        <f t="shared" si="167"/>
        <v>0</v>
      </c>
      <c r="AI73" s="16">
        <f t="shared" si="167"/>
        <v>0</v>
      </c>
      <c r="AJ73" s="16">
        <f>SUM(AA73:AI73)</f>
        <v>0</v>
      </c>
      <c r="AL73" s="17">
        <f>+B75</f>
        <v>54</v>
      </c>
      <c r="AM73" s="26" t="str">
        <f t="shared" si="142"/>
        <v xml:space="preserve">Amendes environnementales </v>
      </c>
      <c r="AN73" s="18">
        <f t="shared" ref="AN73:AU73" si="172">SUMPRODUCT(($J$84:$M$748=$AL73&amp;"- "&amp;$AM73)*($N$84:$N$748=AN$1)*($Q$84:$Q$748))</f>
        <v>0</v>
      </c>
      <c r="AO73" s="18">
        <f t="shared" si="172"/>
        <v>0</v>
      </c>
      <c r="AP73" s="18">
        <f t="shared" si="172"/>
        <v>0</v>
      </c>
      <c r="AQ73" s="18">
        <f t="shared" si="172"/>
        <v>0</v>
      </c>
      <c r="AR73" s="18">
        <f t="shared" si="172"/>
        <v>0</v>
      </c>
      <c r="AS73" s="18">
        <f t="shared" si="172"/>
        <v>0</v>
      </c>
      <c r="AT73" s="18">
        <f t="shared" si="172"/>
        <v>0</v>
      </c>
      <c r="AU73" s="18">
        <f t="shared" si="172"/>
        <v>0</v>
      </c>
      <c r="AV73" s="18">
        <f>SUM(AN73:AU73)</f>
        <v>0</v>
      </c>
      <c r="AW73" s="18"/>
      <c r="AX73" s="17">
        <f>B75</f>
        <v>54</v>
      </c>
      <c r="AY73" s="26" t="str">
        <f t="shared" si="144"/>
        <v xml:space="preserve">Amendes environnementales </v>
      </c>
      <c r="AZ73" s="18">
        <f t="shared" ref="AZ73:BK73" ca="1" si="173">SUMPRODUCT(($C$10:$C$75=$AY73)*($N$10:$N$75=AZ$1)*($M$10:$M$75))</f>
        <v>0</v>
      </c>
      <c r="BA73" s="18">
        <f t="shared" ca="1" si="173"/>
        <v>0</v>
      </c>
      <c r="BB73" s="18">
        <f t="shared" ca="1" si="173"/>
        <v>0</v>
      </c>
      <c r="BC73" s="18">
        <f t="shared" ca="1" si="173"/>
        <v>0</v>
      </c>
      <c r="BD73" s="18">
        <f t="shared" ca="1" si="173"/>
        <v>0</v>
      </c>
      <c r="BE73" s="18">
        <f t="shared" ca="1" si="173"/>
        <v>0</v>
      </c>
      <c r="BF73" s="18">
        <f t="shared" ca="1" si="173"/>
        <v>0</v>
      </c>
      <c r="BG73" s="18">
        <f t="shared" ca="1" si="173"/>
        <v>0</v>
      </c>
      <c r="BH73" s="18">
        <f t="shared" ca="1" si="173"/>
        <v>0</v>
      </c>
      <c r="BI73" s="18">
        <f t="shared" ca="1" si="173"/>
        <v>0</v>
      </c>
      <c r="BJ73" s="18">
        <f t="shared" ca="1" si="173"/>
        <v>0</v>
      </c>
      <c r="BK73" s="18">
        <f t="shared" ca="1" si="173"/>
        <v>0</v>
      </c>
    </row>
    <row r="74" spans="1:64">
      <c r="A74" s="80"/>
      <c r="B74" s="64">
        <f>+'Taxes RCA 2022'!A67</f>
        <v>53</v>
      </c>
      <c r="C74" s="68" t="str">
        <f>+'Taxes RCA 2022'!B67</f>
        <v>Taxes environnementales sur les Stes forestières et Minières (+)</v>
      </c>
      <c r="E74" s="165"/>
      <c r="F74" s="165">
        <f t="shared" si="156"/>
        <v>0</v>
      </c>
      <c r="G74" s="165">
        <f t="shared" si="157"/>
        <v>0</v>
      </c>
      <c r="H74" s="167">
        <v>808920</v>
      </c>
      <c r="I74" s="165"/>
      <c r="J74" s="165">
        <f t="shared" ca="1" si="158"/>
        <v>0</v>
      </c>
      <c r="K74" s="165">
        <f t="shared" ca="1" si="159"/>
        <v>0</v>
      </c>
      <c r="L74" s="114"/>
      <c r="M74" s="165">
        <f t="shared" ca="1" si="160"/>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6"/>
        <v>0</v>
      </c>
      <c r="G75" s="114">
        <f t="shared" si="157"/>
        <v>0</v>
      </c>
      <c r="H75" s="114"/>
      <c r="I75" s="114"/>
      <c r="J75" s="114">
        <f t="shared" ca="1" si="158"/>
        <v>0</v>
      </c>
      <c r="K75" s="114">
        <f t="shared" ca="1" si="159"/>
        <v>0</v>
      </c>
      <c r="L75" s="114"/>
      <c r="M75" s="114">
        <f t="shared" ca="1" si="160"/>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v>0</v>
      </c>
      <c r="F76" s="165">
        <f t="shared" si="156"/>
        <v>0</v>
      </c>
      <c r="G76" s="165">
        <f t="shared" si="157"/>
        <v>0</v>
      </c>
      <c r="H76" s="168"/>
      <c r="I76" s="165">
        <v>0</v>
      </c>
      <c r="J76" s="165">
        <f t="shared" ca="1" si="158"/>
        <v>0</v>
      </c>
      <c r="K76" s="165">
        <f t="shared" ca="1" si="159"/>
        <v>0</v>
      </c>
      <c r="L76" s="168"/>
      <c r="M76" s="165">
        <f t="shared" ca="1" si="160"/>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4">+F78+F79</f>
        <v>0</v>
      </c>
      <c r="G77" s="166">
        <f t="shared" si="174"/>
        <v>0</v>
      </c>
      <c r="H77" s="169"/>
      <c r="I77" s="166">
        <f t="shared" ref="I77:K77" si="175">+I78+I79</f>
        <v>0</v>
      </c>
      <c r="J77" s="166">
        <f t="shared" ca="1" si="175"/>
        <v>0</v>
      </c>
      <c r="K77" s="166">
        <f t="shared" ca="1" si="175"/>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6">SUMPRODUCT(($A$84:$A$751=$Y78&amp;"- "&amp;$Z78)*($C$84:$C$751=AA$1)*($G$84:$G$751))</f>
        <v>0</v>
      </c>
      <c r="AB78" s="16">
        <f t="shared" si="176"/>
        <v>0</v>
      </c>
      <c r="AC78" s="16">
        <f t="shared" si="176"/>
        <v>0</v>
      </c>
      <c r="AD78" s="16">
        <f t="shared" si="176"/>
        <v>0</v>
      </c>
      <c r="AE78" s="16">
        <f t="shared" si="176"/>
        <v>0</v>
      </c>
      <c r="AF78" s="16">
        <f t="shared" si="176"/>
        <v>0</v>
      </c>
      <c r="AG78" s="16">
        <f t="shared" si="176"/>
        <v>0</v>
      </c>
      <c r="AH78" s="16">
        <f t="shared" si="176"/>
        <v>0</v>
      </c>
      <c r="AI78" s="16">
        <f t="shared" si="176"/>
        <v>0</v>
      </c>
      <c r="AJ78" s="16">
        <f>SUM(AA78:AI78)</f>
        <v>0</v>
      </c>
      <c r="AL78" s="17">
        <f>+B45</f>
        <v>0</v>
      </c>
      <c r="AM78" s="26" t="str">
        <f>+C45</f>
        <v xml:space="preserve">Paiements infranationaux au profit des communes </v>
      </c>
      <c r="AN78" s="18">
        <f t="shared" ref="AN78:AU78" si="177">SUMPRODUCT(($J$84:$M$748=$AL78&amp;"- "&amp;$AM78)*($N$84:$N$748=AN$1)*($Q$84:$Q$748))</f>
        <v>0</v>
      </c>
      <c r="AO78" s="18">
        <f t="shared" si="177"/>
        <v>0</v>
      </c>
      <c r="AP78" s="18">
        <f t="shared" si="177"/>
        <v>0</v>
      </c>
      <c r="AQ78" s="18">
        <f t="shared" si="177"/>
        <v>0</v>
      </c>
      <c r="AR78" s="18">
        <f t="shared" si="177"/>
        <v>0</v>
      </c>
      <c r="AS78" s="18">
        <f t="shared" si="177"/>
        <v>0</v>
      </c>
      <c r="AT78" s="18">
        <f t="shared" si="177"/>
        <v>0</v>
      </c>
      <c r="AU78" s="18">
        <f t="shared" si="177"/>
        <v>0</v>
      </c>
      <c r="AV78" s="18">
        <f>SUM(AN78:AU78)</f>
        <v>0</v>
      </c>
      <c r="AW78" s="18"/>
      <c r="AX78" s="17">
        <f>B45</f>
        <v>0</v>
      </c>
      <c r="AY78" s="26" t="str">
        <f>C45</f>
        <v xml:space="preserve">Paiements infranationaux au profit des communes </v>
      </c>
      <c r="AZ78" s="18">
        <f t="shared" ref="AZ78:BK78" ca="1" si="178">SUMPRODUCT(($C$10:$C$75=$AY78)*($N$10:$N$75=AZ$1)*($M$10:$M$75))</f>
        <v>0</v>
      </c>
      <c r="BA78" s="18">
        <f t="shared" ca="1" si="178"/>
        <v>0</v>
      </c>
      <c r="BB78" s="18">
        <f t="shared" ca="1" si="178"/>
        <v>0</v>
      </c>
      <c r="BC78" s="18">
        <f t="shared" ca="1" si="178"/>
        <v>0</v>
      </c>
      <c r="BD78" s="18">
        <f t="shared" ca="1" si="178"/>
        <v>0</v>
      </c>
      <c r="BE78" s="18">
        <f t="shared" ca="1" si="178"/>
        <v>0</v>
      </c>
      <c r="BF78" s="18">
        <f t="shared" ca="1" si="178"/>
        <v>0</v>
      </c>
      <c r="BG78" s="18">
        <f t="shared" ca="1" si="178"/>
        <v>0</v>
      </c>
      <c r="BH78" s="18">
        <f t="shared" ca="1" si="178"/>
        <v>0</v>
      </c>
      <c r="BI78" s="18">
        <f t="shared" ca="1" si="178"/>
        <v>0</v>
      </c>
      <c r="BJ78" s="18">
        <f t="shared" ca="1" si="178"/>
        <v>0</v>
      </c>
      <c r="BK78" s="18">
        <f t="shared" ca="1" si="178"/>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IF(F72=G753,"","ERROR")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L84" s="60"/>
      <c r="N84" s="97"/>
      <c r="O84" s="60"/>
      <c r="P84" s="120"/>
      <c r="Q84" s="15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O85" s="60"/>
      <c r="P85" s="120"/>
      <c r="Q85" s="146"/>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O86" s="60"/>
      <c r="P86" s="120"/>
      <c r="Q86" s="146"/>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60"/>
      <c r="P87" s="120"/>
      <c r="Q87" s="15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60"/>
      <c r="P88" s="120"/>
      <c r="Q88" s="15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60"/>
      <c r="P89" s="120"/>
      <c r="Q89" s="15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91" priority="7" operator="containsText" text="ERROR">
      <formula>NOT(ISERROR(SEARCH("ERROR",T17)))</formula>
    </cfRule>
  </conditionalFormatting>
  <conditionalFormatting sqref="T42">
    <cfRule type="containsText" dxfId="90" priority="6" operator="containsText" text="ERROR">
      <formula>NOT(ISERROR(SEARCH("ERROR",T42)))</formula>
    </cfRule>
  </conditionalFormatting>
  <conditionalFormatting sqref="W19">
    <cfRule type="containsText" dxfId="89" priority="2" operator="containsText" text="ERROR">
      <formula>NOT(ISERROR(SEARCH("ERROR",W19)))</formula>
    </cfRule>
  </conditionalFormatting>
  <conditionalFormatting sqref="BL72">
    <cfRule type="containsText" dxfId="88" priority="3" operator="containsText" text="ERROR">
      <formula>NOT(ISERROR(SEARCH("ERROR",BL72)))</formula>
    </cfRule>
  </conditionalFormatting>
  <dataValidations count="5">
    <dataValidation type="list" allowBlank="1" showInputMessage="1" showErrorMessage="1" sqref="N5:N8 N75 N73 N77:N79 N10:N71" xr:uid="{EF5036B6-2650-48FB-AB96-49F2D2A931A1}">
      <formula1>FinalDiff</formula1>
    </dataValidation>
    <dataValidation type="list" allowBlank="1" showInputMessage="1" showErrorMessage="1" sqref="M93:M95 L84:L96 M131:M748 L97:M98 L100:L748" xr:uid="{C2BDC17C-1320-4987-A808-8CE6800637EF}">
      <formula1>Taxes</formula1>
    </dataValidation>
    <dataValidation type="list" allowBlank="1" showInputMessage="1" showErrorMessage="1" sqref="C84:C752" xr:uid="{77A0E523-5D49-4D4C-8761-47D7657A379C}">
      <formula1>Compadjust</formula1>
    </dataValidation>
    <dataValidation type="list" allowBlank="1" showInputMessage="1" showErrorMessage="1" sqref="N84:N749" xr:uid="{A63DA7D5-3668-4848-8607-7DDD9B10926E}">
      <formula1>Govadjust</formula1>
    </dataValidation>
    <dataValidation type="list" allowBlank="1" showErrorMessage="1" errorTitle="Taxes" error="Non valid entry. Please check the tax list" promptTitle="Taxes" prompt="Please select the tax subject to adjustment" sqref="B84:B137" xr:uid="{E57BC29E-1EAE-4D6A-B6A2-C63B3BA690AD}">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5BA00E7F-B52B-46D8-8AF7-6A8AC5121904}">
          <x14:formula1>
            <xm:f>Lists!$A$131:$A$132</xm:f>
          </x14:formula1>
          <xm:sqref>K84:K749</xm:sqref>
        </x14:dataValidation>
        <x14:dataValidation type="list" allowBlank="1" showInputMessage="1" showErrorMessage="1" xr:uid="{01C301BD-019A-45F6-BEFA-6B224BC41855}">
          <x14:formula1>
            <xm:f>Lists!$A$7:$A$64</xm:f>
          </x14:formula1>
          <xm:sqref>J84:J749</xm:sqref>
        </x14:dataValidation>
        <x14:dataValidation type="list" allowBlank="1" showErrorMessage="1" errorTitle="Taxes" error="Non valid entry. Please check the tax list" promptTitle="Taxes" prompt="Please select the tax subject to adjustment" xr:uid="{0FE567EB-DCE9-47DB-B8E4-9D101462A696}">
          <x14:formula1>
            <xm:f>Lists!$A$7:$A$64</xm:f>
          </x14:formula1>
          <xm:sqref>A84:A751</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BL752"/>
  <sheetViews>
    <sheetView showGridLines="0" topLeftCell="B1" zoomScaleNormal="100" workbookViewId="0">
      <selection activeCell="I31" sqref="I31"/>
    </sheetView>
  </sheetViews>
  <sheetFormatPr baseColWidth="10" defaultColWidth="11.54296875" defaultRowHeight="12" outlineLevelCol="1"/>
  <cols>
    <col min="1" max="1" width="28.54296875" style="17" hidden="1" customWidth="1"/>
    <col min="2" max="2" width="4.453125" style="17" customWidth="1"/>
    <col min="3" max="3" width="55.54296875" style="30" customWidth="1"/>
    <col min="4" max="4" width="0.81640625" style="21" customWidth="1"/>
    <col min="5" max="5" width="15.54296875" style="21" customWidth="1"/>
    <col min="6" max="6" width="10.54296875" style="17" bestFit="1"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Companies!B8</f>
        <v>SOCIETE INDUSTRIE MINIERE DE CENTRA</v>
      </c>
      <c r="F1" s="32">
        <f>Companies!C8</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SUMIF($C$84:$C$747,R3,$G$84:$G$747)</f>
        <v>0</v>
      </c>
      <c r="U3" s="21" t="str">
        <f>Lists!A91</f>
        <v>FD non soumis par la Société</v>
      </c>
      <c r="V3" s="18">
        <f t="shared" ref="V3:V14" si="4">SUMIF($N$9:$N$75,U3,$M$9:$M$75)</f>
        <v>0</v>
      </c>
      <c r="Y3" s="19">
        <f>B6</f>
        <v>0</v>
      </c>
      <c r="Z3" s="19">
        <f>C6</f>
        <v>0</v>
      </c>
      <c r="AA3" s="16">
        <f t="shared" ref="AA3:AI4" si="5">SUMPRODUCT(($A$84:$A$747=$Y3&amp;"- "&amp;$Z3)*($C$84:$C$747=AA$1)*($G$84:$G$747))</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SUMPRODUCT(($J$84:$M$744=$AL3&amp;"- "&amp;$AM3)*($N$84:$N$744=AN$1)*($Q$84:$Q$744))</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SUMIF($A$84:$A$747,B6&amp;"- "&amp;C6,$G$84:$G$747)</f>
        <v>0</v>
      </c>
      <c r="G6" s="165">
        <f>E6+F6</f>
        <v>0</v>
      </c>
      <c r="H6" s="114"/>
      <c r="I6" s="165"/>
      <c r="J6" s="165">
        <f ca="1">SUMIF($J$84:$M$745,B6&amp;"- "&amp;C6,$Q$84:$Q$745)</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3"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3"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3"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SUMIF($A$84:$A$747,B7&amp;"- "&amp;C7,$G$84:$G$747)</f>
        <v>0</v>
      </c>
      <c r="G7" s="114">
        <f>E7+F7</f>
        <v>0</v>
      </c>
      <c r="H7" s="114"/>
      <c r="I7" s="114"/>
      <c r="J7" s="114">
        <f ca="1">SUMIF($J$84:$M$745,B7&amp;"- "&amp;C7,$Q$84:$Q$745)</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SUMPRODUCT(($A$84:$A$747=$Y7&amp;"- "&amp;$Z7)*($C$84:$C$747=AA$1)*($G$84:$G$747))</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SUMPRODUCT(($J$84:$M$744=$AL7&amp;"- "&amp;$AM7)*($N$84:$N$744=AN$1)*($Q$84:$Q$744))</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25198139.924999997</v>
      </c>
      <c r="J8" s="164">
        <f ca="1">+J9+J13+J15+J17+J40+J45+J47+J52+J55+J62+J65+J68+J77</f>
        <v>0</v>
      </c>
      <c r="K8" s="164">
        <f ca="1">+K9+K13+K15+K17+K40+K45+K47+K52+K55+K62+K65+K68+K77</f>
        <v>25198139.924999997</v>
      </c>
      <c r="L8" s="114"/>
      <c r="M8" s="164">
        <f ca="1">+M9+M13+M15+M17+M40+M45+M52+M55+M62+M65+M68+M77+M47</f>
        <v>-25198139.924999997</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19598553.274999999</v>
      </c>
      <c r="J9" s="166">
        <f t="shared" ref="J9" ca="1" si="26">SUM(J10:J12)</f>
        <v>0</v>
      </c>
      <c r="K9" s="166">
        <f t="shared" ref="K9" ca="1" si="27">SUM(K10:K12)</f>
        <v>19598553.274999999</v>
      </c>
      <c r="L9" s="114"/>
      <c r="M9" s="166">
        <f t="shared" ref="M9" ca="1" si="28">SUM(M10:M12)</f>
        <v>-19598553.274999999</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SUMIF($A$84:$A$747,B10&amp;"- "&amp;C10,$G$84:$G$747)</f>
        <v>0</v>
      </c>
      <c r="G10" s="165">
        <f>E10+F10</f>
        <v>0</v>
      </c>
      <c r="H10" s="114"/>
      <c r="I10" s="165">
        <v>5599586.6500000004</v>
      </c>
      <c r="J10" s="165">
        <f>SUMIF($J$83:$J$1048576,C10,$Q$83:$Q$1048576)</f>
        <v>0</v>
      </c>
      <c r="K10" s="165">
        <f>I10+J10</f>
        <v>5599586.6500000004</v>
      </c>
      <c r="L10" s="114"/>
      <c r="M10" s="165">
        <f>+G10-K10</f>
        <v>-5599586.6500000004</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SUMIF($A$84:$A$747,B11&amp;"- "&amp;C11,$G$84:$G$747)</f>
        <v>0</v>
      </c>
      <c r="G11" s="114">
        <f>E11+F11</f>
        <v>0</v>
      </c>
      <c r="H11" s="114"/>
      <c r="I11" s="114">
        <v>13998966.625</v>
      </c>
      <c r="J11" s="114">
        <f>SUMIF($J$83:$J$1048576,C11,$Q$83:$Q$1048576)</f>
        <v>0</v>
      </c>
      <c r="K11" s="114">
        <f>I11+J11</f>
        <v>13998966.625</v>
      </c>
      <c r="L11" s="114"/>
      <c r="M11" s="114">
        <f>+G11-K11</f>
        <v>-13998966.625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SUMIF($A$84:$A$747,B12&amp;"- "&amp;C12,$G$84:$G$747)</f>
        <v>0</v>
      </c>
      <c r="G12" s="165">
        <f>E12+F12</f>
        <v>0</v>
      </c>
      <c r="H12" s="114"/>
      <c r="I12" s="165"/>
      <c r="J12" s="165">
        <f ca="1">SUMIF($J$84:$M$745,B12&amp;"- "&amp;C12,$Q$84:$Q$745)</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SUMPRODUCT(($A$84:$A$747=$Y13&amp;"- "&amp;$Z13)*($C$84:$C$747=AA$1)*($G$84:$G$747))</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SUMPRODUCT(($J$84:$M$744=$AL13&amp;"- "&amp;$AM13)*($N$84:$N$744=AN$1)*($Q$84:$Q$744))</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SUMIF($A$84:$A$747,B14&amp;"- "&amp;C14,$G$84:$G$747)</f>
        <v>0</v>
      </c>
      <c r="G14" s="114">
        <f>E14+F14</f>
        <v>0</v>
      </c>
      <c r="H14" s="114"/>
      <c r="I14" s="114"/>
      <c r="J14" s="114">
        <f ca="1">SUMIF($J$84:$M$745,B14&amp;"- "&amp;C14,$Q$84:$Q$745)</f>
        <v>0</v>
      </c>
      <c r="K14" s="114">
        <f ca="1">I14+J14</f>
        <v>0</v>
      </c>
      <c r="L14" s="114"/>
      <c r="M14" s="114">
        <f ca="1">+G14-K14</f>
        <v>0</v>
      </c>
      <c r="N14" s="18"/>
      <c r="O14" s="38"/>
      <c r="P14" s="39"/>
      <c r="Q14" s="35"/>
      <c r="U14" s="21" t="str">
        <f>Lists!A102</f>
        <v>Non significatif &lt; 1 M FCFA</v>
      </c>
      <c r="V14" s="18">
        <f t="shared" si="4"/>
        <v>0</v>
      </c>
      <c r="Y14" s="15">
        <f>B17</f>
        <v>0</v>
      </c>
      <c r="Z14" s="25" t="str">
        <f>C17</f>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SUM(AA14:AI14)</f>
        <v>0</v>
      </c>
      <c r="AL14" s="17">
        <f>+B17</f>
        <v>0</v>
      </c>
      <c r="AM14" s="26" t="str">
        <f>+C17</f>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SUM(AN14:AU14)</f>
        <v>0</v>
      </c>
      <c r="AW14" s="18"/>
      <c r="AX14" s="17">
        <f>B17</f>
        <v>0</v>
      </c>
      <c r="AY14" s="26" t="str">
        <f>C17</f>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SUMIF($A$84:$A$747,B16&amp;"- "&amp;C16,$G$84:$G$747)</f>
        <v>0</v>
      </c>
      <c r="G16" s="165">
        <f>E16+F16</f>
        <v>0</v>
      </c>
      <c r="H16" s="114"/>
      <c r="I16" s="165"/>
      <c r="J16" s="165">
        <f ca="1">SUMIF($J$84:$M$745,B16&amp;"- "&amp;C16,$Q$84:$Q$745)</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f t="shared" ref="A18:A26" si="55">B18</f>
        <v>6</v>
      </c>
      <c r="B18" s="53">
        <f>+'Taxes RCA 2022'!A11</f>
        <v>6</v>
      </c>
      <c r="C18" s="18" t="str">
        <f>+'Taxes RCA 2022'!B11</f>
        <v>Redevance à la production (+)</v>
      </c>
      <c r="E18" s="114"/>
      <c r="F18" s="114">
        <f t="shared" ref="F18:F39" si="56">SUMIF($A$84:$A$747,B18&amp;"- "&amp;C18,$G$84:$G$747)</f>
        <v>0</v>
      </c>
      <c r="G18" s="114">
        <f t="shared" ref="G18:G39" si="57">E18+F18</f>
        <v>0</v>
      </c>
      <c r="H18" s="114"/>
      <c r="I18" s="114"/>
      <c r="J18" s="114">
        <f t="shared" ref="J18:J39" ca="1" si="58">SUMIF($J$84:$M$745,B18&amp;"- "&amp;C18,$Q$84:$Q$745)</f>
        <v>0</v>
      </c>
      <c r="K18" s="114">
        <f t="shared" ref="K18:K39" ca="1" si="59">I18+J18</f>
        <v>0</v>
      </c>
      <c r="L18" s="114"/>
      <c r="M18" s="114">
        <f t="shared" ref="M18:M39" ca="1" si="60">+G18-K18</f>
        <v>0</v>
      </c>
      <c r="N18" s="18"/>
      <c r="O18" s="38" t="str">
        <f t="shared" ref="O18:O23" ca="1" si="61">IF(M18=0,"",IF(N18=0,"ERROR",""))</f>
        <v/>
      </c>
      <c r="P18" s="39" t="str">
        <f t="shared" ref="P18:P23" ca="1" si="62">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55"/>
        <v>7</v>
      </c>
      <c r="B19" s="64">
        <f>+'Taxes RCA 2022'!A12</f>
        <v>7</v>
      </c>
      <c r="C19" s="68" t="str">
        <f>+'Taxes RCA 2022'!B12</f>
        <v>Contribution au développement social (CDS)</v>
      </c>
      <c r="E19" s="165"/>
      <c r="F19" s="165">
        <f t="shared" si="56"/>
        <v>0</v>
      </c>
      <c r="G19" s="165">
        <f t="shared" si="57"/>
        <v>0</v>
      </c>
      <c r="H19" s="114"/>
      <c r="I19" s="165"/>
      <c r="J19" s="165">
        <f t="shared" ca="1" si="58"/>
        <v>0</v>
      </c>
      <c r="K19" s="165">
        <f t="shared" ca="1" si="59"/>
        <v>0</v>
      </c>
      <c r="L19" s="114"/>
      <c r="M19" s="165">
        <f t="shared" ca="1" si="60"/>
        <v>0</v>
      </c>
      <c r="N19" s="68"/>
      <c r="O19" s="38" t="str">
        <f t="shared" ca="1" si="61"/>
        <v/>
      </c>
      <c r="P19" s="39" t="str">
        <f t="shared" ca="1" si="62"/>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55"/>
        <v>8</v>
      </c>
      <c r="B20" s="53">
        <f>+'Taxes RCA 2022'!A13</f>
        <v>8</v>
      </c>
      <c r="C20" s="18" t="str">
        <f>+'Taxes RCA 2022'!B13</f>
        <v>Droit d'enregistrement (DE)</v>
      </c>
      <c r="E20" s="114"/>
      <c r="F20" s="114">
        <f t="shared" si="56"/>
        <v>0</v>
      </c>
      <c r="G20" s="114">
        <f t="shared" si="57"/>
        <v>0</v>
      </c>
      <c r="H20" s="114"/>
      <c r="I20" s="114"/>
      <c r="J20" s="114">
        <f t="shared" ca="1" si="58"/>
        <v>0</v>
      </c>
      <c r="K20" s="114">
        <f t="shared" ca="1" si="59"/>
        <v>0</v>
      </c>
      <c r="L20" s="114"/>
      <c r="M20" s="114">
        <f t="shared" ca="1" si="60"/>
        <v>0</v>
      </c>
      <c r="N20" s="18"/>
      <c r="O20" s="38" t="str">
        <f t="shared" ca="1" si="61"/>
        <v/>
      </c>
      <c r="P20" s="39" t="str">
        <f t="shared" ca="1" si="62"/>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55"/>
        <v>9</v>
      </c>
      <c r="B21" s="64">
        <f>+'Taxes RCA 2022'!A14</f>
        <v>9</v>
      </c>
      <c r="C21" s="68" t="str">
        <f>+'Taxes RCA 2022'!B14</f>
        <v>Impôt sur les revenus des personnes physiques (IRPP)</v>
      </c>
      <c r="E21" s="165"/>
      <c r="F21" s="165">
        <f t="shared" si="56"/>
        <v>0</v>
      </c>
      <c r="G21" s="165">
        <f t="shared" si="57"/>
        <v>0</v>
      </c>
      <c r="H21" s="114"/>
      <c r="I21" s="165"/>
      <c r="J21" s="165">
        <f t="shared" ca="1" si="58"/>
        <v>0</v>
      </c>
      <c r="K21" s="165">
        <f t="shared" ca="1" si="59"/>
        <v>0</v>
      </c>
      <c r="L21" s="114"/>
      <c r="M21" s="165">
        <f t="shared" ca="1" si="60"/>
        <v>0</v>
      </c>
      <c r="N21" s="68"/>
      <c r="O21" s="38" t="str">
        <f t="shared" ca="1" si="61"/>
        <v/>
      </c>
      <c r="P21" s="39" t="str">
        <f t="shared" ca="1" si="62"/>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55"/>
        <v>10</v>
      </c>
      <c r="B22" s="53">
        <f>+'Taxes RCA 2022'!A15</f>
        <v>10</v>
      </c>
      <c r="C22" s="18" t="str">
        <f>+'Taxes RCA 2022'!B15</f>
        <v>Impôt sur les sociétés (IS)</v>
      </c>
      <c r="E22" s="114"/>
      <c r="F22" s="114">
        <f t="shared" si="56"/>
        <v>0</v>
      </c>
      <c r="G22" s="114">
        <f t="shared" si="57"/>
        <v>0</v>
      </c>
      <c r="H22" s="114"/>
      <c r="I22" s="114"/>
      <c r="J22" s="114">
        <f t="shared" ca="1" si="58"/>
        <v>0</v>
      </c>
      <c r="K22" s="114">
        <f t="shared" ca="1" si="59"/>
        <v>0</v>
      </c>
      <c r="L22" s="114"/>
      <c r="M22" s="114">
        <f t="shared" ca="1" si="60"/>
        <v>0</v>
      </c>
      <c r="N22" s="18"/>
      <c r="O22" s="38" t="str">
        <f t="shared" ca="1" si="61"/>
        <v/>
      </c>
      <c r="P22" s="39" t="str">
        <f t="shared" ca="1" si="62"/>
        <v/>
      </c>
      <c r="Q22" s="35"/>
      <c r="Y22" s="28"/>
      <c r="Z22" s="28" t="str">
        <f t="shared" ref="Z22:Z48" si="63">C25</f>
        <v xml:space="preserve">Taxe d'abattage  </v>
      </c>
      <c r="AA22" s="29">
        <f>SUM(AA23:AA32)</f>
        <v>0</v>
      </c>
      <c r="AB22" s="29">
        <f t="shared" ref="AB22:AJ22" si="64">SUM(AB23:AB32)</f>
        <v>0</v>
      </c>
      <c r="AC22" s="29">
        <f t="shared" si="64"/>
        <v>0</v>
      </c>
      <c r="AD22" s="29">
        <f t="shared" si="64"/>
        <v>0</v>
      </c>
      <c r="AE22" s="29">
        <f t="shared" si="64"/>
        <v>0</v>
      </c>
      <c r="AF22" s="29">
        <f t="shared" si="64"/>
        <v>0</v>
      </c>
      <c r="AG22" s="29">
        <f t="shared" si="64"/>
        <v>0</v>
      </c>
      <c r="AH22" s="29">
        <f t="shared" si="64"/>
        <v>0</v>
      </c>
      <c r="AI22" s="29">
        <f t="shared" si="64"/>
        <v>0</v>
      </c>
      <c r="AJ22" s="29">
        <f t="shared" si="64"/>
        <v>0</v>
      </c>
      <c r="AL22" s="28"/>
      <c r="AM22" s="28" t="str">
        <f t="shared" ref="AM22:AM48" si="65">+C25</f>
        <v xml:space="preserve">Taxe d'abattage  </v>
      </c>
      <c r="AN22" s="29">
        <f>SUM(AN23:AN32)</f>
        <v>0</v>
      </c>
      <c r="AO22" s="29">
        <f t="shared" ref="AO22:AV22" si="66">SUM(AO23:AO32)</f>
        <v>0</v>
      </c>
      <c r="AP22" s="29">
        <f t="shared" si="66"/>
        <v>0</v>
      </c>
      <c r="AQ22" s="29">
        <f t="shared" si="66"/>
        <v>0</v>
      </c>
      <c r="AR22" s="29">
        <f t="shared" si="66"/>
        <v>0</v>
      </c>
      <c r="AS22" s="29">
        <f t="shared" si="66"/>
        <v>0</v>
      </c>
      <c r="AT22" s="29">
        <f t="shared" si="66"/>
        <v>0</v>
      </c>
      <c r="AU22" s="29">
        <f t="shared" si="66"/>
        <v>0</v>
      </c>
      <c r="AV22" s="29">
        <f t="shared" si="66"/>
        <v>0</v>
      </c>
      <c r="AW22" s="38"/>
      <c r="AX22" s="28"/>
      <c r="AY22" s="28" t="str">
        <f t="shared" ref="AY22:AY48" si="67">C25</f>
        <v xml:space="preserve">Taxe d'abattage  </v>
      </c>
      <c r="AZ22" s="29">
        <f t="shared" ref="AZ22:BK22" ca="1" si="68">SUM(AZ23:AZ32)</f>
        <v>0</v>
      </c>
      <c r="BA22" s="29">
        <f t="shared" ca="1" si="68"/>
        <v>0</v>
      </c>
      <c r="BB22" s="29">
        <f t="shared" ca="1" si="68"/>
        <v>0</v>
      </c>
      <c r="BC22" s="29">
        <f t="shared" ca="1" si="68"/>
        <v>0</v>
      </c>
      <c r="BD22" s="29">
        <f t="shared" ca="1" si="68"/>
        <v>0</v>
      </c>
      <c r="BE22" s="29">
        <f t="shared" ca="1" si="68"/>
        <v>0</v>
      </c>
      <c r="BF22" s="29">
        <f t="shared" ca="1" si="68"/>
        <v>0</v>
      </c>
      <c r="BG22" s="29">
        <f t="shared" ca="1" si="68"/>
        <v>0</v>
      </c>
      <c r="BH22" s="29">
        <f t="shared" ca="1" si="68"/>
        <v>0</v>
      </c>
      <c r="BI22" s="29">
        <f t="shared" ca="1" si="68"/>
        <v>0</v>
      </c>
      <c r="BJ22" s="29">
        <f t="shared" ca="1" si="68"/>
        <v>0</v>
      </c>
      <c r="BK22" s="29">
        <f t="shared" ca="1" si="68"/>
        <v>0</v>
      </c>
    </row>
    <row r="23" spans="1:63">
      <c r="A23" s="80">
        <f t="shared" si="55"/>
        <v>11</v>
      </c>
      <c r="B23" s="64">
        <f>+'Taxes RCA 2022'!A16</f>
        <v>11</v>
      </c>
      <c r="C23" s="68" t="str">
        <f>+'Taxes RCA 2022'!B16</f>
        <v>Loyer annuel</v>
      </c>
      <c r="E23" s="165"/>
      <c r="F23" s="165">
        <f t="shared" si="56"/>
        <v>0</v>
      </c>
      <c r="G23" s="165">
        <f t="shared" si="57"/>
        <v>0</v>
      </c>
      <c r="H23" s="114"/>
      <c r="I23" s="165"/>
      <c r="J23" s="165">
        <f t="shared" ca="1" si="58"/>
        <v>0</v>
      </c>
      <c r="K23" s="165">
        <f t="shared" ca="1" si="59"/>
        <v>0</v>
      </c>
      <c r="L23" s="114"/>
      <c r="M23" s="165">
        <f t="shared" ca="1" si="60"/>
        <v>0</v>
      </c>
      <c r="N23" s="68"/>
      <c r="O23" s="38" t="str">
        <f t="shared" ca="1" si="61"/>
        <v/>
      </c>
      <c r="P23" s="39" t="str">
        <f t="shared" ca="1" si="62"/>
        <v/>
      </c>
      <c r="Q23" s="35"/>
      <c r="Y23" s="15">
        <f t="shared" ref="Y23:Y32" si="69">B26</f>
        <v>14</v>
      </c>
      <c r="Z23" s="25" t="str">
        <f t="shared" si="63"/>
        <v xml:space="preserve">Taxe de reboisement  </v>
      </c>
      <c r="AA23" s="16">
        <f t="shared" ref="AA23:AI32" si="70">SUMPRODUCT(($A$84:$A$747=$Y23&amp;"- "&amp;$Z23)*($C$84:$C$747=AA$1)*($G$84:$G$747))</f>
        <v>0</v>
      </c>
      <c r="AB23" s="16">
        <f t="shared" si="70"/>
        <v>0</v>
      </c>
      <c r="AC23" s="16">
        <f t="shared" si="70"/>
        <v>0</v>
      </c>
      <c r="AD23" s="16">
        <f t="shared" si="70"/>
        <v>0</v>
      </c>
      <c r="AE23" s="16">
        <f t="shared" si="70"/>
        <v>0</v>
      </c>
      <c r="AF23" s="16">
        <f t="shared" si="70"/>
        <v>0</v>
      </c>
      <c r="AG23" s="16">
        <f t="shared" si="70"/>
        <v>0</v>
      </c>
      <c r="AH23" s="16">
        <f t="shared" si="70"/>
        <v>0</v>
      </c>
      <c r="AI23" s="16">
        <f t="shared" si="70"/>
        <v>0</v>
      </c>
      <c r="AJ23" s="16">
        <f t="shared" ref="AJ23:AJ28" si="71">SUM(AA23:AI23)</f>
        <v>0</v>
      </c>
      <c r="AL23" s="17">
        <f t="shared" ref="AL23:AL32" si="72">+B26</f>
        <v>14</v>
      </c>
      <c r="AM23" s="26" t="str">
        <f t="shared" si="65"/>
        <v xml:space="preserve">Taxe de reboisement  </v>
      </c>
      <c r="AN23" s="18">
        <f t="shared" ref="AN23:AU32" si="73">SUMPRODUCT(($J$84:$M$744=$AL23&amp;"- "&amp;$AM23)*($N$84:$N$744=AN$1)*($Q$84:$Q$744))</f>
        <v>0</v>
      </c>
      <c r="AO23" s="18">
        <f t="shared" si="73"/>
        <v>0</v>
      </c>
      <c r="AP23" s="18">
        <f t="shared" si="73"/>
        <v>0</v>
      </c>
      <c r="AQ23" s="18">
        <f t="shared" si="73"/>
        <v>0</v>
      </c>
      <c r="AR23" s="18">
        <f t="shared" si="73"/>
        <v>0</v>
      </c>
      <c r="AS23" s="18">
        <f t="shared" si="73"/>
        <v>0</v>
      </c>
      <c r="AT23" s="18">
        <f t="shared" si="73"/>
        <v>0</v>
      </c>
      <c r="AU23" s="18">
        <f t="shared" si="73"/>
        <v>0</v>
      </c>
      <c r="AV23" s="18">
        <f t="shared" ref="AV23:AV28" si="74">SUM(AN23:AU23)</f>
        <v>0</v>
      </c>
      <c r="AW23" s="18"/>
      <c r="AX23" s="17">
        <f t="shared" ref="AX23:AX32" si="75">B26</f>
        <v>14</v>
      </c>
      <c r="AY23" s="26" t="str">
        <f t="shared" si="67"/>
        <v xml:space="preserve">Taxe de reboisement  </v>
      </c>
      <c r="AZ23" s="18">
        <f t="shared" ref="AZ23:BK32" ca="1" si="76">SUMPRODUCT(($C$10:$C$75=$AY23)*($N$10:$N$75=AZ$1)*($M$10:$M$75))</f>
        <v>0</v>
      </c>
      <c r="BA23" s="18">
        <f t="shared" ca="1" si="76"/>
        <v>0</v>
      </c>
      <c r="BB23" s="18">
        <f t="shared" ca="1" si="76"/>
        <v>0</v>
      </c>
      <c r="BC23" s="18">
        <f t="shared" ca="1" si="76"/>
        <v>0</v>
      </c>
      <c r="BD23" s="18">
        <f t="shared" ca="1" si="76"/>
        <v>0</v>
      </c>
      <c r="BE23" s="18">
        <f t="shared" ca="1" si="76"/>
        <v>0</v>
      </c>
      <c r="BF23" s="18">
        <f t="shared" ca="1" si="76"/>
        <v>0</v>
      </c>
      <c r="BG23" s="18">
        <f t="shared" ca="1" si="76"/>
        <v>0</v>
      </c>
      <c r="BH23" s="18">
        <f t="shared" ca="1" si="76"/>
        <v>0</v>
      </c>
      <c r="BI23" s="18">
        <f t="shared" ca="1" si="76"/>
        <v>0</v>
      </c>
      <c r="BJ23" s="18">
        <f t="shared" ca="1" si="76"/>
        <v>0</v>
      </c>
      <c r="BK23" s="18">
        <f t="shared" ca="1" si="76"/>
        <v>0</v>
      </c>
    </row>
    <row r="24" spans="1:63">
      <c r="A24" s="80">
        <f t="shared" si="55"/>
        <v>12</v>
      </c>
      <c r="B24" s="53">
        <f>+'Taxes RCA 2022'!A17</f>
        <v>12</v>
      </c>
      <c r="C24" s="18" t="str">
        <f>+'Taxes RCA 2022'!B17</f>
        <v>Patente</v>
      </c>
      <c r="E24" s="114"/>
      <c r="F24" s="114">
        <f t="shared" si="56"/>
        <v>0</v>
      </c>
      <c r="G24" s="114">
        <f t="shared" si="57"/>
        <v>0</v>
      </c>
      <c r="H24" s="114"/>
      <c r="I24" s="114"/>
      <c r="J24" s="114">
        <f t="shared" ca="1" si="58"/>
        <v>0</v>
      </c>
      <c r="K24" s="114">
        <f t="shared" ca="1" si="59"/>
        <v>0</v>
      </c>
      <c r="L24" s="114"/>
      <c r="M24" s="114">
        <f t="shared" ca="1" si="60"/>
        <v>0</v>
      </c>
      <c r="N24" s="18"/>
      <c r="O24" s="38" t="str">
        <f ca="1">IF(M24=0,"",IF(N24=0,"ERROR",""))</f>
        <v/>
      </c>
      <c r="P24" s="39" t="str">
        <f ca="1">IF(O24="ERROR","Please insert comment","")</f>
        <v/>
      </c>
      <c r="Q24" s="35"/>
      <c r="R24" s="36" t="s">
        <v>17</v>
      </c>
      <c r="S24" s="37" t="s">
        <v>4</v>
      </c>
      <c r="Y24" s="15">
        <f t="shared" si="69"/>
        <v>15</v>
      </c>
      <c r="Z24" s="25" t="str">
        <f t="shared" si="63"/>
        <v>Impôt sur les fonciers bâtis (IFB)</v>
      </c>
      <c r="AA24" s="16">
        <f t="shared" si="70"/>
        <v>0</v>
      </c>
      <c r="AB24" s="16">
        <f t="shared" si="70"/>
        <v>0</v>
      </c>
      <c r="AC24" s="16">
        <f t="shared" si="70"/>
        <v>0</v>
      </c>
      <c r="AD24" s="16">
        <f t="shared" si="70"/>
        <v>0</v>
      </c>
      <c r="AE24" s="16">
        <f t="shared" si="70"/>
        <v>0</v>
      </c>
      <c r="AF24" s="16">
        <f t="shared" si="70"/>
        <v>0</v>
      </c>
      <c r="AG24" s="16">
        <f t="shared" si="70"/>
        <v>0</v>
      </c>
      <c r="AH24" s="16">
        <f t="shared" si="70"/>
        <v>0</v>
      </c>
      <c r="AI24" s="16">
        <f t="shared" si="70"/>
        <v>0</v>
      </c>
      <c r="AJ24" s="16">
        <f t="shared" si="71"/>
        <v>0</v>
      </c>
      <c r="AL24" s="17">
        <f t="shared" si="72"/>
        <v>15</v>
      </c>
      <c r="AM24" s="26" t="str">
        <f t="shared" si="65"/>
        <v>Impôt sur les fonciers bâtis (IFB)</v>
      </c>
      <c r="AN24" s="18">
        <f t="shared" si="73"/>
        <v>0</v>
      </c>
      <c r="AO24" s="18">
        <f t="shared" si="73"/>
        <v>0</v>
      </c>
      <c r="AP24" s="18">
        <f t="shared" si="73"/>
        <v>0</v>
      </c>
      <c r="AQ24" s="18">
        <f t="shared" si="73"/>
        <v>0</v>
      </c>
      <c r="AR24" s="18">
        <f t="shared" si="73"/>
        <v>0</v>
      </c>
      <c r="AS24" s="18">
        <f t="shared" si="73"/>
        <v>0</v>
      </c>
      <c r="AT24" s="18">
        <f t="shared" si="73"/>
        <v>0</v>
      </c>
      <c r="AU24" s="18">
        <f t="shared" si="73"/>
        <v>0</v>
      </c>
      <c r="AV24" s="18">
        <f t="shared" si="74"/>
        <v>0</v>
      </c>
      <c r="AW24" s="18"/>
      <c r="AX24" s="17">
        <f t="shared" si="75"/>
        <v>15</v>
      </c>
      <c r="AY24" s="26" t="str">
        <f t="shared" si="67"/>
        <v>Impôt sur les fonciers bâtis (IFB)</v>
      </c>
      <c r="AZ24" s="18">
        <f t="shared" ca="1" si="76"/>
        <v>0</v>
      </c>
      <c r="BA24" s="18">
        <f t="shared" ca="1" si="76"/>
        <v>0</v>
      </c>
      <c r="BB24" s="18">
        <f t="shared" ca="1" si="76"/>
        <v>0</v>
      </c>
      <c r="BC24" s="18">
        <f t="shared" ca="1" si="76"/>
        <v>0</v>
      </c>
      <c r="BD24" s="18">
        <f t="shared" ca="1" si="76"/>
        <v>0</v>
      </c>
      <c r="BE24" s="18">
        <f t="shared" ca="1" si="76"/>
        <v>0</v>
      </c>
      <c r="BF24" s="18">
        <f t="shared" ca="1" si="76"/>
        <v>0</v>
      </c>
      <c r="BG24" s="18">
        <f t="shared" ca="1" si="76"/>
        <v>0</v>
      </c>
      <c r="BH24" s="18">
        <f t="shared" ca="1" si="76"/>
        <v>0</v>
      </c>
      <c r="BI24" s="18">
        <f t="shared" ca="1" si="76"/>
        <v>0</v>
      </c>
      <c r="BJ24" s="18">
        <f t="shared" ca="1" si="76"/>
        <v>0</v>
      </c>
      <c r="BK24" s="18">
        <f t="shared" ca="1" si="76"/>
        <v>0</v>
      </c>
    </row>
    <row r="25" spans="1:63">
      <c r="A25" s="80">
        <f t="shared" si="55"/>
        <v>13</v>
      </c>
      <c r="B25" s="64">
        <f>+'Taxes RCA 2022'!A18</f>
        <v>13</v>
      </c>
      <c r="C25" s="68" t="str">
        <f>+'Taxes RCA 2022'!B18</f>
        <v xml:space="preserve">Taxe d'abattage  </v>
      </c>
      <c r="E25" s="165"/>
      <c r="F25" s="165">
        <f t="shared" si="56"/>
        <v>0</v>
      </c>
      <c r="G25" s="165">
        <f t="shared" si="57"/>
        <v>0</v>
      </c>
      <c r="H25" s="114"/>
      <c r="I25" s="165"/>
      <c r="J25" s="165">
        <f t="shared" ca="1" si="58"/>
        <v>0</v>
      </c>
      <c r="K25" s="165">
        <f t="shared" ca="1" si="59"/>
        <v>0</v>
      </c>
      <c r="L25" s="114"/>
      <c r="M25" s="165">
        <f t="shared" ca="1" si="60"/>
        <v>0</v>
      </c>
      <c r="N25" s="68"/>
      <c r="O25" s="38" t="str">
        <f t="shared" ca="1" si="46"/>
        <v/>
      </c>
      <c r="P25" s="39" t="str">
        <f t="shared" ca="1" si="47"/>
        <v/>
      </c>
      <c r="Q25" s="35"/>
      <c r="R25" s="21" t="str">
        <f>Lists!A80</f>
        <v>Taxes perçues non reportées par l'Etat</v>
      </c>
      <c r="S25" s="18">
        <f t="shared" ref="S25:S32" si="77">SUMIF($N$84:$N$745,R25,$Q$84:$Q$745)</f>
        <v>0</v>
      </c>
      <c r="Y25" s="15">
        <f t="shared" si="69"/>
        <v>16</v>
      </c>
      <c r="Z25" s="25" t="str">
        <f t="shared" si="63"/>
        <v>Minimum impôt sur les sociétés (MIS)</v>
      </c>
      <c r="AA25" s="16">
        <f t="shared" si="70"/>
        <v>0</v>
      </c>
      <c r="AB25" s="16">
        <f t="shared" si="70"/>
        <v>0</v>
      </c>
      <c r="AC25" s="16">
        <f t="shared" si="70"/>
        <v>0</v>
      </c>
      <c r="AD25" s="16">
        <f t="shared" si="70"/>
        <v>0</v>
      </c>
      <c r="AE25" s="16">
        <f t="shared" si="70"/>
        <v>0</v>
      </c>
      <c r="AF25" s="16">
        <f t="shared" si="70"/>
        <v>0</v>
      </c>
      <c r="AG25" s="16">
        <f t="shared" si="70"/>
        <v>0</v>
      </c>
      <c r="AH25" s="16">
        <f t="shared" si="70"/>
        <v>0</v>
      </c>
      <c r="AI25" s="16">
        <f t="shared" si="70"/>
        <v>0</v>
      </c>
      <c r="AJ25" s="16">
        <f t="shared" si="71"/>
        <v>0</v>
      </c>
      <c r="AL25" s="17">
        <f t="shared" si="72"/>
        <v>16</v>
      </c>
      <c r="AM25" s="26" t="str">
        <f t="shared" si="65"/>
        <v>Minimum impôt sur les sociétés (MIS)</v>
      </c>
      <c r="AN25" s="18">
        <f t="shared" si="73"/>
        <v>0</v>
      </c>
      <c r="AO25" s="18">
        <f t="shared" si="73"/>
        <v>0</v>
      </c>
      <c r="AP25" s="18">
        <f t="shared" si="73"/>
        <v>0</v>
      </c>
      <c r="AQ25" s="18">
        <f t="shared" si="73"/>
        <v>0</v>
      </c>
      <c r="AR25" s="18">
        <f t="shared" si="73"/>
        <v>0</v>
      </c>
      <c r="AS25" s="18">
        <f t="shared" si="73"/>
        <v>0</v>
      </c>
      <c r="AT25" s="18">
        <f t="shared" si="73"/>
        <v>0</v>
      </c>
      <c r="AU25" s="18">
        <f t="shared" si="73"/>
        <v>0</v>
      </c>
      <c r="AV25" s="18">
        <f t="shared" si="74"/>
        <v>0</v>
      </c>
      <c r="AW25" s="18"/>
      <c r="AX25" s="17">
        <f t="shared" si="75"/>
        <v>16</v>
      </c>
      <c r="AY25" s="26" t="str">
        <f t="shared" si="67"/>
        <v>Minimum impôt sur les sociétés (MIS)</v>
      </c>
      <c r="AZ25" s="18">
        <f t="shared" ca="1" si="76"/>
        <v>0</v>
      </c>
      <c r="BA25" s="18">
        <f t="shared" ca="1" si="76"/>
        <v>0</v>
      </c>
      <c r="BB25" s="18">
        <f t="shared" ca="1" si="76"/>
        <v>0</v>
      </c>
      <c r="BC25" s="18">
        <f t="shared" ca="1" si="76"/>
        <v>0</v>
      </c>
      <c r="BD25" s="18">
        <f t="shared" ca="1" si="76"/>
        <v>0</v>
      </c>
      <c r="BE25" s="18">
        <f t="shared" ca="1" si="76"/>
        <v>0</v>
      </c>
      <c r="BF25" s="18">
        <f t="shared" ca="1" si="76"/>
        <v>0</v>
      </c>
      <c r="BG25" s="18">
        <f t="shared" ca="1" si="76"/>
        <v>0</v>
      </c>
      <c r="BH25" s="18">
        <f t="shared" ca="1" si="76"/>
        <v>0</v>
      </c>
      <c r="BI25" s="18">
        <f t="shared" ca="1" si="76"/>
        <v>0</v>
      </c>
      <c r="BJ25" s="18">
        <f t="shared" ca="1" si="76"/>
        <v>0</v>
      </c>
      <c r="BK25" s="18">
        <f t="shared" ca="1" si="76"/>
        <v>0</v>
      </c>
    </row>
    <row r="26" spans="1:63">
      <c r="A26" s="80">
        <f t="shared" si="55"/>
        <v>14</v>
      </c>
      <c r="B26" s="53">
        <f>+'Taxes RCA 2022'!A19</f>
        <v>14</v>
      </c>
      <c r="C26" s="18" t="str">
        <f>+'Taxes RCA 2022'!B19</f>
        <v xml:space="preserve">Taxe de reboisement  </v>
      </c>
      <c r="E26" s="114"/>
      <c r="F26" s="114">
        <f t="shared" si="56"/>
        <v>0</v>
      </c>
      <c r="G26" s="114">
        <f t="shared" si="57"/>
        <v>0</v>
      </c>
      <c r="H26" s="114"/>
      <c r="I26" s="114"/>
      <c r="J26" s="114">
        <f t="shared" ca="1" si="58"/>
        <v>0</v>
      </c>
      <c r="K26" s="114">
        <f t="shared" ca="1" si="59"/>
        <v>0</v>
      </c>
      <c r="L26" s="114"/>
      <c r="M26" s="114">
        <f t="shared" ca="1" si="60"/>
        <v>0</v>
      </c>
      <c r="N26" s="18"/>
      <c r="O26" s="38" t="str">
        <f t="shared" ca="1" si="46"/>
        <v/>
      </c>
      <c r="P26" s="39" t="str">
        <f t="shared" ca="1" si="47"/>
        <v/>
      </c>
      <c r="Q26" s="35"/>
      <c r="R26" s="21" t="str">
        <f>Lists!A81</f>
        <v>Montant doublement déclaré</v>
      </c>
      <c r="S26" s="18">
        <f t="shared" si="77"/>
        <v>0</v>
      </c>
      <c r="Y26" s="15">
        <f t="shared" si="69"/>
        <v>17</v>
      </c>
      <c r="Z26" s="25" t="str">
        <f t="shared" si="63"/>
        <v xml:space="preserve">Impôt minimum forfaitaire (IMF) </v>
      </c>
      <c r="AA26" s="16">
        <f t="shared" si="70"/>
        <v>0</v>
      </c>
      <c r="AB26" s="16">
        <f t="shared" si="70"/>
        <v>0</v>
      </c>
      <c r="AC26" s="16">
        <f t="shared" si="70"/>
        <v>0</v>
      </c>
      <c r="AD26" s="16">
        <f t="shared" si="70"/>
        <v>0</v>
      </c>
      <c r="AE26" s="16">
        <f t="shared" si="70"/>
        <v>0</v>
      </c>
      <c r="AF26" s="16">
        <f t="shared" si="70"/>
        <v>0</v>
      </c>
      <c r="AG26" s="16">
        <f t="shared" si="70"/>
        <v>0</v>
      </c>
      <c r="AH26" s="16">
        <f t="shared" si="70"/>
        <v>0</v>
      </c>
      <c r="AI26" s="16">
        <f t="shared" si="70"/>
        <v>0</v>
      </c>
      <c r="AJ26" s="16">
        <f t="shared" si="71"/>
        <v>0</v>
      </c>
      <c r="AL26" s="17">
        <f t="shared" si="72"/>
        <v>17</v>
      </c>
      <c r="AM26" s="26" t="str">
        <f t="shared" si="65"/>
        <v xml:space="preserve">Impôt minimum forfaitaire (IMF) </v>
      </c>
      <c r="AN26" s="18">
        <f t="shared" si="73"/>
        <v>0</v>
      </c>
      <c r="AO26" s="18">
        <f t="shared" si="73"/>
        <v>0</v>
      </c>
      <c r="AP26" s="18">
        <f t="shared" si="73"/>
        <v>0</v>
      </c>
      <c r="AQ26" s="18">
        <f t="shared" si="73"/>
        <v>0</v>
      </c>
      <c r="AR26" s="18">
        <f t="shared" si="73"/>
        <v>0</v>
      </c>
      <c r="AS26" s="18">
        <f t="shared" si="73"/>
        <v>0</v>
      </c>
      <c r="AT26" s="18">
        <f t="shared" si="73"/>
        <v>0</v>
      </c>
      <c r="AU26" s="18">
        <f t="shared" si="73"/>
        <v>0</v>
      </c>
      <c r="AV26" s="18">
        <f t="shared" si="74"/>
        <v>0</v>
      </c>
      <c r="AW26" s="18"/>
      <c r="AX26" s="17">
        <f t="shared" si="75"/>
        <v>17</v>
      </c>
      <c r="AY26" s="26" t="str">
        <f t="shared" si="67"/>
        <v xml:space="preserve">Impôt minimum forfaitaire (IMF) </v>
      </c>
      <c r="AZ26" s="18">
        <f t="shared" ca="1" si="76"/>
        <v>0</v>
      </c>
      <c r="BA26" s="18">
        <f t="shared" ca="1" si="76"/>
        <v>0</v>
      </c>
      <c r="BB26" s="18">
        <f t="shared" ca="1" si="76"/>
        <v>0</v>
      </c>
      <c r="BC26" s="18">
        <f t="shared" ca="1" si="76"/>
        <v>0</v>
      </c>
      <c r="BD26" s="18">
        <f t="shared" ca="1" si="76"/>
        <v>0</v>
      </c>
      <c r="BE26" s="18">
        <f t="shared" ca="1" si="76"/>
        <v>0</v>
      </c>
      <c r="BF26" s="18">
        <f t="shared" ca="1" si="76"/>
        <v>0</v>
      </c>
      <c r="BG26" s="18">
        <f t="shared" ca="1" si="76"/>
        <v>0</v>
      </c>
      <c r="BH26" s="18">
        <f t="shared" ca="1" si="76"/>
        <v>0</v>
      </c>
      <c r="BI26" s="18">
        <f t="shared" ca="1" si="76"/>
        <v>0</v>
      </c>
      <c r="BJ26" s="18">
        <f t="shared" ca="1" si="76"/>
        <v>0</v>
      </c>
      <c r="BK26" s="18">
        <f t="shared" ca="1" si="76"/>
        <v>0</v>
      </c>
    </row>
    <row r="27" spans="1:63">
      <c r="A27" s="80">
        <f t="shared" si="29"/>
        <v>15</v>
      </c>
      <c r="B27" s="64">
        <f>+'Taxes RCA 2022'!A20</f>
        <v>15</v>
      </c>
      <c r="C27" s="68" t="str">
        <f>+'Taxes RCA 2022'!B20</f>
        <v>Impôt sur les fonciers bâtis (IFB)</v>
      </c>
      <c r="E27" s="165"/>
      <c r="F27" s="165">
        <f t="shared" si="56"/>
        <v>0</v>
      </c>
      <c r="G27" s="165">
        <f t="shared" si="57"/>
        <v>0</v>
      </c>
      <c r="H27" s="114"/>
      <c r="I27" s="165"/>
      <c r="J27" s="165">
        <f t="shared" ca="1" si="58"/>
        <v>0</v>
      </c>
      <c r="K27" s="165">
        <f t="shared" ca="1" si="59"/>
        <v>0</v>
      </c>
      <c r="L27" s="114"/>
      <c r="M27" s="165">
        <f t="shared" ca="1" si="60"/>
        <v>0</v>
      </c>
      <c r="N27" s="68"/>
      <c r="O27" s="38" t="str">
        <f t="shared" ca="1" si="46"/>
        <v/>
      </c>
      <c r="P27" s="39" t="str">
        <f t="shared" ca="1" si="47"/>
        <v/>
      </c>
      <c r="Q27" s="35"/>
      <c r="R27" s="21" t="str">
        <f>Lists!A82</f>
        <v>Taxes perçues hors de la période de réconciliation</v>
      </c>
      <c r="S27" s="18">
        <f t="shared" si="77"/>
        <v>0</v>
      </c>
      <c r="Y27" s="15">
        <f t="shared" si="69"/>
        <v>18</v>
      </c>
      <c r="Z27" s="25" t="str">
        <f t="shared" si="63"/>
        <v>Précompte</v>
      </c>
      <c r="AA27" s="16">
        <f t="shared" si="70"/>
        <v>0</v>
      </c>
      <c r="AB27" s="16">
        <f t="shared" si="70"/>
        <v>0</v>
      </c>
      <c r="AC27" s="16">
        <f t="shared" si="70"/>
        <v>0</v>
      </c>
      <c r="AD27" s="16">
        <f t="shared" si="70"/>
        <v>0</v>
      </c>
      <c r="AE27" s="16">
        <f t="shared" si="70"/>
        <v>0</v>
      </c>
      <c r="AF27" s="16">
        <f t="shared" si="70"/>
        <v>0</v>
      </c>
      <c r="AG27" s="16">
        <f t="shared" si="70"/>
        <v>0</v>
      </c>
      <c r="AH27" s="16">
        <f t="shared" si="70"/>
        <v>0</v>
      </c>
      <c r="AI27" s="16">
        <f t="shared" si="70"/>
        <v>0</v>
      </c>
      <c r="AJ27" s="16">
        <f t="shared" si="71"/>
        <v>0</v>
      </c>
      <c r="AL27" s="17">
        <f t="shared" si="72"/>
        <v>18</v>
      </c>
      <c r="AM27" s="26" t="str">
        <f t="shared" si="65"/>
        <v>Précompte</v>
      </c>
      <c r="AN27" s="18">
        <f t="shared" si="73"/>
        <v>0</v>
      </c>
      <c r="AO27" s="18">
        <f t="shared" si="73"/>
        <v>0</v>
      </c>
      <c r="AP27" s="18">
        <f t="shared" si="73"/>
        <v>0</v>
      </c>
      <c r="AQ27" s="18">
        <f t="shared" si="73"/>
        <v>0</v>
      </c>
      <c r="AR27" s="18">
        <f t="shared" si="73"/>
        <v>0</v>
      </c>
      <c r="AS27" s="18">
        <f t="shared" si="73"/>
        <v>0</v>
      </c>
      <c r="AT27" s="18">
        <f t="shared" si="73"/>
        <v>0</v>
      </c>
      <c r="AU27" s="18">
        <f t="shared" si="73"/>
        <v>0</v>
      </c>
      <c r="AV27" s="18">
        <f t="shared" si="74"/>
        <v>0</v>
      </c>
      <c r="AW27" s="18"/>
      <c r="AX27" s="17">
        <f t="shared" si="75"/>
        <v>18</v>
      </c>
      <c r="AY27" s="26" t="str">
        <f t="shared" si="67"/>
        <v>Précompte</v>
      </c>
      <c r="AZ27" s="18">
        <f t="shared" ca="1" si="76"/>
        <v>0</v>
      </c>
      <c r="BA27" s="18">
        <f t="shared" ca="1" si="76"/>
        <v>0</v>
      </c>
      <c r="BB27" s="18">
        <f t="shared" ca="1" si="76"/>
        <v>0</v>
      </c>
      <c r="BC27" s="18">
        <f t="shared" ca="1" si="76"/>
        <v>0</v>
      </c>
      <c r="BD27" s="18">
        <f t="shared" ca="1" si="76"/>
        <v>0</v>
      </c>
      <c r="BE27" s="18">
        <f t="shared" ca="1" si="76"/>
        <v>0</v>
      </c>
      <c r="BF27" s="18">
        <f t="shared" ca="1" si="76"/>
        <v>0</v>
      </c>
      <c r="BG27" s="18">
        <f t="shared" ca="1" si="76"/>
        <v>0</v>
      </c>
      <c r="BH27" s="18">
        <f t="shared" ca="1" si="76"/>
        <v>0</v>
      </c>
      <c r="BI27" s="18">
        <f t="shared" ca="1" si="76"/>
        <v>0</v>
      </c>
      <c r="BJ27" s="18">
        <f t="shared" ca="1" si="76"/>
        <v>0</v>
      </c>
      <c r="BK27" s="18">
        <f t="shared" ca="1" si="76"/>
        <v>0</v>
      </c>
    </row>
    <row r="28" spans="1:63">
      <c r="A28" s="80">
        <f t="shared" si="29"/>
        <v>16</v>
      </c>
      <c r="B28" s="53">
        <f>+'Taxes RCA 2022'!A21</f>
        <v>16</v>
      </c>
      <c r="C28" s="18" t="str">
        <f>+'Taxes RCA 2022'!B21</f>
        <v>Minimum impôt sur les sociétés (MIS)</v>
      </c>
      <c r="E28" s="114"/>
      <c r="F28" s="114">
        <f t="shared" si="56"/>
        <v>0</v>
      </c>
      <c r="G28" s="114">
        <f t="shared" si="57"/>
        <v>0</v>
      </c>
      <c r="H28" s="114"/>
      <c r="I28" s="114"/>
      <c r="J28" s="114">
        <f t="shared" ca="1" si="58"/>
        <v>0</v>
      </c>
      <c r="K28" s="114">
        <f t="shared" ca="1" si="59"/>
        <v>0</v>
      </c>
      <c r="L28" s="114"/>
      <c r="M28" s="114">
        <f t="shared" ca="1" si="60"/>
        <v>0</v>
      </c>
      <c r="N28" s="18"/>
      <c r="O28" s="38" t="str">
        <f t="shared" ca="1" si="46"/>
        <v/>
      </c>
      <c r="P28" s="39" t="str">
        <f t="shared" ca="1" si="47"/>
        <v/>
      </c>
      <c r="Q28" s="35"/>
      <c r="R28" s="21" t="str">
        <f>Lists!A83</f>
        <v>Erreur de reporting (montant et détail)</v>
      </c>
      <c r="S28" s="18">
        <f t="shared" si="77"/>
        <v>0</v>
      </c>
      <c r="Y28" s="15">
        <f t="shared" si="69"/>
        <v>19</v>
      </c>
      <c r="Z28" s="25" t="str">
        <f t="shared" si="63"/>
        <v>Taxe sur la valeur ajoutée (TVA)</v>
      </c>
      <c r="AA28" s="16">
        <f t="shared" si="70"/>
        <v>0</v>
      </c>
      <c r="AB28" s="16">
        <f t="shared" si="70"/>
        <v>0</v>
      </c>
      <c r="AC28" s="16">
        <f t="shared" si="70"/>
        <v>0</v>
      </c>
      <c r="AD28" s="16">
        <f t="shared" si="70"/>
        <v>0</v>
      </c>
      <c r="AE28" s="16">
        <f t="shared" si="70"/>
        <v>0</v>
      </c>
      <c r="AF28" s="16">
        <f t="shared" si="70"/>
        <v>0</v>
      </c>
      <c r="AG28" s="16">
        <f t="shared" si="70"/>
        <v>0</v>
      </c>
      <c r="AH28" s="16">
        <f t="shared" si="70"/>
        <v>0</v>
      </c>
      <c r="AI28" s="16">
        <f t="shared" si="70"/>
        <v>0</v>
      </c>
      <c r="AJ28" s="16">
        <f t="shared" si="71"/>
        <v>0</v>
      </c>
      <c r="AL28" s="17">
        <f t="shared" si="72"/>
        <v>19</v>
      </c>
      <c r="AM28" s="26" t="str">
        <f t="shared" si="65"/>
        <v>Taxe sur la valeur ajoutée (TVA)</v>
      </c>
      <c r="AN28" s="18">
        <f t="shared" si="73"/>
        <v>0</v>
      </c>
      <c r="AO28" s="18">
        <f t="shared" si="73"/>
        <v>0</v>
      </c>
      <c r="AP28" s="18">
        <f t="shared" si="73"/>
        <v>0</v>
      </c>
      <c r="AQ28" s="18">
        <f t="shared" si="73"/>
        <v>0</v>
      </c>
      <c r="AR28" s="18">
        <f t="shared" si="73"/>
        <v>0</v>
      </c>
      <c r="AS28" s="18">
        <f t="shared" si="73"/>
        <v>0</v>
      </c>
      <c r="AT28" s="18">
        <f t="shared" si="73"/>
        <v>0</v>
      </c>
      <c r="AU28" s="18">
        <f t="shared" si="73"/>
        <v>0</v>
      </c>
      <c r="AV28" s="18">
        <f t="shared" si="74"/>
        <v>0</v>
      </c>
      <c r="AW28" s="18"/>
      <c r="AX28" s="17">
        <f t="shared" si="75"/>
        <v>19</v>
      </c>
      <c r="AY28" s="26" t="str">
        <f t="shared" si="67"/>
        <v>Taxe sur la valeur ajoutée (TVA)</v>
      </c>
      <c r="AZ28" s="18">
        <f t="shared" ca="1" si="76"/>
        <v>0</v>
      </c>
      <c r="BA28" s="18">
        <f t="shared" ca="1" si="76"/>
        <v>0</v>
      </c>
      <c r="BB28" s="18">
        <f t="shared" ca="1" si="76"/>
        <v>0</v>
      </c>
      <c r="BC28" s="18">
        <f t="shared" ca="1" si="76"/>
        <v>0</v>
      </c>
      <c r="BD28" s="18">
        <f t="shared" ca="1" si="76"/>
        <v>0</v>
      </c>
      <c r="BE28" s="18">
        <f t="shared" ca="1" si="76"/>
        <v>0</v>
      </c>
      <c r="BF28" s="18">
        <f t="shared" ca="1" si="76"/>
        <v>0</v>
      </c>
      <c r="BG28" s="18">
        <f t="shared" ca="1" si="76"/>
        <v>0</v>
      </c>
      <c r="BH28" s="18">
        <f t="shared" ca="1" si="76"/>
        <v>0</v>
      </c>
      <c r="BI28" s="18">
        <f t="shared" ca="1" si="76"/>
        <v>0</v>
      </c>
      <c r="BJ28" s="18">
        <f t="shared" ca="1" si="76"/>
        <v>0</v>
      </c>
      <c r="BK28" s="18">
        <f t="shared" ca="1" si="76"/>
        <v>0</v>
      </c>
    </row>
    <row r="29" spans="1:63">
      <c r="A29" s="80">
        <f t="shared" si="29"/>
        <v>17</v>
      </c>
      <c r="B29" s="64">
        <f>+'Taxes RCA 2022'!A22</f>
        <v>17</v>
      </c>
      <c r="C29" s="68" t="str">
        <f>+'Taxes RCA 2022'!B22</f>
        <v xml:space="preserve">Impôt minimum forfaitaire (IMF) </v>
      </c>
      <c r="E29" s="165"/>
      <c r="F29" s="165">
        <f t="shared" si="56"/>
        <v>0</v>
      </c>
      <c r="G29" s="165">
        <f t="shared" si="57"/>
        <v>0</v>
      </c>
      <c r="H29" s="114"/>
      <c r="I29" s="165"/>
      <c r="J29" s="165">
        <f t="shared" ca="1" si="58"/>
        <v>0</v>
      </c>
      <c r="K29" s="165">
        <f t="shared" ca="1" si="59"/>
        <v>0</v>
      </c>
      <c r="L29" s="114"/>
      <c r="M29" s="165">
        <f t="shared" ca="1" si="60"/>
        <v>0</v>
      </c>
      <c r="N29" s="68"/>
      <c r="O29" s="38" t="str">
        <f t="shared" ca="1" si="46"/>
        <v/>
      </c>
      <c r="P29" s="39" t="str">
        <f t="shared" ca="1" si="47"/>
        <v/>
      </c>
      <c r="Q29" s="35"/>
      <c r="R29" s="21" t="str">
        <f>Lists!A84</f>
        <v>Taxe reportée par l'Etat non réellement encaissée</v>
      </c>
      <c r="S29" s="18">
        <f t="shared" si="77"/>
        <v>0</v>
      </c>
      <c r="Y29" s="15">
        <f t="shared" si="69"/>
        <v>20</v>
      </c>
      <c r="Z29" s="25" t="str">
        <f t="shared" si="63"/>
        <v>Impôt sur les revenus des loyers (IRL)</v>
      </c>
      <c r="AA29" s="16">
        <f t="shared" si="70"/>
        <v>0</v>
      </c>
      <c r="AB29" s="16">
        <f t="shared" si="70"/>
        <v>0</v>
      </c>
      <c r="AC29" s="16">
        <f t="shared" si="70"/>
        <v>0</v>
      </c>
      <c r="AD29" s="16">
        <f t="shared" si="70"/>
        <v>0</v>
      </c>
      <c r="AE29" s="16">
        <f t="shared" si="70"/>
        <v>0</v>
      </c>
      <c r="AF29" s="16">
        <f t="shared" si="70"/>
        <v>0</v>
      </c>
      <c r="AG29" s="16">
        <f t="shared" si="70"/>
        <v>0</v>
      </c>
      <c r="AH29" s="16">
        <f t="shared" si="70"/>
        <v>0</v>
      </c>
      <c r="AI29" s="16">
        <f t="shared" si="70"/>
        <v>0</v>
      </c>
      <c r="AJ29" s="16">
        <f>SUM(AA29:AI29)</f>
        <v>0</v>
      </c>
      <c r="AL29" s="17">
        <f t="shared" si="72"/>
        <v>20</v>
      </c>
      <c r="AM29" s="26" t="str">
        <f t="shared" si="65"/>
        <v>Impôt sur les revenus des loyers (IRL)</v>
      </c>
      <c r="AN29" s="18">
        <f t="shared" si="73"/>
        <v>0</v>
      </c>
      <c r="AO29" s="18">
        <f t="shared" si="73"/>
        <v>0</v>
      </c>
      <c r="AP29" s="18">
        <f t="shared" si="73"/>
        <v>0</v>
      </c>
      <c r="AQ29" s="18">
        <f t="shared" si="73"/>
        <v>0</v>
      </c>
      <c r="AR29" s="18">
        <f t="shared" si="73"/>
        <v>0</v>
      </c>
      <c r="AS29" s="18">
        <f t="shared" si="73"/>
        <v>0</v>
      </c>
      <c r="AT29" s="18">
        <f t="shared" si="73"/>
        <v>0</v>
      </c>
      <c r="AU29" s="18">
        <f t="shared" si="73"/>
        <v>0</v>
      </c>
      <c r="AV29" s="18">
        <f>SUM(AN29:AU29)</f>
        <v>0</v>
      </c>
      <c r="AW29" s="18"/>
      <c r="AX29" s="17">
        <f t="shared" si="75"/>
        <v>20</v>
      </c>
      <c r="AY29" s="26" t="str">
        <f t="shared" si="67"/>
        <v>Impôt sur les revenus des loyers (IRL)</v>
      </c>
      <c r="AZ29" s="18">
        <f t="shared" ca="1" si="76"/>
        <v>0</v>
      </c>
      <c r="BA29" s="18">
        <f t="shared" ca="1" si="76"/>
        <v>0</v>
      </c>
      <c r="BB29" s="18">
        <f t="shared" ca="1" si="76"/>
        <v>0</v>
      </c>
      <c r="BC29" s="18">
        <f t="shared" ca="1" si="76"/>
        <v>0</v>
      </c>
      <c r="BD29" s="18">
        <f t="shared" ca="1" si="76"/>
        <v>0</v>
      </c>
      <c r="BE29" s="18">
        <f t="shared" ca="1" si="76"/>
        <v>0</v>
      </c>
      <c r="BF29" s="18">
        <f t="shared" ca="1" si="76"/>
        <v>0</v>
      </c>
      <c r="BG29" s="18">
        <f t="shared" ca="1" si="76"/>
        <v>0</v>
      </c>
      <c r="BH29" s="18">
        <f t="shared" ca="1" si="76"/>
        <v>0</v>
      </c>
      <c r="BI29" s="18">
        <f t="shared" ca="1" si="76"/>
        <v>0</v>
      </c>
      <c r="BJ29" s="18">
        <f t="shared" ca="1" si="76"/>
        <v>0</v>
      </c>
      <c r="BK29" s="18">
        <f t="shared" ca="1" si="76"/>
        <v>0</v>
      </c>
    </row>
    <row r="30" spans="1:63">
      <c r="A30" s="80">
        <f t="shared" si="29"/>
        <v>18</v>
      </c>
      <c r="B30" s="53">
        <f>+'Taxes RCA 2022'!A23</f>
        <v>18</v>
      </c>
      <c r="C30" s="18" t="str">
        <f>+'Taxes RCA 2022'!B23</f>
        <v>Précompte</v>
      </c>
      <c r="E30" s="114"/>
      <c r="F30" s="114">
        <f t="shared" si="56"/>
        <v>0</v>
      </c>
      <c r="G30" s="114">
        <f t="shared" si="57"/>
        <v>0</v>
      </c>
      <c r="H30" s="114"/>
      <c r="I30" s="114"/>
      <c r="J30" s="114">
        <f t="shared" ca="1" si="58"/>
        <v>0</v>
      </c>
      <c r="K30" s="114">
        <f t="shared" ca="1" si="59"/>
        <v>0</v>
      </c>
      <c r="L30" s="114"/>
      <c r="M30" s="114">
        <f t="shared" ca="1" si="60"/>
        <v>0</v>
      </c>
      <c r="N30" s="18"/>
      <c r="O30" s="38" t="str">
        <f t="shared" ca="1" si="46"/>
        <v/>
      </c>
      <c r="P30" s="39" t="str">
        <f t="shared" ca="1" si="47"/>
        <v/>
      </c>
      <c r="Q30" s="35"/>
      <c r="R30" s="21" t="str">
        <f>Lists!A85</f>
        <v>Erreur de classification</v>
      </c>
      <c r="S30" s="18">
        <f t="shared" si="77"/>
        <v>0</v>
      </c>
      <c r="Y30" s="15">
        <f t="shared" si="69"/>
        <v>21</v>
      </c>
      <c r="Z30" s="25" t="str">
        <f t="shared" si="63"/>
        <v>Droits fixes (sur l'octroi, renouvellement, transfert) (+)</v>
      </c>
      <c r="AA30" s="16">
        <f t="shared" si="70"/>
        <v>0</v>
      </c>
      <c r="AB30" s="16">
        <f t="shared" si="70"/>
        <v>0</v>
      </c>
      <c r="AC30" s="16">
        <f t="shared" si="70"/>
        <v>0</v>
      </c>
      <c r="AD30" s="16">
        <f t="shared" si="70"/>
        <v>0</v>
      </c>
      <c r="AE30" s="16">
        <f t="shared" si="70"/>
        <v>0</v>
      </c>
      <c r="AF30" s="16">
        <f t="shared" si="70"/>
        <v>0</v>
      </c>
      <c r="AG30" s="16">
        <f t="shared" si="70"/>
        <v>0</v>
      </c>
      <c r="AH30" s="16">
        <f t="shared" si="70"/>
        <v>0</v>
      </c>
      <c r="AI30" s="16">
        <f t="shared" si="70"/>
        <v>0</v>
      </c>
      <c r="AJ30" s="16">
        <f>SUM(AA30:AI30)</f>
        <v>0</v>
      </c>
      <c r="AL30" s="17">
        <f t="shared" si="72"/>
        <v>21</v>
      </c>
      <c r="AM30" s="26" t="str">
        <f t="shared" si="65"/>
        <v>Droits fixes (sur l'octroi, renouvellement, transfert) (+)</v>
      </c>
      <c r="AN30" s="18">
        <f t="shared" si="73"/>
        <v>0</v>
      </c>
      <c r="AO30" s="18">
        <f t="shared" si="73"/>
        <v>0</v>
      </c>
      <c r="AP30" s="18">
        <f t="shared" si="73"/>
        <v>0</v>
      </c>
      <c r="AQ30" s="18">
        <f t="shared" si="73"/>
        <v>0</v>
      </c>
      <c r="AR30" s="18">
        <f t="shared" si="73"/>
        <v>0</v>
      </c>
      <c r="AS30" s="18">
        <f t="shared" si="73"/>
        <v>0</v>
      </c>
      <c r="AT30" s="18">
        <f t="shared" si="73"/>
        <v>0</v>
      </c>
      <c r="AU30" s="18">
        <f t="shared" si="73"/>
        <v>0</v>
      </c>
      <c r="AV30" s="18">
        <f>SUM(AN30:AU30)</f>
        <v>0</v>
      </c>
      <c r="AW30" s="18"/>
      <c r="AX30" s="17">
        <f t="shared" si="75"/>
        <v>21</v>
      </c>
      <c r="AY30" s="26" t="str">
        <f t="shared" si="67"/>
        <v>Droits fixes (sur l'octroi, renouvellement, transfert) (+)</v>
      </c>
      <c r="AZ30" s="18">
        <f t="shared" ca="1" si="76"/>
        <v>0</v>
      </c>
      <c r="BA30" s="18">
        <f t="shared" ca="1" si="76"/>
        <v>0</v>
      </c>
      <c r="BB30" s="18">
        <f t="shared" ca="1" si="76"/>
        <v>0</v>
      </c>
      <c r="BC30" s="18">
        <f t="shared" ca="1" si="76"/>
        <v>0</v>
      </c>
      <c r="BD30" s="18">
        <f t="shared" ca="1" si="76"/>
        <v>0</v>
      </c>
      <c r="BE30" s="18">
        <f t="shared" ca="1" si="76"/>
        <v>0</v>
      </c>
      <c r="BF30" s="18">
        <f t="shared" ca="1" si="76"/>
        <v>0</v>
      </c>
      <c r="BG30" s="18">
        <f t="shared" ca="1" si="76"/>
        <v>0</v>
      </c>
      <c r="BH30" s="18">
        <f t="shared" ca="1" si="76"/>
        <v>0</v>
      </c>
      <c r="BI30" s="18">
        <f t="shared" ca="1" si="76"/>
        <v>0</v>
      </c>
      <c r="BJ30" s="18">
        <f t="shared" ca="1" si="76"/>
        <v>0</v>
      </c>
      <c r="BK30" s="18">
        <f t="shared" ca="1" si="76"/>
        <v>0</v>
      </c>
    </row>
    <row r="31" spans="1:63">
      <c r="A31" s="80">
        <f t="shared" si="29"/>
        <v>19</v>
      </c>
      <c r="B31" s="64">
        <f>+'Taxes RCA 2022'!A24</f>
        <v>19</v>
      </c>
      <c r="C31" s="68" t="str">
        <f>+'Taxes RCA 2022'!B24</f>
        <v>Taxe sur la valeur ajoutée (TVA)</v>
      </c>
      <c r="E31" s="165"/>
      <c r="F31" s="165">
        <f t="shared" si="56"/>
        <v>0</v>
      </c>
      <c r="G31" s="165">
        <f t="shared" si="57"/>
        <v>0</v>
      </c>
      <c r="H31" s="114"/>
      <c r="I31" s="165"/>
      <c r="J31" s="165">
        <f t="shared" ca="1" si="58"/>
        <v>0</v>
      </c>
      <c r="K31" s="165">
        <f t="shared" ca="1" si="59"/>
        <v>0</v>
      </c>
      <c r="L31" s="114"/>
      <c r="M31" s="165">
        <f t="shared" ca="1" si="60"/>
        <v>0</v>
      </c>
      <c r="N31" s="68"/>
      <c r="O31" s="38" t="str">
        <f t="shared" ca="1" si="46"/>
        <v/>
      </c>
      <c r="P31" s="39" t="str">
        <f t="shared" ca="1" si="47"/>
        <v/>
      </c>
      <c r="Q31" s="35"/>
      <c r="R31" s="21" t="str">
        <f>Lists!A86</f>
        <v>Taxes payées par la Ste sur un autre NINEA non reporté par l'Etat</v>
      </c>
      <c r="S31" s="18">
        <f t="shared" si="77"/>
        <v>0</v>
      </c>
      <c r="Y31" s="15">
        <f t="shared" si="69"/>
        <v>22</v>
      </c>
      <c r="Z31" s="25" t="str">
        <f t="shared" si="63"/>
        <v>Les redevances proportionnelles ou royalties sur les autorisations d'exploitation de carrière et les exploitations des mines (+)</v>
      </c>
      <c r="AA31" s="16">
        <f t="shared" si="70"/>
        <v>0</v>
      </c>
      <c r="AB31" s="16">
        <f t="shared" si="70"/>
        <v>0</v>
      </c>
      <c r="AC31" s="16">
        <f t="shared" si="70"/>
        <v>0</v>
      </c>
      <c r="AD31" s="16">
        <f t="shared" si="70"/>
        <v>0</v>
      </c>
      <c r="AE31" s="16">
        <f t="shared" si="70"/>
        <v>0</v>
      </c>
      <c r="AF31" s="16">
        <f t="shared" si="70"/>
        <v>0</v>
      </c>
      <c r="AG31" s="16">
        <f t="shared" si="70"/>
        <v>0</v>
      </c>
      <c r="AH31" s="16">
        <f t="shared" si="70"/>
        <v>0</v>
      </c>
      <c r="AI31" s="16">
        <f t="shared" si="70"/>
        <v>0</v>
      </c>
      <c r="AJ31" s="16">
        <f>SUM(AA31:AI31)</f>
        <v>0</v>
      </c>
      <c r="AL31" s="17">
        <f t="shared" si="72"/>
        <v>22</v>
      </c>
      <c r="AM31" s="26" t="str">
        <f t="shared" si="65"/>
        <v>Les redevances proportionnelles ou royalties sur les autorisations d'exploitation de carrière et les exploitations des mines (+)</v>
      </c>
      <c r="AN31" s="18">
        <f t="shared" si="73"/>
        <v>0</v>
      </c>
      <c r="AO31" s="18">
        <f t="shared" si="73"/>
        <v>0</v>
      </c>
      <c r="AP31" s="18">
        <f t="shared" si="73"/>
        <v>0</v>
      </c>
      <c r="AQ31" s="18">
        <f t="shared" si="73"/>
        <v>0</v>
      </c>
      <c r="AR31" s="18">
        <f t="shared" si="73"/>
        <v>0</v>
      </c>
      <c r="AS31" s="18">
        <f t="shared" si="73"/>
        <v>0</v>
      </c>
      <c r="AT31" s="18">
        <f t="shared" si="73"/>
        <v>0</v>
      </c>
      <c r="AU31" s="18">
        <f t="shared" si="73"/>
        <v>0</v>
      </c>
      <c r="AV31" s="18">
        <f>SUM(AN31:AU31)</f>
        <v>0</v>
      </c>
      <c r="AW31" s="18"/>
      <c r="AX31" s="17">
        <f t="shared" si="75"/>
        <v>22</v>
      </c>
      <c r="AY31" s="26" t="str">
        <f t="shared" si="67"/>
        <v>Les redevances proportionnelles ou royalties sur les autorisations d'exploitation de carrière et les exploitations des mines (+)</v>
      </c>
      <c r="AZ31" s="18">
        <f t="shared" ca="1" si="76"/>
        <v>0</v>
      </c>
      <c r="BA31" s="18">
        <f t="shared" ca="1" si="76"/>
        <v>0</v>
      </c>
      <c r="BB31" s="18">
        <f t="shared" ca="1" si="76"/>
        <v>0</v>
      </c>
      <c r="BC31" s="18">
        <f t="shared" ca="1" si="76"/>
        <v>0</v>
      </c>
      <c r="BD31" s="18">
        <f t="shared" ca="1" si="76"/>
        <v>0</v>
      </c>
      <c r="BE31" s="18">
        <f t="shared" ca="1" si="76"/>
        <v>0</v>
      </c>
      <c r="BF31" s="18">
        <f t="shared" ca="1" si="76"/>
        <v>0</v>
      </c>
      <c r="BG31" s="18">
        <f t="shared" ca="1" si="76"/>
        <v>0</v>
      </c>
      <c r="BH31" s="18">
        <f t="shared" ca="1" si="76"/>
        <v>0</v>
      </c>
      <c r="BI31" s="18">
        <f t="shared" ca="1" si="76"/>
        <v>0</v>
      </c>
      <c r="BJ31" s="18">
        <f t="shared" ca="1" si="76"/>
        <v>0</v>
      </c>
      <c r="BK31" s="18">
        <f t="shared" ca="1" si="76"/>
        <v>0</v>
      </c>
    </row>
    <row r="32" spans="1:63">
      <c r="A32" s="80">
        <f t="shared" si="29"/>
        <v>20</v>
      </c>
      <c r="B32" s="53">
        <f>+'Taxes RCA 2022'!A25</f>
        <v>20</v>
      </c>
      <c r="C32" s="18" t="str">
        <f>+'Taxes RCA 2022'!B25</f>
        <v>Impôt sur les revenus des loyers (IRL)</v>
      </c>
      <c r="E32" s="114"/>
      <c r="F32" s="114">
        <f t="shared" si="56"/>
        <v>0</v>
      </c>
      <c r="G32" s="114">
        <f t="shared" si="57"/>
        <v>0</v>
      </c>
      <c r="H32" s="114"/>
      <c r="I32" s="114"/>
      <c r="J32" s="114">
        <f t="shared" ca="1" si="58"/>
        <v>0</v>
      </c>
      <c r="K32" s="114">
        <f t="shared" ca="1" si="59"/>
        <v>0</v>
      </c>
      <c r="L32" s="114"/>
      <c r="M32" s="114">
        <f t="shared" ca="1" si="60"/>
        <v>0</v>
      </c>
      <c r="N32" s="18"/>
      <c r="O32" s="38" t="str">
        <f t="shared" ca="1" si="46"/>
        <v/>
      </c>
      <c r="P32" s="39" t="str">
        <f t="shared" ca="1" si="47"/>
        <v/>
      </c>
      <c r="Q32" s="35"/>
      <c r="R32" s="21" t="str">
        <f>Lists!A87</f>
        <v>Taxes hors périmètre de réconciliation</v>
      </c>
      <c r="S32" s="18">
        <f t="shared" si="77"/>
        <v>0</v>
      </c>
      <c r="Y32" s="15">
        <f t="shared" si="69"/>
        <v>23</v>
      </c>
      <c r="Z32" s="25" t="str">
        <f t="shared" si="63"/>
        <v>Impôt sur les revenus des capitaux mobiliers (RCM) (+)</v>
      </c>
      <c r="AA32" s="16">
        <f t="shared" si="70"/>
        <v>0</v>
      </c>
      <c r="AB32" s="16">
        <f t="shared" si="70"/>
        <v>0</v>
      </c>
      <c r="AC32" s="16">
        <f t="shared" si="70"/>
        <v>0</v>
      </c>
      <c r="AD32" s="16">
        <f t="shared" si="70"/>
        <v>0</v>
      </c>
      <c r="AE32" s="16">
        <f t="shared" si="70"/>
        <v>0</v>
      </c>
      <c r="AF32" s="16">
        <f t="shared" si="70"/>
        <v>0</v>
      </c>
      <c r="AG32" s="16">
        <f t="shared" si="70"/>
        <v>0</v>
      </c>
      <c r="AH32" s="16">
        <f t="shared" si="70"/>
        <v>0</v>
      </c>
      <c r="AI32" s="16">
        <f t="shared" si="70"/>
        <v>0</v>
      </c>
      <c r="AJ32" s="16">
        <f>SUM(AA32:AI32)</f>
        <v>0</v>
      </c>
      <c r="AL32" s="17">
        <f t="shared" si="72"/>
        <v>23</v>
      </c>
      <c r="AM32" s="26" t="str">
        <f t="shared" si="65"/>
        <v>Impôt sur les revenus des capitaux mobiliers (RCM) (+)</v>
      </c>
      <c r="AN32" s="18">
        <f t="shared" si="73"/>
        <v>0</v>
      </c>
      <c r="AO32" s="18">
        <f t="shared" si="73"/>
        <v>0</v>
      </c>
      <c r="AP32" s="18">
        <f t="shared" si="73"/>
        <v>0</v>
      </c>
      <c r="AQ32" s="18">
        <f t="shared" si="73"/>
        <v>0</v>
      </c>
      <c r="AR32" s="18">
        <f t="shared" si="73"/>
        <v>0</v>
      </c>
      <c r="AS32" s="18">
        <f t="shared" si="73"/>
        <v>0</v>
      </c>
      <c r="AT32" s="18">
        <f t="shared" si="73"/>
        <v>0</v>
      </c>
      <c r="AU32" s="18">
        <f t="shared" si="73"/>
        <v>0</v>
      </c>
      <c r="AV32" s="18">
        <f>SUM(AN32:AU32)</f>
        <v>0</v>
      </c>
      <c r="AW32" s="38"/>
      <c r="AX32" s="17">
        <f t="shared" si="75"/>
        <v>23</v>
      </c>
      <c r="AY32" s="26" t="str">
        <f t="shared" si="67"/>
        <v>Impôt sur les revenus des capitaux mobiliers (RCM) (+)</v>
      </c>
      <c r="AZ32" s="18">
        <f t="shared" ca="1" si="76"/>
        <v>0</v>
      </c>
      <c r="BA32" s="18">
        <f t="shared" ca="1" si="76"/>
        <v>0</v>
      </c>
      <c r="BB32" s="18">
        <f t="shared" ca="1" si="76"/>
        <v>0</v>
      </c>
      <c r="BC32" s="18">
        <f t="shared" ca="1" si="76"/>
        <v>0</v>
      </c>
      <c r="BD32" s="18">
        <f t="shared" ca="1" si="76"/>
        <v>0</v>
      </c>
      <c r="BE32" s="18">
        <f t="shared" ca="1" si="76"/>
        <v>0</v>
      </c>
      <c r="BF32" s="18">
        <f t="shared" ca="1" si="76"/>
        <v>0</v>
      </c>
      <c r="BG32" s="18">
        <f t="shared" ca="1" si="76"/>
        <v>0</v>
      </c>
      <c r="BH32" s="18">
        <f t="shared" ca="1" si="76"/>
        <v>0</v>
      </c>
      <c r="BI32" s="18">
        <f t="shared" ca="1" si="76"/>
        <v>0</v>
      </c>
      <c r="BJ32" s="18">
        <f t="shared" ca="1" si="76"/>
        <v>0</v>
      </c>
      <c r="BK32" s="18">
        <f t="shared" ca="1" si="76"/>
        <v>0</v>
      </c>
    </row>
    <row r="33" spans="1:63">
      <c r="A33" s="80">
        <f t="shared" si="29"/>
        <v>21</v>
      </c>
      <c r="B33" s="64">
        <f>+'Taxes RCA 2022'!A26</f>
        <v>21</v>
      </c>
      <c r="C33" s="68" t="str">
        <f>+'Taxes RCA 2022'!B26</f>
        <v>Droits fixes (sur l'octroi, renouvellement, transfert) (+)</v>
      </c>
      <c r="E33" s="165"/>
      <c r="F33" s="165">
        <f t="shared" si="56"/>
        <v>0</v>
      </c>
      <c r="G33" s="165">
        <f t="shared" si="57"/>
        <v>0</v>
      </c>
      <c r="H33" s="114"/>
      <c r="I33" s="165"/>
      <c r="J33" s="165">
        <f t="shared" ca="1" si="58"/>
        <v>0</v>
      </c>
      <c r="K33" s="165">
        <f t="shared" ca="1" si="59"/>
        <v>0</v>
      </c>
      <c r="L33" s="114"/>
      <c r="M33" s="165">
        <f t="shared" ca="1" si="60"/>
        <v>0</v>
      </c>
      <c r="N33" s="68"/>
      <c r="O33" s="38" t="str">
        <f t="shared" ca="1" si="46"/>
        <v/>
      </c>
      <c r="P33" s="39" t="str">
        <f t="shared" ca="1" si="47"/>
        <v/>
      </c>
      <c r="Q33" s="35"/>
      <c r="R33" s="40" t="s">
        <v>18</v>
      </c>
      <c r="S33" s="22">
        <f>SUM(S25:S32)</f>
        <v>0</v>
      </c>
      <c r="Y33" s="28"/>
      <c r="Z33" s="28" t="str">
        <f t="shared" si="63"/>
        <v>Taxe de Développement Artisanal (TDA) (+)</v>
      </c>
      <c r="AA33" s="29">
        <f t="shared" ref="AA33:AJ33" si="78">SUM(AA34:AA49)</f>
        <v>0</v>
      </c>
      <c r="AB33" s="29">
        <f t="shared" si="78"/>
        <v>0</v>
      </c>
      <c r="AC33" s="29">
        <f t="shared" si="78"/>
        <v>0</v>
      </c>
      <c r="AD33" s="29">
        <f t="shared" si="78"/>
        <v>0</v>
      </c>
      <c r="AE33" s="29">
        <f t="shared" si="78"/>
        <v>0</v>
      </c>
      <c r="AF33" s="29">
        <f t="shared" si="78"/>
        <v>0</v>
      </c>
      <c r="AG33" s="29">
        <f t="shared" si="78"/>
        <v>0</v>
      </c>
      <c r="AH33" s="29">
        <f t="shared" si="78"/>
        <v>0</v>
      </c>
      <c r="AI33" s="29">
        <f t="shared" si="78"/>
        <v>0</v>
      </c>
      <c r="AJ33" s="29">
        <f t="shared" si="78"/>
        <v>0</v>
      </c>
      <c r="AL33" s="28"/>
      <c r="AM33" s="28" t="str">
        <f t="shared" si="65"/>
        <v>Taxe de Développement Artisanal (TDA) (+)</v>
      </c>
      <c r="AN33" s="29">
        <f t="shared" ref="AN33:AV33" si="79">SUM(AN34:AN49)</f>
        <v>0</v>
      </c>
      <c r="AO33" s="29">
        <f t="shared" si="79"/>
        <v>0</v>
      </c>
      <c r="AP33" s="29">
        <f t="shared" si="79"/>
        <v>0</v>
      </c>
      <c r="AQ33" s="29">
        <f t="shared" si="79"/>
        <v>0</v>
      </c>
      <c r="AR33" s="29">
        <f t="shared" si="79"/>
        <v>0</v>
      </c>
      <c r="AS33" s="29">
        <f t="shared" si="79"/>
        <v>0</v>
      </c>
      <c r="AT33" s="29">
        <f t="shared" si="79"/>
        <v>0</v>
      </c>
      <c r="AU33" s="29">
        <f t="shared" si="79"/>
        <v>0</v>
      </c>
      <c r="AV33" s="29">
        <f t="shared" si="79"/>
        <v>0</v>
      </c>
      <c r="AW33" s="18"/>
      <c r="AX33" s="28"/>
      <c r="AY33" s="28" t="str">
        <f t="shared" si="67"/>
        <v>Taxe de Développement Artisanal (TDA) (+)</v>
      </c>
      <c r="AZ33" s="29">
        <f t="shared" ref="AZ33:BK33" ca="1" si="80">SUM(AZ34:AZ49)</f>
        <v>0</v>
      </c>
      <c r="BA33" s="29">
        <f t="shared" ca="1" si="80"/>
        <v>0</v>
      </c>
      <c r="BB33" s="29">
        <f t="shared" ca="1" si="80"/>
        <v>0</v>
      </c>
      <c r="BC33" s="29">
        <f t="shared" ca="1" si="80"/>
        <v>0</v>
      </c>
      <c r="BD33" s="29">
        <f t="shared" ca="1" si="80"/>
        <v>0</v>
      </c>
      <c r="BE33" s="29">
        <f t="shared" ca="1" si="80"/>
        <v>0</v>
      </c>
      <c r="BF33" s="29">
        <f t="shared" ca="1" si="80"/>
        <v>0</v>
      </c>
      <c r="BG33" s="29">
        <f t="shared" ca="1" si="80"/>
        <v>0</v>
      </c>
      <c r="BH33" s="29">
        <f t="shared" ca="1" si="80"/>
        <v>0</v>
      </c>
      <c r="BI33" s="29">
        <f t="shared" ca="1" si="80"/>
        <v>0</v>
      </c>
      <c r="BJ33" s="29">
        <f t="shared" ca="1" si="80"/>
        <v>0</v>
      </c>
      <c r="BK33" s="29">
        <f t="shared" ca="1" si="80"/>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6"/>
        <v>0</v>
      </c>
      <c r="G34" s="114">
        <f t="shared" si="57"/>
        <v>0</v>
      </c>
      <c r="H34" s="114"/>
      <c r="I34" s="114"/>
      <c r="J34" s="114">
        <f t="shared" ca="1" si="58"/>
        <v>0</v>
      </c>
      <c r="K34" s="114">
        <f t="shared" ca="1" si="59"/>
        <v>0</v>
      </c>
      <c r="L34" s="114"/>
      <c r="M34" s="114">
        <f t="shared" ca="1" si="60"/>
        <v>0</v>
      </c>
      <c r="N34" s="18"/>
      <c r="O34" s="38" t="str">
        <f t="shared" ca="1" si="46"/>
        <v/>
      </c>
      <c r="P34" s="39" t="str">
        <f t="shared" ca="1" si="47"/>
        <v/>
      </c>
      <c r="Q34" s="35"/>
      <c r="R34" s="43"/>
      <c r="S34" s="27"/>
      <c r="Y34" s="15">
        <f t="shared" ref="Y34:Y48" si="81">B37</f>
        <v>25</v>
      </c>
      <c r="Z34" s="25" t="str">
        <f t="shared" si="63"/>
        <v>Amendes et pénalités payées à la DGID (+)</v>
      </c>
      <c r="AA34" s="16">
        <f t="shared" ref="AA34:AI46" si="82">SUMPRODUCT(($A$84:$A$747=$Y34&amp;"- "&amp;$Z34)*($C$84:$C$747=AA$1)*($G$84:$G$747))</f>
        <v>0</v>
      </c>
      <c r="AB34" s="16">
        <f t="shared" si="82"/>
        <v>0</v>
      </c>
      <c r="AC34" s="16">
        <f t="shared" si="82"/>
        <v>0</v>
      </c>
      <c r="AD34" s="16">
        <f t="shared" si="82"/>
        <v>0</v>
      </c>
      <c r="AE34" s="16">
        <f t="shared" si="82"/>
        <v>0</v>
      </c>
      <c r="AF34" s="16">
        <f t="shared" si="82"/>
        <v>0</v>
      </c>
      <c r="AG34" s="16">
        <f t="shared" si="82"/>
        <v>0</v>
      </c>
      <c r="AH34" s="16">
        <f t="shared" si="82"/>
        <v>0</v>
      </c>
      <c r="AI34" s="16">
        <f t="shared" si="82"/>
        <v>0</v>
      </c>
      <c r="AJ34" s="16">
        <f t="shared" ref="AJ34:AJ49" si="83">SUM(AA34:AI34)</f>
        <v>0</v>
      </c>
      <c r="AK34" s="21"/>
      <c r="AL34" s="17">
        <f t="shared" ref="AL34:AL48" si="84">+B37</f>
        <v>25</v>
      </c>
      <c r="AM34" s="26" t="str">
        <f t="shared" si="65"/>
        <v>Amendes et pénalités payées à la DGID (+)</v>
      </c>
      <c r="AN34" s="18">
        <f t="shared" ref="AN34:AU46" si="85">SUMPRODUCT(($J$84:$M$744=$AL34&amp;"- "&amp;$AM34)*($N$84:$N$744=AN$1)*($Q$84:$Q$744))</f>
        <v>0</v>
      </c>
      <c r="AO34" s="18">
        <f t="shared" si="85"/>
        <v>0</v>
      </c>
      <c r="AP34" s="18">
        <f t="shared" si="85"/>
        <v>0</v>
      </c>
      <c r="AQ34" s="18">
        <f t="shared" si="85"/>
        <v>0</v>
      </c>
      <c r="AR34" s="18">
        <f t="shared" si="85"/>
        <v>0</v>
      </c>
      <c r="AS34" s="18">
        <f t="shared" si="85"/>
        <v>0</v>
      </c>
      <c r="AT34" s="18">
        <f t="shared" si="85"/>
        <v>0</v>
      </c>
      <c r="AU34" s="18">
        <f t="shared" si="85"/>
        <v>0</v>
      </c>
      <c r="AV34" s="18">
        <f t="shared" ref="AV34:AV49" si="86">SUM(AN34:AU34)</f>
        <v>0</v>
      </c>
      <c r="AW34" s="18"/>
      <c r="AX34" s="17">
        <f t="shared" ref="AX34:AX48" si="87">B37</f>
        <v>25</v>
      </c>
      <c r="AY34" s="26" t="str">
        <f t="shared" si="67"/>
        <v>Amendes et pénalités payées à la DGID (+)</v>
      </c>
      <c r="AZ34" s="18">
        <f t="shared" ref="AZ34:BK46" ca="1" si="88">SUMPRODUCT(($C$10:$C$75=$AY34)*($N$10:$N$75=AZ$1)*($M$10:$M$75))</f>
        <v>0</v>
      </c>
      <c r="BA34" s="18">
        <f t="shared" ca="1" si="88"/>
        <v>0</v>
      </c>
      <c r="BB34" s="18">
        <f t="shared" ca="1" si="88"/>
        <v>0</v>
      </c>
      <c r="BC34" s="18">
        <f t="shared" ca="1" si="88"/>
        <v>0</v>
      </c>
      <c r="BD34" s="18">
        <f t="shared" ca="1" si="88"/>
        <v>0</v>
      </c>
      <c r="BE34" s="18">
        <f t="shared" ca="1" si="88"/>
        <v>0</v>
      </c>
      <c r="BF34" s="18">
        <f t="shared" ca="1" si="88"/>
        <v>0</v>
      </c>
      <c r="BG34" s="18">
        <f t="shared" ca="1" si="88"/>
        <v>0</v>
      </c>
      <c r="BH34" s="18">
        <f t="shared" ca="1" si="88"/>
        <v>0</v>
      </c>
      <c r="BI34" s="18">
        <f t="shared" ca="1" si="88"/>
        <v>0</v>
      </c>
      <c r="BJ34" s="18">
        <f t="shared" ca="1" si="88"/>
        <v>0</v>
      </c>
      <c r="BK34" s="18">
        <f t="shared" ca="1" si="88"/>
        <v>0</v>
      </c>
    </row>
    <row r="35" spans="1:63">
      <c r="A35" s="80">
        <f t="shared" si="29"/>
        <v>23</v>
      </c>
      <c r="B35" s="64">
        <f>+'Taxes RCA 2022'!A28</f>
        <v>23</v>
      </c>
      <c r="C35" s="68" t="str">
        <f>+'Taxes RCA 2022'!B28</f>
        <v>Impôt sur les revenus des capitaux mobiliers (RCM) (+)</v>
      </c>
      <c r="E35" s="165"/>
      <c r="F35" s="165">
        <f t="shared" si="56"/>
        <v>0</v>
      </c>
      <c r="G35" s="165">
        <f t="shared" si="57"/>
        <v>0</v>
      </c>
      <c r="H35" s="114"/>
      <c r="I35" s="165"/>
      <c r="J35" s="165">
        <f t="shared" ca="1" si="58"/>
        <v>0</v>
      </c>
      <c r="K35" s="165">
        <f t="shared" ca="1" si="59"/>
        <v>0</v>
      </c>
      <c r="L35" s="114"/>
      <c r="M35" s="165">
        <f t="shared" ca="1" si="60"/>
        <v>0</v>
      </c>
      <c r="N35" s="68"/>
      <c r="O35" s="71" t="str">
        <f t="shared" ca="1" si="46"/>
        <v/>
      </c>
      <c r="P35" s="72" t="str">
        <f t="shared" ca="1" si="47"/>
        <v/>
      </c>
      <c r="Q35" s="73"/>
      <c r="Y35" s="15">
        <f t="shared" si="81"/>
        <v>26</v>
      </c>
      <c r="Z35" s="25" t="str">
        <f t="shared" si="63"/>
        <v>Redevance de déboisement (+)</v>
      </c>
      <c r="AA35" s="16">
        <f t="shared" si="82"/>
        <v>0</v>
      </c>
      <c r="AB35" s="16">
        <f t="shared" si="82"/>
        <v>0</v>
      </c>
      <c r="AC35" s="16">
        <f t="shared" si="82"/>
        <v>0</v>
      </c>
      <c r="AD35" s="16">
        <f t="shared" si="82"/>
        <v>0</v>
      </c>
      <c r="AE35" s="16">
        <f t="shared" si="82"/>
        <v>0</v>
      </c>
      <c r="AF35" s="16">
        <f t="shared" si="82"/>
        <v>0</v>
      </c>
      <c r="AG35" s="16">
        <f t="shared" si="82"/>
        <v>0</v>
      </c>
      <c r="AH35" s="16">
        <f t="shared" si="82"/>
        <v>0</v>
      </c>
      <c r="AI35" s="16">
        <f t="shared" si="82"/>
        <v>0</v>
      </c>
      <c r="AJ35" s="16">
        <f t="shared" si="83"/>
        <v>0</v>
      </c>
      <c r="AK35" s="20"/>
      <c r="AL35" s="17">
        <f t="shared" si="84"/>
        <v>26</v>
      </c>
      <c r="AM35" s="26" t="str">
        <f t="shared" si="65"/>
        <v>Redevance de déboisement (+)</v>
      </c>
      <c r="AN35" s="18">
        <f t="shared" si="85"/>
        <v>0</v>
      </c>
      <c r="AO35" s="18">
        <f t="shared" si="85"/>
        <v>0</v>
      </c>
      <c r="AP35" s="18">
        <f t="shared" si="85"/>
        <v>0</v>
      </c>
      <c r="AQ35" s="18">
        <f t="shared" si="85"/>
        <v>0</v>
      </c>
      <c r="AR35" s="18">
        <f t="shared" si="85"/>
        <v>0</v>
      </c>
      <c r="AS35" s="18">
        <f t="shared" si="85"/>
        <v>0</v>
      </c>
      <c r="AT35" s="18">
        <f t="shared" si="85"/>
        <v>0</v>
      </c>
      <c r="AU35" s="18">
        <f t="shared" si="85"/>
        <v>0</v>
      </c>
      <c r="AV35" s="18">
        <f t="shared" si="86"/>
        <v>0</v>
      </c>
      <c r="AW35" s="18"/>
      <c r="AX35" s="17">
        <f t="shared" si="87"/>
        <v>26</v>
      </c>
      <c r="AY35" s="26" t="str">
        <f t="shared" si="67"/>
        <v>Redevance de déboisement (+)</v>
      </c>
      <c r="AZ35" s="18">
        <f t="shared" ca="1" si="88"/>
        <v>0</v>
      </c>
      <c r="BA35" s="18">
        <f t="shared" ca="1" si="88"/>
        <v>0</v>
      </c>
      <c r="BB35" s="18">
        <f t="shared" ca="1" si="88"/>
        <v>0</v>
      </c>
      <c r="BC35" s="18">
        <f t="shared" ca="1" si="88"/>
        <v>0</v>
      </c>
      <c r="BD35" s="18">
        <f t="shared" ca="1" si="88"/>
        <v>0</v>
      </c>
      <c r="BE35" s="18">
        <f t="shared" ca="1" si="88"/>
        <v>0</v>
      </c>
      <c r="BF35" s="18">
        <f t="shared" ca="1" si="88"/>
        <v>0</v>
      </c>
      <c r="BG35" s="18">
        <f t="shared" ca="1" si="88"/>
        <v>0</v>
      </c>
      <c r="BH35" s="18">
        <f t="shared" ca="1" si="88"/>
        <v>0</v>
      </c>
      <c r="BI35" s="18">
        <f t="shared" ca="1" si="88"/>
        <v>0</v>
      </c>
      <c r="BJ35" s="18">
        <f t="shared" ca="1" si="88"/>
        <v>0</v>
      </c>
      <c r="BK35" s="18">
        <f t="shared" ca="1" si="88"/>
        <v>0</v>
      </c>
    </row>
    <row r="36" spans="1:63">
      <c r="A36" s="80">
        <f t="shared" si="29"/>
        <v>24</v>
      </c>
      <c r="B36" s="53">
        <f>+'Taxes RCA 2022'!A29</f>
        <v>24</v>
      </c>
      <c r="C36" s="18" t="str">
        <f>+'Taxes RCA 2022'!B29</f>
        <v>Taxe de Développement Artisanal (TDA) (+)</v>
      </c>
      <c r="E36" s="114"/>
      <c r="F36" s="114">
        <f t="shared" si="56"/>
        <v>0</v>
      </c>
      <c r="G36" s="114">
        <f t="shared" si="57"/>
        <v>0</v>
      </c>
      <c r="H36" s="114"/>
      <c r="I36" s="114"/>
      <c r="J36" s="114">
        <f t="shared" ca="1" si="58"/>
        <v>0</v>
      </c>
      <c r="K36" s="114">
        <f t="shared" ca="1" si="59"/>
        <v>0</v>
      </c>
      <c r="L36" s="114"/>
      <c r="M36" s="114">
        <f t="shared" ca="1" si="60"/>
        <v>0</v>
      </c>
      <c r="N36" s="18"/>
      <c r="O36" s="38"/>
      <c r="P36" s="39"/>
      <c r="Q36" s="35"/>
      <c r="S36" s="18"/>
      <c r="Y36" s="15">
        <f t="shared" si="81"/>
        <v>27</v>
      </c>
      <c r="Z36" s="25" t="str">
        <f t="shared" si="63"/>
        <v>Redevance de pré reconnaissance (+)</v>
      </c>
      <c r="AA36" s="16">
        <f t="shared" si="82"/>
        <v>0</v>
      </c>
      <c r="AB36" s="16">
        <f t="shared" si="82"/>
        <v>0</v>
      </c>
      <c r="AC36" s="16">
        <f t="shared" si="82"/>
        <v>0</v>
      </c>
      <c r="AD36" s="16">
        <f t="shared" si="82"/>
        <v>0</v>
      </c>
      <c r="AE36" s="16">
        <f t="shared" si="82"/>
        <v>0</v>
      </c>
      <c r="AF36" s="16">
        <f t="shared" si="82"/>
        <v>0</v>
      </c>
      <c r="AG36" s="16">
        <f t="shared" si="82"/>
        <v>0</v>
      </c>
      <c r="AH36" s="16">
        <f t="shared" si="82"/>
        <v>0</v>
      </c>
      <c r="AI36" s="16">
        <f t="shared" si="82"/>
        <v>0</v>
      </c>
      <c r="AJ36" s="16">
        <f t="shared" si="83"/>
        <v>0</v>
      </c>
      <c r="AL36" s="17">
        <f t="shared" si="84"/>
        <v>27</v>
      </c>
      <c r="AM36" s="26" t="str">
        <f t="shared" si="65"/>
        <v>Redevance de pré reconnaissance (+)</v>
      </c>
      <c r="AN36" s="18">
        <f t="shared" si="85"/>
        <v>0</v>
      </c>
      <c r="AO36" s="18">
        <f t="shared" si="85"/>
        <v>0</v>
      </c>
      <c r="AP36" s="18">
        <f t="shared" si="85"/>
        <v>0</v>
      </c>
      <c r="AQ36" s="18">
        <f t="shared" si="85"/>
        <v>0</v>
      </c>
      <c r="AR36" s="18">
        <f t="shared" si="85"/>
        <v>0</v>
      </c>
      <c r="AS36" s="18">
        <f t="shared" si="85"/>
        <v>0</v>
      </c>
      <c r="AT36" s="18">
        <f t="shared" si="85"/>
        <v>0</v>
      </c>
      <c r="AU36" s="18">
        <f t="shared" si="85"/>
        <v>0</v>
      </c>
      <c r="AV36" s="18">
        <f t="shared" si="86"/>
        <v>0</v>
      </c>
      <c r="AW36" s="18"/>
      <c r="AX36" s="17">
        <f t="shared" si="87"/>
        <v>27</v>
      </c>
      <c r="AY36" s="26" t="str">
        <f t="shared" si="67"/>
        <v>Redevance de pré reconnaissance (+)</v>
      </c>
      <c r="AZ36" s="18">
        <f t="shared" ca="1" si="88"/>
        <v>0</v>
      </c>
      <c r="BA36" s="18">
        <f t="shared" ca="1" si="88"/>
        <v>0</v>
      </c>
      <c r="BB36" s="18">
        <f t="shared" ca="1" si="88"/>
        <v>0</v>
      </c>
      <c r="BC36" s="18">
        <f t="shared" ca="1" si="88"/>
        <v>0</v>
      </c>
      <c r="BD36" s="18">
        <f t="shared" ca="1" si="88"/>
        <v>0</v>
      </c>
      <c r="BE36" s="18">
        <f t="shared" ca="1" si="88"/>
        <v>0</v>
      </c>
      <c r="BF36" s="18">
        <f t="shared" ca="1" si="88"/>
        <v>0</v>
      </c>
      <c r="BG36" s="18">
        <f t="shared" ca="1" si="88"/>
        <v>0</v>
      </c>
      <c r="BH36" s="18">
        <f t="shared" ca="1" si="88"/>
        <v>0</v>
      </c>
      <c r="BI36" s="18">
        <f t="shared" ca="1" si="88"/>
        <v>0</v>
      </c>
      <c r="BJ36" s="18">
        <f t="shared" ca="1" si="88"/>
        <v>0</v>
      </c>
      <c r="BK36" s="18">
        <f t="shared" ca="1" si="88"/>
        <v>0</v>
      </c>
    </row>
    <row r="37" spans="1:63">
      <c r="A37" s="80">
        <f t="shared" si="29"/>
        <v>25</v>
      </c>
      <c r="B37" s="64">
        <f>+'Taxes RCA 2022'!A30</f>
        <v>25</v>
      </c>
      <c r="C37" s="68" t="str">
        <f>+'Taxes RCA 2022'!B30</f>
        <v>Amendes et pénalités payées à la DGID (+)</v>
      </c>
      <c r="E37" s="165"/>
      <c r="F37" s="165">
        <f t="shared" si="56"/>
        <v>0</v>
      </c>
      <c r="G37" s="165">
        <f t="shared" si="57"/>
        <v>0</v>
      </c>
      <c r="H37" s="114"/>
      <c r="I37" s="165"/>
      <c r="J37" s="165">
        <f t="shared" ca="1" si="58"/>
        <v>0</v>
      </c>
      <c r="K37" s="165">
        <f t="shared" ca="1" si="59"/>
        <v>0</v>
      </c>
      <c r="L37" s="114"/>
      <c r="M37" s="165">
        <f t="shared" ca="1" si="60"/>
        <v>0</v>
      </c>
      <c r="N37" s="68"/>
      <c r="O37" s="38" t="str">
        <f t="shared" ca="1" si="46"/>
        <v/>
      </c>
      <c r="P37" s="39" t="str">
        <f t="shared" ref="P37:P51" ca="1" si="89">IF(O37="ERROR","Please insert comment","")</f>
        <v/>
      </c>
      <c r="Q37" s="35"/>
      <c r="Y37" s="15">
        <f t="shared" si="81"/>
        <v>0</v>
      </c>
      <c r="Z37" s="25" t="str">
        <f t="shared" si="63"/>
        <v>DGTCP (MMG)</v>
      </c>
      <c r="AA37" s="16">
        <f t="shared" si="82"/>
        <v>0</v>
      </c>
      <c r="AB37" s="16">
        <f t="shared" si="82"/>
        <v>0</v>
      </c>
      <c r="AC37" s="16">
        <f t="shared" si="82"/>
        <v>0</v>
      </c>
      <c r="AD37" s="16">
        <f t="shared" si="82"/>
        <v>0</v>
      </c>
      <c r="AE37" s="16">
        <f t="shared" si="82"/>
        <v>0</v>
      </c>
      <c r="AF37" s="16">
        <f t="shared" si="82"/>
        <v>0</v>
      </c>
      <c r="AG37" s="16">
        <f t="shared" si="82"/>
        <v>0</v>
      </c>
      <c r="AH37" s="16">
        <f t="shared" si="82"/>
        <v>0</v>
      </c>
      <c r="AI37" s="16">
        <f t="shared" si="82"/>
        <v>0</v>
      </c>
      <c r="AJ37" s="16">
        <f t="shared" si="83"/>
        <v>0</v>
      </c>
      <c r="AL37" s="17">
        <f t="shared" si="84"/>
        <v>0</v>
      </c>
      <c r="AM37" s="26" t="str">
        <f t="shared" si="65"/>
        <v>DGTCP (MMG)</v>
      </c>
      <c r="AN37" s="18">
        <f t="shared" si="85"/>
        <v>0</v>
      </c>
      <c r="AO37" s="18">
        <f t="shared" si="85"/>
        <v>0</v>
      </c>
      <c r="AP37" s="18">
        <f t="shared" si="85"/>
        <v>0</v>
      </c>
      <c r="AQ37" s="18">
        <f t="shared" si="85"/>
        <v>0</v>
      </c>
      <c r="AR37" s="18">
        <f t="shared" si="85"/>
        <v>0</v>
      </c>
      <c r="AS37" s="18">
        <f t="shared" si="85"/>
        <v>0</v>
      </c>
      <c r="AT37" s="18">
        <f t="shared" si="85"/>
        <v>0</v>
      </c>
      <c r="AU37" s="18">
        <f t="shared" si="85"/>
        <v>0</v>
      </c>
      <c r="AV37" s="18">
        <f t="shared" si="86"/>
        <v>0</v>
      </c>
      <c r="AW37" s="18"/>
      <c r="AX37" s="17">
        <f t="shared" si="87"/>
        <v>0</v>
      </c>
      <c r="AY37" s="26" t="str">
        <f t="shared" si="67"/>
        <v>DGTCP (MMG)</v>
      </c>
      <c r="AZ37" s="18">
        <f t="shared" ca="1" si="88"/>
        <v>0</v>
      </c>
      <c r="BA37" s="18">
        <f t="shared" ca="1" si="88"/>
        <v>0</v>
      </c>
      <c r="BB37" s="18">
        <f t="shared" ca="1" si="88"/>
        <v>0</v>
      </c>
      <c r="BC37" s="18">
        <f t="shared" ca="1" si="88"/>
        <v>0</v>
      </c>
      <c r="BD37" s="18">
        <f t="shared" ca="1" si="88"/>
        <v>0</v>
      </c>
      <c r="BE37" s="18">
        <f t="shared" ca="1" si="88"/>
        <v>0</v>
      </c>
      <c r="BF37" s="18">
        <f t="shared" ca="1" si="88"/>
        <v>0</v>
      </c>
      <c r="BG37" s="18">
        <f t="shared" ca="1" si="88"/>
        <v>0</v>
      </c>
      <c r="BH37" s="18">
        <f t="shared" ca="1" si="88"/>
        <v>0</v>
      </c>
      <c r="BI37" s="18">
        <f t="shared" ca="1" si="88"/>
        <v>0</v>
      </c>
      <c r="BJ37" s="18">
        <f t="shared" ca="1" si="88"/>
        <v>0</v>
      </c>
      <c r="BK37" s="18">
        <f t="shared" ca="1" si="88"/>
        <v>0</v>
      </c>
    </row>
    <row r="38" spans="1:63">
      <c r="A38" s="80">
        <f t="shared" si="29"/>
        <v>26</v>
      </c>
      <c r="B38" s="53">
        <f>+'Taxes RCA 2022'!A31</f>
        <v>26</v>
      </c>
      <c r="C38" s="18" t="str">
        <f>+'Taxes RCA 2022'!B31</f>
        <v>Redevance de déboisement (+)</v>
      </c>
      <c r="E38" s="114"/>
      <c r="F38" s="114">
        <f t="shared" si="56"/>
        <v>0</v>
      </c>
      <c r="G38" s="114">
        <f t="shared" si="57"/>
        <v>0</v>
      </c>
      <c r="H38" s="114"/>
      <c r="I38" s="114"/>
      <c r="J38" s="114">
        <f t="shared" ca="1" si="58"/>
        <v>0</v>
      </c>
      <c r="K38" s="114">
        <f t="shared" ca="1" si="59"/>
        <v>0</v>
      </c>
      <c r="L38" s="114"/>
      <c r="M38" s="114">
        <f t="shared" ca="1" si="60"/>
        <v>0</v>
      </c>
      <c r="N38" s="18"/>
      <c r="O38" s="38" t="str">
        <f t="shared" ca="1" si="46"/>
        <v/>
      </c>
      <c r="P38" s="39" t="str">
        <f t="shared" ca="1" si="89"/>
        <v/>
      </c>
      <c r="Q38" s="35"/>
      <c r="Y38" s="15">
        <f t="shared" si="81"/>
        <v>28</v>
      </c>
      <c r="Z38" s="25" t="str">
        <f t="shared" si="63"/>
        <v>Contribution à la formation professionnelle et à la formation des cadres de l'Administration des Mines (+)</v>
      </c>
      <c r="AA38" s="16">
        <f t="shared" si="82"/>
        <v>0</v>
      </c>
      <c r="AB38" s="16">
        <f t="shared" si="82"/>
        <v>0</v>
      </c>
      <c r="AC38" s="16">
        <f t="shared" si="82"/>
        <v>0</v>
      </c>
      <c r="AD38" s="16">
        <f t="shared" si="82"/>
        <v>0</v>
      </c>
      <c r="AE38" s="16">
        <f t="shared" si="82"/>
        <v>0</v>
      </c>
      <c r="AF38" s="16">
        <f t="shared" si="82"/>
        <v>0</v>
      </c>
      <c r="AG38" s="16">
        <f t="shared" si="82"/>
        <v>0</v>
      </c>
      <c r="AH38" s="16">
        <f t="shared" si="82"/>
        <v>0</v>
      </c>
      <c r="AI38" s="16">
        <f t="shared" si="82"/>
        <v>0</v>
      </c>
      <c r="AJ38" s="16">
        <f t="shared" si="83"/>
        <v>0</v>
      </c>
      <c r="AL38" s="17">
        <f t="shared" si="84"/>
        <v>28</v>
      </c>
      <c r="AM38" s="26" t="str">
        <f t="shared" si="65"/>
        <v>Contribution à la formation professionnelle et à la formation des cadres de l'Administration des Mines (+)</v>
      </c>
      <c r="AN38" s="18">
        <f t="shared" si="85"/>
        <v>0</v>
      </c>
      <c r="AO38" s="18">
        <f t="shared" si="85"/>
        <v>0</v>
      </c>
      <c r="AP38" s="18">
        <f t="shared" si="85"/>
        <v>0</v>
      </c>
      <c r="AQ38" s="18">
        <f t="shared" si="85"/>
        <v>0</v>
      </c>
      <c r="AR38" s="18">
        <f t="shared" si="85"/>
        <v>0</v>
      </c>
      <c r="AS38" s="18">
        <f t="shared" si="85"/>
        <v>0</v>
      </c>
      <c r="AT38" s="18">
        <f t="shared" si="85"/>
        <v>0</v>
      </c>
      <c r="AU38" s="18">
        <f t="shared" si="85"/>
        <v>0</v>
      </c>
      <c r="AV38" s="18">
        <f t="shared" si="86"/>
        <v>0</v>
      </c>
      <c r="AW38" s="18"/>
      <c r="AX38" s="17">
        <f t="shared" si="87"/>
        <v>28</v>
      </c>
      <c r="AY38" s="26" t="str">
        <f t="shared" si="67"/>
        <v>Contribution à la formation professionnelle et à la formation des cadres de l'Administration des Mines (+)</v>
      </c>
      <c r="AZ38" s="18">
        <f t="shared" ca="1" si="88"/>
        <v>0</v>
      </c>
      <c r="BA38" s="18">
        <f t="shared" ca="1" si="88"/>
        <v>0</v>
      </c>
      <c r="BB38" s="18">
        <f t="shared" ca="1" si="88"/>
        <v>0</v>
      </c>
      <c r="BC38" s="18">
        <f t="shared" ca="1" si="88"/>
        <v>0</v>
      </c>
      <c r="BD38" s="18">
        <f t="shared" ca="1" si="88"/>
        <v>0</v>
      </c>
      <c r="BE38" s="18">
        <f t="shared" ca="1" si="88"/>
        <v>0</v>
      </c>
      <c r="BF38" s="18">
        <f t="shared" ca="1" si="88"/>
        <v>0</v>
      </c>
      <c r="BG38" s="18">
        <f t="shared" ca="1" si="88"/>
        <v>0</v>
      </c>
      <c r="BH38" s="18">
        <f t="shared" ca="1" si="88"/>
        <v>0</v>
      </c>
      <c r="BI38" s="18">
        <f t="shared" ca="1" si="88"/>
        <v>0</v>
      </c>
      <c r="BJ38" s="18">
        <f t="shared" ca="1" si="88"/>
        <v>0</v>
      </c>
      <c r="BK38" s="18">
        <f t="shared" ca="1" si="88"/>
        <v>0</v>
      </c>
    </row>
    <row r="39" spans="1:63">
      <c r="A39" s="80">
        <f t="shared" si="29"/>
        <v>27</v>
      </c>
      <c r="B39" s="64">
        <f>+'Taxes RCA 2022'!A32</f>
        <v>27</v>
      </c>
      <c r="C39" s="68" t="str">
        <f>+'Taxes RCA 2022'!B32</f>
        <v>Redevance de pré reconnaissance (+)</v>
      </c>
      <c r="E39" s="165"/>
      <c r="F39" s="165">
        <f t="shared" si="56"/>
        <v>0</v>
      </c>
      <c r="G39" s="165">
        <f t="shared" si="57"/>
        <v>0</v>
      </c>
      <c r="H39" s="114"/>
      <c r="I39" s="165"/>
      <c r="J39" s="165">
        <f t="shared" ca="1" si="58"/>
        <v>0</v>
      </c>
      <c r="K39" s="165">
        <f t="shared" ca="1" si="59"/>
        <v>0</v>
      </c>
      <c r="L39" s="114"/>
      <c r="M39" s="165">
        <f t="shared" ca="1" si="60"/>
        <v>0</v>
      </c>
      <c r="N39" s="68"/>
      <c r="O39" s="38" t="str">
        <f t="shared" ca="1" si="46"/>
        <v/>
      </c>
      <c r="P39" s="39" t="str">
        <f t="shared" ca="1" si="89"/>
        <v/>
      </c>
      <c r="Q39" s="35"/>
      <c r="Y39" s="15">
        <f t="shared" si="81"/>
        <v>29</v>
      </c>
      <c r="Z39" s="25" t="str">
        <f t="shared" si="63"/>
        <v>Droits d'attributions</v>
      </c>
      <c r="AA39" s="16">
        <f t="shared" si="82"/>
        <v>0</v>
      </c>
      <c r="AB39" s="16">
        <f t="shared" si="82"/>
        <v>0</v>
      </c>
      <c r="AC39" s="16">
        <f t="shared" si="82"/>
        <v>0</v>
      </c>
      <c r="AD39" s="16">
        <f t="shared" si="82"/>
        <v>0</v>
      </c>
      <c r="AE39" s="16">
        <f t="shared" si="82"/>
        <v>0</v>
      </c>
      <c r="AF39" s="16">
        <f t="shared" si="82"/>
        <v>0</v>
      </c>
      <c r="AG39" s="16">
        <f t="shared" si="82"/>
        <v>0</v>
      </c>
      <c r="AH39" s="16">
        <f t="shared" si="82"/>
        <v>0</v>
      </c>
      <c r="AI39" s="16">
        <f t="shared" si="82"/>
        <v>0</v>
      </c>
      <c r="AJ39" s="16">
        <f t="shared" si="83"/>
        <v>0</v>
      </c>
      <c r="AL39" s="17">
        <f t="shared" si="84"/>
        <v>29</v>
      </c>
      <c r="AM39" s="26" t="str">
        <f t="shared" si="65"/>
        <v>Droits d'attributions</v>
      </c>
      <c r="AN39" s="18">
        <f t="shared" si="85"/>
        <v>0</v>
      </c>
      <c r="AO39" s="18">
        <f t="shared" si="85"/>
        <v>0</v>
      </c>
      <c r="AP39" s="18">
        <f t="shared" si="85"/>
        <v>0</v>
      </c>
      <c r="AQ39" s="18">
        <f t="shared" si="85"/>
        <v>0</v>
      </c>
      <c r="AR39" s="18">
        <f t="shared" si="85"/>
        <v>0</v>
      </c>
      <c r="AS39" s="18">
        <f t="shared" si="85"/>
        <v>0</v>
      </c>
      <c r="AT39" s="18">
        <f t="shared" si="85"/>
        <v>0</v>
      </c>
      <c r="AU39" s="18">
        <f t="shared" si="85"/>
        <v>0</v>
      </c>
      <c r="AV39" s="18">
        <f t="shared" si="86"/>
        <v>0</v>
      </c>
      <c r="AW39" s="18"/>
      <c r="AX39" s="17">
        <f t="shared" si="87"/>
        <v>29</v>
      </c>
      <c r="AY39" s="26" t="str">
        <f t="shared" si="67"/>
        <v>Droits d'attributions</v>
      </c>
      <c r="AZ39" s="18">
        <f t="shared" ca="1" si="88"/>
        <v>0</v>
      </c>
      <c r="BA39" s="18">
        <f t="shared" ca="1" si="88"/>
        <v>0</v>
      </c>
      <c r="BB39" s="18">
        <f t="shared" ca="1" si="88"/>
        <v>0</v>
      </c>
      <c r="BC39" s="18">
        <f t="shared" ca="1" si="88"/>
        <v>0</v>
      </c>
      <c r="BD39" s="18">
        <f t="shared" ca="1" si="88"/>
        <v>0</v>
      </c>
      <c r="BE39" s="18">
        <f t="shared" ca="1" si="88"/>
        <v>0</v>
      </c>
      <c r="BF39" s="18">
        <f t="shared" ca="1" si="88"/>
        <v>0</v>
      </c>
      <c r="BG39" s="18">
        <f t="shared" ca="1" si="88"/>
        <v>0</v>
      </c>
      <c r="BH39" s="18">
        <f t="shared" ca="1" si="88"/>
        <v>0</v>
      </c>
      <c r="BI39" s="18">
        <f t="shared" ca="1" si="88"/>
        <v>0</v>
      </c>
      <c r="BJ39" s="18">
        <f t="shared" ca="1" si="88"/>
        <v>0</v>
      </c>
      <c r="BK39" s="18">
        <f t="shared" ca="1" si="88"/>
        <v>0</v>
      </c>
    </row>
    <row r="40" spans="1:63">
      <c r="A40" s="80">
        <f t="shared" si="29"/>
        <v>0</v>
      </c>
      <c r="B40" s="163"/>
      <c r="C40" s="58" t="str">
        <f>+'Taxes RCA 2022'!B33</f>
        <v>DGTCP (MMG)</v>
      </c>
      <c r="E40" s="166">
        <f>SUM(E41:E44)</f>
        <v>0</v>
      </c>
      <c r="F40" s="166">
        <f>SUM(F41:F44)</f>
        <v>0</v>
      </c>
      <c r="G40" s="166">
        <f>SUM(G41:G44)</f>
        <v>0</v>
      </c>
      <c r="H40" s="114"/>
      <c r="I40" s="166">
        <f>SUM(I41:I44)</f>
        <v>5599586.6500000004</v>
      </c>
      <c r="J40" s="166">
        <f ca="1">SUM(J41:J44)</f>
        <v>0</v>
      </c>
      <c r="K40" s="166">
        <f ca="1">SUM(K41:K44)</f>
        <v>5599586.6500000004</v>
      </c>
      <c r="L40" s="114"/>
      <c r="M40" s="166">
        <f ca="1">SUM(M41:M44)</f>
        <v>-5599586.6500000004</v>
      </c>
      <c r="N40" s="58"/>
      <c r="O40" s="38" t="str">
        <f t="shared" ca="1" si="46"/>
        <v>ERROR</v>
      </c>
      <c r="P40" s="39" t="str">
        <f t="shared" ca="1" si="89"/>
        <v>Please insert comment</v>
      </c>
      <c r="Q40" s="35"/>
      <c r="Y40" s="15">
        <f>B78</f>
        <v>56</v>
      </c>
      <c r="Z40" s="25" t="str">
        <f>C78</f>
        <v xml:space="preserve">Secrétariat permanent du processus de Kimberley (SPPK)  </v>
      </c>
      <c r="AA40" s="16">
        <f t="shared" si="82"/>
        <v>0</v>
      </c>
      <c r="AB40" s="16">
        <f t="shared" si="82"/>
        <v>0</v>
      </c>
      <c r="AC40" s="16">
        <f t="shared" si="82"/>
        <v>0</v>
      </c>
      <c r="AD40" s="16">
        <f t="shared" si="82"/>
        <v>0</v>
      </c>
      <c r="AE40" s="16">
        <f t="shared" si="82"/>
        <v>0</v>
      </c>
      <c r="AF40" s="16">
        <f t="shared" si="82"/>
        <v>0</v>
      </c>
      <c r="AG40" s="16">
        <f t="shared" si="82"/>
        <v>0</v>
      </c>
      <c r="AH40" s="16">
        <f t="shared" si="82"/>
        <v>0</v>
      </c>
      <c r="AI40" s="16">
        <f t="shared" si="82"/>
        <v>0</v>
      </c>
      <c r="AJ40" s="16">
        <f t="shared" si="83"/>
        <v>0</v>
      </c>
      <c r="AL40" s="17">
        <f>+B78</f>
        <v>56</v>
      </c>
      <c r="AM40" s="26" t="str">
        <f>+C78</f>
        <v xml:space="preserve">Secrétariat permanent du processus de Kimberley (SPPK)  </v>
      </c>
      <c r="AN40" s="18">
        <f t="shared" si="85"/>
        <v>0</v>
      </c>
      <c r="AO40" s="18">
        <f t="shared" si="85"/>
        <v>0</v>
      </c>
      <c r="AP40" s="18">
        <f t="shared" si="85"/>
        <v>0</v>
      </c>
      <c r="AQ40" s="18">
        <f t="shared" si="85"/>
        <v>0</v>
      </c>
      <c r="AR40" s="18">
        <f t="shared" si="85"/>
        <v>0</v>
      </c>
      <c r="AS40" s="18">
        <f t="shared" si="85"/>
        <v>0</v>
      </c>
      <c r="AT40" s="18">
        <f t="shared" si="85"/>
        <v>0</v>
      </c>
      <c r="AU40" s="18">
        <f t="shared" si="85"/>
        <v>0</v>
      </c>
      <c r="AV40" s="18">
        <f t="shared" si="86"/>
        <v>0</v>
      </c>
      <c r="AW40" s="18"/>
      <c r="AX40" s="17">
        <f>B78</f>
        <v>56</v>
      </c>
      <c r="AY40" s="26" t="str">
        <f>C78</f>
        <v xml:space="preserve">Secrétariat permanent du processus de Kimberley (SPPK)  </v>
      </c>
      <c r="AZ40" s="18">
        <f t="shared" ca="1" si="88"/>
        <v>0</v>
      </c>
      <c r="BA40" s="18">
        <f t="shared" ca="1" si="88"/>
        <v>0</v>
      </c>
      <c r="BB40" s="18">
        <f t="shared" ca="1" si="88"/>
        <v>0</v>
      </c>
      <c r="BC40" s="18">
        <f t="shared" ca="1" si="88"/>
        <v>0</v>
      </c>
      <c r="BD40" s="18">
        <f t="shared" ca="1" si="88"/>
        <v>0</v>
      </c>
      <c r="BE40" s="18">
        <f t="shared" ca="1" si="88"/>
        <v>0</v>
      </c>
      <c r="BF40" s="18">
        <f t="shared" ca="1" si="88"/>
        <v>0</v>
      </c>
      <c r="BG40" s="18">
        <f t="shared" ca="1" si="88"/>
        <v>0</v>
      </c>
      <c r="BH40" s="18">
        <f t="shared" ca="1" si="88"/>
        <v>0</v>
      </c>
      <c r="BI40" s="18">
        <f t="shared" ca="1" si="88"/>
        <v>0</v>
      </c>
      <c r="BJ40" s="18">
        <f t="shared" ca="1" si="88"/>
        <v>0</v>
      </c>
      <c r="BK40" s="18">
        <f t="shared" ca="1" si="88"/>
        <v>0</v>
      </c>
    </row>
    <row r="41" spans="1:63">
      <c r="A41" s="80">
        <f t="shared" si="29"/>
        <v>28</v>
      </c>
      <c r="B41" s="53">
        <f>+'Taxes RCA 2022'!A34</f>
        <v>28</v>
      </c>
      <c r="C41" s="18" t="str">
        <f>+'Taxes RCA 2022'!B34</f>
        <v>Contribution à la formation professionnelle et à la formation des cadres de l'Administration des Mines (+)</v>
      </c>
      <c r="E41" s="114"/>
      <c r="F41" s="114">
        <f>SUMIF($A$84:$A$747,B41&amp;"- "&amp;C41,$G$84:$G$747)</f>
        <v>0</v>
      </c>
      <c r="G41" s="114">
        <f>E41+F41</f>
        <v>0</v>
      </c>
      <c r="H41" s="114"/>
      <c r="I41" s="114"/>
      <c r="J41" s="114">
        <f ca="1">SUMIF($J$84:$M$745,B41&amp;"- "&amp;C41,$Q$84:$Q$745)</f>
        <v>0</v>
      </c>
      <c r="K41" s="114">
        <f ca="1">I41+J41</f>
        <v>0</v>
      </c>
      <c r="L41" s="114"/>
      <c r="M41" s="114">
        <f ca="1">+G41-K41</f>
        <v>0</v>
      </c>
      <c r="N41" s="18"/>
      <c r="O41" s="38" t="str">
        <f t="shared" ca="1" si="46"/>
        <v/>
      </c>
      <c r="P41" s="39" t="str">
        <f t="shared" ca="1" si="89"/>
        <v/>
      </c>
      <c r="Q41" s="35"/>
      <c r="Y41" s="15">
        <f>B43</f>
        <v>30</v>
      </c>
      <c r="Z41" s="25" t="str">
        <f>C43</f>
        <v xml:space="preserve">Redevance superficiaire   </v>
      </c>
      <c r="AA41" s="16">
        <f t="shared" si="82"/>
        <v>0</v>
      </c>
      <c r="AB41" s="16">
        <f t="shared" si="82"/>
        <v>0</v>
      </c>
      <c r="AC41" s="16">
        <f t="shared" si="82"/>
        <v>0</v>
      </c>
      <c r="AD41" s="16">
        <f t="shared" si="82"/>
        <v>0</v>
      </c>
      <c r="AE41" s="16">
        <f t="shared" si="82"/>
        <v>0</v>
      </c>
      <c r="AF41" s="16">
        <f t="shared" si="82"/>
        <v>0</v>
      </c>
      <c r="AG41" s="16">
        <f t="shared" si="82"/>
        <v>0</v>
      </c>
      <c r="AH41" s="16">
        <f t="shared" si="82"/>
        <v>0</v>
      </c>
      <c r="AI41" s="16">
        <f t="shared" si="82"/>
        <v>0</v>
      </c>
      <c r="AJ41" s="16">
        <f t="shared" si="83"/>
        <v>0</v>
      </c>
      <c r="AL41" s="17">
        <f>+B43</f>
        <v>30</v>
      </c>
      <c r="AM41" s="26" t="str">
        <f>+C43</f>
        <v xml:space="preserve">Redevance superficiaire   </v>
      </c>
      <c r="AN41" s="18">
        <f t="shared" si="85"/>
        <v>0</v>
      </c>
      <c r="AO41" s="18">
        <f t="shared" si="85"/>
        <v>0</v>
      </c>
      <c r="AP41" s="18">
        <f t="shared" si="85"/>
        <v>0</v>
      </c>
      <c r="AQ41" s="18">
        <f t="shared" si="85"/>
        <v>0</v>
      </c>
      <c r="AR41" s="18">
        <f t="shared" si="85"/>
        <v>0</v>
      </c>
      <c r="AS41" s="18">
        <f t="shared" si="85"/>
        <v>0</v>
      </c>
      <c r="AT41" s="18">
        <f t="shared" si="85"/>
        <v>0</v>
      </c>
      <c r="AU41" s="18">
        <f t="shared" si="85"/>
        <v>0</v>
      </c>
      <c r="AV41" s="18">
        <f t="shared" si="86"/>
        <v>0</v>
      </c>
      <c r="AW41" s="18"/>
      <c r="AX41" s="17">
        <f>B43</f>
        <v>30</v>
      </c>
      <c r="AY41" s="26" t="str">
        <f>C43</f>
        <v xml:space="preserve">Redevance superficiaire   </v>
      </c>
      <c r="AZ41" s="18">
        <f t="shared" ca="1" si="88"/>
        <v>0</v>
      </c>
      <c r="BA41" s="18">
        <f t="shared" ca="1" si="88"/>
        <v>0</v>
      </c>
      <c r="BB41" s="18">
        <f t="shared" ca="1" si="88"/>
        <v>0</v>
      </c>
      <c r="BC41" s="18">
        <f t="shared" ca="1" si="88"/>
        <v>0</v>
      </c>
      <c r="BD41" s="18">
        <f t="shared" ca="1" si="88"/>
        <v>0</v>
      </c>
      <c r="BE41" s="18">
        <f t="shared" ca="1" si="88"/>
        <v>0</v>
      </c>
      <c r="BF41" s="18">
        <f t="shared" ca="1" si="88"/>
        <v>0</v>
      </c>
      <c r="BG41" s="18">
        <f t="shared" ca="1" si="88"/>
        <v>0</v>
      </c>
      <c r="BH41" s="18">
        <f t="shared" ca="1" si="88"/>
        <v>0</v>
      </c>
      <c r="BI41" s="18">
        <f t="shared" ca="1" si="88"/>
        <v>0</v>
      </c>
      <c r="BJ41" s="18">
        <f t="shared" ca="1" si="88"/>
        <v>0</v>
      </c>
      <c r="BK41" s="18">
        <f t="shared" ca="1" si="88"/>
        <v>0</v>
      </c>
    </row>
    <row r="42" spans="1:63">
      <c r="A42" s="80">
        <f t="shared" si="29"/>
        <v>29</v>
      </c>
      <c r="B42" s="64">
        <f>+'Taxes RCA 2022'!A35</f>
        <v>29</v>
      </c>
      <c r="C42" s="68" t="str">
        <f>+'Taxes RCA 2022'!B35</f>
        <v>Droits d'attributions</v>
      </c>
      <c r="E42" s="165"/>
      <c r="F42" s="165">
        <f>SUMIF($A$84:$A$747,B42&amp;"- "&amp;C42,$G$84:$G$747)</f>
        <v>0</v>
      </c>
      <c r="G42" s="165">
        <f>E42+F42</f>
        <v>0</v>
      </c>
      <c r="H42" s="114"/>
      <c r="I42" s="165"/>
      <c r="J42" s="165">
        <f ca="1">SUMIF($J$84:$M$745,B42&amp;"- "&amp;C42,$Q$84:$Q$745)</f>
        <v>0</v>
      </c>
      <c r="K42" s="165">
        <f ca="1">I42+J42</f>
        <v>0</v>
      </c>
      <c r="L42" s="114"/>
      <c r="M42" s="165">
        <f ca="1">+G42-K42</f>
        <v>0</v>
      </c>
      <c r="N42" s="68"/>
      <c r="O42" s="38" t="str">
        <f t="shared" ca="1" si="46"/>
        <v/>
      </c>
      <c r="P42" s="39" t="str">
        <f t="shared" ca="1" si="89"/>
        <v/>
      </c>
      <c r="Q42" s="35"/>
      <c r="T42" s="41" t="str">
        <f ca="1">IF(J8=S33,"","ERROR")</f>
        <v/>
      </c>
      <c r="Y42" s="15">
        <f>B44</f>
        <v>31</v>
      </c>
      <c r="Z42" s="25" t="str">
        <f>C44</f>
        <v>Projet de développement du secteur minier (PDSM)</v>
      </c>
      <c r="AA42" s="16">
        <f t="shared" si="82"/>
        <v>0</v>
      </c>
      <c r="AB42" s="16">
        <f t="shared" si="82"/>
        <v>0</v>
      </c>
      <c r="AC42" s="16">
        <f t="shared" si="82"/>
        <v>0</v>
      </c>
      <c r="AD42" s="16">
        <f t="shared" si="82"/>
        <v>0</v>
      </c>
      <c r="AE42" s="16">
        <f t="shared" si="82"/>
        <v>0</v>
      </c>
      <c r="AF42" s="16">
        <f t="shared" si="82"/>
        <v>0</v>
      </c>
      <c r="AG42" s="16">
        <f t="shared" si="82"/>
        <v>0</v>
      </c>
      <c r="AH42" s="16">
        <f t="shared" si="82"/>
        <v>0</v>
      </c>
      <c r="AI42" s="16">
        <f t="shared" si="82"/>
        <v>0</v>
      </c>
      <c r="AJ42" s="16">
        <f t="shared" si="83"/>
        <v>0</v>
      </c>
      <c r="AL42" s="17">
        <f>+B44</f>
        <v>31</v>
      </c>
      <c r="AM42" s="26" t="str">
        <f>+C44</f>
        <v>Projet de développement du secteur minier (PDSM)</v>
      </c>
      <c r="AN42" s="18">
        <f t="shared" si="85"/>
        <v>0</v>
      </c>
      <c r="AO42" s="18">
        <f t="shared" si="85"/>
        <v>0</v>
      </c>
      <c r="AP42" s="18">
        <f t="shared" si="85"/>
        <v>0</v>
      </c>
      <c r="AQ42" s="18">
        <f t="shared" si="85"/>
        <v>0</v>
      </c>
      <c r="AR42" s="18">
        <f t="shared" si="85"/>
        <v>0</v>
      </c>
      <c r="AS42" s="18">
        <f t="shared" si="85"/>
        <v>0</v>
      </c>
      <c r="AT42" s="18">
        <f t="shared" si="85"/>
        <v>0</v>
      </c>
      <c r="AU42" s="18">
        <f t="shared" si="85"/>
        <v>0</v>
      </c>
      <c r="AV42" s="18">
        <f t="shared" si="86"/>
        <v>0</v>
      </c>
      <c r="AW42" s="18"/>
      <c r="AX42" s="17">
        <f>B44</f>
        <v>31</v>
      </c>
      <c r="AY42" s="26" t="str">
        <f>C44</f>
        <v>Projet de développement du secteur minier (PDSM)</v>
      </c>
      <c r="AZ42" s="18">
        <f t="shared" ca="1" si="88"/>
        <v>0</v>
      </c>
      <c r="BA42" s="18">
        <f t="shared" ca="1" si="88"/>
        <v>0</v>
      </c>
      <c r="BB42" s="18">
        <f t="shared" ca="1" si="88"/>
        <v>0</v>
      </c>
      <c r="BC42" s="18">
        <f t="shared" ca="1" si="88"/>
        <v>0</v>
      </c>
      <c r="BD42" s="18">
        <f t="shared" ca="1" si="88"/>
        <v>0</v>
      </c>
      <c r="BE42" s="18">
        <f t="shared" ca="1" si="88"/>
        <v>0</v>
      </c>
      <c r="BF42" s="18">
        <f t="shared" ca="1" si="88"/>
        <v>0</v>
      </c>
      <c r="BG42" s="18">
        <f t="shared" ca="1" si="88"/>
        <v>0</v>
      </c>
      <c r="BH42" s="18">
        <f t="shared" ca="1" si="88"/>
        <v>0</v>
      </c>
      <c r="BI42" s="18">
        <f t="shared" ca="1" si="88"/>
        <v>0</v>
      </c>
      <c r="BJ42" s="18">
        <f t="shared" ca="1" si="88"/>
        <v>0</v>
      </c>
      <c r="BK42" s="18">
        <f t="shared" ca="1" si="88"/>
        <v>0</v>
      </c>
    </row>
    <row r="43" spans="1:63">
      <c r="A43" s="80">
        <f t="shared" si="29"/>
        <v>30</v>
      </c>
      <c r="B43" s="53">
        <f>+'Taxes RCA 2022'!A36</f>
        <v>30</v>
      </c>
      <c r="C43" s="18" t="str">
        <f>+'Taxes RCA 2022'!B36</f>
        <v xml:space="preserve">Redevance superficiaire   </v>
      </c>
      <c r="E43" s="114"/>
      <c r="F43" s="114">
        <f>SUMIF($A$84:$A$747,B43&amp;"- "&amp;C43,$G$84:$G$747)</f>
        <v>0</v>
      </c>
      <c r="G43" s="114">
        <f>E43+F43</f>
        <v>0</v>
      </c>
      <c r="H43" s="114"/>
      <c r="I43" s="114"/>
      <c r="J43" s="114">
        <f ca="1">SUMIF($J$84:$M$745,B43&amp;"- "&amp;C43,$Q$84:$Q$745)</f>
        <v>0</v>
      </c>
      <c r="K43" s="114">
        <f ca="1">I43+J43</f>
        <v>0</v>
      </c>
      <c r="L43" s="114"/>
      <c r="M43" s="114">
        <f ca="1">+G43-K43</f>
        <v>0</v>
      </c>
      <c r="N43" s="18"/>
      <c r="O43" s="38" t="str">
        <f t="shared" ca="1" si="46"/>
        <v/>
      </c>
      <c r="P43" s="39" t="str">
        <f t="shared" ca="1" si="89"/>
        <v/>
      </c>
      <c r="Q43" s="35"/>
      <c r="Y43" s="15">
        <f t="shared" si="81"/>
        <v>32</v>
      </c>
      <c r="Z43" s="25" t="str">
        <f t="shared" si="63"/>
        <v>Taxes superficiaires (+)</v>
      </c>
      <c r="AA43" s="16">
        <f t="shared" si="82"/>
        <v>0</v>
      </c>
      <c r="AB43" s="16">
        <f t="shared" si="82"/>
        <v>0</v>
      </c>
      <c r="AC43" s="16">
        <f t="shared" si="82"/>
        <v>0</v>
      </c>
      <c r="AD43" s="16">
        <f t="shared" si="82"/>
        <v>0</v>
      </c>
      <c r="AE43" s="16">
        <f t="shared" si="82"/>
        <v>0</v>
      </c>
      <c r="AF43" s="16">
        <f t="shared" si="82"/>
        <v>0</v>
      </c>
      <c r="AG43" s="16">
        <f t="shared" si="82"/>
        <v>0</v>
      </c>
      <c r="AH43" s="16">
        <f t="shared" si="82"/>
        <v>0</v>
      </c>
      <c r="AI43" s="16">
        <f t="shared" si="82"/>
        <v>0</v>
      </c>
      <c r="AJ43" s="16">
        <f t="shared" si="83"/>
        <v>0</v>
      </c>
      <c r="AL43" s="17">
        <f t="shared" si="84"/>
        <v>32</v>
      </c>
      <c r="AM43" s="26" t="str">
        <f t="shared" si="65"/>
        <v>Taxes superficiaires (+)</v>
      </c>
      <c r="AN43" s="18">
        <f t="shared" si="85"/>
        <v>0</v>
      </c>
      <c r="AO43" s="18">
        <f t="shared" si="85"/>
        <v>0</v>
      </c>
      <c r="AP43" s="18">
        <f t="shared" si="85"/>
        <v>0</v>
      </c>
      <c r="AQ43" s="18">
        <f t="shared" si="85"/>
        <v>0</v>
      </c>
      <c r="AR43" s="18">
        <f t="shared" si="85"/>
        <v>0</v>
      </c>
      <c r="AS43" s="18">
        <f t="shared" si="85"/>
        <v>0</v>
      </c>
      <c r="AT43" s="18">
        <f t="shared" si="85"/>
        <v>0</v>
      </c>
      <c r="AU43" s="18">
        <f t="shared" si="85"/>
        <v>0</v>
      </c>
      <c r="AV43" s="18">
        <f t="shared" si="86"/>
        <v>0</v>
      </c>
      <c r="AW43" s="18"/>
      <c r="AX43" s="17">
        <f t="shared" si="87"/>
        <v>32</v>
      </c>
      <c r="AY43" s="26" t="str">
        <f t="shared" si="67"/>
        <v>Taxes superficiaires (+)</v>
      </c>
      <c r="AZ43" s="18">
        <f t="shared" ca="1" si="88"/>
        <v>0</v>
      </c>
      <c r="BA43" s="18">
        <f t="shared" ca="1" si="88"/>
        <v>0</v>
      </c>
      <c r="BB43" s="18">
        <f t="shared" ca="1" si="88"/>
        <v>0</v>
      </c>
      <c r="BC43" s="18">
        <f t="shared" ca="1" si="88"/>
        <v>0</v>
      </c>
      <c r="BD43" s="18">
        <f t="shared" ca="1" si="88"/>
        <v>0</v>
      </c>
      <c r="BE43" s="18">
        <f t="shared" ca="1" si="88"/>
        <v>0</v>
      </c>
      <c r="BF43" s="18">
        <f t="shared" ca="1" si="88"/>
        <v>0</v>
      </c>
      <c r="BG43" s="18">
        <f t="shared" ca="1" si="88"/>
        <v>0</v>
      </c>
      <c r="BH43" s="18">
        <f t="shared" ca="1" si="88"/>
        <v>0</v>
      </c>
      <c r="BI43" s="18">
        <f t="shared" ca="1" si="88"/>
        <v>0</v>
      </c>
      <c r="BJ43" s="18">
        <f t="shared" ca="1" si="88"/>
        <v>0</v>
      </c>
      <c r="BK43" s="18">
        <f t="shared" ca="1" si="88"/>
        <v>0</v>
      </c>
    </row>
    <row r="44" spans="1:63">
      <c r="A44" s="80">
        <f t="shared" si="29"/>
        <v>31</v>
      </c>
      <c r="B44" s="64">
        <f>+'Taxes RCA 2022'!A37</f>
        <v>31</v>
      </c>
      <c r="C44" s="68" t="str">
        <f>+'Taxes RCA 2022'!B37</f>
        <v>Projet de développement du secteur minier (PDSM)</v>
      </c>
      <c r="E44" s="165"/>
      <c r="F44" s="165">
        <f>SUMIF($A$84:$A$747,B44&amp;"- "&amp;C44,$G$84:$G$747)</f>
        <v>0</v>
      </c>
      <c r="G44" s="165">
        <f>E44+F44</f>
        <v>0</v>
      </c>
      <c r="H44" s="114"/>
      <c r="I44" s="165">
        <v>5599586.6500000004</v>
      </c>
      <c r="J44" s="165">
        <f ca="1">SUMIF($J$84:$M$745,B44&amp;"- "&amp;C44,$Q$84:$Q$745)</f>
        <v>0</v>
      </c>
      <c r="K44" s="165">
        <f ca="1">I44+J44</f>
        <v>5599586.6500000004</v>
      </c>
      <c r="L44" s="114"/>
      <c r="M44" s="165">
        <f ca="1">+G44-K44</f>
        <v>-5599586.6500000004</v>
      </c>
      <c r="N44" s="68"/>
      <c r="O44" s="38" t="str">
        <f t="shared" ca="1" si="46"/>
        <v>ERROR</v>
      </c>
      <c r="P44" s="39" t="str">
        <f t="shared" ca="1" si="89"/>
        <v>Please insert comment</v>
      </c>
      <c r="Y44" s="15">
        <f t="shared" ref="Y44:Z46" si="90">B48</f>
        <v>33</v>
      </c>
      <c r="Z44" s="25" t="str">
        <f t="shared" si="90"/>
        <v>Taxe d’abattage  (+)</v>
      </c>
      <c r="AA44" s="16">
        <f t="shared" si="82"/>
        <v>0</v>
      </c>
      <c r="AB44" s="16">
        <f t="shared" si="82"/>
        <v>0</v>
      </c>
      <c r="AC44" s="16">
        <f t="shared" si="82"/>
        <v>0</v>
      </c>
      <c r="AD44" s="16">
        <f t="shared" si="82"/>
        <v>0</v>
      </c>
      <c r="AE44" s="16">
        <f t="shared" si="82"/>
        <v>0</v>
      </c>
      <c r="AF44" s="16">
        <f t="shared" si="82"/>
        <v>0</v>
      </c>
      <c r="AG44" s="16">
        <f t="shared" si="82"/>
        <v>0</v>
      </c>
      <c r="AH44" s="16">
        <f t="shared" si="82"/>
        <v>0</v>
      </c>
      <c r="AI44" s="16">
        <f t="shared" si="82"/>
        <v>0</v>
      </c>
      <c r="AJ44" s="16">
        <f t="shared" si="83"/>
        <v>0</v>
      </c>
      <c r="AL44" s="17">
        <f t="shared" ref="AL44:AM46" si="91">+B48</f>
        <v>33</v>
      </c>
      <c r="AM44" s="26" t="str">
        <f t="shared" si="91"/>
        <v>Taxe d’abattage  (+)</v>
      </c>
      <c r="AN44" s="18">
        <f t="shared" si="85"/>
        <v>0</v>
      </c>
      <c r="AO44" s="18">
        <f t="shared" si="85"/>
        <v>0</v>
      </c>
      <c r="AP44" s="18">
        <f t="shared" si="85"/>
        <v>0</v>
      </c>
      <c r="AQ44" s="18">
        <f t="shared" si="85"/>
        <v>0</v>
      </c>
      <c r="AR44" s="18">
        <f t="shared" si="85"/>
        <v>0</v>
      </c>
      <c r="AS44" s="18">
        <f t="shared" si="85"/>
        <v>0</v>
      </c>
      <c r="AT44" s="18">
        <f t="shared" si="85"/>
        <v>0</v>
      </c>
      <c r="AU44" s="18">
        <f t="shared" si="85"/>
        <v>0</v>
      </c>
      <c r="AV44" s="18">
        <f t="shared" si="86"/>
        <v>0</v>
      </c>
      <c r="AW44" s="18"/>
      <c r="AX44" s="17">
        <f t="shared" ref="AX44:AY46" si="92">B48</f>
        <v>33</v>
      </c>
      <c r="AY44" s="26" t="str">
        <f t="shared" si="92"/>
        <v>Taxe d’abattage  (+)</v>
      </c>
      <c r="AZ44" s="18">
        <f t="shared" ca="1" si="88"/>
        <v>0</v>
      </c>
      <c r="BA44" s="18">
        <f t="shared" ca="1" si="88"/>
        <v>0</v>
      </c>
      <c r="BB44" s="18">
        <f t="shared" ca="1" si="88"/>
        <v>0</v>
      </c>
      <c r="BC44" s="18">
        <f t="shared" ca="1" si="88"/>
        <v>0</v>
      </c>
      <c r="BD44" s="18">
        <f t="shared" ca="1" si="88"/>
        <v>0</v>
      </c>
      <c r="BE44" s="18">
        <f t="shared" ca="1" si="88"/>
        <v>0</v>
      </c>
      <c r="BF44" s="18">
        <f t="shared" ca="1" si="88"/>
        <v>0</v>
      </c>
      <c r="BG44" s="18">
        <f t="shared" ca="1" si="88"/>
        <v>0</v>
      </c>
      <c r="BH44" s="18">
        <f t="shared" ca="1" si="88"/>
        <v>0</v>
      </c>
      <c r="BI44" s="18">
        <f t="shared" ca="1" si="88"/>
        <v>0</v>
      </c>
      <c r="BJ44" s="18">
        <f t="shared" ca="1" si="88"/>
        <v>0</v>
      </c>
      <c r="BK44" s="18">
        <f t="shared" ca="1" si="88"/>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9"/>
        <v/>
      </c>
      <c r="Y45" s="15">
        <f t="shared" si="90"/>
        <v>34</v>
      </c>
      <c r="Z45" s="25" t="str">
        <f t="shared" si="90"/>
        <v>Taxe de reboisement (+)</v>
      </c>
      <c r="AA45" s="16">
        <f t="shared" si="82"/>
        <v>0</v>
      </c>
      <c r="AB45" s="16">
        <f t="shared" si="82"/>
        <v>0</v>
      </c>
      <c r="AC45" s="16">
        <f t="shared" si="82"/>
        <v>0</v>
      </c>
      <c r="AD45" s="16">
        <f t="shared" si="82"/>
        <v>0</v>
      </c>
      <c r="AE45" s="16">
        <f t="shared" si="82"/>
        <v>0</v>
      </c>
      <c r="AF45" s="16">
        <f t="shared" si="82"/>
        <v>0</v>
      </c>
      <c r="AG45" s="16">
        <f t="shared" si="82"/>
        <v>0</v>
      </c>
      <c r="AH45" s="16">
        <f t="shared" si="82"/>
        <v>0</v>
      </c>
      <c r="AI45" s="16">
        <f t="shared" si="82"/>
        <v>0</v>
      </c>
      <c r="AJ45" s="16">
        <f t="shared" si="83"/>
        <v>0</v>
      </c>
      <c r="AL45" s="17">
        <f t="shared" si="91"/>
        <v>34</v>
      </c>
      <c r="AM45" s="26" t="str">
        <f t="shared" si="91"/>
        <v>Taxe de reboisement (+)</v>
      </c>
      <c r="AN45" s="18">
        <f t="shared" si="85"/>
        <v>0</v>
      </c>
      <c r="AO45" s="18">
        <f t="shared" si="85"/>
        <v>0</v>
      </c>
      <c r="AP45" s="18">
        <f t="shared" si="85"/>
        <v>0</v>
      </c>
      <c r="AQ45" s="18">
        <f t="shared" si="85"/>
        <v>0</v>
      </c>
      <c r="AR45" s="18">
        <f t="shared" si="85"/>
        <v>0</v>
      </c>
      <c r="AS45" s="18">
        <f t="shared" si="85"/>
        <v>0</v>
      </c>
      <c r="AT45" s="18">
        <f t="shared" si="85"/>
        <v>0</v>
      </c>
      <c r="AU45" s="18">
        <f t="shared" si="85"/>
        <v>0</v>
      </c>
      <c r="AV45" s="18">
        <f t="shared" si="86"/>
        <v>0</v>
      </c>
      <c r="AW45" s="18"/>
      <c r="AX45" s="17">
        <f t="shared" si="92"/>
        <v>34</v>
      </c>
      <c r="AY45" s="26" t="str">
        <f t="shared" si="92"/>
        <v>Taxe de reboisement (+)</v>
      </c>
      <c r="AZ45" s="18">
        <f t="shared" ca="1" si="88"/>
        <v>0</v>
      </c>
      <c r="BA45" s="18">
        <f t="shared" ca="1" si="88"/>
        <v>0</v>
      </c>
      <c r="BB45" s="18">
        <f t="shared" ca="1" si="88"/>
        <v>0</v>
      </c>
      <c r="BC45" s="18">
        <f t="shared" ca="1" si="88"/>
        <v>0</v>
      </c>
      <c r="BD45" s="18">
        <f t="shared" ca="1" si="88"/>
        <v>0</v>
      </c>
      <c r="BE45" s="18">
        <f t="shared" ca="1" si="88"/>
        <v>0</v>
      </c>
      <c r="BF45" s="18">
        <f t="shared" ca="1" si="88"/>
        <v>0</v>
      </c>
      <c r="BG45" s="18">
        <f t="shared" ca="1" si="88"/>
        <v>0</v>
      </c>
      <c r="BH45" s="18">
        <f t="shared" ca="1" si="88"/>
        <v>0</v>
      </c>
      <c r="BI45" s="18">
        <f t="shared" ca="1" si="88"/>
        <v>0</v>
      </c>
      <c r="BJ45" s="18">
        <f t="shared" ca="1" si="88"/>
        <v>0</v>
      </c>
      <c r="BK45" s="18">
        <f t="shared" ca="1" si="88"/>
        <v>0</v>
      </c>
    </row>
    <row r="46" spans="1:63">
      <c r="A46" s="80">
        <f t="shared" si="29"/>
        <v>32</v>
      </c>
      <c r="B46" s="64">
        <f>+'Taxes RCA 2022'!A39</f>
        <v>32</v>
      </c>
      <c r="C46" s="68" t="str">
        <f>+'Taxes RCA 2022'!B39</f>
        <v>Taxes superficiaires (+)</v>
      </c>
      <c r="E46" s="165"/>
      <c r="F46" s="165">
        <f>SUMIF($A$84:$A$747,B46&amp;"- "&amp;C46,$G$84:$G$747)</f>
        <v>0</v>
      </c>
      <c r="G46" s="165">
        <f>E46+F46</f>
        <v>0</v>
      </c>
      <c r="H46" s="114"/>
      <c r="I46" s="165"/>
      <c r="J46" s="165">
        <f ca="1">SUMIF($J$84:$M$745,B46&amp;"- "&amp;C46,$Q$84:$Q$745)</f>
        <v>0</v>
      </c>
      <c r="K46" s="165">
        <f ca="1">I46+J46</f>
        <v>0</v>
      </c>
      <c r="L46" s="114"/>
      <c r="M46" s="165">
        <f ca="1">+G46-K46</f>
        <v>0</v>
      </c>
      <c r="N46" s="68"/>
      <c r="O46" s="38" t="str">
        <f t="shared" ca="1" si="46"/>
        <v/>
      </c>
      <c r="P46" s="39" t="str">
        <f t="shared" ca="1" si="89"/>
        <v/>
      </c>
      <c r="Y46" s="15">
        <f t="shared" si="90"/>
        <v>35</v>
      </c>
      <c r="Z46" s="25" t="str">
        <f t="shared" si="90"/>
        <v>Droit de sortie (DS)/Taxe Export (+)</v>
      </c>
      <c r="AA46" s="16">
        <f t="shared" si="82"/>
        <v>0</v>
      </c>
      <c r="AB46" s="16">
        <f t="shared" si="82"/>
        <v>0</v>
      </c>
      <c r="AC46" s="16">
        <f t="shared" si="82"/>
        <v>0</v>
      </c>
      <c r="AD46" s="16">
        <f t="shared" si="82"/>
        <v>0</v>
      </c>
      <c r="AE46" s="16">
        <f t="shared" si="82"/>
        <v>0</v>
      </c>
      <c r="AF46" s="16">
        <f t="shared" si="82"/>
        <v>0</v>
      </c>
      <c r="AG46" s="16">
        <f t="shared" si="82"/>
        <v>0</v>
      </c>
      <c r="AH46" s="16">
        <f t="shared" si="82"/>
        <v>0</v>
      </c>
      <c r="AI46" s="16">
        <f t="shared" si="82"/>
        <v>0</v>
      </c>
      <c r="AJ46" s="16">
        <f t="shared" si="83"/>
        <v>0</v>
      </c>
      <c r="AL46" s="17">
        <f t="shared" si="91"/>
        <v>35</v>
      </c>
      <c r="AM46" s="26" t="str">
        <f t="shared" si="91"/>
        <v>Droit de sortie (DS)/Taxe Export (+)</v>
      </c>
      <c r="AN46" s="18">
        <f t="shared" si="85"/>
        <v>0</v>
      </c>
      <c r="AO46" s="18">
        <f t="shared" si="85"/>
        <v>0</v>
      </c>
      <c r="AP46" s="18">
        <f t="shared" si="85"/>
        <v>0</v>
      </c>
      <c r="AQ46" s="18">
        <f t="shared" si="85"/>
        <v>0</v>
      </c>
      <c r="AR46" s="18">
        <f t="shared" si="85"/>
        <v>0</v>
      </c>
      <c r="AS46" s="18">
        <f t="shared" si="85"/>
        <v>0</v>
      </c>
      <c r="AT46" s="18">
        <f t="shared" si="85"/>
        <v>0</v>
      </c>
      <c r="AU46" s="18">
        <f t="shared" si="85"/>
        <v>0</v>
      </c>
      <c r="AV46" s="18">
        <f t="shared" si="86"/>
        <v>0</v>
      </c>
      <c r="AW46" s="18"/>
      <c r="AX46" s="17">
        <f t="shared" si="92"/>
        <v>35</v>
      </c>
      <c r="AY46" s="26" t="str">
        <f t="shared" si="92"/>
        <v>Droit de sortie (DS)/Taxe Export (+)</v>
      </c>
      <c r="AZ46" s="18">
        <f t="shared" ca="1" si="88"/>
        <v>0</v>
      </c>
      <c r="BA46" s="18">
        <f t="shared" ca="1" si="88"/>
        <v>0</v>
      </c>
      <c r="BB46" s="18">
        <f t="shared" ca="1" si="88"/>
        <v>0</v>
      </c>
      <c r="BC46" s="18">
        <f t="shared" ca="1" si="88"/>
        <v>0</v>
      </c>
      <c r="BD46" s="18">
        <f t="shared" ca="1" si="88"/>
        <v>0</v>
      </c>
      <c r="BE46" s="18">
        <f t="shared" ca="1" si="88"/>
        <v>0</v>
      </c>
      <c r="BF46" s="18">
        <f t="shared" ca="1" si="88"/>
        <v>0</v>
      </c>
      <c r="BG46" s="18">
        <f t="shared" ca="1" si="88"/>
        <v>0</v>
      </c>
      <c r="BH46" s="18">
        <f t="shared" ca="1" si="88"/>
        <v>0</v>
      </c>
      <c r="BI46" s="18">
        <f t="shared" ca="1" si="88"/>
        <v>0</v>
      </c>
      <c r="BJ46" s="18">
        <f t="shared" ca="1" si="88"/>
        <v>0</v>
      </c>
      <c r="BK46" s="18">
        <f t="shared" ca="1" si="88"/>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SUMIF($A$84:$A$747,B48&amp;"- "&amp;C48,$G$84:$G$747)</f>
        <v>0</v>
      </c>
      <c r="G48" s="114">
        <f>E48+F48</f>
        <v>0</v>
      </c>
      <c r="H48" s="114"/>
      <c r="I48" s="114"/>
      <c r="J48" s="114">
        <f ca="1">SUMIF($J$84:$M$745,B48&amp;"- "&amp;C48,$Q$84:$Q$745)</f>
        <v>0</v>
      </c>
      <c r="K48" s="114">
        <f ca="1">I48+J48</f>
        <v>0</v>
      </c>
      <c r="L48" s="114"/>
      <c r="M48" s="114">
        <f ca="1">+G48-K48</f>
        <v>0</v>
      </c>
      <c r="N48" s="18"/>
      <c r="O48" s="38" t="str">
        <f t="shared" ca="1" si="46"/>
        <v/>
      </c>
      <c r="P48" s="39" t="str">
        <f t="shared" ca="1" si="89"/>
        <v/>
      </c>
      <c r="Y48" s="15">
        <f t="shared" si="81"/>
        <v>36</v>
      </c>
      <c r="Z48" s="25" t="str">
        <f t="shared" si="63"/>
        <v>Taxes environnementales sur les Stes forestières et Minières (+)</v>
      </c>
      <c r="AA48" s="16">
        <f t="shared" ref="AA48:AI49" si="93">SUMPRODUCT(($A$84:$A$747=$Y48&amp;"- "&amp;$Z48)*($C$84:$C$747=AA$1)*($G$84:$G$747))</f>
        <v>0</v>
      </c>
      <c r="AB48" s="16">
        <f t="shared" si="93"/>
        <v>0</v>
      </c>
      <c r="AC48" s="16">
        <f t="shared" si="93"/>
        <v>0</v>
      </c>
      <c r="AD48" s="16">
        <f t="shared" si="93"/>
        <v>0</v>
      </c>
      <c r="AE48" s="16">
        <f t="shared" si="93"/>
        <v>0</v>
      </c>
      <c r="AF48" s="16">
        <f t="shared" si="93"/>
        <v>0</v>
      </c>
      <c r="AG48" s="16">
        <f t="shared" si="93"/>
        <v>0</v>
      </c>
      <c r="AH48" s="16">
        <f t="shared" si="93"/>
        <v>0</v>
      </c>
      <c r="AI48" s="16">
        <f t="shared" si="93"/>
        <v>0</v>
      </c>
      <c r="AJ48" s="16">
        <f t="shared" si="83"/>
        <v>0</v>
      </c>
      <c r="AL48" s="17">
        <f t="shared" si="84"/>
        <v>36</v>
      </c>
      <c r="AM48" s="26" t="str">
        <f t="shared" si="65"/>
        <v>Taxes environnementales sur les Stes forestières et Minières (+)</v>
      </c>
      <c r="AN48" s="18">
        <f t="shared" ref="AN48:AU49" si="94">SUMPRODUCT(($J$84:$M$744=$AL48&amp;"- "&amp;$AM48)*($N$84:$N$744=AN$1)*($Q$84:$Q$744))</f>
        <v>0</v>
      </c>
      <c r="AO48" s="18">
        <f t="shared" si="94"/>
        <v>0</v>
      </c>
      <c r="AP48" s="18">
        <f t="shared" si="94"/>
        <v>0</v>
      </c>
      <c r="AQ48" s="18">
        <f t="shared" si="94"/>
        <v>0</v>
      </c>
      <c r="AR48" s="18">
        <f t="shared" si="94"/>
        <v>0</v>
      </c>
      <c r="AS48" s="18">
        <f t="shared" si="94"/>
        <v>0</v>
      </c>
      <c r="AT48" s="18">
        <f t="shared" si="94"/>
        <v>0</v>
      </c>
      <c r="AU48" s="18">
        <f t="shared" si="94"/>
        <v>0</v>
      </c>
      <c r="AV48" s="18">
        <f t="shared" si="86"/>
        <v>0</v>
      </c>
      <c r="AW48" s="38"/>
      <c r="AX48" s="17">
        <f t="shared" si="87"/>
        <v>36</v>
      </c>
      <c r="AY48" s="26" t="str">
        <f t="shared" si="67"/>
        <v>Taxes environnementales sur les Stes forestières et Minières (+)</v>
      </c>
      <c r="AZ48" s="18">
        <f t="shared" ref="AZ48:BK49" ca="1" si="95">SUMPRODUCT(($C$10:$C$75=$AY48)*($N$10:$N$75=AZ$1)*($M$10:$M$75))</f>
        <v>0</v>
      </c>
      <c r="BA48" s="18">
        <f t="shared" ca="1" si="95"/>
        <v>0</v>
      </c>
      <c r="BB48" s="18">
        <f t="shared" ca="1" si="95"/>
        <v>0</v>
      </c>
      <c r="BC48" s="18">
        <f t="shared" ca="1" si="95"/>
        <v>0</v>
      </c>
      <c r="BD48" s="18">
        <f t="shared" ca="1" si="95"/>
        <v>0</v>
      </c>
      <c r="BE48" s="18">
        <f t="shared" ca="1" si="95"/>
        <v>0</v>
      </c>
      <c r="BF48" s="18">
        <f t="shared" ca="1" si="95"/>
        <v>0</v>
      </c>
      <c r="BG48" s="18">
        <f t="shared" ca="1" si="95"/>
        <v>0</v>
      </c>
      <c r="BH48" s="18">
        <f t="shared" ca="1" si="95"/>
        <v>0</v>
      </c>
      <c r="BI48" s="18">
        <f t="shared" ca="1" si="95"/>
        <v>0</v>
      </c>
      <c r="BJ48" s="18">
        <f t="shared" ca="1" si="95"/>
        <v>0</v>
      </c>
      <c r="BK48" s="18">
        <f t="shared" ca="1" si="95"/>
        <v>0</v>
      </c>
    </row>
    <row r="49" spans="1:63">
      <c r="A49" s="80">
        <f t="shared" si="29"/>
        <v>34</v>
      </c>
      <c r="B49" s="64">
        <f>+'Taxes RCA 2022'!A42</f>
        <v>34</v>
      </c>
      <c r="C49" s="68" t="str">
        <f>+'Taxes RCA 2022'!B42</f>
        <v>Taxe de reboisement (+)</v>
      </c>
      <c r="E49" s="165"/>
      <c r="F49" s="165">
        <f>SUMIF($A$84:$A$747,B49&amp;"- "&amp;C49,$G$84:$G$747)</f>
        <v>0</v>
      </c>
      <c r="G49" s="165">
        <f>E49+F49</f>
        <v>0</v>
      </c>
      <c r="H49" s="114"/>
      <c r="I49" s="165"/>
      <c r="J49" s="165">
        <f ca="1">SUMIF($J$84:$M$745,B49&amp;"- "&amp;C49,$Q$84:$Q$745)</f>
        <v>0</v>
      </c>
      <c r="K49" s="165">
        <f ca="1">I49+J49</f>
        <v>0</v>
      </c>
      <c r="L49" s="114"/>
      <c r="M49" s="165">
        <f ca="1">+G49-K49</f>
        <v>0</v>
      </c>
      <c r="N49" s="68"/>
      <c r="O49" s="38" t="str">
        <f t="shared" ca="1" si="46"/>
        <v/>
      </c>
      <c r="P49" s="39" t="str">
        <f t="shared" ca="1" si="89"/>
        <v/>
      </c>
      <c r="Y49" s="15">
        <f>B52</f>
        <v>0</v>
      </c>
      <c r="Z49" s="25" t="str">
        <f>C52</f>
        <v>Affectations spéciales</v>
      </c>
      <c r="AA49" s="16">
        <f t="shared" si="93"/>
        <v>0</v>
      </c>
      <c r="AB49" s="16">
        <f t="shared" si="93"/>
        <v>0</v>
      </c>
      <c r="AC49" s="16">
        <f t="shared" si="93"/>
        <v>0</v>
      </c>
      <c r="AD49" s="16">
        <f t="shared" si="93"/>
        <v>0</v>
      </c>
      <c r="AE49" s="16">
        <f t="shared" si="93"/>
        <v>0</v>
      </c>
      <c r="AF49" s="16">
        <f t="shared" si="93"/>
        <v>0</v>
      </c>
      <c r="AG49" s="16">
        <f t="shared" si="93"/>
        <v>0</v>
      </c>
      <c r="AH49" s="16">
        <f t="shared" si="93"/>
        <v>0</v>
      </c>
      <c r="AI49" s="16">
        <f t="shared" si="93"/>
        <v>0</v>
      </c>
      <c r="AJ49" s="16">
        <f t="shared" si="83"/>
        <v>0</v>
      </c>
      <c r="AL49" s="17">
        <f>+B52</f>
        <v>0</v>
      </c>
      <c r="AM49" s="26" t="str">
        <f>+C52</f>
        <v>Affectations spéciales</v>
      </c>
      <c r="AN49" s="18">
        <f t="shared" si="94"/>
        <v>0</v>
      </c>
      <c r="AO49" s="18">
        <f t="shared" si="94"/>
        <v>0</v>
      </c>
      <c r="AP49" s="18">
        <f t="shared" si="94"/>
        <v>0</v>
      </c>
      <c r="AQ49" s="18">
        <f t="shared" si="94"/>
        <v>0</v>
      </c>
      <c r="AR49" s="18">
        <f t="shared" si="94"/>
        <v>0</v>
      </c>
      <c r="AS49" s="18">
        <f t="shared" si="94"/>
        <v>0</v>
      </c>
      <c r="AT49" s="18">
        <f t="shared" si="94"/>
        <v>0</v>
      </c>
      <c r="AU49" s="18">
        <f t="shared" si="94"/>
        <v>0</v>
      </c>
      <c r="AV49" s="18">
        <f t="shared" si="86"/>
        <v>0</v>
      </c>
      <c r="AW49" s="18"/>
      <c r="AX49" s="17">
        <f>B52</f>
        <v>0</v>
      </c>
      <c r="AY49" s="26" t="str">
        <f>C52</f>
        <v>Affectations spéciales</v>
      </c>
      <c r="AZ49" s="18">
        <f t="shared" ca="1" si="95"/>
        <v>0</v>
      </c>
      <c r="BA49" s="18">
        <f t="shared" ca="1" si="95"/>
        <v>0</v>
      </c>
      <c r="BB49" s="18">
        <f t="shared" ca="1" si="95"/>
        <v>0</v>
      </c>
      <c r="BC49" s="18">
        <f t="shared" ca="1" si="95"/>
        <v>0</v>
      </c>
      <c r="BD49" s="18">
        <f t="shared" ca="1" si="95"/>
        <v>0</v>
      </c>
      <c r="BE49" s="18">
        <f t="shared" ca="1" si="95"/>
        <v>0</v>
      </c>
      <c r="BF49" s="18">
        <f t="shared" ca="1" si="95"/>
        <v>0</v>
      </c>
      <c r="BG49" s="18">
        <f t="shared" ca="1" si="95"/>
        <v>0</v>
      </c>
      <c r="BH49" s="18">
        <f t="shared" ca="1" si="95"/>
        <v>0</v>
      </c>
      <c r="BI49" s="18">
        <f t="shared" ca="1" si="95"/>
        <v>0</v>
      </c>
      <c r="BJ49" s="18">
        <f t="shared" ca="1" si="95"/>
        <v>0</v>
      </c>
      <c r="BK49" s="18">
        <f t="shared" ca="1" si="95"/>
        <v>0</v>
      </c>
    </row>
    <row r="50" spans="1:63">
      <c r="A50" s="80">
        <f t="shared" si="29"/>
        <v>35</v>
      </c>
      <c r="B50" s="53">
        <f>+'Taxes RCA 2022'!A43</f>
        <v>35</v>
      </c>
      <c r="C50" s="18" t="str">
        <f>+'Taxes RCA 2022'!B43</f>
        <v>Droit de sortie (DS)/Taxe Export (+)</v>
      </c>
      <c r="E50" s="114"/>
      <c r="F50" s="114">
        <f>SUMIF($A$84:$A$747,B50&amp;"- "&amp;C50,$G$84:$G$747)</f>
        <v>0</v>
      </c>
      <c r="G50" s="114">
        <f>E50+F50</f>
        <v>0</v>
      </c>
      <c r="H50" s="114"/>
      <c r="I50" s="114"/>
      <c r="J50" s="114">
        <f ca="1">SUMIF($J$84:$M$745,B50&amp;"- "&amp;C50,$Q$84:$Q$745)</f>
        <v>0</v>
      </c>
      <c r="K50" s="114">
        <f ca="1">I50+J50</f>
        <v>0</v>
      </c>
      <c r="L50" s="114"/>
      <c r="M50" s="114">
        <f ca="1">+G50-K50</f>
        <v>0</v>
      </c>
      <c r="N50" s="18"/>
      <c r="O50" s="38" t="str">
        <f t="shared" ca="1" si="46"/>
        <v/>
      </c>
      <c r="P50" s="39" t="str">
        <f t="shared" ca="1" si="89"/>
        <v/>
      </c>
      <c r="Y50" s="28"/>
      <c r="Z50" s="28" t="str">
        <f t="shared" ref="Z50:Z58" si="96">C53</f>
        <v>Affectation au titre la taxe de reboisement (+)</v>
      </c>
      <c r="AA50" s="29">
        <f t="shared" ref="AA50:AJ50" si="97">SUM(AA51:AA59)</f>
        <v>0</v>
      </c>
      <c r="AB50" s="29">
        <f t="shared" si="97"/>
        <v>0</v>
      </c>
      <c r="AC50" s="29">
        <f t="shared" si="97"/>
        <v>0</v>
      </c>
      <c r="AD50" s="29">
        <f t="shared" si="97"/>
        <v>0</v>
      </c>
      <c r="AE50" s="29">
        <f t="shared" si="97"/>
        <v>0</v>
      </c>
      <c r="AF50" s="29">
        <f t="shared" si="97"/>
        <v>0</v>
      </c>
      <c r="AG50" s="29">
        <f t="shared" si="97"/>
        <v>0</v>
      </c>
      <c r="AH50" s="29">
        <f t="shared" si="97"/>
        <v>0</v>
      </c>
      <c r="AI50" s="29">
        <f t="shared" si="97"/>
        <v>0</v>
      </c>
      <c r="AJ50" s="29">
        <f t="shared" si="97"/>
        <v>0</v>
      </c>
      <c r="AL50" s="28"/>
      <c r="AM50" s="28" t="str">
        <f t="shared" ref="AM50:AM57" si="98">+C53</f>
        <v>Affectation au titre la taxe de reboisement (+)</v>
      </c>
      <c r="AN50" s="29">
        <f t="shared" ref="AN50:AV50" si="99">SUM(AN51:AN59)</f>
        <v>0</v>
      </c>
      <c r="AO50" s="29">
        <f t="shared" si="99"/>
        <v>0</v>
      </c>
      <c r="AP50" s="29">
        <f t="shared" si="99"/>
        <v>0</v>
      </c>
      <c r="AQ50" s="29">
        <f t="shared" si="99"/>
        <v>0</v>
      </c>
      <c r="AR50" s="29">
        <f t="shared" si="99"/>
        <v>0</v>
      </c>
      <c r="AS50" s="29">
        <f t="shared" si="99"/>
        <v>0</v>
      </c>
      <c r="AT50" s="29">
        <f t="shared" si="99"/>
        <v>0</v>
      </c>
      <c r="AU50" s="29">
        <f t="shared" si="99"/>
        <v>0</v>
      </c>
      <c r="AV50" s="29">
        <f t="shared" si="99"/>
        <v>0</v>
      </c>
      <c r="AW50" s="18"/>
      <c r="AX50" s="28"/>
      <c r="AY50" s="28" t="str">
        <f t="shared" ref="AY50:AY57" si="100">C53</f>
        <v>Affectation au titre la taxe de reboisement (+)</v>
      </c>
      <c r="AZ50" s="29">
        <f t="shared" ref="AZ50:BK50" ca="1" si="101">SUM(AZ51:AZ59)</f>
        <v>0</v>
      </c>
      <c r="BA50" s="29">
        <f t="shared" ca="1" si="101"/>
        <v>0</v>
      </c>
      <c r="BB50" s="29">
        <f t="shared" ca="1" si="101"/>
        <v>0</v>
      </c>
      <c r="BC50" s="29">
        <f t="shared" ca="1" si="101"/>
        <v>0</v>
      </c>
      <c r="BD50" s="29">
        <f t="shared" ca="1" si="101"/>
        <v>0</v>
      </c>
      <c r="BE50" s="29">
        <f t="shared" ca="1" si="101"/>
        <v>0</v>
      </c>
      <c r="BF50" s="29">
        <f t="shared" ca="1" si="101"/>
        <v>0</v>
      </c>
      <c r="BG50" s="29">
        <f t="shared" ca="1" si="101"/>
        <v>0</v>
      </c>
      <c r="BH50" s="29">
        <f t="shared" ca="1" si="101"/>
        <v>0</v>
      </c>
      <c r="BI50" s="29">
        <f t="shared" ca="1" si="101"/>
        <v>0</v>
      </c>
      <c r="BJ50" s="29">
        <f t="shared" ca="1" si="101"/>
        <v>0</v>
      </c>
      <c r="BK50" s="29">
        <f t="shared" ca="1" si="101"/>
        <v>0</v>
      </c>
    </row>
    <row r="51" spans="1:63">
      <c r="A51" s="80">
        <f t="shared" si="29"/>
        <v>36</v>
      </c>
      <c r="B51" s="64">
        <f>+'Taxes RCA 2022'!A44</f>
        <v>36</v>
      </c>
      <c r="C51" s="68" t="str">
        <f>+'Taxes RCA 2022'!B44</f>
        <v>Taxes environnementales sur les Stes forestières et Minières (+)</v>
      </c>
      <c r="E51" s="165"/>
      <c r="F51" s="165">
        <f>SUMIF($A$84:$A$747,B51&amp;"- "&amp;C51,$G$84:$G$747)</f>
        <v>0</v>
      </c>
      <c r="G51" s="165">
        <f>E51+F51</f>
        <v>0</v>
      </c>
      <c r="H51" s="114"/>
      <c r="I51" s="165"/>
      <c r="J51" s="165">
        <f ca="1">SUMIF($J$84:$M$745,B51&amp;"- "&amp;C51,$Q$84:$Q$745)</f>
        <v>0</v>
      </c>
      <c r="K51" s="165">
        <f ca="1">I51+J51</f>
        <v>0</v>
      </c>
      <c r="L51" s="114"/>
      <c r="M51" s="165">
        <f ca="1">+G51-K51</f>
        <v>0</v>
      </c>
      <c r="N51" s="68"/>
      <c r="O51" s="38" t="str">
        <f t="shared" ca="1" si="46"/>
        <v/>
      </c>
      <c r="P51" s="39" t="str">
        <f t="shared" ca="1" si="89"/>
        <v/>
      </c>
      <c r="Y51" s="15">
        <f t="shared" ref="Y51:Y58" si="102">B54</f>
        <v>38</v>
      </c>
      <c r="Z51" s="25" t="str">
        <f t="shared" si="96"/>
        <v>Affectation au titre de taxe d’abattage (+)</v>
      </c>
      <c r="AA51" s="16">
        <f t="shared" ref="AA51:AI59" si="103">SUMPRODUCT(($A$84:$A$747=$Y51&amp;"- "&amp;$Z51)*($C$84:$C$747=AA$1)*($G$84:$G$747))</f>
        <v>0</v>
      </c>
      <c r="AB51" s="16">
        <f t="shared" si="103"/>
        <v>0</v>
      </c>
      <c r="AC51" s="16">
        <f t="shared" si="103"/>
        <v>0</v>
      </c>
      <c r="AD51" s="16">
        <f t="shared" si="103"/>
        <v>0</v>
      </c>
      <c r="AE51" s="16">
        <f t="shared" si="103"/>
        <v>0</v>
      </c>
      <c r="AF51" s="16">
        <f t="shared" si="103"/>
        <v>0</v>
      </c>
      <c r="AG51" s="16">
        <f t="shared" si="103"/>
        <v>0</v>
      </c>
      <c r="AH51" s="16">
        <f t="shared" si="103"/>
        <v>0</v>
      </c>
      <c r="AI51" s="16">
        <f t="shared" si="103"/>
        <v>0</v>
      </c>
      <c r="AJ51" s="16">
        <f t="shared" ref="AJ51:AJ59" si="104">SUM(AA51:AI51)</f>
        <v>0</v>
      </c>
      <c r="AL51" s="17">
        <f t="shared" ref="AL51:AL57" si="105">+B54</f>
        <v>38</v>
      </c>
      <c r="AM51" s="26" t="str">
        <f t="shared" si="98"/>
        <v>Affectation au titre de taxe d’abattage (+)</v>
      </c>
      <c r="AN51" s="18">
        <f t="shared" ref="AN51:AU59" si="106">SUMPRODUCT(($J$84:$M$744=$AL51&amp;"- "&amp;$AM51)*($N$84:$N$744=AN$1)*($Q$84:$Q$744))</f>
        <v>0</v>
      </c>
      <c r="AO51" s="18">
        <f t="shared" si="106"/>
        <v>0</v>
      </c>
      <c r="AP51" s="18">
        <f t="shared" si="106"/>
        <v>0</v>
      </c>
      <c r="AQ51" s="18">
        <f t="shared" si="106"/>
        <v>0</v>
      </c>
      <c r="AR51" s="18">
        <f t="shared" si="106"/>
        <v>0</v>
      </c>
      <c r="AS51" s="18">
        <f t="shared" si="106"/>
        <v>0</v>
      </c>
      <c r="AT51" s="18">
        <f t="shared" si="106"/>
        <v>0</v>
      </c>
      <c r="AU51" s="18">
        <f t="shared" si="106"/>
        <v>0</v>
      </c>
      <c r="AV51" s="18">
        <f t="shared" ref="AV51:AV59" si="107">SUM(AN51:AU51)</f>
        <v>0</v>
      </c>
      <c r="AW51" s="18"/>
      <c r="AX51" s="17">
        <f t="shared" ref="AX51:AX57" si="108">B54</f>
        <v>38</v>
      </c>
      <c r="AY51" s="26" t="str">
        <f t="shared" si="100"/>
        <v>Affectation au titre de taxe d’abattage (+)</v>
      </c>
      <c r="AZ51" s="18">
        <f t="shared" ref="AZ51:BK59" ca="1" si="109">SUMPRODUCT(($C$10:$C$75=$AY51)*($N$10:$N$75=AZ$1)*($M$10:$M$75))</f>
        <v>0</v>
      </c>
      <c r="BA51" s="18">
        <f t="shared" ca="1" si="109"/>
        <v>0</v>
      </c>
      <c r="BB51" s="18">
        <f t="shared" ca="1" si="109"/>
        <v>0</v>
      </c>
      <c r="BC51" s="18">
        <f t="shared" ca="1" si="109"/>
        <v>0</v>
      </c>
      <c r="BD51" s="18">
        <f t="shared" ca="1" si="109"/>
        <v>0</v>
      </c>
      <c r="BE51" s="18">
        <f t="shared" ca="1" si="109"/>
        <v>0</v>
      </c>
      <c r="BF51" s="18">
        <f t="shared" ca="1" si="109"/>
        <v>0</v>
      </c>
      <c r="BG51" s="18">
        <f t="shared" ca="1" si="109"/>
        <v>0</v>
      </c>
      <c r="BH51" s="18">
        <f t="shared" ca="1" si="109"/>
        <v>0</v>
      </c>
      <c r="BI51" s="18">
        <f t="shared" ca="1" si="109"/>
        <v>0</v>
      </c>
      <c r="BJ51" s="18">
        <f t="shared" ca="1" si="109"/>
        <v>0</v>
      </c>
      <c r="BK51" s="18">
        <f t="shared" ca="1" si="109"/>
        <v>0</v>
      </c>
    </row>
    <row r="52" spans="1:63">
      <c r="A52" s="80">
        <f>B52</f>
        <v>0</v>
      </c>
      <c r="B52" s="163"/>
      <c r="C52" s="58" t="str">
        <f>+'Taxes RCA 2022'!B45</f>
        <v>Affectations spéciales</v>
      </c>
      <c r="E52" s="166">
        <f>+E53+E54</f>
        <v>0</v>
      </c>
      <c r="F52" s="166">
        <f t="shared" ref="F52:G52" si="110">+F53+F54</f>
        <v>0</v>
      </c>
      <c r="G52" s="166">
        <f t="shared" si="110"/>
        <v>0</v>
      </c>
      <c r="H52" s="114"/>
      <c r="I52" s="166">
        <f>+I53+I54</f>
        <v>0</v>
      </c>
      <c r="J52" s="166">
        <f t="shared" ref="J52" ca="1" si="111">+J53+J54</f>
        <v>0</v>
      </c>
      <c r="K52" s="166">
        <f t="shared" ref="K52" ca="1" si="112">+K53+K54</f>
        <v>0</v>
      </c>
      <c r="L52" s="114"/>
      <c r="M52" s="166">
        <f t="shared" ref="M52" ca="1" si="113">+M53+M54</f>
        <v>0</v>
      </c>
      <c r="N52" s="58"/>
      <c r="O52" s="38" t="str">
        <f ca="1">IF(M52=0,"",IF(N52=0,"ERROR",""))</f>
        <v/>
      </c>
      <c r="P52" s="39" t="str">
        <f ca="1">IF(O52="ERROR","Please insert comment","")</f>
        <v/>
      </c>
      <c r="Y52" s="15">
        <f t="shared" si="102"/>
        <v>0</v>
      </c>
      <c r="Z52" s="25" t="str">
        <f t="shared" si="96"/>
        <v xml:space="preserve">Transferts du Trésor aux communes </v>
      </c>
      <c r="AA52" s="16">
        <f t="shared" si="103"/>
        <v>0</v>
      </c>
      <c r="AB52" s="16">
        <f t="shared" si="103"/>
        <v>0</v>
      </c>
      <c r="AC52" s="16">
        <f t="shared" si="103"/>
        <v>0</v>
      </c>
      <c r="AD52" s="16">
        <f t="shared" si="103"/>
        <v>0</v>
      </c>
      <c r="AE52" s="16">
        <f t="shared" si="103"/>
        <v>0</v>
      </c>
      <c r="AF52" s="16">
        <f t="shared" si="103"/>
        <v>0</v>
      </c>
      <c r="AG52" s="16">
        <f t="shared" si="103"/>
        <v>0</v>
      </c>
      <c r="AH52" s="16">
        <f t="shared" si="103"/>
        <v>0</v>
      </c>
      <c r="AI52" s="16">
        <f t="shared" si="103"/>
        <v>0</v>
      </c>
      <c r="AJ52" s="16">
        <f t="shared" si="104"/>
        <v>0</v>
      </c>
      <c r="AL52" s="17">
        <f t="shared" si="105"/>
        <v>0</v>
      </c>
      <c r="AM52" s="26" t="str">
        <f t="shared" si="98"/>
        <v xml:space="preserve">Transferts du Trésor aux communes </v>
      </c>
      <c r="AN52" s="18">
        <f t="shared" si="106"/>
        <v>0</v>
      </c>
      <c r="AO52" s="18">
        <f t="shared" si="106"/>
        <v>0</v>
      </c>
      <c r="AP52" s="18">
        <f t="shared" si="106"/>
        <v>0</v>
      </c>
      <c r="AQ52" s="18">
        <f t="shared" si="106"/>
        <v>0</v>
      </c>
      <c r="AR52" s="18">
        <f t="shared" si="106"/>
        <v>0</v>
      </c>
      <c r="AS52" s="18">
        <f t="shared" si="106"/>
        <v>0</v>
      </c>
      <c r="AT52" s="18">
        <f t="shared" si="106"/>
        <v>0</v>
      </c>
      <c r="AU52" s="18">
        <f t="shared" si="106"/>
        <v>0</v>
      </c>
      <c r="AV52" s="18">
        <f t="shared" si="107"/>
        <v>0</v>
      </c>
      <c r="AW52" s="38"/>
      <c r="AX52" s="17">
        <f t="shared" si="108"/>
        <v>0</v>
      </c>
      <c r="AY52" s="26" t="str">
        <f t="shared" si="100"/>
        <v xml:space="preserve">Transferts du Trésor aux communes </v>
      </c>
      <c r="AZ52" s="18">
        <f t="shared" ca="1" si="109"/>
        <v>0</v>
      </c>
      <c r="BA52" s="18">
        <f t="shared" ca="1" si="109"/>
        <v>0</v>
      </c>
      <c r="BB52" s="18">
        <f t="shared" ca="1" si="109"/>
        <v>0</v>
      </c>
      <c r="BC52" s="18">
        <f t="shared" ca="1" si="109"/>
        <v>0</v>
      </c>
      <c r="BD52" s="18">
        <f t="shared" ca="1" si="109"/>
        <v>0</v>
      </c>
      <c r="BE52" s="18">
        <f t="shared" ca="1" si="109"/>
        <v>0</v>
      </c>
      <c r="BF52" s="18">
        <f t="shared" ca="1" si="109"/>
        <v>0</v>
      </c>
      <c r="BG52" s="18">
        <f t="shared" ca="1" si="109"/>
        <v>0</v>
      </c>
      <c r="BH52" s="18">
        <f t="shared" ca="1" si="109"/>
        <v>0</v>
      </c>
      <c r="BI52" s="18">
        <f t="shared" ca="1" si="109"/>
        <v>0</v>
      </c>
      <c r="BJ52" s="18">
        <f t="shared" ca="1" si="109"/>
        <v>0</v>
      </c>
      <c r="BK52" s="18">
        <f t="shared" ca="1" si="109"/>
        <v>0</v>
      </c>
    </row>
    <row r="53" spans="1:63">
      <c r="A53" s="80">
        <f t="shared" si="29"/>
        <v>37</v>
      </c>
      <c r="B53" s="53">
        <f>+'Taxes RCA 2022'!A46</f>
        <v>37</v>
      </c>
      <c r="C53" s="18" t="str">
        <f>+'Taxes RCA 2022'!B46</f>
        <v>Affectation au titre la taxe de reboisement (+)</v>
      </c>
      <c r="E53" s="114"/>
      <c r="F53" s="114">
        <f>SUMIF($A$84:$A$747,B53&amp;"- "&amp;C53,$G$84:$G$747)</f>
        <v>0</v>
      </c>
      <c r="G53" s="114">
        <f>E53+F53</f>
        <v>0</v>
      </c>
      <c r="H53" s="114"/>
      <c r="I53" s="114"/>
      <c r="J53" s="114">
        <f ca="1">SUMIF($J$84:$M$745,B53&amp;"- "&amp;C53,$Q$84:$Q$745)</f>
        <v>0</v>
      </c>
      <c r="K53" s="114">
        <f ca="1">I53+J53</f>
        <v>0</v>
      </c>
      <c r="L53" s="114"/>
      <c r="M53" s="114">
        <f ca="1">+G53-K53</f>
        <v>0</v>
      </c>
      <c r="N53" s="18"/>
      <c r="O53" s="38"/>
      <c r="P53" s="39"/>
      <c r="Y53" s="15">
        <f t="shared" si="102"/>
        <v>0</v>
      </c>
      <c r="Z53" s="25" t="str">
        <f t="shared" si="96"/>
        <v>Transfert du trésor aux communes</v>
      </c>
      <c r="AA53" s="16">
        <f t="shared" si="103"/>
        <v>0</v>
      </c>
      <c r="AB53" s="16">
        <f t="shared" si="103"/>
        <v>0</v>
      </c>
      <c r="AC53" s="16">
        <f t="shared" si="103"/>
        <v>0</v>
      </c>
      <c r="AD53" s="16">
        <f t="shared" si="103"/>
        <v>0</v>
      </c>
      <c r="AE53" s="16">
        <f t="shared" si="103"/>
        <v>0</v>
      </c>
      <c r="AF53" s="16">
        <f t="shared" si="103"/>
        <v>0</v>
      </c>
      <c r="AG53" s="16">
        <f t="shared" si="103"/>
        <v>0</v>
      </c>
      <c r="AH53" s="16">
        <f t="shared" si="103"/>
        <v>0</v>
      </c>
      <c r="AI53" s="16">
        <f t="shared" si="103"/>
        <v>0</v>
      </c>
      <c r="AJ53" s="16">
        <f t="shared" si="104"/>
        <v>0</v>
      </c>
      <c r="AL53" s="17">
        <f t="shared" si="105"/>
        <v>0</v>
      </c>
      <c r="AM53" s="26" t="str">
        <f t="shared" si="98"/>
        <v>Transfert du trésor aux communes</v>
      </c>
      <c r="AN53" s="18">
        <f t="shared" si="106"/>
        <v>0</v>
      </c>
      <c r="AO53" s="18">
        <f t="shared" si="106"/>
        <v>0</v>
      </c>
      <c r="AP53" s="18">
        <f t="shared" si="106"/>
        <v>0</v>
      </c>
      <c r="AQ53" s="18">
        <f t="shared" si="106"/>
        <v>0</v>
      </c>
      <c r="AR53" s="18">
        <f t="shared" si="106"/>
        <v>0</v>
      </c>
      <c r="AS53" s="18">
        <f t="shared" si="106"/>
        <v>0</v>
      </c>
      <c r="AT53" s="18">
        <f t="shared" si="106"/>
        <v>0</v>
      </c>
      <c r="AU53" s="18">
        <f t="shared" si="106"/>
        <v>0</v>
      </c>
      <c r="AV53" s="18">
        <f t="shared" si="107"/>
        <v>0</v>
      </c>
      <c r="AW53" s="18"/>
      <c r="AX53" s="17">
        <f t="shared" si="108"/>
        <v>0</v>
      </c>
      <c r="AY53" s="26" t="str">
        <f t="shared" si="100"/>
        <v>Transfert du trésor aux communes</v>
      </c>
      <c r="AZ53" s="18">
        <f t="shared" ca="1" si="109"/>
        <v>0</v>
      </c>
      <c r="BA53" s="18">
        <f t="shared" ca="1" si="109"/>
        <v>0</v>
      </c>
      <c r="BB53" s="18">
        <f t="shared" ca="1" si="109"/>
        <v>0</v>
      </c>
      <c r="BC53" s="18">
        <f t="shared" ca="1" si="109"/>
        <v>0</v>
      </c>
      <c r="BD53" s="18">
        <f t="shared" ca="1" si="109"/>
        <v>0</v>
      </c>
      <c r="BE53" s="18">
        <f t="shared" ca="1" si="109"/>
        <v>0</v>
      </c>
      <c r="BF53" s="18">
        <f t="shared" ca="1" si="109"/>
        <v>0</v>
      </c>
      <c r="BG53" s="18">
        <f t="shared" ca="1" si="109"/>
        <v>0</v>
      </c>
      <c r="BH53" s="18">
        <f t="shared" ca="1" si="109"/>
        <v>0</v>
      </c>
      <c r="BI53" s="18">
        <f t="shared" ca="1" si="109"/>
        <v>0</v>
      </c>
      <c r="BJ53" s="18">
        <f t="shared" ca="1" si="109"/>
        <v>0</v>
      </c>
      <c r="BK53" s="18">
        <f t="shared" ca="1" si="109"/>
        <v>0</v>
      </c>
    </row>
    <row r="54" spans="1:63">
      <c r="A54" s="80">
        <f t="shared" si="29"/>
        <v>38</v>
      </c>
      <c r="B54" s="64">
        <f>+'Taxes RCA 2022'!A47</f>
        <v>38</v>
      </c>
      <c r="C54" s="68" t="str">
        <f>+'Taxes RCA 2022'!B47</f>
        <v>Affectation au titre de taxe d’abattage (+)</v>
      </c>
      <c r="E54" s="165"/>
      <c r="F54" s="165">
        <f>SUMIF($A$84:$A$747,B54&amp;"- "&amp;C54,$G$84:$G$747)</f>
        <v>0</v>
      </c>
      <c r="G54" s="165">
        <f>E54+F54</f>
        <v>0</v>
      </c>
      <c r="H54" s="114"/>
      <c r="I54" s="165"/>
      <c r="J54" s="165">
        <f ca="1">SUMIF($J$84:$M$745,B54&amp;"- "&amp;C54,$Q$84:$Q$745)</f>
        <v>0</v>
      </c>
      <c r="K54" s="165">
        <f ca="1">I54+J54</f>
        <v>0</v>
      </c>
      <c r="L54" s="114"/>
      <c r="M54" s="165">
        <f ca="1">+G54-K54</f>
        <v>0</v>
      </c>
      <c r="N54" s="68"/>
      <c r="O54" s="38" t="str">
        <f t="shared" ca="1" si="46"/>
        <v/>
      </c>
      <c r="P54" s="39" t="str">
        <f ca="1">IF(O54="ERROR","Please insert comment","")</f>
        <v/>
      </c>
      <c r="Y54" s="15">
        <f t="shared" si="102"/>
        <v>39</v>
      </c>
      <c r="Z54" s="25" t="str">
        <f t="shared" si="96"/>
        <v>Transfert infranational au titre de la taxe d'abattage (+)</v>
      </c>
      <c r="AA54" s="16">
        <f t="shared" si="103"/>
        <v>0</v>
      </c>
      <c r="AB54" s="16">
        <f t="shared" si="103"/>
        <v>0</v>
      </c>
      <c r="AC54" s="16">
        <f t="shared" si="103"/>
        <v>0</v>
      </c>
      <c r="AD54" s="16">
        <f t="shared" si="103"/>
        <v>0</v>
      </c>
      <c r="AE54" s="16">
        <f t="shared" si="103"/>
        <v>0</v>
      </c>
      <c r="AF54" s="16">
        <f t="shared" si="103"/>
        <v>0</v>
      </c>
      <c r="AG54" s="16">
        <f t="shared" si="103"/>
        <v>0</v>
      </c>
      <c r="AH54" s="16">
        <f t="shared" si="103"/>
        <v>0</v>
      </c>
      <c r="AI54" s="16">
        <f t="shared" si="103"/>
        <v>0</v>
      </c>
      <c r="AJ54" s="16">
        <f t="shared" si="104"/>
        <v>0</v>
      </c>
      <c r="AL54" s="17">
        <f t="shared" si="105"/>
        <v>39</v>
      </c>
      <c r="AM54" s="26" t="str">
        <f t="shared" si="98"/>
        <v>Transfert infranational au titre de la taxe d'abattage (+)</v>
      </c>
      <c r="AN54" s="18">
        <f t="shared" si="106"/>
        <v>0</v>
      </c>
      <c r="AO54" s="18">
        <f t="shared" si="106"/>
        <v>0</v>
      </c>
      <c r="AP54" s="18">
        <f t="shared" si="106"/>
        <v>0</v>
      </c>
      <c r="AQ54" s="18">
        <f t="shared" si="106"/>
        <v>0</v>
      </c>
      <c r="AR54" s="18">
        <f t="shared" si="106"/>
        <v>0</v>
      </c>
      <c r="AS54" s="18">
        <f t="shared" si="106"/>
        <v>0</v>
      </c>
      <c r="AT54" s="18">
        <f t="shared" si="106"/>
        <v>0</v>
      </c>
      <c r="AU54" s="18">
        <f t="shared" si="106"/>
        <v>0</v>
      </c>
      <c r="AV54" s="18">
        <f t="shared" si="107"/>
        <v>0</v>
      </c>
      <c r="AW54" s="18"/>
      <c r="AX54" s="17">
        <f t="shared" si="108"/>
        <v>39</v>
      </c>
      <c r="AY54" s="26" t="str">
        <f t="shared" si="100"/>
        <v>Transfert infranational au titre de la taxe d'abattage (+)</v>
      </c>
      <c r="AZ54" s="18">
        <f t="shared" ca="1" si="109"/>
        <v>0</v>
      </c>
      <c r="BA54" s="18">
        <f t="shared" ca="1" si="109"/>
        <v>0</v>
      </c>
      <c r="BB54" s="18">
        <f t="shared" ca="1" si="109"/>
        <v>0</v>
      </c>
      <c r="BC54" s="18">
        <f t="shared" ca="1" si="109"/>
        <v>0</v>
      </c>
      <c r="BD54" s="18">
        <f t="shared" ca="1" si="109"/>
        <v>0</v>
      </c>
      <c r="BE54" s="18">
        <f t="shared" ca="1" si="109"/>
        <v>0</v>
      </c>
      <c r="BF54" s="18">
        <f t="shared" ca="1" si="109"/>
        <v>0</v>
      </c>
      <c r="BG54" s="18">
        <f t="shared" ca="1" si="109"/>
        <v>0</v>
      </c>
      <c r="BH54" s="18">
        <f t="shared" ca="1" si="109"/>
        <v>0</v>
      </c>
      <c r="BI54" s="18">
        <f t="shared" ca="1" si="109"/>
        <v>0</v>
      </c>
      <c r="BJ54" s="18">
        <f t="shared" ca="1" si="109"/>
        <v>0</v>
      </c>
      <c r="BK54" s="18">
        <f t="shared" ca="1" si="109"/>
        <v>0</v>
      </c>
    </row>
    <row r="55" spans="1:63">
      <c r="A55" s="80">
        <f t="shared" si="29"/>
        <v>0</v>
      </c>
      <c r="B55" s="163"/>
      <c r="C55" s="58" t="str">
        <f>+'Taxes RCA 2022'!B48</f>
        <v xml:space="preserve">Transferts du Trésor aux communes </v>
      </c>
      <c r="E55" s="166">
        <f>SUM(E56:E61)</f>
        <v>0</v>
      </c>
      <c r="F55" s="166">
        <f t="shared" ref="F55:G55" si="114">SUM(F56:F61)</f>
        <v>0</v>
      </c>
      <c r="G55" s="166">
        <f t="shared" si="114"/>
        <v>0</v>
      </c>
      <c r="H55" s="114"/>
      <c r="I55" s="166">
        <f>SUM(I56:I61)</f>
        <v>0</v>
      </c>
      <c r="J55" s="166">
        <f t="shared" ref="J55" ca="1" si="115">SUM(J56:J61)</f>
        <v>0</v>
      </c>
      <c r="K55" s="166">
        <f t="shared" ref="K55" ca="1" si="116">SUM(K56:K61)</f>
        <v>0</v>
      </c>
      <c r="L55" s="114"/>
      <c r="M55" s="166">
        <f t="shared" ref="M55" ca="1" si="117">SUM(M56:M61)</f>
        <v>0</v>
      </c>
      <c r="N55" s="58"/>
      <c r="O55" s="38" t="str">
        <f t="shared" ca="1" si="46"/>
        <v/>
      </c>
      <c r="P55" s="39" t="str">
        <f ca="1">IF(O55="ERROR","Please insert comment","")</f>
        <v/>
      </c>
      <c r="Y55" s="15">
        <f t="shared" si="102"/>
        <v>40</v>
      </c>
      <c r="Z55" s="25" t="str">
        <f t="shared" si="96"/>
        <v>Transfert infranational au titre de la taxe reboisement (+)</v>
      </c>
      <c r="AA55" s="16">
        <f t="shared" si="103"/>
        <v>0</v>
      </c>
      <c r="AB55" s="16">
        <f t="shared" si="103"/>
        <v>0</v>
      </c>
      <c r="AC55" s="16">
        <f t="shared" si="103"/>
        <v>0</v>
      </c>
      <c r="AD55" s="16">
        <f t="shared" si="103"/>
        <v>0</v>
      </c>
      <c r="AE55" s="16">
        <f t="shared" si="103"/>
        <v>0</v>
      </c>
      <c r="AF55" s="16">
        <f t="shared" si="103"/>
        <v>0</v>
      </c>
      <c r="AG55" s="16">
        <f t="shared" si="103"/>
        <v>0</v>
      </c>
      <c r="AH55" s="16">
        <f t="shared" si="103"/>
        <v>0</v>
      </c>
      <c r="AI55" s="16">
        <f t="shared" si="103"/>
        <v>0</v>
      </c>
      <c r="AJ55" s="16">
        <f t="shared" si="104"/>
        <v>0</v>
      </c>
      <c r="AL55" s="17">
        <f t="shared" si="105"/>
        <v>40</v>
      </c>
      <c r="AM55" s="26" t="str">
        <f t="shared" si="98"/>
        <v>Transfert infranational au titre de la taxe reboisement (+)</v>
      </c>
      <c r="AN55" s="18">
        <f t="shared" si="106"/>
        <v>0</v>
      </c>
      <c r="AO55" s="18">
        <f t="shared" si="106"/>
        <v>0</v>
      </c>
      <c r="AP55" s="18">
        <f t="shared" si="106"/>
        <v>0</v>
      </c>
      <c r="AQ55" s="18">
        <f t="shared" si="106"/>
        <v>0</v>
      </c>
      <c r="AR55" s="18">
        <f t="shared" si="106"/>
        <v>0</v>
      </c>
      <c r="AS55" s="18">
        <f t="shared" si="106"/>
        <v>0</v>
      </c>
      <c r="AT55" s="18">
        <f t="shared" si="106"/>
        <v>0</v>
      </c>
      <c r="AU55" s="18">
        <f t="shared" si="106"/>
        <v>0</v>
      </c>
      <c r="AV55" s="18">
        <f t="shared" si="107"/>
        <v>0</v>
      </c>
      <c r="AW55" s="18"/>
      <c r="AX55" s="17">
        <f t="shared" si="108"/>
        <v>40</v>
      </c>
      <c r="AY55" s="26" t="str">
        <f t="shared" si="100"/>
        <v>Transfert infranational au titre de la taxe reboisement (+)</v>
      </c>
      <c r="AZ55" s="18">
        <f t="shared" ca="1" si="109"/>
        <v>0</v>
      </c>
      <c r="BA55" s="18">
        <f t="shared" ca="1" si="109"/>
        <v>0</v>
      </c>
      <c r="BB55" s="18">
        <f t="shared" ca="1" si="109"/>
        <v>0</v>
      </c>
      <c r="BC55" s="18">
        <f t="shared" ca="1" si="109"/>
        <v>0</v>
      </c>
      <c r="BD55" s="18">
        <f t="shared" ca="1" si="109"/>
        <v>0</v>
      </c>
      <c r="BE55" s="18">
        <f t="shared" ca="1" si="109"/>
        <v>0</v>
      </c>
      <c r="BF55" s="18">
        <f t="shared" ca="1" si="109"/>
        <v>0</v>
      </c>
      <c r="BG55" s="18">
        <f t="shared" ca="1" si="109"/>
        <v>0</v>
      </c>
      <c r="BH55" s="18">
        <f t="shared" ca="1" si="109"/>
        <v>0</v>
      </c>
      <c r="BI55" s="18">
        <f t="shared" ca="1" si="109"/>
        <v>0</v>
      </c>
      <c r="BJ55" s="18">
        <f t="shared" ca="1" si="109"/>
        <v>0</v>
      </c>
      <c r="BK55" s="18">
        <f t="shared" ca="1" si="109"/>
        <v>0</v>
      </c>
    </row>
    <row r="56" spans="1:63">
      <c r="A56" s="80"/>
      <c r="B56" s="53">
        <f>+'Taxes RCA 2022'!A49</f>
        <v>0</v>
      </c>
      <c r="C56" s="18" t="str">
        <f>+'Taxes RCA 2022'!B49</f>
        <v>Transfert du trésor aux communes</v>
      </c>
      <c r="E56" s="114"/>
      <c r="F56" s="114">
        <f t="shared" ref="F56:F61" si="118">SUMIF($A$84:$A$747,B56&amp;"- "&amp;C56,$G$84:$G$747)</f>
        <v>0</v>
      </c>
      <c r="G56" s="114">
        <f t="shared" ref="G56:G61" si="119">E56+F56</f>
        <v>0</v>
      </c>
      <c r="H56" s="114"/>
      <c r="I56" s="114"/>
      <c r="J56" s="114">
        <f t="shared" ref="J56:J61" ca="1" si="120">SUMIF($J$84:$M$745,B56&amp;"- "&amp;C56,$Q$84:$Q$745)</f>
        <v>0</v>
      </c>
      <c r="K56" s="114">
        <f t="shared" ref="K56:K61" ca="1" si="121">I56+J56</f>
        <v>0</v>
      </c>
      <c r="L56" s="114"/>
      <c r="M56" s="114">
        <f t="shared" ref="M56:M61" ca="1" si="122">+G56-K56</f>
        <v>0</v>
      </c>
      <c r="N56" s="18"/>
      <c r="O56" s="38"/>
      <c r="P56" s="39"/>
      <c r="Y56" s="15">
        <f t="shared" si="102"/>
        <v>41</v>
      </c>
      <c r="Z56" s="25" t="str">
        <f t="shared" si="96"/>
        <v>Transfert infranational au titre de la taxe environnementale (+)</v>
      </c>
      <c r="AA56" s="16">
        <f t="shared" si="103"/>
        <v>0</v>
      </c>
      <c r="AB56" s="16">
        <f t="shared" si="103"/>
        <v>0</v>
      </c>
      <c r="AC56" s="16">
        <f t="shared" si="103"/>
        <v>0</v>
      </c>
      <c r="AD56" s="16">
        <f t="shared" si="103"/>
        <v>0</v>
      </c>
      <c r="AE56" s="16">
        <f t="shared" si="103"/>
        <v>0</v>
      </c>
      <c r="AF56" s="16">
        <f t="shared" si="103"/>
        <v>0</v>
      </c>
      <c r="AG56" s="16">
        <f t="shared" si="103"/>
        <v>0</v>
      </c>
      <c r="AH56" s="16">
        <f t="shared" si="103"/>
        <v>0</v>
      </c>
      <c r="AI56" s="16">
        <f t="shared" si="103"/>
        <v>0</v>
      </c>
      <c r="AJ56" s="16">
        <f t="shared" si="104"/>
        <v>0</v>
      </c>
      <c r="AL56" s="17">
        <f t="shared" si="105"/>
        <v>41</v>
      </c>
      <c r="AM56" s="26" t="str">
        <f t="shared" si="98"/>
        <v>Transfert infranational au titre de la taxe environnementale (+)</v>
      </c>
      <c r="AN56" s="18">
        <f t="shared" si="106"/>
        <v>0</v>
      </c>
      <c r="AO56" s="18">
        <f t="shared" si="106"/>
        <v>0</v>
      </c>
      <c r="AP56" s="18">
        <f t="shared" si="106"/>
        <v>0</v>
      </c>
      <c r="AQ56" s="18">
        <f t="shared" si="106"/>
        <v>0</v>
      </c>
      <c r="AR56" s="18">
        <f t="shared" si="106"/>
        <v>0</v>
      </c>
      <c r="AS56" s="18">
        <f t="shared" si="106"/>
        <v>0</v>
      </c>
      <c r="AT56" s="18">
        <f t="shared" si="106"/>
        <v>0</v>
      </c>
      <c r="AU56" s="18">
        <f t="shared" si="106"/>
        <v>0</v>
      </c>
      <c r="AV56" s="18">
        <f t="shared" si="107"/>
        <v>0</v>
      </c>
      <c r="AW56" s="18"/>
      <c r="AX56" s="17">
        <f t="shared" si="108"/>
        <v>41</v>
      </c>
      <c r="AY56" s="26" t="str">
        <f t="shared" si="100"/>
        <v>Transfert infranational au titre de la taxe environnementale (+)</v>
      </c>
      <c r="AZ56" s="18">
        <f t="shared" ca="1" si="109"/>
        <v>0</v>
      </c>
      <c r="BA56" s="18">
        <f t="shared" ca="1" si="109"/>
        <v>0</v>
      </c>
      <c r="BB56" s="18">
        <f t="shared" ca="1" si="109"/>
        <v>0</v>
      </c>
      <c r="BC56" s="18">
        <f t="shared" ca="1" si="109"/>
        <v>0</v>
      </c>
      <c r="BD56" s="18">
        <f t="shared" ca="1" si="109"/>
        <v>0</v>
      </c>
      <c r="BE56" s="18">
        <f t="shared" ca="1" si="109"/>
        <v>0</v>
      </c>
      <c r="BF56" s="18">
        <f t="shared" ca="1" si="109"/>
        <v>0</v>
      </c>
      <c r="BG56" s="18">
        <f t="shared" ca="1" si="109"/>
        <v>0</v>
      </c>
      <c r="BH56" s="18">
        <f t="shared" ca="1" si="109"/>
        <v>0</v>
      </c>
      <c r="BI56" s="18">
        <f t="shared" ca="1" si="109"/>
        <v>0</v>
      </c>
      <c r="BJ56" s="18">
        <f t="shared" ca="1" si="109"/>
        <v>0</v>
      </c>
      <c r="BK56" s="18">
        <f t="shared" ca="1" si="109"/>
        <v>0</v>
      </c>
    </row>
    <row r="57" spans="1:63">
      <c r="A57" s="80"/>
      <c r="B57" s="64">
        <f>+'Taxes RCA 2022'!A50</f>
        <v>39</v>
      </c>
      <c r="C57" s="68" t="str">
        <f>+'Taxes RCA 2022'!B50</f>
        <v>Transfert infranational au titre de la taxe d'abattage (+)</v>
      </c>
      <c r="E57" s="165"/>
      <c r="F57" s="165">
        <f t="shared" si="118"/>
        <v>0</v>
      </c>
      <c r="G57" s="165">
        <f t="shared" si="119"/>
        <v>0</v>
      </c>
      <c r="H57" s="114"/>
      <c r="I57" s="165"/>
      <c r="J57" s="165">
        <f t="shared" ca="1" si="120"/>
        <v>0</v>
      </c>
      <c r="K57" s="165">
        <f t="shared" ca="1" si="121"/>
        <v>0</v>
      </c>
      <c r="L57" s="114"/>
      <c r="M57" s="165">
        <f t="shared" ca="1" si="122"/>
        <v>0</v>
      </c>
      <c r="N57" s="68"/>
      <c r="O57" s="38"/>
      <c r="P57" s="39"/>
      <c r="Y57" s="15">
        <f t="shared" si="102"/>
        <v>42</v>
      </c>
      <c r="Z57" s="25" t="str">
        <f t="shared" si="96"/>
        <v>Droit de sortie (DS)/Taxe Export (+)</v>
      </c>
      <c r="AA57" s="16">
        <f t="shared" si="103"/>
        <v>0</v>
      </c>
      <c r="AB57" s="16">
        <f t="shared" si="103"/>
        <v>0</v>
      </c>
      <c r="AC57" s="16">
        <f t="shared" si="103"/>
        <v>0</v>
      </c>
      <c r="AD57" s="16">
        <f t="shared" si="103"/>
        <v>0</v>
      </c>
      <c r="AE57" s="16">
        <f t="shared" si="103"/>
        <v>0</v>
      </c>
      <c r="AF57" s="16">
        <f t="shared" si="103"/>
        <v>0</v>
      </c>
      <c r="AG57" s="16">
        <f t="shared" si="103"/>
        <v>0</v>
      </c>
      <c r="AH57" s="16">
        <f t="shared" si="103"/>
        <v>0</v>
      </c>
      <c r="AI57" s="16">
        <f t="shared" si="103"/>
        <v>0</v>
      </c>
      <c r="AJ57" s="16">
        <f t="shared" si="104"/>
        <v>0</v>
      </c>
      <c r="AL57" s="17">
        <f t="shared" si="105"/>
        <v>42</v>
      </c>
      <c r="AM57" s="26" t="str">
        <f t="shared" si="98"/>
        <v>Droit de sortie (DS)/Taxe Export (+)</v>
      </c>
      <c r="AN57" s="18">
        <f t="shared" si="106"/>
        <v>0</v>
      </c>
      <c r="AO57" s="18">
        <f t="shared" si="106"/>
        <v>0</v>
      </c>
      <c r="AP57" s="18">
        <f t="shared" si="106"/>
        <v>0</v>
      </c>
      <c r="AQ57" s="18">
        <f t="shared" si="106"/>
        <v>0</v>
      </c>
      <c r="AR57" s="18">
        <f t="shared" si="106"/>
        <v>0</v>
      </c>
      <c r="AS57" s="18">
        <f t="shared" si="106"/>
        <v>0</v>
      </c>
      <c r="AT57" s="18">
        <f t="shared" si="106"/>
        <v>0</v>
      </c>
      <c r="AU57" s="18">
        <f t="shared" si="106"/>
        <v>0</v>
      </c>
      <c r="AV57" s="18">
        <f t="shared" si="107"/>
        <v>0</v>
      </c>
      <c r="AW57" s="18"/>
      <c r="AX57" s="17">
        <f t="shared" si="108"/>
        <v>42</v>
      </c>
      <c r="AY57" s="26" t="str">
        <f t="shared" si="100"/>
        <v>Droit de sortie (DS)/Taxe Export (+)</v>
      </c>
      <c r="AZ57" s="18">
        <f t="shared" ca="1" si="109"/>
        <v>0</v>
      </c>
      <c r="BA57" s="18">
        <f t="shared" ca="1" si="109"/>
        <v>0</v>
      </c>
      <c r="BB57" s="18">
        <f t="shared" ca="1" si="109"/>
        <v>0</v>
      </c>
      <c r="BC57" s="18">
        <f t="shared" ca="1" si="109"/>
        <v>0</v>
      </c>
      <c r="BD57" s="18">
        <f t="shared" ca="1" si="109"/>
        <v>0</v>
      </c>
      <c r="BE57" s="18">
        <f t="shared" ca="1" si="109"/>
        <v>0</v>
      </c>
      <c r="BF57" s="18">
        <f t="shared" ca="1" si="109"/>
        <v>0</v>
      </c>
      <c r="BG57" s="18">
        <f t="shared" ca="1" si="109"/>
        <v>0</v>
      </c>
      <c r="BH57" s="18">
        <f t="shared" ca="1" si="109"/>
        <v>0</v>
      </c>
      <c r="BI57" s="18">
        <f t="shared" ca="1" si="109"/>
        <v>0</v>
      </c>
      <c r="BJ57" s="18">
        <f t="shared" ca="1" si="109"/>
        <v>0</v>
      </c>
      <c r="BK57" s="18">
        <f t="shared" ca="1" si="109"/>
        <v>0</v>
      </c>
    </row>
    <row r="58" spans="1:63">
      <c r="A58" s="80"/>
      <c r="B58" s="53">
        <f>+'Taxes RCA 2022'!A51</f>
        <v>40</v>
      </c>
      <c r="C58" s="18" t="str">
        <f>+'Taxes RCA 2022'!B51</f>
        <v>Transfert infranational au titre de la taxe reboisement (+)</v>
      </c>
      <c r="E58" s="114"/>
      <c r="F58" s="114">
        <f t="shared" si="118"/>
        <v>0</v>
      </c>
      <c r="G58" s="114">
        <f t="shared" si="119"/>
        <v>0</v>
      </c>
      <c r="H58" s="114"/>
      <c r="I58" s="114"/>
      <c r="J58" s="114">
        <f t="shared" ca="1" si="120"/>
        <v>0</v>
      </c>
      <c r="K58" s="114">
        <f t="shared" ca="1" si="121"/>
        <v>0</v>
      </c>
      <c r="L58" s="114"/>
      <c r="M58" s="114">
        <f t="shared" ca="1" si="122"/>
        <v>0</v>
      </c>
      <c r="N58" s="18"/>
      <c r="O58" s="38"/>
      <c r="P58" s="39"/>
      <c r="Y58" s="15">
        <f t="shared" si="102"/>
        <v>43</v>
      </c>
      <c r="Z58" s="25" t="str">
        <f t="shared" si="96"/>
        <v xml:space="preserve">Autres transferts au profit des communes </v>
      </c>
      <c r="AA58" s="16">
        <f t="shared" si="103"/>
        <v>0</v>
      </c>
      <c r="AB58" s="16">
        <f t="shared" si="103"/>
        <v>0</v>
      </c>
      <c r="AC58" s="16">
        <f t="shared" si="103"/>
        <v>0</v>
      </c>
      <c r="AD58" s="16">
        <f t="shared" si="103"/>
        <v>0</v>
      </c>
      <c r="AE58" s="16">
        <f t="shared" si="103"/>
        <v>0</v>
      </c>
      <c r="AF58" s="16">
        <f t="shared" si="103"/>
        <v>0</v>
      </c>
      <c r="AG58" s="16">
        <f t="shared" si="103"/>
        <v>0</v>
      </c>
      <c r="AH58" s="16">
        <f t="shared" si="103"/>
        <v>0</v>
      </c>
      <c r="AI58" s="16">
        <f t="shared" si="103"/>
        <v>0</v>
      </c>
      <c r="AJ58" s="16">
        <f t="shared" si="104"/>
        <v>0</v>
      </c>
      <c r="AL58" s="17">
        <f>+B61</f>
        <v>43</v>
      </c>
      <c r="AM58" s="26" t="str">
        <f>+C61</f>
        <v xml:space="preserve">Autres transferts au profit des communes </v>
      </c>
      <c r="AN58" s="18">
        <f t="shared" si="106"/>
        <v>0</v>
      </c>
      <c r="AO58" s="18">
        <f t="shared" si="106"/>
        <v>0</v>
      </c>
      <c r="AP58" s="18">
        <f t="shared" si="106"/>
        <v>0</v>
      </c>
      <c r="AQ58" s="18">
        <f t="shared" si="106"/>
        <v>0</v>
      </c>
      <c r="AR58" s="18">
        <f t="shared" si="106"/>
        <v>0</v>
      </c>
      <c r="AS58" s="18">
        <f t="shared" si="106"/>
        <v>0</v>
      </c>
      <c r="AT58" s="18">
        <f t="shared" si="106"/>
        <v>0</v>
      </c>
      <c r="AU58" s="18">
        <f t="shared" si="106"/>
        <v>0</v>
      </c>
      <c r="AV58" s="18">
        <f t="shared" si="107"/>
        <v>0</v>
      </c>
      <c r="AW58" s="18"/>
      <c r="AX58" s="17">
        <f>B61</f>
        <v>43</v>
      </c>
      <c r="AY58" s="26" t="str">
        <f>C61</f>
        <v xml:space="preserve">Autres transferts au profit des communes </v>
      </c>
      <c r="AZ58" s="18">
        <f t="shared" ca="1" si="109"/>
        <v>0</v>
      </c>
      <c r="BA58" s="18">
        <f t="shared" ca="1" si="109"/>
        <v>0</v>
      </c>
      <c r="BB58" s="18">
        <f t="shared" ca="1" si="109"/>
        <v>0</v>
      </c>
      <c r="BC58" s="18">
        <f t="shared" ca="1" si="109"/>
        <v>0</v>
      </c>
      <c r="BD58" s="18">
        <f t="shared" ca="1" si="109"/>
        <v>0</v>
      </c>
      <c r="BE58" s="18">
        <f t="shared" ca="1" si="109"/>
        <v>0</v>
      </c>
      <c r="BF58" s="18">
        <f t="shared" ca="1" si="109"/>
        <v>0</v>
      </c>
      <c r="BG58" s="18">
        <f t="shared" ca="1" si="109"/>
        <v>0</v>
      </c>
      <c r="BH58" s="18">
        <f t="shared" ca="1" si="109"/>
        <v>0</v>
      </c>
      <c r="BI58" s="18">
        <f t="shared" ca="1" si="109"/>
        <v>0</v>
      </c>
      <c r="BJ58" s="18">
        <f t="shared" ca="1" si="109"/>
        <v>0</v>
      </c>
      <c r="BK58" s="18">
        <f t="shared" ca="1" si="109"/>
        <v>0</v>
      </c>
    </row>
    <row r="59" spans="1:63">
      <c r="A59" s="80"/>
      <c r="B59" s="64">
        <f>+'Taxes RCA 2022'!A52</f>
        <v>41</v>
      </c>
      <c r="C59" s="68" t="str">
        <f>+'Taxes RCA 2022'!B52</f>
        <v>Transfert infranational au titre de la taxe environnementale (+)</v>
      </c>
      <c r="E59" s="165"/>
      <c r="F59" s="165">
        <f t="shared" si="118"/>
        <v>0</v>
      </c>
      <c r="G59" s="165">
        <f t="shared" si="119"/>
        <v>0</v>
      </c>
      <c r="H59" s="114"/>
      <c r="I59" s="165"/>
      <c r="J59" s="165">
        <f t="shared" ca="1" si="120"/>
        <v>0</v>
      </c>
      <c r="K59" s="165">
        <f t="shared" ca="1" si="121"/>
        <v>0</v>
      </c>
      <c r="L59" s="114"/>
      <c r="M59" s="165">
        <f t="shared" ca="1" si="122"/>
        <v>0</v>
      </c>
      <c r="N59" s="68"/>
      <c r="O59" s="38"/>
      <c r="P59" s="39"/>
      <c r="Y59" s="15">
        <f>B62</f>
        <v>0</v>
      </c>
      <c r="Z59" s="25" t="str">
        <f>C62</f>
        <v>DGTCP (DGP)</v>
      </c>
      <c r="AA59" s="16">
        <f t="shared" si="103"/>
        <v>0</v>
      </c>
      <c r="AB59" s="16">
        <f t="shared" si="103"/>
        <v>0</v>
      </c>
      <c r="AC59" s="16">
        <f t="shared" si="103"/>
        <v>0</v>
      </c>
      <c r="AD59" s="16">
        <f t="shared" si="103"/>
        <v>0</v>
      </c>
      <c r="AE59" s="16">
        <f t="shared" si="103"/>
        <v>0</v>
      </c>
      <c r="AF59" s="16">
        <f t="shared" si="103"/>
        <v>0</v>
      </c>
      <c r="AG59" s="16">
        <f t="shared" si="103"/>
        <v>0</v>
      </c>
      <c r="AH59" s="16">
        <f t="shared" si="103"/>
        <v>0</v>
      </c>
      <c r="AI59" s="16">
        <f t="shared" si="103"/>
        <v>0</v>
      </c>
      <c r="AJ59" s="16">
        <f t="shared" si="104"/>
        <v>0</v>
      </c>
      <c r="AL59" s="17">
        <f>+B62</f>
        <v>0</v>
      </c>
      <c r="AM59" s="26" t="str">
        <f>+C62</f>
        <v>DGTCP (DGP)</v>
      </c>
      <c r="AN59" s="18">
        <f t="shared" si="106"/>
        <v>0</v>
      </c>
      <c r="AO59" s="18">
        <f t="shared" si="106"/>
        <v>0</v>
      </c>
      <c r="AP59" s="18">
        <f t="shared" si="106"/>
        <v>0</v>
      </c>
      <c r="AQ59" s="18">
        <f t="shared" si="106"/>
        <v>0</v>
      </c>
      <c r="AR59" s="18">
        <f t="shared" si="106"/>
        <v>0</v>
      </c>
      <c r="AS59" s="18">
        <f t="shared" si="106"/>
        <v>0</v>
      </c>
      <c r="AT59" s="18">
        <f t="shared" si="106"/>
        <v>0</v>
      </c>
      <c r="AU59" s="18">
        <f t="shared" si="106"/>
        <v>0</v>
      </c>
      <c r="AV59" s="18">
        <f t="shared" si="107"/>
        <v>0</v>
      </c>
      <c r="AW59" s="18"/>
      <c r="AX59" s="17">
        <f>B62</f>
        <v>0</v>
      </c>
      <c r="AY59" s="26" t="str">
        <f>C62</f>
        <v>DGTCP (DGP)</v>
      </c>
      <c r="AZ59" s="18">
        <f t="shared" ca="1" si="109"/>
        <v>0</v>
      </c>
      <c r="BA59" s="18">
        <f t="shared" ca="1" si="109"/>
        <v>0</v>
      </c>
      <c r="BB59" s="18">
        <f t="shared" ca="1" si="109"/>
        <v>0</v>
      </c>
      <c r="BC59" s="18">
        <f t="shared" ca="1" si="109"/>
        <v>0</v>
      </c>
      <c r="BD59" s="18">
        <f t="shared" ca="1" si="109"/>
        <v>0</v>
      </c>
      <c r="BE59" s="18">
        <f t="shared" ca="1" si="109"/>
        <v>0</v>
      </c>
      <c r="BF59" s="18">
        <f t="shared" ca="1" si="109"/>
        <v>0</v>
      </c>
      <c r="BG59" s="18">
        <f t="shared" ca="1" si="109"/>
        <v>0</v>
      </c>
      <c r="BH59" s="18">
        <f t="shared" ca="1" si="109"/>
        <v>0</v>
      </c>
      <c r="BI59" s="18">
        <f t="shared" ca="1" si="109"/>
        <v>0</v>
      </c>
      <c r="BJ59" s="18">
        <f t="shared" ca="1" si="109"/>
        <v>0</v>
      </c>
      <c r="BK59" s="18">
        <f t="shared" ca="1" si="109"/>
        <v>0</v>
      </c>
    </row>
    <row r="60" spans="1:63">
      <c r="A60" s="80"/>
      <c r="B60" s="53">
        <f>+'Taxes RCA 2022'!A53</f>
        <v>42</v>
      </c>
      <c r="C60" s="18" t="str">
        <f>+'Taxes RCA 2022'!B53</f>
        <v>Droit de sortie (DS)/Taxe Export (+)</v>
      </c>
      <c r="E60" s="114"/>
      <c r="F60" s="114">
        <f t="shared" si="118"/>
        <v>0</v>
      </c>
      <c r="G60" s="114">
        <f t="shared" si="119"/>
        <v>0</v>
      </c>
      <c r="H60" s="114"/>
      <c r="I60" s="114"/>
      <c r="J60" s="114">
        <f t="shared" ca="1" si="120"/>
        <v>0</v>
      </c>
      <c r="K60" s="114">
        <f t="shared" ca="1" si="121"/>
        <v>0</v>
      </c>
      <c r="L60" s="114"/>
      <c r="M60" s="114">
        <f t="shared" ca="1" si="122"/>
        <v>0</v>
      </c>
      <c r="N60" s="18"/>
      <c r="O60" s="38"/>
      <c r="P60" s="39"/>
      <c r="Y60" s="15"/>
      <c r="Z60" s="25" t="str">
        <f>C63</f>
        <v xml:space="preserve">Fonds du soutien à la Promotion Pétrolière </v>
      </c>
      <c r="AA60" s="16">
        <f>SUM(AA61:AA64)</f>
        <v>0</v>
      </c>
      <c r="AB60" s="16">
        <f t="shared" ref="AB60:AJ60" si="123">SUM(AB61:AB64)</f>
        <v>0</v>
      </c>
      <c r="AC60" s="16">
        <f t="shared" si="123"/>
        <v>0</v>
      </c>
      <c r="AD60" s="16">
        <f t="shared" si="123"/>
        <v>0</v>
      </c>
      <c r="AE60" s="16">
        <f t="shared" si="123"/>
        <v>0</v>
      </c>
      <c r="AF60" s="16">
        <f t="shared" si="123"/>
        <v>0</v>
      </c>
      <c r="AG60" s="16">
        <f t="shared" si="123"/>
        <v>0</v>
      </c>
      <c r="AH60" s="16">
        <f t="shared" si="123"/>
        <v>0</v>
      </c>
      <c r="AI60" s="16">
        <f t="shared" si="123"/>
        <v>0</v>
      </c>
      <c r="AJ60" s="16">
        <f t="shared" si="123"/>
        <v>0</v>
      </c>
      <c r="AL60" s="17"/>
      <c r="AM60" s="26" t="str">
        <f>+C63</f>
        <v xml:space="preserve">Fonds du soutien à la Promotion Pétrolière </v>
      </c>
      <c r="AN60" s="18">
        <f t="shared" ref="AN60:AV60" si="124">SUM(AN61:AN64)</f>
        <v>0</v>
      </c>
      <c r="AO60" s="18">
        <f t="shared" si="124"/>
        <v>0</v>
      </c>
      <c r="AP60" s="18">
        <f t="shared" si="124"/>
        <v>0</v>
      </c>
      <c r="AQ60" s="18">
        <f t="shared" si="124"/>
        <v>0</v>
      </c>
      <c r="AR60" s="18">
        <f t="shared" si="124"/>
        <v>0</v>
      </c>
      <c r="AS60" s="18">
        <f t="shared" si="124"/>
        <v>0</v>
      </c>
      <c r="AT60" s="18">
        <f t="shared" si="124"/>
        <v>0</v>
      </c>
      <c r="AU60" s="18">
        <f t="shared" si="124"/>
        <v>0</v>
      </c>
      <c r="AV60" s="18">
        <f t="shared" si="124"/>
        <v>0</v>
      </c>
      <c r="AW60" s="18"/>
      <c r="AX60" s="17"/>
      <c r="AY60" s="26" t="str">
        <f>C63</f>
        <v xml:space="preserve">Fonds du soutien à la Promotion Pétrolière </v>
      </c>
      <c r="AZ60" s="18">
        <f t="shared" ref="AZ60:BK60" ca="1" si="125">SUM(AZ61:AZ64)</f>
        <v>0</v>
      </c>
      <c r="BA60" s="18">
        <f t="shared" ca="1" si="125"/>
        <v>0</v>
      </c>
      <c r="BB60" s="18">
        <f t="shared" ca="1" si="125"/>
        <v>0</v>
      </c>
      <c r="BC60" s="18">
        <f t="shared" ca="1" si="125"/>
        <v>0</v>
      </c>
      <c r="BD60" s="18">
        <f t="shared" ca="1" si="125"/>
        <v>0</v>
      </c>
      <c r="BE60" s="18">
        <f t="shared" ca="1" si="125"/>
        <v>0</v>
      </c>
      <c r="BF60" s="18">
        <f t="shared" ca="1" si="125"/>
        <v>0</v>
      </c>
      <c r="BG60" s="18">
        <f t="shared" ca="1" si="125"/>
        <v>0</v>
      </c>
      <c r="BH60" s="18">
        <f t="shared" ca="1" si="125"/>
        <v>0</v>
      </c>
      <c r="BI60" s="18">
        <f t="shared" ca="1" si="125"/>
        <v>0</v>
      </c>
      <c r="BJ60" s="18">
        <f t="shared" ca="1" si="125"/>
        <v>0</v>
      </c>
      <c r="BK60" s="18">
        <f t="shared" ca="1" si="125"/>
        <v>0</v>
      </c>
    </row>
    <row r="61" spans="1:63">
      <c r="A61" s="80"/>
      <c r="B61" s="64">
        <f>+'Taxes RCA 2022'!A54</f>
        <v>43</v>
      </c>
      <c r="C61" s="68" t="str">
        <f>+'Taxes RCA 2022'!B54</f>
        <v xml:space="preserve">Autres transferts au profit des communes </v>
      </c>
      <c r="E61" s="165"/>
      <c r="F61" s="165">
        <f t="shared" si="118"/>
        <v>0</v>
      </c>
      <c r="G61" s="165">
        <f t="shared" si="119"/>
        <v>0</v>
      </c>
      <c r="H61" s="114"/>
      <c r="I61" s="165"/>
      <c r="J61" s="165">
        <f t="shared" ca="1" si="120"/>
        <v>0</v>
      </c>
      <c r="K61" s="165">
        <f t="shared" ca="1" si="121"/>
        <v>0</v>
      </c>
      <c r="L61" s="114"/>
      <c r="M61" s="165">
        <f t="shared" ca="1" si="122"/>
        <v>0</v>
      </c>
      <c r="N61" s="68"/>
      <c r="O61" s="38"/>
      <c r="P61" s="39"/>
      <c r="Y61" s="15">
        <f>B64</f>
        <v>45</v>
      </c>
      <c r="Z61" s="25" t="str">
        <f>C64</f>
        <v>Fonds de Soutien aux projets de Développement Communautaire</v>
      </c>
      <c r="AA61" s="16">
        <f t="shared" ref="AA61:AI61" si="126">SUMPRODUCT(($A$84:$A$747=$Y61&amp;"- "&amp;$Z61)*($C$84:$C$747=AA$1)*($G$84:$G$747))</f>
        <v>0</v>
      </c>
      <c r="AB61" s="16">
        <f t="shared" si="126"/>
        <v>0</v>
      </c>
      <c r="AC61" s="16">
        <f t="shared" si="126"/>
        <v>0</v>
      </c>
      <c r="AD61" s="16">
        <f t="shared" si="126"/>
        <v>0</v>
      </c>
      <c r="AE61" s="16">
        <f t="shared" si="126"/>
        <v>0</v>
      </c>
      <c r="AF61" s="16">
        <f t="shared" si="126"/>
        <v>0</v>
      </c>
      <c r="AG61" s="16">
        <f t="shared" si="126"/>
        <v>0</v>
      </c>
      <c r="AH61" s="16">
        <f t="shared" si="126"/>
        <v>0</v>
      </c>
      <c r="AI61" s="16">
        <f t="shared" si="126"/>
        <v>0</v>
      </c>
      <c r="AJ61" s="16">
        <f>SUM(AA61:AI61)</f>
        <v>0</v>
      </c>
      <c r="AL61" s="17">
        <f>+B64</f>
        <v>45</v>
      </c>
      <c r="AM61" s="26" t="str">
        <f>+C64</f>
        <v>Fonds de Soutien aux projets de Développement Communautaire</v>
      </c>
      <c r="AN61" s="18">
        <f t="shared" ref="AN61:AU61" si="127">SUMPRODUCT(($J$84:$M$744=$AL61&amp;"- "&amp;$AM61)*($N$84:$N$744=AN$1)*($Q$84:$Q$744))</f>
        <v>0</v>
      </c>
      <c r="AO61" s="18">
        <f t="shared" si="127"/>
        <v>0</v>
      </c>
      <c r="AP61" s="18">
        <f t="shared" si="127"/>
        <v>0</v>
      </c>
      <c r="AQ61" s="18">
        <f t="shared" si="127"/>
        <v>0</v>
      </c>
      <c r="AR61" s="18">
        <f t="shared" si="127"/>
        <v>0</v>
      </c>
      <c r="AS61" s="18">
        <f t="shared" si="127"/>
        <v>0</v>
      </c>
      <c r="AT61" s="18">
        <f t="shared" si="127"/>
        <v>0</v>
      </c>
      <c r="AU61" s="18">
        <f t="shared" si="127"/>
        <v>0</v>
      </c>
      <c r="AV61" s="18">
        <f>SUM(AN61:AU61)</f>
        <v>0</v>
      </c>
      <c r="AW61" s="18"/>
      <c r="AX61" s="17">
        <f>B64</f>
        <v>45</v>
      </c>
      <c r="AY61" s="26" t="str">
        <f>C64</f>
        <v>Fonds de Soutien aux projets de Développement Communautaire</v>
      </c>
      <c r="AZ61" s="18">
        <f t="shared" ref="AZ61:BK61" ca="1" si="128">SUMPRODUCT(($C$10:$C$75=$AY61)*($N$10:$N$75=AZ$1)*($M$10:$M$75))</f>
        <v>0</v>
      </c>
      <c r="BA61" s="18">
        <f t="shared" ca="1" si="128"/>
        <v>0</v>
      </c>
      <c r="BB61" s="18">
        <f t="shared" ca="1" si="128"/>
        <v>0</v>
      </c>
      <c r="BC61" s="18">
        <f t="shared" ca="1" si="128"/>
        <v>0</v>
      </c>
      <c r="BD61" s="18">
        <f t="shared" ca="1" si="128"/>
        <v>0</v>
      </c>
      <c r="BE61" s="18">
        <f t="shared" ca="1" si="128"/>
        <v>0</v>
      </c>
      <c r="BF61" s="18">
        <f t="shared" ca="1" si="128"/>
        <v>0</v>
      </c>
      <c r="BG61" s="18">
        <f t="shared" ca="1" si="128"/>
        <v>0</v>
      </c>
      <c r="BH61" s="18">
        <f t="shared" ca="1" si="128"/>
        <v>0</v>
      </c>
      <c r="BI61" s="18">
        <f t="shared" ca="1" si="128"/>
        <v>0</v>
      </c>
      <c r="BJ61" s="18">
        <f t="shared" ca="1" si="128"/>
        <v>0</v>
      </c>
      <c r="BK61" s="18">
        <f t="shared" ca="1" si="128"/>
        <v>0</v>
      </c>
    </row>
    <row r="62" spans="1:63">
      <c r="A62" s="80"/>
      <c r="B62" s="163"/>
      <c r="C62" s="58" t="str">
        <f>+'Taxes RCA 2022'!B55</f>
        <v>DGTCP (DGP)</v>
      </c>
      <c r="E62" s="166">
        <f>+E64+E63</f>
        <v>0</v>
      </c>
      <c r="F62" s="166">
        <f t="shared" ref="F62:G62" si="129">+F64+F63</f>
        <v>0</v>
      </c>
      <c r="G62" s="166">
        <f t="shared" si="129"/>
        <v>0</v>
      </c>
      <c r="H62" s="114"/>
      <c r="I62" s="166">
        <f>+I64+I63</f>
        <v>0</v>
      </c>
      <c r="J62" s="166">
        <f t="shared" ref="J62" ca="1" si="130">+J64+J63</f>
        <v>0</v>
      </c>
      <c r="K62" s="166">
        <f t="shared" ref="K62" ca="1" si="131">+K64+K63</f>
        <v>0</v>
      </c>
      <c r="L62" s="114"/>
      <c r="M62" s="166">
        <f t="shared" ref="M62" ca="1" si="132">+M64+M63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SUMIF($A$84:$A$747,B63&amp;"- "&amp;C63,$G$84:$G$747)</f>
        <v>0</v>
      </c>
      <c r="G63" s="114">
        <f>E63+F63</f>
        <v>0</v>
      </c>
      <c r="H63" s="114"/>
      <c r="I63" s="114"/>
      <c r="J63" s="114">
        <f ca="1">SUMIF($J$84:$M$745,B63&amp;"- "&amp;C63,$Q$84:$Q$745)</f>
        <v>0</v>
      </c>
      <c r="K63" s="114">
        <f ca="1">I63+J63</f>
        <v>0</v>
      </c>
      <c r="L63" s="114"/>
      <c r="M63" s="114">
        <f ca="1">+G63-K63</f>
        <v>0</v>
      </c>
      <c r="N63" s="18"/>
      <c r="O63" s="38"/>
      <c r="P63" s="39"/>
      <c r="Q63" s="23"/>
      <c r="Y63" s="15">
        <f>B65</f>
        <v>0</v>
      </c>
      <c r="Z63" s="25" t="str">
        <f>C65</f>
        <v xml:space="preserve">Paiements Sociaux </v>
      </c>
      <c r="AA63" s="16">
        <f t="shared" ref="AA63:AI64" si="133">SUMPRODUCT(($A$84:$A$747=$Y63&amp;"- "&amp;$Z63)*($C$84:$C$747=AA$1)*($G$84:$G$747))</f>
        <v>0</v>
      </c>
      <c r="AB63" s="16">
        <f t="shared" si="133"/>
        <v>0</v>
      </c>
      <c r="AC63" s="16">
        <f t="shared" si="133"/>
        <v>0</v>
      </c>
      <c r="AD63" s="16">
        <f t="shared" si="133"/>
        <v>0</v>
      </c>
      <c r="AE63" s="16">
        <f t="shared" si="133"/>
        <v>0</v>
      </c>
      <c r="AF63" s="16">
        <f t="shared" si="133"/>
        <v>0</v>
      </c>
      <c r="AG63" s="16">
        <f t="shared" si="133"/>
        <v>0</v>
      </c>
      <c r="AH63" s="16">
        <f t="shared" si="133"/>
        <v>0</v>
      </c>
      <c r="AI63" s="16">
        <f t="shared" si="133"/>
        <v>0</v>
      </c>
      <c r="AJ63" s="16">
        <f>SUM(AA63:AI63)</f>
        <v>0</v>
      </c>
      <c r="AL63" s="17">
        <f>+B65</f>
        <v>0</v>
      </c>
      <c r="AM63" s="26" t="str">
        <f>+C65</f>
        <v xml:space="preserve">Paiements Sociaux </v>
      </c>
      <c r="AN63" s="18">
        <f t="shared" ref="AN63:AU64" si="134">SUMPRODUCT(($J$84:$M$744=$AL63&amp;"- "&amp;$AM63)*($N$84:$N$744=AN$1)*($Q$84:$Q$744))</f>
        <v>0</v>
      </c>
      <c r="AO63" s="18">
        <f t="shared" si="134"/>
        <v>0</v>
      </c>
      <c r="AP63" s="18">
        <f t="shared" si="134"/>
        <v>0</v>
      </c>
      <c r="AQ63" s="18">
        <f t="shared" si="134"/>
        <v>0</v>
      </c>
      <c r="AR63" s="18">
        <f t="shared" si="134"/>
        <v>0</v>
      </c>
      <c r="AS63" s="18">
        <f t="shared" si="134"/>
        <v>0</v>
      </c>
      <c r="AT63" s="18">
        <f t="shared" si="134"/>
        <v>0</v>
      </c>
      <c r="AU63" s="18">
        <f t="shared" si="134"/>
        <v>0</v>
      </c>
      <c r="AV63" s="18">
        <f>SUM(AN63:AU63)</f>
        <v>0</v>
      </c>
      <c r="AW63" s="18"/>
      <c r="AX63" s="17">
        <f>B65</f>
        <v>0</v>
      </c>
      <c r="AY63" s="26" t="str">
        <f>C65</f>
        <v xml:space="preserve">Paiements Sociaux </v>
      </c>
      <c r="AZ63" s="18">
        <f t="shared" ref="AZ63:BK64" ca="1" si="135">SUMPRODUCT(($C$10:$C$75=$AY63)*($N$10:$N$75=AZ$1)*($M$10:$M$75))</f>
        <v>0</v>
      </c>
      <c r="BA63" s="18">
        <f t="shared" ca="1" si="135"/>
        <v>0</v>
      </c>
      <c r="BB63" s="18">
        <f t="shared" ca="1" si="135"/>
        <v>0</v>
      </c>
      <c r="BC63" s="18">
        <f t="shared" ca="1" si="135"/>
        <v>0</v>
      </c>
      <c r="BD63" s="18">
        <f t="shared" ca="1" si="135"/>
        <v>0</v>
      </c>
      <c r="BE63" s="18">
        <f t="shared" ca="1" si="135"/>
        <v>0</v>
      </c>
      <c r="BF63" s="18">
        <f t="shared" ca="1" si="135"/>
        <v>0</v>
      </c>
      <c r="BG63" s="18">
        <f t="shared" ca="1" si="135"/>
        <v>0</v>
      </c>
      <c r="BH63" s="18">
        <f t="shared" ca="1" si="135"/>
        <v>0</v>
      </c>
      <c r="BI63" s="18">
        <f t="shared" ca="1" si="135"/>
        <v>0</v>
      </c>
      <c r="BJ63" s="18">
        <f t="shared" ca="1" si="135"/>
        <v>0</v>
      </c>
      <c r="BK63" s="18">
        <f t="shared" ca="1" si="135"/>
        <v>0</v>
      </c>
    </row>
    <row r="64" spans="1:63">
      <c r="A64" s="80">
        <f t="shared" si="29"/>
        <v>45</v>
      </c>
      <c r="B64" s="64">
        <f>+'Taxes RCA 2022'!A57</f>
        <v>45</v>
      </c>
      <c r="C64" s="68" t="str">
        <f>+'Taxes RCA 2022'!B57</f>
        <v>Fonds de Soutien aux projets de Développement Communautaire</v>
      </c>
      <c r="E64" s="165"/>
      <c r="F64" s="165">
        <f>SUMIF($A$84:$A$747,B64&amp;"- "&amp;C64,$G$84:$G$747)</f>
        <v>0</v>
      </c>
      <c r="G64" s="165">
        <f>E64+F64</f>
        <v>0</v>
      </c>
      <c r="H64" s="114"/>
      <c r="I64" s="165"/>
      <c r="J64" s="165">
        <f ca="1">SUMIF($J$84:$M$745,B64&amp;"- "&amp;C64,$Q$84:$Q$745)</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3"/>
        <v>0</v>
      </c>
      <c r="AB64" s="16">
        <f t="shared" si="133"/>
        <v>0</v>
      </c>
      <c r="AC64" s="16">
        <f t="shared" si="133"/>
        <v>0</v>
      </c>
      <c r="AD64" s="16">
        <f t="shared" si="133"/>
        <v>0</v>
      </c>
      <c r="AE64" s="16">
        <f t="shared" si="133"/>
        <v>0</v>
      </c>
      <c r="AF64" s="16">
        <f t="shared" si="133"/>
        <v>0</v>
      </c>
      <c r="AG64" s="16">
        <f t="shared" si="133"/>
        <v>0</v>
      </c>
      <c r="AH64" s="16">
        <f t="shared" si="133"/>
        <v>0</v>
      </c>
      <c r="AI64" s="16">
        <f t="shared" si="133"/>
        <v>0</v>
      </c>
      <c r="AJ64" s="16">
        <f>SUM(AA64:AI64)</f>
        <v>0</v>
      </c>
      <c r="AL64" s="17">
        <f>+B66</f>
        <v>46</v>
      </c>
      <c r="AM64" s="26" t="str">
        <f>+C66</f>
        <v>Paiements sociaux obligatoires</v>
      </c>
      <c r="AN64" s="18">
        <f t="shared" si="134"/>
        <v>0</v>
      </c>
      <c r="AO64" s="18">
        <f t="shared" si="134"/>
        <v>0</v>
      </c>
      <c r="AP64" s="18">
        <f t="shared" si="134"/>
        <v>0</v>
      </c>
      <c r="AQ64" s="18">
        <f t="shared" si="134"/>
        <v>0</v>
      </c>
      <c r="AR64" s="18">
        <f t="shared" si="134"/>
        <v>0</v>
      </c>
      <c r="AS64" s="18">
        <f t="shared" si="134"/>
        <v>0</v>
      </c>
      <c r="AT64" s="18">
        <f t="shared" si="134"/>
        <v>0</v>
      </c>
      <c r="AU64" s="18">
        <f t="shared" si="134"/>
        <v>0</v>
      </c>
      <c r="AV64" s="18">
        <f>SUM(AN64:AU64)</f>
        <v>0</v>
      </c>
      <c r="AW64" s="38"/>
      <c r="AX64" s="17">
        <f>B66</f>
        <v>46</v>
      </c>
      <c r="AY64" s="26" t="str">
        <f>C66</f>
        <v>Paiements sociaux obligatoires</v>
      </c>
      <c r="AZ64" s="18">
        <f t="shared" ca="1" si="135"/>
        <v>0</v>
      </c>
      <c r="BA64" s="18">
        <f t="shared" ca="1" si="135"/>
        <v>0</v>
      </c>
      <c r="BB64" s="18">
        <f t="shared" ca="1" si="135"/>
        <v>0</v>
      </c>
      <c r="BC64" s="18">
        <f t="shared" ca="1" si="135"/>
        <v>0</v>
      </c>
      <c r="BD64" s="18">
        <f t="shared" ca="1" si="135"/>
        <v>0</v>
      </c>
      <c r="BE64" s="18">
        <f t="shared" ca="1" si="135"/>
        <v>0</v>
      </c>
      <c r="BF64" s="18">
        <f t="shared" ca="1" si="135"/>
        <v>0</v>
      </c>
      <c r="BG64" s="18">
        <f t="shared" ca="1" si="135"/>
        <v>0</v>
      </c>
      <c r="BH64" s="18">
        <f t="shared" ca="1" si="135"/>
        <v>0</v>
      </c>
      <c r="BI64" s="18">
        <f t="shared" ca="1" si="135"/>
        <v>0</v>
      </c>
      <c r="BJ64" s="18">
        <f t="shared" ca="1" si="135"/>
        <v>0</v>
      </c>
      <c r="BK64" s="18">
        <f t="shared" ca="1" si="135"/>
        <v>0</v>
      </c>
    </row>
    <row r="65" spans="1:64">
      <c r="A65" s="80">
        <f t="shared" si="29"/>
        <v>0</v>
      </c>
      <c r="B65" s="163"/>
      <c r="C65" s="58" t="str">
        <f>+'Taxes RCA 2022'!B58</f>
        <v xml:space="preserve">Paiements Sociaux </v>
      </c>
      <c r="E65" s="166">
        <f>+E67+E66</f>
        <v>0</v>
      </c>
      <c r="F65" s="166">
        <f t="shared" ref="F65:G65" si="136">+F67+F66</f>
        <v>0</v>
      </c>
      <c r="G65" s="166">
        <f t="shared" si="136"/>
        <v>0</v>
      </c>
      <c r="H65" s="114"/>
      <c r="I65" s="166">
        <f>+I67+I66</f>
        <v>0</v>
      </c>
      <c r="J65" s="166">
        <f t="shared" ref="J65" ca="1" si="137">+J67+J66</f>
        <v>0</v>
      </c>
      <c r="K65" s="166">
        <f t="shared" ref="K65" ca="1" si="138">+K67+K66</f>
        <v>0</v>
      </c>
      <c r="L65" s="114"/>
      <c r="M65" s="166">
        <f t="shared" ref="M65" ca="1" si="139">+M67+M66</f>
        <v>0</v>
      </c>
      <c r="N65" s="58"/>
      <c r="O65" s="38" t="str">
        <f t="shared" ca="1" si="46"/>
        <v/>
      </c>
      <c r="P65" s="39" t="str">
        <f ca="1">IF(O65="ERROR","Please insert comment","")</f>
        <v/>
      </c>
      <c r="Y65" s="15"/>
      <c r="Z65" s="25" t="str">
        <f t="shared" ref="Z65:Z73" si="140">C67</f>
        <v>Paiements sociaux volontaires</v>
      </c>
      <c r="AA65" s="16">
        <f>SUM(AA66:AA67)</f>
        <v>0</v>
      </c>
      <c r="AB65" s="16">
        <f t="shared" ref="AB65:AJ65" si="141">SUM(AB66:AB67)</f>
        <v>0</v>
      </c>
      <c r="AC65" s="16">
        <f t="shared" si="141"/>
        <v>0</v>
      </c>
      <c r="AD65" s="16">
        <f t="shared" si="141"/>
        <v>0</v>
      </c>
      <c r="AE65" s="16">
        <f t="shared" si="141"/>
        <v>0</v>
      </c>
      <c r="AF65" s="16">
        <f t="shared" si="141"/>
        <v>0</v>
      </c>
      <c r="AG65" s="16">
        <f t="shared" si="141"/>
        <v>0</v>
      </c>
      <c r="AH65" s="16">
        <f t="shared" si="141"/>
        <v>0</v>
      </c>
      <c r="AI65" s="16">
        <f t="shared" si="141"/>
        <v>0</v>
      </c>
      <c r="AJ65" s="16">
        <f t="shared" si="141"/>
        <v>0</v>
      </c>
      <c r="AL65" s="17"/>
      <c r="AM65" s="26" t="str">
        <f t="shared" ref="AM65:AM73" si="142">+C67</f>
        <v>Paiements sociaux volontaires</v>
      </c>
      <c r="AN65" s="18">
        <f>SUM(AN66:AN67)</f>
        <v>0</v>
      </c>
      <c r="AO65" s="18">
        <f t="shared" ref="AO65:AV65" si="143">SUM(AO66:AO67)</f>
        <v>0</v>
      </c>
      <c r="AP65" s="18">
        <f t="shared" si="143"/>
        <v>0</v>
      </c>
      <c r="AQ65" s="18">
        <f t="shared" si="143"/>
        <v>0</v>
      </c>
      <c r="AR65" s="18">
        <f t="shared" si="143"/>
        <v>0</v>
      </c>
      <c r="AS65" s="18">
        <f t="shared" si="143"/>
        <v>0</v>
      </c>
      <c r="AT65" s="18">
        <f t="shared" si="143"/>
        <v>0</v>
      </c>
      <c r="AU65" s="18">
        <f t="shared" si="143"/>
        <v>0</v>
      </c>
      <c r="AV65" s="18">
        <f t="shared" si="143"/>
        <v>0</v>
      </c>
      <c r="AW65" s="18"/>
      <c r="AX65" s="17"/>
      <c r="AY65" s="26" t="str">
        <f t="shared" ref="AY65:AY73" si="144">C67</f>
        <v>Paiements sociaux volontaires</v>
      </c>
      <c r="AZ65" s="18">
        <f ca="1">SUM(AZ66:AZ67)</f>
        <v>0</v>
      </c>
      <c r="BA65" s="18">
        <f t="shared" ref="BA65:BK65" ca="1" si="145">SUM(BA66:BA67)</f>
        <v>0</v>
      </c>
      <c r="BB65" s="18">
        <f t="shared" ca="1" si="145"/>
        <v>0</v>
      </c>
      <c r="BC65" s="18">
        <f t="shared" ca="1" si="145"/>
        <v>0</v>
      </c>
      <c r="BD65" s="18">
        <f t="shared" ca="1" si="145"/>
        <v>0</v>
      </c>
      <c r="BE65" s="18">
        <f t="shared" ca="1" si="145"/>
        <v>0</v>
      </c>
      <c r="BF65" s="18">
        <f t="shared" ca="1" si="145"/>
        <v>0</v>
      </c>
      <c r="BG65" s="18">
        <f t="shared" ca="1" si="145"/>
        <v>0</v>
      </c>
      <c r="BH65" s="18">
        <f t="shared" ca="1" si="145"/>
        <v>0</v>
      </c>
      <c r="BI65" s="18">
        <f t="shared" ca="1" si="145"/>
        <v>0</v>
      </c>
      <c r="BJ65" s="18">
        <f t="shared" ca="1" si="145"/>
        <v>0</v>
      </c>
      <c r="BK65" s="18">
        <f t="shared" ca="1" si="145"/>
        <v>0</v>
      </c>
    </row>
    <row r="66" spans="1:64">
      <c r="A66" s="80">
        <f t="shared" si="29"/>
        <v>46</v>
      </c>
      <c r="B66" s="53">
        <f>+'Taxes RCA 2022'!A59</f>
        <v>46</v>
      </c>
      <c r="C66" s="18" t="str">
        <f>+'Taxes RCA 2022'!B59</f>
        <v>Paiements sociaux obligatoires</v>
      </c>
      <c r="E66" s="114"/>
      <c r="F66" s="114">
        <f>SUMIF($A$84:$A$747,B66&amp;"- "&amp;C66,$G$84:$G$747)</f>
        <v>0</v>
      </c>
      <c r="G66" s="114">
        <f>E66+F66</f>
        <v>0</v>
      </c>
      <c r="H66" s="114"/>
      <c r="I66" s="114"/>
      <c r="J66" s="114">
        <f ca="1">SUMIF($J$84:$M$745,B66&amp;"- "&amp;C66,$Q$84:$Q$745)</f>
        <v>0</v>
      </c>
      <c r="K66" s="114">
        <f ca="1">I66+J66</f>
        <v>0</v>
      </c>
      <c r="L66" s="114"/>
      <c r="M66" s="114">
        <f ca="1">+G66-K66</f>
        <v>0</v>
      </c>
      <c r="N66" s="18"/>
      <c r="O66" s="38" t="str">
        <f t="shared" ca="1" si="46"/>
        <v/>
      </c>
      <c r="P66" s="39" t="str">
        <f ca="1">IF(O66="ERROR","Please insert comment","")</f>
        <v/>
      </c>
      <c r="Y66" s="15">
        <f>B68</f>
        <v>0</v>
      </c>
      <c r="Z66" s="25" t="str">
        <f t="shared" si="140"/>
        <v>Paiements environnementaux - DGTCP (FNE)</v>
      </c>
      <c r="AA66" s="16">
        <f t="shared" ref="AA66:AI67" si="146">SUMPRODUCT(($A$84:$A$747=$Y66&amp;"- "&amp;$Z66)*($C$84:$C$747=AA$1)*($G$84:$G$747))</f>
        <v>0</v>
      </c>
      <c r="AB66" s="16">
        <f t="shared" si="146"/>
        <v>0</v>
      </c>
      <c r="AC66" s="16">
        <f t="shared" si="146"/>
        <v>0</v>
      </c>
      <c r="AD66" s="16">
        <f t="shared" si="146"/>
        <v>0</v>
      </c>
      <c r="AE66" s="16">
        <f t="shared" si="146"/>
        <v>0</v>
      </c>
      <c r="AF66" s="16">
        <f t="shared" si="146"/>
        <v>0</v>
      </c>
      <c r="AG66" s="16">
        <f t="shared" si="146"/>
        <v>0</v>
      </c>
      <c r="AH66" s="16">
        <f t="shared" si="146"/>
        <v>0</v>
      </c>
      <c r="AI66" s="16">
        <f t="shared" si="146"/>
        <v>0</v>
      </c>
      <c r="AJ66" s="16">
        <f>SUM(AA66:AI66)</f>
        <v>0</v>
      </c>
      <c r="AL66" s="17">
        <f>+B68</f>
        <v>0</v>
      </c>
      <c r="AM66" s="26" t="str">
        <f t="shared" si="142"/>
        <v>Paiements environnementaux - DGTCP (FNE)</v>
      </c>
      <c r="AN66" s="18">
        <f t="shared" ref="AN66:AU67" si="147">SUMPRODUCT(($J$84:$M$744=$AL66&amp;"- "&amp;$AM66)*($N$84:$N$744=AN$1)*($Q$84:$Q$744))</f>
        <v>0</v>
      </c>
      <c r="AO66" s="18">
        <f t="shared" si="147"/>
        <v>0</v>
      </c>
      <c r="AP66" s="18">
        <f t="shared" si="147"/>
        <v>0</v>
      </c>
      <c r="AQ66" s="18">
        <f t="shared" si="147"/>
        <v>0</v>
      </c>
      <c r="AR66" s="18">
        <f t="shared" si="147"/>
        <v>0</v>
      </c>
      <c r="AS66" s="18">
        <f t="shared" si="147"/>
        <v>0</v>
      </c>
      <c r="AT66" s="18">
        <f t="shared" si="147"/>
        <v>0</v>
      </c>
      <c r="AU66" s="18">
        <f t="shared" si="147"/>
        <v>0</v>
      </c>
      <c r="AV66" s="18">
        <f>SUM(AN66:AU66)</f>
        <v>0</v>
      </c>
      <c r="AW66" s="18"/>
      <c r="AX66" s="17">
        <f>B68</f>
        <v>0</v>
      </c>
      <c r="AY66" s="26" t="str">
        <f t="shared" si="144"/>
        <v>Paiements environnementaux - DGTCP (FNE)</v>
      </c>
      <c r="AZ66" s="18">
        <f t="shared" ref="AZ66:BK67" ca="1" si="148">SUMPRODUCT(($C$10:$C$75=$AY66)*($N$10:$N$75=AZ$1)*($M$10:$M$75))</f>
        <v>0</v>
      </c>
      <c r="BA66" s="18">
        <f t="shared" ca="1" si="148"/>
        <v>0</v>
      </c>
      <c r="BB66" s="18">
        <f t="shared" ca="1" si="148"/>
        <v>0</v>
      </c>
      <c r="BC66" s="18">
        <f t="shared" ca="1" si="148"/>
        <v>0</v>
      </c>
      <c r="BD66" s="18">
        <f t="shared" ca="1" si="148"/>
        <v>0</v>
      </c>
      <c r="BE66" s="18">
        <f t="shared" ca="1" si="148"/>
        <v>0</v>
      </c>
      <c r="BF66" s="18">
        <f t="shared" ca="1" si="148"/>
        <v>0</v>
      </c>
      <c r="BG66" s="18">
        <f t="shared" ca="1" si="148"/>
        <v>0</v>
      </c>
      <c r="BH66" s="18">
        <f t="shared" ca="1" si="148"/>
        <v>0</v>
      </c>
      <c r="BI66" s="18">
        <f t="shared" ca="1" si="148"/>
        <v>0</v>
      </c>
      <c r="BJ66" s="18">
        <f t="shared" ca="1" si="148"/>
        <v>0</v>
      </c>
      <c r="BK66" s="18">
        <f t="shared" ca="1" si="148"/>
        <v>0</v>
      </c>
    </row>
    <row r="67" spans="1:64">
      <c r="A67" s="80"/>
      <c r="B67" s="64">
        <f>+'Taxes RCA 2022'!A60</f>
        <v>47</v>
      </c>
      <c r="C67" s="68" t="str">
        <f>+'Taxes RCA 2022'!B60</f>
        <v>Paiements sociaux volontaires</v>
      </c>
      <c r="E67" s="165"/>
      <c r="F67" s="165">
        <f>SUMIF($A$84:$A$747,B67&amp;"- "&amp;C67,$G$84:$G$747)</f>
        <v>0</v>
      </c>
      <c r="G67" s="165">
        <f>E67+F67</f>
        <v>0</v>
      </c>
      <c r="H67" s="114"/>
      <c r="I67" s="165"/>
      <c r="J67" s="165">
        <f ca="1">SUMIF($J$84:$M$745,B67&amp;"- "&amp;C67,$Q$84:$Q$745)</f>
        <v>0</v>
      </c>
      <c r="K67" s="165">
        <f ca="1">I67+J67</f>
        <v>0</v>
      </c>
      <c r="L67" s="114"/>
      <c r="M67" s="165">
        <f ca="1">+G67-K67</f>
        <v>0</v>
      </c>
      <c r="N67" s="68"/>
      <c r="O67" s="38"/>
      <c r="P67" s="39"/>
      <c r="Y67" s="15">
        <f>B69</f>
        <v>48</v>
      </c>
      <c r="Z67" s="25" t="str">
        <f t="shared" si="140"/>
        <v>Taxes sur les appareils à pression de vapeur et de gaz (+)</v>
      </c>
      <c r="AA67" s="16">
        <f t="shared" si="146"/>
        <v>0</v>
      </c>
      <c r="AB67" s="16">
        <f t="shared" si="146"/>
        <v>0</v>
      </c>
      <c r="AC67" s="16">
        <f t="shared" si="146"/>
        <v>0</v>
      </c>
      <c r="AD67" s="16">
        <f t="shared" si="146"/>
        <v>0</v>
      </c>
      <c r="AE67" s="16">
        <f t="shared" si="146"/>
        <v>0</v>
      </c>
      <c r="AF67" s="16">
        <f t="shared" si="146"/>
        <v>0</v>
      </c>
      <c r="AG67" s="16">
        <f t="shared" si="146"/>
        <v>0</v>
      </c>
      <c r="AH67" s="16">
        <f t="shared" si="146"/>
        <v>0</v>
      </c>
      <c r="AI67" s="16">
        <f t="shared" si="146"/>
        <v>0</v>
      </c>
      <c r="AJ67" s="16">
        <f>SUM(AA67:AI67)</f>
        <v>0</v>
      </c>
      <c r="AL67" s="17">
        <f>+B69</f>
        <v>48</v>
      </c>
      <c r="AM67" s="26" t="str">
        <f t="shared" si="142"/>
        <v>Taxes sur les appareils à pression de vapeur et de gaz (+)</v>
      </c>
      <c r="AN67" s="18">
        <f t="shared" si="147"/>
        <v>0</v>
      </c>
      <c r="AO67" s="18">
        <f t="shared" si="147"/>
        <v>0</v>
      </c>
      <c r="AP67" s="18">
        <f t="shared" si="147"/>
        <v>0</v>
      </c>
      <c r="AQ67" s="18">
        <f t="shared" si="147"/>
        <v>0</v>
      </c>
      <c r="AR67" s="18">
        <f t="shared" si="147"/>
        <v>0</v>
      </c>
      <c r="AS67" s="18">
        <f t="shared" si="147"/>
        <v>0</v>
      </c>
      <c r="AT67" s="18">
        <f t="shared" si="147"/>
        <v>0</v>
      </c>
      <c r="AU67" s="18">
        <f t="shared" si="147"/>
        <v>0</v>
      </c>
      <c r="AV67" s="18">
        <f>SUM(AN67:AU67)</f>
        <v>0</v>
      </c>
      <c r="AW67" s="18"/>
      <c r="AX67" s="17">
        <f>B69</f>
        <v>48</v>
      </c>
      <c r="AY67" s="26" t="str">
        <f t="shared" si="144"/>
        <v>Taxes sur les appareils à pression de vapeur et de gaz (+)</v>
      </c>
      <c r="AZ67" s="18">
        <f t="shared" ca="1" si="148"/>
        <v>0</v>
      </c>
      <c r="BA67" s="18">
        <f t="shared" ca="1" si="148"/>
        <v>0</v>
      </c>
      <c r="BB67" s="18">
        <f t="shared" ca="1" si="148"/>
        <v>0</v>
      </c>
      <c r="BC67" s="18">
        <f t="shared" ca="1" si="148"/>
        <v>0</v>
      </c>
      <c r="BD67" s="18">
        <f t="shared" ca="1" si="148"/>
        <v>0</v>
      </c>
      <c r="BE67" s="18">
        <f t="shared" ca="1" si="148"/>
        <v>0</v>
      </c>
      <c r="BF67" s="18">
        <f t="shared" ca="1" si="148"/>
        <v>0</v>
      </c>
      <c r="BG67" s="18">
        <f t="shared" ca="1" si="148"/>
        <v>0</v>
      </c>
      <c r="BH67" s="18">
        <f t="shared" ca="1" si="148"/>
        <v>0</v>
      </c>
      <c r="BI67" s="18">
        <f t="shared" ca="1" si="148"/>
        <v>0</v>
      </c>
      <c r="BJ67" s="18">
        <f t="shared" ca="1" si="148"/>
        <v>0</v>
      </c>
      <c r="BK67" s="18">
        <f t="shared" ca="1" si="148"/>
        <v>0</v>
      </c>
    </row>
    <row r="68" spans="1:64">
      <c r="A68" s="80"/>
      <c r="B68" s="163"/>
      <c r="C68" s="58" t="str">
        <f>+'Taxes RCA 2022'!B61</f>
        <v>Paiements environnementaux - DGTCP (FNE)</v>
      </c>
      <c r="E68" s="166">
        <f>SUM(E69:E76)</f>
        <v>0</v>
      </c>
      <c r="F68" s="166">
        <f t="shared" ref="F68:G68" si="149">SUM(F69:F76)</f>
        <v>0</v>
      </c>
      <c r="G68" s="166">
        <f t="shared" si="149"/>
        <v>0</v>
      </c>
      <c r="H68" s="114"/>
      <c r="I68" s="166">
        <f>SUM(I69:I76)</f>
        <v>0</v>
      </c>
      <c r="J68" s="166">
        <f t="shared" ref="J68" ca="1" si="150">SUM(J69:J76)</f>
        <v>0</v>
      </c>
      <c r="K68" s="166">
        <f t="shared" ref="K68" ca="1" si="151">SUM(K69:K76)</f>
        <v>0</v>
      </c>
      <c r="L68" s="114"/>
      <c r="M68" s="166">
        <f t="shared" ref="M68" ca="1" si="152">SUM(M69:M76)</f>
        <v>0</v>
      </c>
      <c r="N68" s="58"/>
      <c r="O68" s="38"/>
      <c r="P68" s="39"/>
      <c r="Y68" s="28"/>
      <c r="Z68" s="28" t="str">
        <f t="shared" si="140"/>
        <v>Taxes à la pollution (+)</v>
      </c>
      <c r="AA68" s="29">
        <f>SUM(AA69:AA69)</f>
        <v>0</v>
      </c>
      <c r="AB68" s="29">
        <f t="shared" ref="AB68:AJ68" si="153">SUM(AB69:AB69)</f>
        <v>0</v>
      </c>
      <c r="AC68" s="29">
        <f t="shared" si="153"/>
        <v>0</v>
      </c>
      <c r="AD68" s="29">
        <f t="shared" si="153"/>
        <v>0</v>
      </c>
      <c r="AE68" s="29">
        <f t="shared" si="153"/>
        <v>0</v>
      </c>
      <c r="AF68" s="29">
        <f t="shared" si="153"/>
        <v>0</v>
      </c>
      <c r="AG68" s="29">
        <f t="shared" si="153"/>
        <v>0</v>
      </c>
      <c r="AH68" s="29">
        <f t="shared" si="153"/>
        <v>0</v>
      </c>
      <c r="AI68" s="29">
        <f t="shared" si="153"/>
        <v>0</v>
      </c>
      <c r="AJ68" s="29">
        <f t="shared" si="153"/>
        <v>0</v>
      </c>
      <c r="AL68" s="28"/>
      <c r="AM68" s="28" t="str">
        <f t="shared" si="142"/>
        <v>Taxes à la pollution (+)</v>
      </c>
      <c r="AN68" s="29">
        <f t="shared" ref="AN68:AV68" si="154">SUM(AN69:AN70)</f>
        <v>0</v>
      </c>
      <c r="AO68" s="29">
        <f t="shared" si="154"/>
        <v>0</v>
      </c>
      <c r="AP68" s="29">
        <f t="shared" si="154"/>
        <v>0</v>
      </c>
      <c r="AQ68" s="29">
        <f t="shared" si="154"/>
        <v>0</v>
      </c>
      <c r="AR68" s="29">
        <f t="shared" si="154"/>
        <v>0</v>
      </c>
      <c r="AS68" s="29">
        <f t="shared" si="154"/>
        <v>0</v>
      </c>
      <c r="AT68" s="29">
        <f t="shared" si="154"/>
        <v>0</v>
      </c>
      <c r="AU68" s="29">
        <f t="shared" si="154"/>
        <v>0</v>
      </c>
      <c r="AV68" s="29">
        <f t="shared" si="154"/>
        <v>0</v>
      </c>
      <c r="AW68" s="38"/>
      <c r="AX68" s="28"/>
      <c r="AY68" s="28" t="str">
        <f t="shared" si="144"/>
        <v>Taxes à la pollution (+)</v>
      </c>
      <c r="AZ68" s="29">
        <f t="shared" ref="AZ68:BK68" ca="1" si="155">SUM(AZ69:AZ70)</f>
        <v>0</v>
      </c>
      <c r="BA68" s="29">
        <f t="shared" ca="1" si="155"/>
        <v>0</v>
      </c>
      <c r="BB68" s="29">
        <f t="shared" ca="1" si="155"/>
        <v>0</v>
      </c>
      <c r="BC68" s="29">
        <f t="shared" ca="1" si="155"/>
        <v>0</v>
      </c>
      <c r="BD68" s="29">
        <f t="shared" ca="1" si="155"/>
        <v>0</v>
      </c>
      <c r="BE68" s="29">
        <f t="shared" ca="1" si="155"/>
        <v>0</v>
      </c>
      <c r="BF68" s="29">
        <f t="shared" ca="1" si="155"/>
        <v>0</v>
      </c>
      <c r="BG68" s="29">
        <f t="shared" ca="1" si="155"/>
        <v>0</v>
      </c>
      <c r="BH68" s="29">
        <f t="shared" ca="1" si="155"/>
        <v>0</v>
      </c>
      <c r="BI68" s="29">
        <f t="shared" ca="1" si="155"/>
        <v>0</v>
      </c>
      <c r="BJ68" s="29">
        <f t="shared" ca="1" si="155"/>
        <v>0</v>
      </c>
      <c r="BK68" s="29">
        <f t="shared" ca="1" si="155"/>
        <v>0</v>
      </c>
    </row>
    <row r="69" spans="1:64">
      <c r="A69" s="80"/>
      <c r="B69" s="53">
        <f>+'Taxes RCA 2022'!A62</f>
        <v>48</v>
      </c>
      <c r="C69" s="18" t="str">
        <f>+'Taxes RCA 2022'!B62</f>
        <v>Taxes sur les appareils à pression de vapeur et de gaz (+)</v>
      </c>
      <c r="E69" s="114"/>
      <c r="F69" s="114">
        <f t="shared" ref="F69:F76" si="156">SUMIF($A$84:$A$747,B69&amp;"- "&amp;C69,$G$84:$G$747)</f>
        <v>0</v>
      </c>
      <c r="G69" s="114">
        <f t="shared" ref="G69:G76" si="157">E69+F69</f>
        <v>0</v>
      </c>
      <c r="H69" s="114"/>
      <c r="I69" s="114"/>
      <c r="J69" s="114">
        <f t="shared" ref="J69:J76" ca="1" si="158">SUMIF($J$84:$M$745,B69&amp;"- "&amp;C69,$Q$84:$Q$745)</f>
        <v>0</v>
      </c>
      <c r="K69" s="114">
        <f t="shared" ref="K69:K76" ca="1" si="159">I69+J69</f>
        <v>0</v>
      </c>
      <c r="L69" s="114"/>
      <c r="M69" s="114">
        <f t="shared" ref="M69:M76" ca="1" si="160">+G69-K69</f>
        <v>0</v>
      </c>
      <c r="N69" s="18"/>
      <c r="O69" s="38"/>
      <c r="P69" s="39"/>
      <c r="Y69" s="15">
        <f>B71</f>
        <v>50</v>
      </c>
      <c r="Z69" s="25" t="str">
        <f t="shared" si="140"/>
        <v>Redevances annuelles résultant des inspections et contrôle des installations classées (+)</v>
      </c>
      <c r="AA69" s="16">
        <f t="shared" ref="AA69:AI69" si="161">SUMPRODUCT(($A$84:$A$747=$Y69&amp;"- "&amp;$Z69)*($C$84:$C$747=AA$1)*($G$84:$G$747))</f>
        <v>0</v>
      </c>
      <c r="AB69" s="16">
        <f t="shared" si="161"/>
        <v>0</v>
      </c>
      <c r="AC69" s="16">
        <f t="shared" si="161"/>
        <v>0</v>
      </c>
      <c r="AD69" s="16">
        <f t="shared" si="161"/>
        <v>0</v>
      </c>
      <c r="AE69" s="16">
        <f t="shared" si="161"/>
        <v>0</v>
      </c>
      <c r="AF69" s="16">
        <f t="shared" si="161"/>
        <v>0</v>
      </c>
      <c r="AG69" s="16">
        <f t="shared" si="161"/>
        <v>0</v>
      </c>
      <c r="AH69" s="16">
        <f t="shared" si="161"/>
        <v>0</v>
      </c>
      <c r="AI69" s="16">
        <f t="shared" si="161"/>
        <v>0</v>
      </c>
      <c r="AJ69" s="16">
        <f>SUM(AA69:AI69)</f>
        <v>0</v>
      </c>
      <c r="AL69" s="17">
        <f>+B71</f>
        <v>50</v>
      </c>
      <c r="AM69" s="26" t="str">
        <f t="shared" si="142"/>
        <v>Redevances annuelles résultant des inspections et contrôle des installations classées (+)</v>
      </c>
      <c r="AN69" s="18">
        <f t="shared" ref="AN69:AU69" si="162">SUMPRODUCT(($J$84:$M$744=$AL69&amp;"- "&amp;$AM69)*($N$84:$N$744=AN$1)*($Q$84:$Q$744))</f>
        <v>0</v>
      </c>
      <c r="AO69" s="18">
        <f t="shared" si="162"/>
        <v>0</v>
      </c>
      <c r="AP69" s="18">
        <f t="shared" si="162"/>
        <v>0</v>
      </c>
      <c r="AQ69" s="18">
        <f t="shared" si="162"/>
        <v>0</v>
      </c>
      <c r="AR69" s="18">
        <f t="shared" si="162"/>
        <v>0</v>
      </c>
      <c r="AS69" s="18">
        <f t="shared" si="162"/>
        <v>0</v>
      </c>
      <c r="AT69" s="18">
        <f t="shared" si="162"/>
        <v>0</v>
      </c>
      <c r="AU69" s="18">
        <f t="shared" si="162"/>
        <v>0</v>
      </c>
      <c r="AV69" s="18">
        <f>SUM(AN69:AU69)</f>
        <v>0</v>
      </c>
      <c r="AW69" s="18"/>
      <c r="AX69" s="17">
        <f>B71</f>
        <v>50</v>
      </c>
      <c r="AY69" s="26" t="str">
        <f t="shared" si="144"/>
        <v>Redevances annuelles résultant des inspections et contrôle des installations classées (+)</v>
      </c>
      <c r="AZ69" s="18">
        <f t="shared" ref="AZ69:BK69" ca="1" si="163">SUMPRODUCT(($C$10:$C$75=$AY69)*($N$10:$N$75=AZ$1)*($M$10:$M$75))</f>
        <v>0</v>
      </c>
      <c r="BA69" s="18">
        <f t="shared" ca="1" si="163"/>
        <v>0</v>
      </c>
      <c r="BB69" s="18">
        <f t="shared" ca="1" si="163"/>
        <v>0</v>
      </c>
      <c r="BC69" s="18">
        <f t="shared" ca="1" si="163"/>
        <v>0</v>
      </c>
      <c r="BD69" s="18">
        <f t="shared" ca="1" si="163"/>
        <v>0</v>
      </c>
      <c r="BE69" s="18">
        <f t="shared" ca="1" si="163"/>
        <v>0</v>
      </c>
      <c r="BF69" s="18">
        <f t="shared" ca="1" si="163"/>
        <v>0</v>
      </c>
      <c r="BG69" s="18">
        <f t="shared" ca="1" si="163"/>
        <v>0</v>
      </c>
      <c r="BH69" s="18">
        <f t="shared" ca="1" si="163"/>
        <v>0</v>
      </c>
      <c r="BI69" s="18">
        <f t="shared" ca="1" si="163"/>
        <v>0</v>
      </c>
      <c r="BJ69" s="18">
        <f t="shared" ca="1" si="163"/>
        <v>0</v>
      </c>
      <c r="BK69" s="18">
        <f t="shared" ca="1" si="163"/>
        <v>0</v>
      </c>
    </row>
    <row r="70" spans="1:64">
      <c r="A70" s="80">
        <f t="shared" si="29"/>
        <v>49</v>
      </c>
      <c r="B70" s="64">
        <f>+'Taxes RCA 2022'!A63</f>
        <v>49</v>
      </c>
      <c r="C70" s="68" t="str">
        <f>+'Taxes RCA 2022'!B63</f>
        <v>Taxes à la pollution (+)</v>
      </c>
      <c r="E70" s="165"/>
      <c r="F70" s="165">
        <f t="shared" si="156"/>
        <v>0</v>
      </c>
      <c r="G70" s="165">
        <f t="shared" si="157"/>
        <v>0</v>
      </c>
      <c r="H70" s="114"/>
      <c r="I70" s="165"/>
      <c r="J70" s="165">
        <f t="shared" ca="1" si="158"/>
        <v>0</v>
      </c>
      <c r="K70" s="165">
        <f t="shared" ca="1" si="159"/>
        <v>0</v>
      </c>
      <c r="L70" s="114"/>
      <c r="M70" s="165">
        <f t="shared" ca="1" si="160"/>
        <v>0</v>
      </c>
      <c r="N70" s="68"/>
      <c r="O70" s="38"/>
      <c r="P70" s="39"/>
      <c r="Y70" s="15"/>
      <c r="Z70" s="25" t="str">
        <f t="shared" si="140"/>
        <v>Taxes superficiaires encaissées par le FNE (+)</v>
      </c>
      <c r="AA70" s="16">
        <f t="shared" ref="AA70:AJ70" si="164">SUM(AA71:AA71)</f>
        <v>0</v>
      </c>
      <c r="AB70" s="16">
        <f t="shared" si="164"/>
        <v>0</v>
      </c>
      <c r="AC70" s="16">
        <f t="shared" si="164"/>
        <v>0</v>
      </c>
      <c r="AD70" s="16">
        <f t="shared" si="164"/>
        <v>0</v>
      </c>
      <c r="AE70" s="16">
        <f t="shared" si="164"/>
        <v>0</v>
      </c>
      <c r="AF70" s="16">
        <f t="shared" si="164"/>
        <v>0</v>
      </c>
      <c r="AG70" s="16">
        <f t="shared" si="164"/>
        <v>0</v>
      </c>
      <c r="AH70" s="16">
        <f t="shared" si="164"/>
        <v>0</v>
      </c>
      <c r="AI70" s="16">
        <f t="shared" si="164"/>
        <v>0</v>
      </c>
      <c r="AJ70" s="16">
        <f t="shared" si="164"/>
        <v>0</v>
      </c>
      <c r="AL70" s="17"/>
      <c r="AM70" s="26" t="str">
        <f t="shared" si="142"/>
        <v>Taxes superficiaires encaissées par le FNE (+)</v>
      </c>
      <c r="AN70" s="18">
        <f t="shared" ref="AN70:AU70" si="165">SUM(AN71:AN71)</f>
        <v>0</v>
      </c>
      <c r="AO70" s="18">
        <f t="shared" si="165"/>
        <v>0</v>
      </c>
      <c r="AP70" s="18">
        <f t="shared" si="165"/>
        <v>0</v>
      </c>
      <c r="AQ70" s="18">
        <f t="shared" si="165"/>
        <v>0</v>
      </c>
      <c r="AR70" s="18">
        <f t="shared" si="165"/>
        <v>0</v>
      </c>
      <c r="AS70" s="18">
        <f t="shared" si="165"/>
        <v>0</v>
      </c>
      <c r="AT70" s="18">
        <f t="shared" si="165"/>
        <v>0</v>
      </c>
      <c r="AU70" s="18">
        <f t="shared" si="165"/>
        <v>0</v>
      </c>
      <c r="AV70" s="18">
        <f>SUM(AV71:AV71)</f>
        <v>0</v>
      </c>
      <c r="AW70" s="18"/>
      <c r="AX70" s="17"/>
      <c r="AY70" s="26" t="str">
        <f t="shared" si="144"/>
        <v>Taxes superficiaires encaissées par le FNE (+)</v>
      </c>
      <c r="AZ70" s="18">
        <f t="shared" ref="AZ70:BK70" ca="1" si="166">SUM(AZ71:AZ71)</f>
        <v>0</v>
      </c>
      <c r="BA70" s="18">
        <f t="shared" ca="1" si="166"/>
        <v>0</v>
      </c>
      <c r="BB70" s="18">
        <f t="shared" ca="1" si="166"/>
        <v>0</v>
      </c>
      <c r="BC70" s="18">
        <f t="shared" ca="1" si="166"/>
        <v>0</v>
      </c>
      <c r="BD70" s="18">
        <f t="shared" ca="1" si="166"/>
        <v>0</v>
      </c>
      <c r="BE70" s="18">
        <f t="shared" ca="1" si="166"/>
        <v>0</v>
      </c>
      <c r="BF70" s="18">
        <f t="shared" ca="1" si="166"/>
        <v>0</v>
      </c>
      <c r="BG70" s="18">
        <f t="shared" ca="1" si="166"/>
        <v>0</v>
      </c>
      <c r="BH70" s="18">
        <f t="shared" ca="1" si="166"/>
        <v>0</v>
      </c>
      <c r="BI70" s="18">
        <f t="shared" ca="1" si="166"/>
        <v>0</v>
      </c>
      <c r="BJ70" s="18">
        <f t="shared" ca="1" si="166"/>
        <v>0</v>
      </c>
      <c r="BK70" s="18">
        <f t="shared" ca="1" si="166"/>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6"/>
        <v>0</v>
      </c>
      <c r="G71" s="114">
        <f t="shared" si="157"/>
        <v>0</v>
      </c>
      <c r="H71" s="114"/>
      <c r="I71" s="114"/>
      <c r="J71" s="114">
        <f t="shared" ca="1" si="158"/>
        <v>0</v>
      </c>
      <c r="K71" s="114">
        <f t="shared" ca="1" si="159"/>
        <v>0</v>
      </c>
      <c r="L71" s="114"/>
      <c r="M71" s="114">
        <f t="shared" ca="1" si="160"/>
        <v>0</v>
      </c>
      <c r="N71" s="18"/>
      <c r="O71" s="38" t="str">
        <f t="shared" ca="1" si="46"/>
        <v/>
      </c>
      <c r="P71" s="39" t="str">
        <f ca="1">IF(O71="ERROR","Please insert comment","")</f>
        <v/>
      </c>
      <c r="Y71" s="15">
        <f>B73</f>
        <v>52</v>
      </c>
      <c r="Z71" s="25" t="str">
        <f t="shared" si="140"/>
        <v>Taxes de remise en état (+)</v>
      </c>
      <c r="AA71" s="16">
        <f t="shared" ref="AA71:AI73" si="167">SUMPRODUCT(($A$84:$A$747=$Y71&amp;"- "&amp;$Z71)*($C$84:$C$747=AA$1)*($G$84:$G$747))</f>
        <v>0</v>
      </c>
      <c r="AB71" s="16">
        <f t="shared" si="167"/>
        <v>0</v>
      </c>
      <c r="AC71" s="16">
        <f t="shared" si="167"/>
        <v>0</v>
      </c>
      <c r="AD71" s="16">
        <f t="shared" si="167"/>
        <v>0</v>
      </c>
      <c r="AE71" s="16">
        <f t="shared" si="167"/>
        <v>0</v>
      </c>
      <c r="AF71" s="16">
        <f t="shared" si="167"/>
        <v>0</v>
      </c>
      <c r="AG71" s="16">
        <f t="shared" si="167"/>
        <v>0</v>
      </c>
      <c r="AH71" s="16">
        <f t="shared" si="167"/>
        <v>0</v>
      </c>
      <c r="AI71" s="16">
        <f t="shared" si="167"/>
        <v>0</v>
      </c>
      <c r="AJ71" s="16">
        <f>SUM(AA71:AI71)</f>
        <v>0</v>
      </c>
      <c r="AL71" s="17">
        <f>+B73</f>
        <v>52</v>
      </c>
      <c r="AM71" s="26" t="str">
        <f t="shared" si="142"/>
        <v>Taxes de remise en état (+)</v>
      </c>
      <c r="AN71" s="18">
        <f t="shared" ref="AN71:AU71" si="168">SUMPRODUCT(($J$84:$M$744=$AL71&amp;"- "&amp;$AM71)*($N$84:$N$744=AN$1)*($Q$84:$Q$744))</f>
        <v>0</v>
      </c>
      <c r="AO71" s="18">
        <f t="shared" si="168"/>
        <v>0</v>
      </c>
      <c r="AP71" s="18">
        <f t="shared" si="168"/>
        <v>0</v>
      </c>
      <c r="AQ71" s="18">
        <f t="shared" si="168"/>
        <v>0</v>
      </c>
      <c r="AR71" s="18">
        <f t="shared" si="168"/>
        <v>0</v>
      </c>
      <c r="AS71" s="18">
        <f t="shared" si="168"/>
        <v>0</v>
      </c>
      <c r="AT71" s="18">
        <f t="shared" si="168"/>
        <v>0</v>
      </c>
      <c r="AU71" s="18">
        <f t="shared" si="168"/>
        <v>0</v>
      </c>
      <c r="AV71" s="18">
        <f>SUM(AN71:AU71)</f>
        <v>0</v>
      </c>
      <c r="AW71" s="18"/>
      <c r="AX71" s="17">
        <f>B73</f>
        <v>52</v>
      </c>
      <c r="AY71" s="26" t="str">
        <f t="shared" si="144"/>
        <v>Taxes de remise en état (+)</v>
      </c>
      <c r="AZ71" s="18">
        <f t="shared" ref="AZ71:BK71" ca="1" si="169">SUMPRODUCT(($C$10:$C$75=$AY71)*($N$10:$N$75=AZ$1)*($M$10:$M$75))</f>
        <v>0</v>
      </c>
      <c r="BA71" s="18">
        <f t="shared" ca="1" si="169"/>
        <v>0</v>
      </c>
      <c r="BB71" s="18">
        <f t="shared" ca="1" si="169"/>
        <v>0</v>
      </c>
      <c r="BC71" s="18">
        <f t="shared" ca="1" si="169"/>
        <v>0</v>
      </c>
      <c r="BD71" s="18">
        <f t="shared" ca="1" si="169"/>
        <v>0</v>
      </c>
      <c r="BE71" s="18">
        <f t="shared" ca="1" si="169"/>
        <v>0</v>
      </c>
      <c r="BF71" s="18">
        <f t="shared" ca="1" si="169"/>
        <v>0</v>
      </c>
      <c r="BG71" s="18">
        <f t="shared" ca="1" si="169"/>
        <v>0</v>
      </c>
      <c r="BH71" s="18">
        <f t="shared" ca="1" si="169"/>
        <v>0</v>
      </c>
      <c r="BI71" s="18">
        <f t="shared" ca="1" si="169"/>
        <v>0</v>
      </c>
      <c r="BJ71" s="18">
        <f t="shared" ca="1" si="169"/>
        <v>0</v>
      </c>
      <c r="BK71" s="18">
        <f t="shared" ca="1" si="169"/>
        <v>0</v>
      </c>
    </row>
    <row r="72" spans="1:64">
      <c r="A72" s="80">
        <f t="shared" si="29"/>
        <v>51</v>
      </c>
      <c r="B72" s="64">
        <f>+'Taxes RCA 2022'!A65</f>
        <v>51</v>
      </c>
      <c r="C72" s="68" t="str">
        <f>+'Taxes RCA 2022'!B65</f>
        <v>Taxes superficiaires encaissées par le FNE (+)</v>
      </c>
      <c r="E72" s="165"/>
      <c r="F72" s="165">
        <f t="shared" si="156"/>
        <v>0</v>
      </c>
      <c r="G72" s="165">
        <f t="shared" si="157"/>
        <v>0</v>
      </c>
      <c r="H72" s="114"/>
      <c r="I72" s="165"/>
      <c r="J72" s="165">
        <f t="shared" ca="1" si="158"/>
        <v>0</v>
      </c>
      <c r="K72" s="165">
        <f t="shared" ca="1" si="159"/>
        <v>0</v>
      </c>
      <c r="L72" s="114"/>
      <c r="M72" s="165">
        <f t="shared" ca="1" si="160"/>
        <v>0</v>
      </c>
      <c r="N72" s="68"/>
      <c r="Y72" s="15"/>
      <c r="Z72" s="25" t="str">
        <f t="shared" si="140"/>
        <v>Taxes environnementales sur les Stes forestières et Minières (+)</v>
      </c>
      <c r="AA72" s="16">
        <f t="shared" si="167"/>
        <v>0</v>
      </c>
      <c r="AB72" s="16">
        <f t="shared" si="167"/>
        <v>0</v>
      </c>
      <c r="AC72" s="16">
        <f t="shared" si="167"/>
        <v>0</v>
      </c>
      <c r="AD72" s="16">
        <f t="shared" si="167"/>
        <v>0</v>
      </c>
      <c r="AE72" s="16">
        <f t="shared" si="167"/>
        <v>0</v>
      </c>
      <c r="AF72" s="16">
        <f t="shared" si="167"/>
        <v>0</v>
      </c>
      <c r="AG72" s="16">
        <f t="shared" si="167"/>
        <v>0</v>
      </c>
      <c r="AH72" s="16">
        <f t="shared" si="167"/>
        <v>0</v>
      </c>
      <c r="AI72" s="16">
        <f t="shared" si="167"/>
        <v>0</v>
      </c>
      <c r="AJ72" s="16">
        <f>SUM(AA72:AI72)</f>
        <v>0</v>
      </c>
      <c r="AL72" s="17"/>
      <c r="AM72" s="26" t="str">
        <f t="shared" si="142"/>
        <v>Taxes environnementales sur les Stes forestières et Minières (+)</v>
      </c>
      <c r="AN72" s="18">
        <f t="shared" ref="AN72:AV72" si="170">SUM(AN73:AN73)</f>
        <v>0</v>
      </c>
      <c r="AO72" s="18">
        <f t="shared" si="170"/>
        <v>0</v>
      </c>
      <c r="AP72" s="18">
        <f t="shared" si="170"/>
        <v>0</v>
      </c>
      <c r="AQ72" s="18">
        <f t="shared" si="170"/>
        <v>0</v>
      </c>
      <c r="AR72" s="18">
        <f t="shared" si="170"/>
        <v>0</v>
      </c>
      <c r="AS72" s="18">
        <f t="shared" si="170"/>
        <v>0</v>
      </c>
      <c r="AT72" s="18">
        <f t="shared" si="170"/>
        <v>0</v>
      </c>
      <c r="AU72" s="18">
        <f t="shared" si="170"/>
        <v>0</v>
      </c>
      <c r="AV72" s="18">
        <f t="shared" si="170"/>
        <v>0</v>
      </c>
      <c r="AW72" s="18"/>
      <c r="AX72" s="17"/>
      <c r="AY72" s="26" t="str">
        <f t="shared" si="144"/>
        <v>Taxes environnementales sur les Stes forestières et Minières (+)</v>
      </c>
      <c r="AZ72" s="18">
        <f t="shared" ref="AZ72:BK72" ca="1" si="171">SUM(AZ73:AZ73)</f>
        <v>0</v>
      </c>
      <c r="BA72" s="18">
        <f t="shared" ca="1" si="171"/>
        <v>0</v>
      </c>
      <c r="BB72" s="18">
        <f t="shared" ca="1" si="171"/>
        <v>0</v>
      </c>
      <c r="BC72" s="18">
        <f t="shared" ca="1" si="171"/>
        <v>0</v>
      </c>
      <c r="BD72" s="18">
        <f t="shared" ca="1" si="171"/>
        <v>0</v>
      </c>
      <c r="BE72" s="18">
        <f t="shared" ca="1" si="171"/>
        <v>0</v>
      </c>
      <c r="BF72" s="18">
        <f t="shared" ca="1" si="171"/>
        <v>0</v>
      </c>
      <c r="BG72" s="18">
        <f t="shared" ca="1" si="171"/>
        <v>0</v>
      </c>
      <c r="BH72" s="18">
        <f t="shared" ca="1" si="171"/>
        <v>0</v>
      </c>
      <c r="BI72" s="18">
        <f t="shared" ca="1" si="171"/>
        <v>0</v>
      </c>
      <c r="BJ72" s="18">
        <f t="shared" ca="1" si="171"/>
        <v>0</v>
      </c>
      <c r="BK72" s="18">
        <f t="shared" ca="1" si="171"/>
        <v>0</v>
      </c>
      <c r="BL72" s="41"/>
    </row>
    <row r="73" spans="1:64">
      <c r="A73" s="80">
        <f t="shared" si="29"/>
        <v>52</v>
      </c>
      <c r="B73" s="53">
        <f>+'Taxes RCA 2022'!A66</f>
        <v>52</v>
      </c>
      <c r="C73" s="18" t="str">
        <f>+'Taxes RCA 2022'!B66</f>
        <v>Taxes de remise en état (+)</v>
      </c>
      <c r="E73" s="114"/>
      <c r="F73" s="114">
        <f t="shared" si="156"/>
        <v>0</v>
      </c>
      <c r="G73" s="114">
        <f t="shared" si="157"/>
        <v>0</v>
      </c>
      <c r="H73" s="114"/>
      <c r="I73" s="114"/>
      <c r="J73" s="114">
        <f t="shared" ca="1" si="158"/>
        <v>0</v>
      </c>
      <c r="K73" s="114">
        <f t="shared" ca="1" si="159"/>
        <v>0</v>
      </c>
      <c r="L73" s="114"/>
      <c r="M73" s="114">
        <f t="shared" ca="1" si="160"/>
        <v>0</v>
      </c>
      <c r="N73" s="18"/>
      <c r="O73" s="38" t="str">
        <f ca="1">IF(M73=0,"",IF(N73=0,"ERROR",""))</f>
        <v/>
      </c>
      <c r="P73" s="39" t="str">
        <f ca="1">IF(O73="ERROR","Please insert comment","")</f>
        <v/>
      </c>
      <c r="Y73" s="15">
        <v>58</v>
      </c>
      <c r="Z73" s="25" t="str">
        <f t="shared" si="140"/>
        <v xml:space="preserve">Amendes environnementales </v>
      </c>
      <c r="AA73" s="16">
        <f t="shared" si="167"/>
        <v>0</v>
      </c>
      <c r="AB73" s="16">
        <f t="shared" si="167"/>
        <v>0</v>
      </c>
      <c r="AC73" s="16">
        <f t="shared" si="167"/>
        <v>0</v>
      </c>
      <c r="AD73" s="16">
        <f t="shared" si="167"/>
        <v>0</v>
      </c>
      <c r="AE73" s="16">
        <f t="shared" si="167"/>
        <v>0</v>
      </c>
      <c r="AF73" s="16">
        <f t="shared" si="167"/>
        <v>0</v>
      </c>
      <c r="AG73" s="16">
        <f t="shared" si="167"/>
        <v>0</v>
      </c>
      <c r="AH73" s="16">
        <f t="shared" si="167"/>
        <v>0</v>
      </c>
      <c r="AI73" s="16">
        <f t="shared" si="167"/>
        <v>0</v>
      </c>
      <c r="AJ73" s="16">
        <f>SUM(AA73:AI73)</f>
        <v>0</v>
      </c>
      <c r="AL73" s="17">
        <f>+B75</f>
        <v>54</v>
      </c>
      <c r="AM73" s="26" t="str">
        <f t="shared" si="142"/>
        <v xml:space="preserve">Amendes environnementales </v>
      </c>
      <c r="AN73" s="18">
        <f t="shared" ref="AN73:AU73" si="172">SUMPRODUCT(($J$84:$M$744=$AL73&amp;"- "&amp;$AM73)*($N$84:$N$744=AN$1)*($Q$84:$Q$744))</f>
        <v>0</v>
      </c>
      <c r="AO73" s="18">
        <f t="shared" si="172"/>
        <v>0</v>
      </c>
      <c r="AP73" s="18">
        <f t="shared" si="172"/>
        <v>0</v>
      </c>
      <c r="AQ73" s="18">
        <f t="shared" si="172"/>
        <v>0</v>
      </c>
      <c r="AR73" s="18">
        <f t="shared" si="172"/>
        <v>0</v>
      </c>
      <c r="AS73" s="18">
        <f t="shared" si="172"/>
        <v>0</v>
      </c>
      <c r="AT73" s="18">
        <f t="shared" si="172"/>
        <v>0</v>
      </c>
      <c r="AU73" s="18">
        <f t="shared" si="172"/>
        <v>0</v>
      </c>
      <c r="AV73" s="18">
        <f>SUM(AN73:AU73)</f>
        <v>0</v>
      </c>
      <c r="AW73" s="18"/>
      <c r="AX73" s="17">
        <f>B75</f>
        <v>54</v>
      </c>
      <c r="AY73" s="26" t="str">
        <f t="shared" si="144"/>
        <v xml:space="preserve">Amendes environnementales </v>
      </c>
      <c r="AZ73" s="18">
        <f t="shared" ref="AZ73:BK73" ca="1" si="173">SUMPRODUCT(($C$10:$C$75=$AY73)*($N$10:$N$75=AZ$1)*($M$10:$M$75))</f>
        <v>0</v>
      </c>
      <c r="BA73" s="18">
        <f t="shared" ca="1" si="173"/>
        <v>0</v>
      </c>
      <c r="BB73" s="18">
        <f t="shared" ca="1" si="173"/>
        <v>0</v>
      </c>
      <c r="BC73" s="18">
        <f t="shared" ca="1" si="173"/>
        <v>0</v>
      </c>
      <c r="BD73" s="18">
        <f t="shared" ca="1" si="173"/>
        <v>0</v>
      </c>
      <c r="BE73" s="18">
        <f t="shared" ca="1" si="173"/>
        <v>0</v>
      </c>
      <c r="BF73" s="18">
        <f t="shared" ca="1" si="173"/>
        <v>0</v>
      </c>
      <c r="BG73" s="18">
        <f t="shared" ca="1" si="173"/>
        <v>0</v>
      </c>
      <c r="BH73" s="18">
        <f t="shared" ca="1" si="173"/>
        <v>0</v>
      </c>
      <c r="BI73" s="18">
        <f t="shared" ca="1" si="173"/>
        <v>0</v>
      </c>
      <c r="BJ73" s="18">
        <f t="shared" ca="1" si="173"/>
        <v>0</v>
      </c>
      <c r="BK73" s="18">
        <f t="shared" ca="1" si="173"/>
        <v>0</v>
      </c>
    </row>
    <row r="74" spans="1:64">
      <c r="A74" s="80"/>
      <c r="B74" s="64">
        <f>+'Taxes RCA 2022'!A67</f>
        <v>53</v>
      </c>
      <c r="C74" s="68" t="str">
        <f>+'Taxes RCA 2022'!B67</f>
        <v>Taxes environnementales sur les Stes forestières et Minières (+)</v>
      </c>
      <c r="E74" s="165"/>
      <c r="F74" s="165">
        <f t="shared" si="156"/>
        <v>0</v>
      </c>
      <c r="G74" s="165">
        <f t="shared" si="157"/>
        <v>0</v>
      </c>
      <c r="H74" s="167">
        <v>808920</v>
      </c>
      <c r="I74" s="165"/>
      <c r="J74" s="165">
        <f t="shared" ca="1" si="158"/>
        <v>0</v>
      </c>
      <c r="K74" s="165">
        <f t="shared" ca="1" si="159"/>
        <v>0</v>
      </c>
      <c r="L74" s="114"/>
      <c r="M74" s="165">
        <f t="shared" ca="1" si="160"/>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6"/>
        <v>0</v>
      </c>
      <c r="G75" s="114">
        <f t="shared" si="157"/>
        <v>0</v>
      </c>
      <c r="H75" s="114"/>
      <c r="I75" s="114"/>
      <c r="J75" s="114">
        <f t="shared" ca="1" si="158"/>
        <v>0</v>
      </c>
      <c r="K75" s="114">
        <f t="shared" ca="1" si="159"/>
        <v>0</v>
      </c>
      <c r="L75" s="114"/>
      <c r="M75" s="114">
        <f t="shared" ca="1" si="160"/>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6"/>
        <v>0</v>
      </c>
      <c r="G76" s="165">
        <f t="shared" si="157"/>
        <v>0</v>
      </c>
      <c r="H76" s="168"/>
      <c r="I76" s="165"/>
      <c r="J76" s="165">
        <f t="shared" ca="1" si="158"/>
        <v>0</v>
      </c>
      <c r="K76" s="165">
        <f t="shared" ca="1" si="159"/>
        <v>0</v>
      </c>
      <c r="L76" s="168"/>
      <c r="M76" s="165">
        <f t="shared" ca="1" si="160"/>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4">+F78+F79</f>
        <v>0</v>
      </c>
      <c r="G77" s="166">
        <f t="shared" si="174"/>
        <v>0</v>
      </c>
      <c r="H77" s="169"/>
      <c r="I77" s="166">
        <f t="shared" ref="I77:K77" si="175">+I78+I79</f>
        <v>0</v>
      </c>
      <c r="J77" s="166">
        <f t="shared" ca="1" si="175"/>
        <v>0</v>
      </c>
      <c r="K77" s="166">
        <f t="shared" ca="1" si="175"/>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SUMIF($A$84:$A$747,B78&amp;"- "&amp;C78,$G$84:$G$747)</f>
        <v>0</v>
      </c>
      <c r="G78" s="114">
        <f>E78+F78</f>
        <v>0</v>
      </c>
      <c r="H78" s="114"/>
      <c r="I78" s="114"/>
      <c r="J78" s="114">
        <f ca="1">SUMIF($J$84:$M$745,B78&amp;"- "&amp;C78,$Q$84:$Q$745)</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6">SUMPRODUCT(($A$84:$A$747=$Y78&amp;"- "&amp;$Z78)*($C$84:$C$747=AA$1)*($G$84:$G$747))</f>
        <v>0</v>
      </c>
      <c r="AB78" s="16">
        <f t="shared" si="176"/>
        <v>0</v>
      </c>
      <c r="AC78" s="16">
        <f t="shared" si="176"/>
        <v>0</v>
      </c>
      <c r="AD78" s="16">
        <f t="shared" si="176"/>
        <v>0</v>
      </c>
      <c r="AE78" s="16">
        <f t="shared" si="176"/>
        <v>0</v>
      </c>
      <c r="AF78" s="16">
        <f t="shared" si="176"/>
        <v>0</v>
      </c>
      <c r="AG78" s="16">
        <f t="shared" si="176"/>
        <v>0</v>
      </c>
      <c r="AH78" s="16">
        <f t="shared" si="176"/>
        <v>0</v>
      </c>
      <c r="AI78" s="16">
        <f t="shared" si="176"/>
        <v>0</v>
      </c>
      <c r="AJ78" s="16">
        <f>SUM(AA78:AI78)</f>
        <v>0</v>
      </c>
      <c r="AL78" s="17">
        <f>+B45</f>
        <v>0</v>
      </c>
      <c r="AM78" s="26" t="str">
        <f>+C45</f>
        <v xml:space="preserve">Paiements infranationaux au profit des communes </v>
      </c>
      <c r="AN78" s="18">
        <f t="shared" ref="AN78:AU78" si="177">SUMPRODUCT(($J$84:$M$744=$AL78&amp;"- "&amp;$AM78)*($N$84:$N$744=AN$1)*($Q$84:$Q$744))</f>
        <v>0</v>
      </c>
      <c r="AO78" s="18">
        <f t="shared" si="177"/>
        <v>0</v>
      </c>
      <c r="AP78" s="18">
        <f t="shared" si="177"/>
        <v>0</v>
      </c>
      <c r="AQ78" s="18">
        <f t="shared" si="177"/>
        <v>0</v>
      </c>
      <c r="AR78" s="18">
        <f t="shared" si="177"/>
        <v>0</v>
      </c>
      <c r="AS78" s="18">
        <f t="shared" si="177"/>
        <v>0</v>
      </c>
      <c r="AT78" s="18">
        <f t="shared" si="177"/>
        <v>0</v>
      </c>
      <c r="AU78" s="18">
        <f t="shared" si="177"/>
        <v>0</v>
      </c>
      <c r="AV78" s="18">
        <f>SUM(AN78:AU78)</f>
        <v>0</v>
      </c>
      <c r="AW78" s="18"/>
      <c r="AX78" s="17">
        <f>B45</f>
        <v>0</v>
      </c>
      <c r="AY78" s="26" t="str">
        <f>C45</f>
        <v xml:space="preserve">Paiements infranationaux au profit des communes </v>
      </c>
      <c r="AZ78" s="18">
        <f t="shared" ref="AZ78:BK78" ca="1" si="178">SUMPRODUCT(($C$10:$C$75=$AY78)*($N$10:$N$75=AZ$1)*($M$10:$M$75))</f>
        <v>0</v>
      </c>
      <c r="BA78" s="18">
        <f t="shared" ca="1" si="178"/>
        <v>0</v>
      </c>
      <c r="BB78" s="18">
        <f t="shared" ca="1" si="178"/>
        <v>0</v>
      </c>
      <c r="BC78" s="18">
        <f t="shared" ca="1" si="178"/>
        <v>0</v>
      </c>
      <c r="BD78" s="18">
        <f t="shared" ca="1" si="178"/>
        <v>0</v>
      </c>
      <c r="BE78" s="18">
        <f t="shared" ca="1" si="178"/>
        <v>0</v>
      </c>
      <c r="BF78" s="18">
        <f t="shared" ca="1" si="178"/>
        <v>0</v>
      </c>
      <c r="BG78" s="18">
        <f t="shared" ca="1" si="178"/>
        <v>0</v>
      </c>
      <c r="BH78" s="18">
        <f t="shared" ca="1" si="178"/>
        <v>0</v>
      </c>
      <c r="BI78" s="18">
        <f t="shared" ca="1" si="178"/>
        <v>0</v>
      </c>
      <c r="BJ78" s="18">
        <f t="shared" ca="1" si="178"/>
        <v>0</v>
      </c>
      <c r="BK78" s="18">
        <f t="shared" ca="1" si="178"/>
        <v>0</v>
      </c>
    </row>
    <row r="79" spans="1:64">
      <c r="A79" s="80">
        <f t="shared" si="29"/>
        <v>57</v>
      </c>
      <c r="B79" s="64">
        <f>+'Taxes RCA 2022'!A72</f>
        <v>57</v>
      </c>
      <c r="C79" s="68" t="str">
        <f>+'Taxes RCA 2022'!B72</f>
        <v>Autres paiements significatifs versés aux entités gouvernementales (&gt;10 millions FCFA)</v>
      </c>
      <c r="E79" s="165"/>
      <c r="F79" s="165">
        <f>SUMIF($A$84:$A$747,B79&amp;"- "&amp;C79,$G$84:$G$747)</f>
        <v>0</v>
      </c>
      <c r="G79" s="165">
        <f>+E79+F79</f>
        <v>0</v>
      </c>
      <c r="H79" s="114"/>
      <c r="I79" s="165"/>
      <c r="J79" s="165">
        <f ca="1">SUMIF($J$84:$M$745,B79&amp;"- "&amp;C79,$Q$84:$Q$745)</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IF(F8=G749,"","ERROR")</f>
        <v/>
      </c>
      <c r="G80" s="382"/>
      <c r="H80" s="382"/>
      <c r="I80" s="382"/>
      <c r="J80" s="382" t="str">
        <f ca="1">IF(J8=Q747,"","ERROR")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30"/>
      <c r="G84" s="148"/>
      <c r="L84" s="60"/>
      <c r="N84" s="97"/>
      <c r="O84" s="136"/>
      <c r="P84" s="130"/>
      <c r="Q84" s="148"/>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30"/>
      <c r="G85" s="148"/>
      <c r="L85" s="60"/>
      <c r="N85" s="97"/>
      <c r="O85" s="136"/>
      <c r="P85" s="130"/>
      <c r="Q85" s="144"/>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30"/>
      <c r="G86" s="148"/>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30"/>
      <c r="G87" s="148"/>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30"/>
      <c r="G88" s="148"/>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30"/>
      <c r="G89" s="148"/>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30"/>
      <c r="G90" s="148"/>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30"/>
      <c r="G91" s="148"/>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30"/>
      <c r="G92" s="148"/>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30"/>
      <c r="G93" s="148"/>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30"/>
      <c r="G94" s="148"/>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30"/>
      <c r="G95" s="148"/>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30"/>
      <c r="G96" s="148"/>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30"/>
      <c r="G97" s="148"/>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30"/>
      <c r="G98" s="148"/>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30"/>
      <c r="G99" s="148"/>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30"/>
      <c r="G100" s="148"/>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30"/>
      <c r="G101" s="148"/>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30"/>
      <c r="G102" s="148"/>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30"/>
      <c r="G103" s="148"/>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30"/>
      <c r="G104" s="148"/>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30"/>
      <c r="G105" s="148"/>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30"/>
      <c r="G106" s="148"/>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30"/>
      <c r="G107" s="148"/>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30"/>
      <c r="G108" s="148"/>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30"/>
      <c r="G109" s="148"/>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30"/>
      <c r="G110" s="148"/>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30"/>
      <c r="G111" s="148"/>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30"/>
      <c r="G112" s="148"/>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30"/>
      <c r="G113" s="148"/>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30"/>
      <c r="G114" s="148"/>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30"/>
      <c r="G115" s="148"/>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30"/>
      <c r="G116" s="148"/>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30"/>
      <c r="G117" s="148"/>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30"/>
      <c r="G118" s="148"/>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30"/>
      <c r="G119" s="148"/>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30"/>
      <c r="G120" s="148"/>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30"/>
      <c r="G121" s="148"/>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30"/>
      <c r="G122" s="148"/>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30"/>
      <c r="G123" s="148"/>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30"/>
      <c r="G124" s="148"/>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30"/>
      <c r="G125" s="148"/>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30"/>
      <c r="G126" s="148"/>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30"/>
      <c r="G127" s="148"/>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30"/>
      <c r="G128" s="148"/>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30"/>
      <c r="G129" s="148"/>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30"/>
      <c r="G130" s="148"/>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30"/>
      <c r="G131" s="148"/>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30"/>
      <c r="G132" s="148"/>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30"/>
      <c r="G133" s="148"/>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30"/>
      <c r="G134" s="148"/>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30"/>
      <c r="G135" s="148"/>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30"/>
      <c r="G136" s="148"/>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30"/>
      <c r="G137" s="148"/>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30"/>
      <c r="G138" s="148"/>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30"/>
      <c r="G139" s="148"/>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30"/>
      <c r="G140" s="148"/>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30"/>
      <c r="G141" s="148"/>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30"/>
      <c r="G142" s="148"/>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30"/>
      <c r="G143" s="148"/>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30"/>
      <c r="G144" s="148"/>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30"/>
      <c r="G145" s="148"/>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30"/>
      <c r="G146" s="148"/>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30"/>
      <c r="G147" s="148"/>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30"/>
      <c r="G148" s="148"/>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30"/>
      <c r="G149" s="148"/>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30"/>
      <c r="G150" s="148"/>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30"/>
      <c r="G151" s="148"/>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30"/>
      <c r="G152" s="148"/>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30"/>
      <c r="G153" s="148"/>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30"/>
      <c r="G154" s="148"/>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30"/>
      <c r="G155" s="148"/>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30"/>
      <c r="G156" s="148"/>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30"/>
      <c r="G157" s="148"/>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30"/>
      <c r="G158" s="148"/>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30"/>
      <c r="G159" s="148"/>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30"/>
      <c r="G160" s="148"/>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30"/>
      <c r="G161" s="148"/>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30"/>
      <c r="G162" s="148"/>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30"/>
      <c r="G163" s="148"/>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30"/>
      <c r="G164" s="148"/>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30"/>
      <c r="G165" s="148"/>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30"/>
      <c r="G166" s="148"/>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30"/>
      <c r="G167" s="148"/>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30"/>
      <c r="G168" s="148"/>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30"/>
      <c r="G169" s="148"/>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30"/>
      <c r="G170" s="148"/>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ht="15">
      <c r="A747" s="61"/>
      <c r="B747" s="24"/>
      <c r="C747" s="60"/>
      <c r="E747" s="47"/>
      <c r="F747" s="48"/>
      <c r="G747" s="47"/>
      <c r="J747" s="61"/>
      <c r="K747" s="61"/>
      <c r="N747" s="97"/>
      <c r="O747" s="49"/>
      <c r="P747" s="50"/>
      <c r="Q747" s="51">
        <f>SUM(Q82:Q746)</f>
        <v>0</v>
      </c>
    </row>
    <row r="748" spans="1:17">
      <c r="A748" s="61"/>
      <c r="B748" s="24"/>
      <c r="C748" s="60"/>
      <c r="E748" s="47"/>
      <c r="F748" s="48"/>
      <c r="G748" s="47"/>
      <c r="J748" s="61"/>
      <c r="K748" s="61"/>
      <c r="N748" s="97"/>
    </row>
    <row r="749" spans="1:17" ht="15">
      <c r="A749" s="61"/>
      <c r="C749" s="60"/>
      <c r="E749" s="49"/>
      <c r="F749" s="50"/>
      <c r="G749" s="51">
        <f>SUM(G84:G748)</f>
        <v>0</v>
      </c>
      <c r="J749" s="61"/>
      <c r="K749" s="61"/>
      <c r="N749" s="97"/>
    </row>
    <row r="750" spans="1:17">
      <c r="A750" s="61"/>
      <c r="C750" s="60"/>
    </row>
    <row r="751" spans="1:17">
      <c r="A751" s="61"/>
      <c r="C751" s="60"/>
    </row>
    <row r="752" spans="1:17">
      <c r="C752" s="60"/>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87" priority="8" operator="containsText" text="ERROR">
      <formula>NOT(ISERROR(SEARCH("ERROR",T17)))</formula>
    </cfRule>
  </conditionalFormatting>
  <conditionalFormatting sqref="T42">
    <cfRule type="containsText" dxfId="86" priority="7" operator="containsText" text="ERROR">
      <formula>NOT(ISERROR(SEARCH("ERROR",T42)))</formula>
    </cfRule>
  </conditionalFormatting>
  <conditionalFormatting sqref="W19">
    <cfRule type="containsText" dxfId="85" priority="3" operator="containsText" text="ERROR">
      <formula>NOT(ISERROR(SEARCH("ERROR",W19)))</formula>
    </cfRule>
  </conditionalFormatting>
  <conditionalFormatting sqref="BL72">
    <cfRule type="containsText" dxfId="84" priority="4" operator="containsText" text="ERROR">
      <formula>NOT(ISERROR(SEARCH("ERROR",BL72)))</formula>
    </cfRule>
  </conditionalFormatting>
  <dataValidations count="5">
    <dataValidation type="list" allowBlank="1" showInputMessage="1" showErrorMessage="1" sqref="M92:M93 M129:M744 L98:L744 L84:L94 L95:M96" xr:uid="{40BF8AB8-FD6B-4C7A-AD1E-F1510485C3EC}">
      <formula1>Taxes</formula1>
    </dataValidation>
    <dataValidation type="list" allowBlank="1" showInputMessage="1" showErrorMessage="1" sqref="N5:N8 N75 N73 N77:N79 N10:N71" xr:uid="{455869FA-9B0D-4CDB-B84F-C48D9180FE97}">
      <formula1>FinalDiff</formula1>
    </dataValidation>
    <dataValidation type="list" allowBlank="1" showErrorMessage="1" errorTitle="Taxes" error="Non valid entry. Please check the tax list" promptTitle="Taxes" prompt="Please select the tax subject to adjustment" sqref="B84:B91" xr:uid="{8FDC6E04-E8FA-4BC0-AC72-ED79D26EFB2F}">
      <formula1>$A$133:$A$134</formula1>
    </dataValidation>
    <dataValidation type="list" allowBlank="1" showInputMessage="1" showErrorMessage="1" sqref="C84:C752" xr:uid="{987ED67E-1F59-4E36-AF0B-9EB1597AFE9E}">
      <formula1>Compadjust</formula1>
    </dataValidation>
    <dataValidation type="list" allowBlank="1" showInputMessage="1" showErrorMessage="1" sqref="N84:N749" xr:uid="{6BF69791-CA8A-4682-BA6D-B0CED10B6096}">
      <formula1>Govadjust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5306F6DC-BFD8-486C-80AF-0F358B609B37}">
          <x14:formula1>
            <xm:f>Lists!$A$131:$A$132</xm:f>
          </x14:formula1>
          <xm:sqref>K84:K749</xm:sqref>
        </x14:dataValidation>
        <x14:dataValidation type="list" allowBlank="1" showErrorMessage="1" errorTitle="Taxes" error="Non valid entry. Please check the tax list" promptTitle="Taxes" prompt="Please select the tax subject to adjustment" xr:uid="{9B1E6D92-F797-4248-9F39-9CB500C167BF}">
          <x14:formula1>
            <xm:f>Lists!$A$7:$A$64</xm:f>
          </x14:formula1>
          <xm:sqref>J84:J749</xm:sqref>
        </x14:dataValidation>
        <x14:dataValidation type="list" allowBlank="1" showInputMessage="1" showErrorMessage="1" xr:uid="{62D735DC-1442-4A2F-BCBB-52B032D085B6}">
          <x14:formula1>
            <xm:f>Lists!$A$7:$A$64</xm:f>
          </x14:formula1>
          <xm:sqref>A84:A751 J84:J749</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BL753"/>
  <sheetViews>
    <sheetView showGridLines="0" topLeftCell="B73" zoomScaleNormal="100" workbookViewId="0">
      <selection activeCell="I77" sqref="I77"/>
    </sheetView>
  </sheetViews>
  <sheetFormatPr baseColWidth="10" defaultColWidth="11.54296875" defaultRowHeight="12" outlineLevelCol="1"/>
  <cols>
    <col min="1" max="1" width="28.54296875" style="17" hidden="1" customWidth="1"/>
    <col min="2" max="2" width="4.453125" style="17" customWidth="1"/>
    <col min="3" max="3" width="57"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Companies!B9</f>
        <v>SOCIETE B.B.B</v>
      </c>
      <c r="F1" s="32" t="str">
        <f>Companies!C9</f>
        <v>M049440H001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2778480</v>
      </c>
      <c r="J8" s="164">
        <f ca="1">+J9+J13+J15+J17+J40+J45+J47+J52+J55+J62+J65+J68+J77</f>
        <v>0</v>
      </c>
      <c r="K8" s="164">
        <f ca="1">+K9+K13+K15+K17+K40+K45+K47+K52+K55+K62+K65+K68+K77</f>
        <v>2778480</v>
      </c>
      <c r="L8" s="114"/>
      <c r="M8" s="164">
        <f ca="1">+M9+M13+M15+M17+M40+M45+M52+M55+M62+M65+M68+M77+M47</f>
        <v>-2778480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1224790</v>
      </c>
      <c r="J9" s="166">
        <f t="shared" ref="J9" ca="1" si="26">SUM(J10:J12)</f>
        <v>0</v>
      </c>
      <c r="K9" s="166">
        <f t="shared" ref="K9" ca="1" si="27">SUM(K10:K12)</f>
        <v>1224790</v>
      </c>
      <c r="L9" s="114"/>
      <c r="M9" s="166">
        <f t="shared" ref="M9" ca="1" si="28">SUM(M10:M12)</f>
        <v>-1224790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239690</v>
      </c>
      <c r="J10" s="165">
        <f>SUMIF($J$83:$J$1048576,C10,$Q$83:$Q$1048576)</f>
        <v>0</v>
      </c>
      <c r="K10" s="165">
        <f>I10+J10</f>
        <v>239690</v>
      </c>
      <c r="L10" s="114"/>
      <c r="M10" s="165">
        <f>+G10-K10</f>
        <v>-239690</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985100</v>
      </c>
      <c r="J11" s="114">
        <f>SUMIF($J$83:$J$1048576,C11,$Q$83:$Q$1048576)</f>
        <v>0</v>
      </c>
      <c r="K11" s="114">
        <f>I11+J11</f>
        <v>985100</v>
      </c>
      <c r="L11" s="114"/>
      <c r="M11" s="114">
        <f>+G11-K11</f>
        <v>-985100</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983250</v>
      </c>
      <c r="J17" s="166">
        <f t="shared" ref="J17" ca="1" si="52">SUM(J18:J39)</f>
        <v>0</v>
      </c>
      <c r="K17" s="166">
        <f t="shared" ref="K17" ca="1" si="53">SUM(K18:K39)</f>
        <v>983250</v>
      </c>
      <c r="L17" s="114"/>
      <c r="M17" s="166">
        <f t="shared" ref="M17" ca="1" si="54">SUM(M18:M39)</f>
        <v>-983250</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v>360000</v>
      </c>
      <c r="J24" s="114">
        <f t="shared" ca="1" si="57"/>
        <v>0</v>
      </c>
      <c r="K24" s="114">
        <f t="shared" ca="1" si="58"/>
        <v>360000</v>
      </c>
      <c r="L24" s="114"/>
      <c r="M24" s="114">
        <f t="shared" ca="1" si="59"/>
        <v>-360000</v>
      </c>
      <c r="N24" s="18"/>
      <c r="O24" s="38" t="str">
        <f ca="1">IF(M24=0,"",IF(N24=0,"ERROR",""))</f>
        <v>ERROR</v>
      </c>
      <c r="P24" s="39" t="str">
        <f ca="1">IF(O24="ERROR","Please insert comment","")</f>
        <v>Please insert comment</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551250</v>
      </c>
      <c r="J29" s="165">
        <f t="shared" ca="1" si="57"/>
        <v>0</v>
      </c>
      <c r="K29" s="165">
        <f t="shared" ca="1" si="58"/>
        <v>551250</v>
      </c>
      <c r="L29" s="114"/>
      <c r="M29" s="165">
        <f t="shared" ca="1" si="59"/>
        <v>-551250</v>
      </c>
      <c r="N29" s="68"/>
      <c r="O29" s="38" t="str">
        <f t="shared" ca="1" si="46"/>
        <v>ERROR</v>
      </c>
      <c r="P29" s="39" t="str">
        <f t="shared" ca="1" si="47"/>
        <v>Please insert comment</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72000</v>
      </c>
      <c r="J32" s="114">
        <f t="shared" ca="1" si="57"/>
        <v>0</v>
      </c>
      <c r="K32" s="114">
        <f t="shared" ca="1" si="58"/>
        <v>72000</v>
      </c>
      <c r="L32" s="114"/>
      <c r="M32" s="114">
        <f t="shared" ca="1" si="59"/>
        <v>-72000</v>
      </c>
      <c r="N32" s="18"/>
      <c r="O32" s="38" t="str">
        <f t="shared" ca="1" si="46"/>
        <v>ERROR</v>
      </c>
      <c r="P32" s="39" t="str">
        <f t="shared" ca="1" si="47"/>
        <v>Please insert comment</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349940</v>
      </c>
      <c r="J40" s="166">
        <f ca="1">SUM(J41:J44)</f>
        <v>0</v>
      </c>
      <c r="K40" s="166">
        <f ca="1">SUM(K41:K44)</f>
        <v>349940</v>
      </c>
      <c r="L40" s="114"/>
      <c r="M40" s="166">
        <f ca="1">SUM(M41:M44)</f>
        <v>-349940</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8"/>
        <v/>
      </c>
      <c r="Q42" s="35"/>
      <c r="T42" s="41" t="str">
        <f ca="1">IF(J8=S33,"","ERROR")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8"/>
        <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349940</v>
      </c>
      <c r="J44" s="165">
        <f ca="1">SUMIF($J$84:$M$749,B44&amp;"- "&amp;C44,$Q$84:$Q$749)</f>
        <v>0</v>
      </c>
      <c r="K44" s="165">
        <f ca="1">I44+J44</f>
        <v>349940</v>
      </c>
      <c r="L44" s="114"/>
      <c r="M44" s="165">
        <f ca="1">+G44-K44</f>
        <v>-349940</v>
      </c>
      <c r="N44" s="68"/>
      <c r="O44" s="38" t="str">
        <f t="shared" ca="1" si="46"/>
        <v>ERROR</v>
      </c>
      <c r="P44" s="39" t="str">
        <f t="shared" ca="1" si="88"/>
        <v>Please insert comment</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SUMPRODUCT(($A$84:$A$751=$Y61&amp;"- "&amp;$Z61)*($C$84:$C$751=AA$1)*($G$84:$G$751))</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SUMPRODUCT(($J$84:$M$748=$AL61&amp;"- "&amp;$AM61)*($N$84:$N$748=AN$1)*($Q$84:$Q$748))</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SUMPRODUCT(($A$84:$A$751=$Y63&amp;"- "&amp;$Z63)*($C$84:$C$751=AA$1)*($G$84:$G$751))</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SUMPRODUCT(($J$84:$M$748=$AL63&amp;"- "&amp;$AM63)*($N$84:$N$748=AN$1)*($Q$84:$Q$748))</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SUMPRODUCT(($A$84:$A$751=$Y66&amp;"- "&amp;$Z66)*($C$84:$C$751=AA$1)*($G$84:$G$751))</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SUMPRODUCT(($J$84:$M$748=$AL66&amp;"- "&amp;$AM66)*($N$84:$N$748=AN$1)*($Q$84:$Q$748))</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SUMIF($A$84:$A$751,B69&amp;"- "&amp;C69,$G$84:$G$751)</f>
        <v>0</v>
      </c>
      <c r="G69" s="114">
        <f t="shared" ref="G69:G76" si="156">E69+F69</f>
        <v>0</v>
      </c>
      <c r="H69" s="114"/>
      <c r="I69" s="114"/>
      <c r="J69" s="114">
        <f t="shared" ref="J69:J76" ca="1" si="157">SUMIF($J$84:$M$749,B69&amp;"- "&amp;C69,$Q$84:$Q$749)</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SUMPRODUCT(($A$84:$A$751=$Y69&amp;"- "&amp;$Z69)*($C$84:$C$751=AA$1)*($G$84:$G$751))</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SUMPRODUCT(($J$84:$M$748=$AL69&amp;"- "&amp;$AM69)*($N$84:$N$748=AN$1)*($Q$84:$Q$748))</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SUMPRODUCT(($A$84:$A$751=$Y71&amp;"- "&amp;$Z71)*($C$84:$C$751=AA$1)*($G$84:$G$751))</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SUMPRODUCT(($J$84:$M$748=$AL71&amp;"- "&amp;$AM71)*($N$84:$N$748=AN$1)*($Q$84:$Q$748))</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SUMPRODUCT(($J$84:$M$748=$AL73&amp;"- "&amp;$AM73)*($N$84:$N$748=AN$1)*($Q$84:$Q$748))</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220500</v>
      </c>
      <c r="J77" s="166">
        <f t="shared" ca="1" si="174"/>
        <v>0</v>
      </c>
      <c r="K77" s="166">
        <f t="shared" ca="1" si="174"/>
        <v>220500</v>
      </c>
      <c r="L77" s="169"/>
      <c r="M77" s="166">
        <f ca="1">+M78+M79</f>
        <v>-220500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v>220500</v>
      </c>
      <c r="J78" s="114">
        <f ca="1">SUMIF($J$84:$M$749,B78&amp;"- "&amp;C78,$Q$84:$Q$749)</f>
        <v>0</v>
      </c>
      <c r="K78" s="114">
        <f ca="1">I78+J78</f>
        <v>220500</v>
      </c>
      <c r="L78" s="114"/>
      <c r="M78" s="114">
        <f ca="1">+G78-K78</f>
        <v>-220500</v>
      </c>
      <c r="N78" s="18"/>
      <c r="O78" s="38" t="str">
        <f ca="1">IF(M78=0,"",IF(N78=0,"ERROR",""))</f>
        <v>ERROR</v>
      </c>
      <c r="P78" s="39" t="str">
        <f ca="1">IF(O78="ERROR","Please insert comment","")</f>
        <v>Please insert comment</v>
      </c>
      <c r="Q78" s="35"/>
      <c r="Y78" s="15">
        <f>B45</f>
        <v>0</v>
      </c>
      <c r="Z78" s="25" t="str">
        <f>C45</f>
        <v xml:space="preserve">Paiements infranationaux au profit des communes </v>
      </c>
      <c r="AA78" s="16">
        <f t="shared" ref="AA78:AI78" si="175">SUMPRODUCT(($A$84:$A$751=$Y78&amp;"- "&amp;$Z78)*($C$84:$C$751=AA$1)*($G$84:$G$751))</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SUMPRODUCT(($J$84:$M$748=$AL78&amp;"- "&amp;$AM78)*($N$84:$N$748=AN$1)*($Q$84:$Q$748))</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D83" s="44"/>
      <c r="E83" s="45" t="s">
        <v>5</v>
      </c>
      <c r="F83" s="45" t="s">
        <v>0</v>
      </c>
      <c r="G83" s="45" t="s">
        <v>4</v>
      </c>
      <c r="J83" s="46" t="s">
        <v>2</v>
      </c>
      <c r="K83" s="46"/>
      <c r="L83" s="46"/>
      <c r="M83" s="46"/>
      <c r="N83" s="44" t="s">
        <v>15</v>
      </c>
      <c r="O83" s="45" t="s">
        <v>5</v>
      </c>
      <c r="P83" s="45" t="s">
        <v>0</v>
      </c>
      <c r="Q83" s="45" t="s">
        <v>4</v>
      </c>
    </row>
    <row r="84" spans="1:48" s="61" customFormat="1">
      <c r="C84" s="60"/>
      <c r="F84" s="120"/>
      <c r="G84" s="144"/>
      <c r="L84" s="60"/>
      <c r="N84" s="97"/>
      <c r="O84" s="121"/>
      <c r="P84" s="128"/>
      <c r="Q84" s="144"/>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4"/>
      <c r="L85" s="60"/>
      <c r="N85" s="97"/>
      <c r="O85" s="121"/>
      <c r="P85" s="128"/>
      <c r="Q85" s="144"/>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F86" s="128"/>
      <c r="G86" s="144"/>
      <c r="L86" s="60"/>
      <c r="N86" s="97"/>
      <c r="O86" s="121"/>
      <c r="P86" s="128"/>
      <c r="Q86" s="14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28"/>
      <c r="G87" s="144"/>
      <c r="L87" s="60"/>
      <c r="N87" s="97"/>
      <c r="O87" s="121"/>
      <c r="P87" s="128"/>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F88" s="128"/>
      <c r="G88" s="144"/>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83" priority="6" operator="containsText" text="ERROR">
      <formula>NOT(ISERROR(SEARCH("ERROR",T17)))</formula>
    </cfRule>
  </conditionalFormatting>
  <conditionalFormatting sqref="T42">
    <cfRule type="containsText" dxfId="82" priority="5" operator="containsText" text="ERROR">
      <formula>NOT(ISERROR(SEARCH("ERROR",T42)))</formula>
    </cfRule>
  </conditionalFormatting>
  <conditionalFormatting sqref="W19">
    <cfRule type="containsText" dxfId="81" priority="1" operator="containsText" text="ERROR">
      <formula>NOT(ISERROR(SEARCH("ERROR",W19)))</formula>
    </cfRule>
  </conditionalFormatting>
  <conditionalFormatting sqref="BL72">
    <cfRule type="containsText" dxfId="80" priority="2" operator="containsText" text="ERROR">
      <formula>NOT(ISERROR(SEARCH("ERROR",BL72)))</formula>
    </cfRule>
  </conditionalFormatting>
  <dataValidations disablePrompts="1" count="5">
    <dataValidation type="list" allowBlank="1" showInputMessage="1" showErrorMessage="1" sqref="C84:C752" xr:uid="{22FD1754-7558-488F-8B9B-F8386997525F}">
      <formula1>Compadjust</formula1>
    </dataValidation>
    <dataValidation type="list" allowBlank="1" showInputMessage="1" showErrorMessage="1" sqref="M93:M95 L84:L96 M131:M748 L97:M98 L100:L748" xr:uid="{24FF800A-C2F9-4B87-A648-C0DE55309B7B}">
      <formula1>Taxes</formula1>
    </dataValidation>
    <dataValidation type="list" allowBlank="1" showInputMessage="1" showErrorMessage="1" sqref="N84:N749" xr:uid="{17FBEE11-2738-469B-BB24-2EAAF27CA848}">
      <formula1>Govadjust</formula1>
    </dataValidation>
    <dataValidation type="list" allowBlank="1" showInputMessage="1" showErrorMessage="1" sqref="N5:N8 N73 N75 N77:N79 N10:N71" xr:uid="{550894D5-7D16-4C83-AC69-FF2E7412CE80}">
      <formula1>FinalDiff</formula1>
    </dataValidation>
    <dataValidation type="list" allowBlank="1" showErrorMessage="1" errorTitle="Taxes" error="Non valid entry. Please check the tax list" promptTitle="Taxes" prompt="Please select the tax subject to adjustment" sqref="B88:B105" xr:uid="{3912DC47-9062-462D-BF4D-39F927A7B784}">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disablePrompts="1" count="3">
        <x14:dataValidation type="list" allowBlank="1" showErrorMessage="1" errorTitle="Taxes" error="Non valid entry. Please check the tax list" promptTitle="Taxes" prompt="Please select the tax subject to adjustment" xr:uid="{5E10591E-C7CD-414C-A9C7-4838539DF537}">
          <x14:formula1>
            <xm:f>Lists!$A$131:$A$132</xm:f>
          </x14:formula1>
          <xm:sqref>B84:B87 K84:K749</xm:sqref>
        </x14:dataValidation>
        <x14:dataValidation type="list" allowBlank="1" showInputMessage="1" showErrorMessage="1" xr:uid="{C5E0C27E-8BFB-4989-9DE9-F5012B7F2C84}">
          <x14:formula1>
            <xm:f>Lists!$A$7:$A$64</xm:f>
          </x14:formula1>
          <xm:sqref>J84:J749</xm:sqref>
        </x14:dataValidation>
        <x14:dataValidation type="list" allowBlank="1" showErrorMessage="1" errorTitle="Taxes" error="Non valid entry. Please check the tax list" promptTitle="Taxes" prompt="Please select the tax subject to adjustment" xr:uid="{1041F69E-7296-4C72-AE49-D74C8ABDCD21}">
          <x14:formula1>
            <xm:f>Lists!$A$7:$A$64</xm:f>
          </x14:formula1>
          <xm:sqref>A84:A751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tabColor rgb="FFFF0000"/>
  </sheetPr>
  <dimension ref="A1:BL752"/>
  <sheetViews>
    <sheetView showGridLines="0" topLeftCell="B1" zoomScaleNormal="100" workbookViewId="0">
      <selection activeCell="J8" sqref="J8"/>
    </sheetView>
  </sheetViews>
  <sheetFormatPr baseColWidth="10" defaultColWidth="11.54296875" defaultRowHeight="12" outlineLevelCol="1"/>
  <cols>
    <col min="1" max="1" width="28.54296875" style="17" hidden="1" customWidth="1"/>
    <col min="2" max="2" width="4.453125" style="17" customWidth="1"/>
    <col min="3" max="3" width="49.81640625"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3.542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5.7265625" style="2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Companies!B10</f>
        <v>SOCIETE_GOLD_KOSS</v>
      </c>
      <c r="F1" s="32">
        <f>Companies!C10</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SUMIF($C$84:$C$750,R3,$G$84:$G$750)</f>
        <v>0</v>
      </c>
      <c r="U3" s="21" t="str">
        <f>Lists!A91</f>
        <v>FD non soumis par la Société</v>
      </c>
      <c r="V3" s="18">
        <f t="shared" ref="V3:V14" si="4">SUMIF($N$9:$N$75,U3,$M$9:$M$75)</f>
        <v>0</v>
      </c>
      <c r="Y3" s="19">
        <f>B6</f>
        <v>0</v>
      </c>
      <c r="Z3" s="19">
        <f>C6</f>
        <v>0</v>
      </c>
      <c r="AA3" s="16">
        <f t="shared" ref="AA3:AI4" si="5">SUMPRODUCT(($A$84:$A$750=$Y3&amp;"- "&amp;$Z3)*($C$84:$C$750=AA$1)*($G$84:$G$750))</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SUMPRODUCT(($J$84:$M$747=$AL3&amp;"- "&amp;$AM3)*($N$84:$N$747=AN$1)*($Q$84:$Q$747))</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SUMIF($A$84:$A$750,B6&amp;"- "&amp;C6,$G$84:$G$750)</f>
        <v>0</v>
      </c>
      <c r="G6" s="165">
        <f>E6+F6</f>
        <v>0</v>
      </c>
      <c r="H6" s="114"/>
      <c r="I6" s="165"/>
      <c r="J6" s="165">
        <f ca="1">SUMIF($J$84:$M$748,B6&amp;"- "&amp;C6,$Q$84:$Q$748)</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SUMIF($A$84:$A$750,B7&amp;"- "&amp;C7,$G$84:$G$750)</f>
        <v>0</v>
      </c>
      <c r="G7" s="114">
        <f>E7+F7</f>
        <v>0</v>
      </c>
      <c r="H7" s="114"/>
      <c r="I7" s="114"/>
      <c r="J7" s="114">
        <f ca="1">SUMIF($J$84:$M$748,B7&amp;"- "&amp;C7,$Q$84:$Q$748)</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SUMPRODUCT(($A$84:$A$750=$Y7&amp;"- "&amp;$Z7)*($C$84:$C$750=AA$1)*($G$84:$G$750))</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SUMPRODUCT(($J$84:$M$747=$AL7&amp;"- "&amp;$AM7)*($N$84:$N$747=AN$1)*($Q$84:$Q$747))</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0</v>
      </c>
      <c r="J8" s="164">
        <f ca="1">+J9+J13+J15+J17+J40+J45+J47+J52+J55+J62+J65+J68+J77</f>
        <v>33000000</v>
      </c>
      <c r="K8" s="164">
        <f ca="1">+K9+K13+K15+K17+K40+K45+K47+K52+K55+K62+K65+K68+K77</f>
        <v>33000000</v>
      </c>
      <c r="L8" s="114"/>
      <c r="M8" s="164">
        <f ca="1">+M9+M13+M15+M17+M40+M45+M52+M55+M62+M65+M68+M77+M47</f>
        <v>-33000000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SUMIF($A$84:$A$750,B10&amp;"- "&amp;C10,$G$84:$G$750)</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SUMIF($A$84:$A$750,B11&amp;"- "&amp;C11,$G$84:$G$750)</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SUMIF($A$84:$A$750,B12&amp;"- "&amp;C12,$G$84:$G$750)</f>
        <v>0</v>
      </c>
      <c r="G12" s="165">
        <f>E12+F12</f>
        <v>0</v>
      </c>
      <c r="H12" s="114"/>
      <c r="I12" s="165"/>
      <c r="J12" s="165">
        <f ca="1">SUMIF($J$84:$M$748,B12&amp;"- "&amp;C12,$Q$84:$Q$748)</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SUMPRODUCT(($A$84:$A$750=$Y13&amp;"- "&amp;$Z13)*($C$84:$C$750=AA$1)*($G$84:$G$750))</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SUMPRODUCT(($J$84:$M$747=$AL13&amp;"- "&amp;$AM13)*($N$84:$N$747=AN$1)*($Q$84:$Q$747))</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SUMIF($A$84:$A$750,B14&amp;"- "&amp;C14,$G$84:$G$750)</f>
        <v>0</v>
      </c>
      <c r="G14" s="114">
        <f>E14+F14</f>
        <v>0</v>
      </c>
      <c r="H14" s="114"/>
      <c r="I14" s="114"/>
      <c r="J14" s="114">
        <f ca="1">SUMIF($J$84:$M$748,B14&amp;"- "&amp;C14,$Q$84:$Q$748)</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SUMIF($A$84:$A$750,B16&amp;"- "&amp;C16,$G$84:$G$750)</f>
        <v>0</v>
      </c>
      <c r="G16" s="165">
        <f>E16+F16</f>
        <v>0</v>
      </c>
      <c r="H16" s="114"/>
      <c r="I16" s="165"/>
      <c r="J16" s="165">
        <f ca="1">SUMIF($J$84:$M$748,B16&amp;"- "&amp;C16,$Q$84:$Q$748)</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SUMIF($A$84:$A$750,B18&amp;"- "&amp;C18,$G$84:$G$750)</f>
        <v>0</v>
      </c>
      <c r="G18" s="114">
        <f t="shared" ref="G18:G39" si="56">E18+F18</f>
        <v>0</v>
      </c>
      <c r="H18" s="114"/>
      <c r="I18" s="114"/>
      <c r="J18" s="114">
        <f t="shared" ref="J18:J39" ca="1" si="57">SUMIF($J$84:$M$748,B18&amp;"- "&amp;C18,$Q$84:$Q$748)</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SUMPRODUCT(($A$84:$A$750=$Y23&amp;"- "&amp;$Z23)*($C$84:$C$750=AA$1)*($G$84:$G$750))</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SUMPRODUCT(($J$84:$M$747=$AL23&amp;"- "&amp;$AM23)*($N$84:$N$747=AN$1)*($Q$84:$Q$747))</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SUMIF($N$84:$N$748,R25,$Q$84:$Q$748)</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SUMPRODUCT(($A$84:$A$750=$Y34&amp;"- "&amp;$Z34)*($C$84:$C$750=AA$1)*($G$84:$G$750))</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SUMPRODUCT(($J$84:$M$747=$AL34&amp;"- "&amp;$AM34)*($N$84:$N$747=AN$1)*($Q$84:$Q$747))</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33000000</v>
      </c>
      <c r="K40" s="166">
        <f ca="1">SUM(K41:K44)</f>
        <v>33000000</v>
      </c>
      <c r="L40" s="114"/>
      <c r="M40" s="166">
        <f ca="1">SUM(M41:M44)</f>
        <v>-33000000</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SUMIF($A$84:$A$750,B41&amp;"- "&amp;C41,$G$84:$G$750)</f>
        <v>0</v>
      </c>
      <c r="G41" s="114">
        <f>E41+F41</f>
        <v>0</v>
      </c>
      <c r="H41" s="114"/>
      <c r="I41" s="114"/>
      <c r="J41" s="114">
        <f ca="1">SUMIF($J$84:$M$748,B41&amp;"- "&amp;C41,$Q$84:$Q$748)</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SUMIF($A$84:$A$750,B42&amp;"- "&amp;C42,$G$84:$G$750)</f>
        <v>0</v>
      </c>
      <c r="G42" s="165">
        <f>E42+F42</f>
        <v>0</v>
      </c>
      <c r="H42" s="114"/>
      <c r="I42" s="165"/>
      <c r="J42" s="165">
        <v>3000000</v>
      </c>
      <c r="K42" s="165">
        <f>I42+J42</f>
        <v>3000000</v>
      </c>
      <c r="L42" s="114"/>
      <c r="M42" s="165">
        <f>+G42-K42</f>
        <v>-3000000</v>
      </c>
      <c r="N42" s="68"/>
      <c r="O42" s="38" t="str">
        <f t="shared" si="46"/>
        <v>ERROR</v>
      </c>
      <c r="P42" s="39" t="str">
        <f t="shared" si="88"/>
        <v>Please insert comment</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SUMIF($A$84:$A$750,B43&amp;"- "&amp;C43,$G$84:$G$750)</f>
        <v>0</v>
      </c>
      <c r="G43" s="114">
        <f>E43+F43</f>
        <v>0</v>
      </c>
      <c r="H43" s="114"/>
      <c r="I43" s="114"/>
      <c r="J43" s="114">
        <v>30000000</v>
      </c>
      <c r="K43" s="114">
        <f>I43+J43</f>
        <v>30000000</v>
      </c>
      <c r="L43" s="114"/>
      <c r="M43" 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SUMIF($A$84:$A$750,B44&amp;"- "&amp;C44,$G$84:$G$750)</f>
        <v>0</v>
      </c>
      <c r="G44" s="165">
        <f>E44+F44</f>
        <v>0</v>
      </c>
      <c r="H44" s="114"/>
      <c r="I44" s="165"/>
      <c r="J44" s="165">
        <f ca="1">SUMIF($J$84:$M$748,B44&amp;"- "&amp;C44,$Q$84:$Q$748)</f>
        <v>0</v>
      </c>
      <c r="K44" s="165">
        <f ca="1">I44+J44</f>
        <v>0</v>
      </c>
      <c r="L44" s="114"/>
      <c r="M44" s="165">
        <f ca="1">+G44-K44</f>
        <v>0</v>
      </c>
      <c r="N44" s="68"/>
      <c r="O44" s="38" t="str">
        <f t="shared" ca="1" si="46"/>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SUMIF($A$84:$A$750,B46&amp;"- "&amp;C46,$G$84:$G$750)</f>
        <v>0</v>
      </c>
      <c r="G46" s="165">
        <f>E46+F46</f>
        <v>0</v>
      </c>
      <c r="H46" s="114"/>
      <c r="I46" s="165"/>
      <c r="J46" s="165">
        <f ca="1">SUMIF($J$84:$M$748,B46&amp;"- "&amp;C46,$Q$84:$Q$748)</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SUMIF($A$84:$A$750,B48&amp;"- "&amp;C48,$G$84:$G$750)</f>
        <v>0</v>
      </c>
      <c r="G48" s="114">
        <f>E48+F48</f>
        <v>0</v>
      </c>
      <c r="H48" s="114"/>
      <c r="I48" s="114"/>
      <c r="J48" s="114">
        <f ca="1">SUMIF($J$84:$M$748,B48&amp;"- "&amp;C48,$Q$84:$Q$748)</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SUMPRODUCT(($A$84:$A$750=$Y48&amp;"- "&amp;$Z48)*($C$84:$C$750=AA$1)*($G$84:$G$750))</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SUMPRODUCT(($J$84:$M$747=$AL48&amp;"- "&amp;$AM48)*($N$84:$N$747=AN$1)*($Q$84:$Q$747))</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SUMIF($A$84:$A$750,B49&amp;"- "&amp;C49,$G$84:$G$750)</f>
        <v>0</v>
      </c>
      <c r="G49" s="165">
        <f>E49+F49</f>
        <v>0</v>
      </c>
      <c r="H49" s="114"/>
      <c r="I49" s="165"/>
      <c r="J49" s="165">
        <f ca="1">SUMIF($J$84:$M$748,B49&amp;"- "&amp;C49,$Q$84:$Q$748)</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SUMIF($A$84:$A$750,B50&amp;"- "&amp;C50,$G$84:$G$750)</f>
        <v>0</v>
      </c>
      <c r="G50" s="114">
        <f>E50+F50</f>
        <v>0</v>
      </c>
      <c r="H50" s="114"/>
      <c r="I50" s="114"/>
      <c r="J50" s="114">
        <f ca="1">SUMIF($J$84:$M$748,B50&amp;"- "&amp;C50,$Q$84:$Q$748)</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SUMIF($A$84:$A$750,B51&amp;"- "&amp;C51,$G$84:$G$750)</f>
        <v>0</v>
      </c>
      <c r="G51" s="165">
        <f>E51+F51</f>
        <v>0</v>
      </c>
      <c r="H51" s="114"/>
      <c r="I51" s="165"/>
      <c r="J51" s="165">
        <f ca="1">SUMIF($J$84:$M$748,B51&amp;"- "&amp;C51,$Q$84:$Q$748)</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SUMPRODUCT(($A$84:$A$750=$Y51&amp;"- "&amp;$Z51)*($C$84:$C$750=AA$1)*($G$84:$G$750))</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SUMPRODUCT(($J$84:$M$747=$AL51&amp;"- "&amp;$AM51)*($N$84:$N$747=AN$1)*($Q$84:$Q$747))</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SUMIF($A$84:$A$750,B53&amp;"- "&amp;C53,$G$84:$G$750)</f>
        <v>0</v>
      </c>
      <c r="G53" s="114">
        <f>E53+F53</f>
        <v>0</v>
      </c>
      <c r="H53" s="114"/>
      <c r="I53" s="114"/>
      <c r="J53" s="114">
        <f ca="1">SUMIF($J$84:$M$748,B53&amp;"- "&amp;C53,$Q$84:$Q$748)</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SUMIF($A$84:$A$750,B54&amp;"- "&amp;C54,$G$84:$G$750)</f>
        <v>0</v>
      </c>
      <c r="G54" s="165">
        <f>E54+F54</f>
        <v>0</v>
      </c>
      <c r="H54" s="114"/>
      <c r="I54" s="165"/>
      <c r="J54" s="165">
        <f ca="1">SUMIF($J$84:$M$748,B54&amp;"- "&amp;C54,$Q$84:$Q$748)</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SUMIF($A$84:$A$750,B56&amp;"- "&amp;C56,$G$84:$G$750)</f>
        <v>0</v>
      </c>
      <c r="G56" s="114">
        <f t="shared" ref="G56:G61" si="118">E56+F56</f>
        <v>0</v>
      </c>
      <c r="H56" s="114"/>
      <c r="I56" s="114"/>
      <c r="J56" s="114">
        <f t="shared" ref="J56:J61" ca="1" si="119">SUMIF($J$84:$M$748,B56&amp;"- "&amp;C56,$Q$84:$Q$748)</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SUMPRODUCT(($A$84:$A$750=$Y61&amp;"- "&amp;$Z61)*($C$84:$C$750=AA$1)*($G$84:$G$750))</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SUMPRODUCT(($J$84:$M$747=$AL61&amp;"- "&amp;$AM61)*($N$84:$N$747=AN$1)*($Q$84:$Q$747))</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SUMIF($A$84:$A$750,B63&amp;"- "&amp;C63,$G$84:$G$750)</f>
        <v>0</v>
      </c>
      <c r="G63" s="114">
        <f>E63+F63</f>
        <v>0</v>
      </c>
      <c r="H63" s="114"/>
      <c r="I63" s="114"/>
      <c r="J63" s="114">
        <f ca="1">SUMIF($J$84:$M$748,B63&amp;"- "&amp;C63,$Q$84:$Q$748)</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SUMPRODUCT(($A$84:$A$750=$Y63&amp;"- "&amp;$Z63)*($C$84:$C$750=AA$1)*($G$84:$G$750))</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SUMPRODUCT(($J$84:$M$747=$AL63&amp;"- "&amp;$AM63)*($N$84:$N$747=AN$1)*($Q$84:$Q$747))</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SUMIF($A$84:$A$750,B64&amp;"- "&amp;C64,$G$84:$G$750)</f>
        <v>0</v>
      </c>
      <c r="G64" s="165">
        <f>E64+F64</f>
        <v>0</v>
      </c>
      <c r="H64" s="114"/>
      <c r="I64" s="165"/>
      <c r="J64" s="165">
        <f ca="1">SUMIF($J$84:$M$748,B64&amp;"- "&amp;C64,$Q$84:$Q$748)</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SUMIF($A$84:$A$750,B66&amp;"- "&amp;C66,$G$84:$G$750)</f>
        <v>0</v>
      </c>
      <c r="G66" s="114">
        <f>E66+F66</f>
        <v>0</v>
      </c>
      <c r="H66" s="114"/>
      <c r="I66" s="114"/>
      <c r="J66" s="114">
        <f ca="1">SUMIF($J$84:$M$748,B66&amp;"- "&amp;C66,$Q$84:$Q$748)</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SUMPRODUCT(($A$84:$A$750=$Y66&amp;"- "&amp;$Z66)*($C$84:$C$750=AA$1)*($G$84:$G$750))</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SUMPRODUCT(($J$84:$M$747=$AL66&amp;"- "&amp;$AM66)*($N$84:$N$747=AN$1)*($Q$84:$Q$747))</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SUMIF($A$84:$A$750,B67&amp;"- "&amp;C67,$G$84:$G$750)</f>
        <v>0</v>
      </c>
      <c r="G67" s="165">
        <f>E67+F67</f>
        <v>0</v>
      </c>
      <c r="H67" s="114"/>
      <c r="I67" s="165"/>
      <c r="J67" s="165">
        <f ca="1">SUMIF($J$84:$M$748,B67&amp;"- "&amp;C67,$Q$84:$Q$748)</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SUMIF($A$84:$A$750,B69&amp;"- "&amp;C69,$G$84:$G$750)</f>
        <v>0</v>
      </c>
      <c r="G69" s="114">
        <f t="shared" ref="G69:G76" si="156">E69+F69</f>
        <v>0</v>
      </c>
      <c r="H69" s="114"/>
      <c r="I69" s="114"/>
      <c r="J69" s="114">
        <f t="shared" ref="J69:J76" ca="1" si="157">SUMIF($J$84:$M$748,B69&amp;"- "&amp;C69,$Q$84:$Q$748)</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SUMPRODUCT(($A$84:$A$750=$Y69&amp;"- "&amp;$Z69)*($C$84:$C$750=AA$1)*($G$84:$G$750))</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SUMPRODUCT(($J$84:$M$747=$AL69&amp;"- "&amp;$AM69)*($N$84:$N$747=AN$1)*($Q$84:$Q$747))</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t="str">
        <f t="shared" ca="1" si="46"/>
        <v/>
      </c>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SUMPRODUCT(($A$84:$A$750=$Y71&amp;"- "&amp;$Z71)*($C$84:$C$750=AA$1)*($G$84:$G$750))</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SUMPRODUCT(($J$84:$M$747=$AL71&amp;"- "&amp;$AM71)*($N$84:$N$747=AN$1)*($Q$84:$Q$747))</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SUMPRODUCT(($J$84:$M$747=$AL73&amp;"- "&amp;$AM73)*($N$84:$N$747=AN$1)*($Q$84:$Q$747))</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0</v>
      </c>
      <c r="J77" s="166">
        <f t="shared" ca="1" si="174"/>
        <v>0</v>
      </c>
      <c r="K77" s="166">
        <f t="shared" ca="1" si="174"/>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SUMIF($A$84:$A$750,B78&amp;"- "&amp;C78,$G$84:$G$750)</f>
        <v>0</v>
      </c>
      <c r="G78" s="114">
        <f>E78+F78</f>
        <v>0</v>
      </c>
      <c r="H78" s="114"/>
      <c r="I78" s="114"/>
      <c r="J78" s="114">
        <f ca="1">SUMIF($J$84:$M$748,B78&amp;"- "&amp;C78,$Q$84:$Q$748)</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SUMPRODUCT(($A$84:$A$750=$Y78&amp;"- "&amp;$Z78)*($C$84:$C$750=AA$1)*($G$84:$G$750))</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SUMPRODUCT(($J$84:$M$747=$AL78&amp;"- "&amp;$AM78)*($N$84:$N$747=AN$1)*($Q$84:$Q$747))</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SUMIF($A$84:$A$750,B79&amp;"- "&amp;C79,$G$84:$G$750)</f>
        <v>0</v>
      </c>
      <c r="G79" s="165">
        <f>+E79+F79</f>
        <v>0</v>
      </c>
      <c r="H79" s="114"/>
      <c r="I79" s="165"/>
      <c r="J79" s="165">
        <f ca="1">SUMIF($J$84:$M$748,B79&amp;"- "&amp;C79,$Q$84:$Q$748)</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IF(F8=G752,"","ERROR")</f>
        <v/>
      </c>
      <c r="G80" s="382"/>
      <c r="H80" s="382"/>
      <c r="I80" s="382"/>
      <c r="J80" s="382" t="str">
        <f ca="1">IF(J8=Q750,"","ERROR")</f>
        <v>ERROR</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4" t="s">
        <v>63</v>
      </c>
      <c r="L83" s="46"/>
      <c r="M83" s="46"/>
      <c r="N83" s="44" t="s">
        <v>15</v>
      </c>
      <c r="O83" s="45" t="s">
        <v>5</v>
      </c>
      <c r="P83" s="45" t="s">
        <v>0</v>
      </c>
      <c r="Q83" s="45" t="s">
        <v>4</v>
      </c>
    </row>
    <row r="84" spans="1:48" s="61" customFormat="1">
      <c r="C84" s="60"/>
      <c r="E84" s="101"/>
      <c r="F84" s="131"/>
      <c r="G84" s="146"/>
      <c r="L84" s="60"/>
      <c r="N84" s="97"/>
      <c r="O84" s="121"/>
      <c r="P84" s="129"/>
      <c r="Q84" s="14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01"/>
      <c r="F85" s="131"/>
      <c r="G85" s="146"/>
      <c r="L85" s="60"/>
      <c r="N85" s="97"/>
      <c r="O85" s="121"/>
      <c r="P85" s="129"/>
      <c r="Q85" s="145"/>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01"/>
      <c r="F86" s="131"/>
      <c r="G86" s="146"/>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31"/>
      <c r="G87" s="146"/>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ht="15">
      <c r="A750" s="61"/>
      <c r="B750" s="24"/>
      <c r="C750" s="60"/>
      <c r="E750" s="47"/>
      <c r="F750" s="48"/>
      <c r="G750" s="47"/>
      <c r="O750" s="49"/>
      <c r="P750" s="50"/>
      <c r="Q750" s="51">
        <f>SUM(Q82:Q749)</f>
        <v>0</v>
      </c>
    </row>
    <row r="751" spans="1:17">
      <c r="A751" s="61"/>
      <c r="B751" s="24"/>
      <c r="C751" s="60"/>
      <c r="E751" s="47"/>
      <c r="F751" s="48"/>
      <c r="G751" s="47"/>
    </row>
    <row r="752" spans="1:17" ht="15">
      <c r="C752" s="60"/>
      <c r="E752" s="49"/>
      <c r="F752" s="50"/>
      <c r="G752" s="51">
        <f>SUM(G84:G751)</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79" priority="8" operator="containsText" text="ERROR">
      <formula>NOT(ISERROR(SEARCH("ERROR",T17)))</formula>
    </cfRule>
  </conditionalFormatting>
  <conditionalFormatting sqref="T42">
    <cfRule type="containsText" dxfId="78" priority="7" operator="containsText" text="ERROR">
      <formula>NOT(ISERROR(SEARCH("ERROR",T42)))</formula>
    </cfRule>
  </conditionalFormatting>
  <conditionalFormatting sqref="W19">
    <cfRule type="containsText" dxfId="77" priority="3" operator="containsText" text="ERROR">
      <formula>NOT(ISERROR(SEARCH("ERROR",W19)))</formula>
    </cfRule>
  </conditionalFormatting>
  <conditionalFormatting sqref="BL72">
    <cfRule type="containsText" dxfId="76" priority="4" operator="containsText" text="ERROR">
      <formula>NOT(ISERROR(SEARCH("ERROR",BL72)))</formula>
    </cfRule>
  </conditionalFormatting>
  <dataValidations count="5">
    <dataValidation type="list" allowBlank="1" showInputMessage="1" showErrorMessage="1" sqref="N5:N8 N75 N73 N77:N79 N10:N71" xr:uid="{BA55FC15-AD63-415F-A2CE-31F043921EEB}">
      <formula1>FinalDiff</formula1>
    </dataValidation>
    <dataValidation type="list" allowBlank="1" showInputMessage="1" showErrorMessage="1" sqref="M92:M94 M130:M747 L96:M97 L84:L95 L99:L747" xr:uid="{F7A667FA-F0A0-485B-AD53-6AEA1CA78EF1}">
      <formula1>Taxes</formula1>
    </dataValidation>
    <dataValidation type="list" allowBlank="1" showErrorMessage="1" errorTitle="Taxes" error="Non valid entry. Please check the tax list" promptTitle="Taxes" prompt="Please select the tax subject to adjustment" sqref="B87:B106" xr:uid="{A205C708-3840-4E6A-9EA8-2CC106077300}">
      <formula1>$A$134:$A$135</formula1>
    </dataValidation>
    <dataValidation type="list" allowBlank="1" showInputMessage="1" showErrorMessage="1" sqref="N84:N749" xr:uid="{754E9AE1-CDA2-4841-9D96-922241495B04}">
      <formula1>Govadjust</formula1>
    </dataValidation>
    <dataValidation type="list" allowBlank="1" showInputMessage="1" showErrorMessage="1" sqref="C84:C752" xr:uid="{B3665C89-5170-4AAE-8CAE-EF7A067FC282}">
      <formula1>Compadjust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DD66B53E-BE29-431A-91AB-752BCD8F07C9}">
          <x14:formula1>
            <xm:f>Lists!$A$131:$A$132</xm:f>
          </x14:formula1>
          <xm:sqref>B84:B86 K84:K749</xm:sqref>
        </x14:dataValidation>
        <x14:dataValidation type="list" allowBlank="1" showInputMessage="1" showErrorMessage="1" xr:uid="{2F5ABC64-B227-4C0E-8621-834B01EF4232}">
          <x14:formula1>
            <xm:f>Lists!$A$7:$A$64</xm:f>
          </x14:formula1>
          <xm:sqref>J84:J749</xm:sqref>
        </x14:dataValidation>
        <x14:dataValidation type="list" allowBlank="1" showErrorMessage="1" errorTitle="Taxes" error="Non valid entry. Please check the tax list" promptTitle="Taxes" prompt="Please select the tax subject to adjustment" xr:uid="{58C063CB-5FA7-4FD1-95AC-8B414CB6EDF8}">
          <x14:formula1>
            <xm:f>Lists!$A$7:$A$64</xm:f>
          </x14:formula1>
          <xm:sqref>A84:A751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BL753"/>
  <sheetViews>
    <sheetView showGridLines="0" topLeftCell="B21" zoomScaleNormal="100" workbookViewId="0">
      <selection activeCell="I35" sqref="I35"/>
    </sheetView>
  </sheetViews>
  <sheetFormatPr baseColWidth="10" defaultColWidth="11.54296875" defaultRowHeight="12" outlineLevelCol="1"/>
  <cols>
    <col min="1" max="1" width="28.54296875" style="17" hidden="1" customWidth="1"/>
    <col min="2" max="2" width="4.453125" style="17" customWidth="1"/>
    <col min="3" max="3" width="55.816406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100" t="s">
        <v>33</v>
      </c>
      <c r="E1" s="100" t="str">
        <f>Companies!B11</f>
        <v>GONGA</v>
      </c>
      <c r="F1" s="100" t="str">
        <f>Companies!C11</f>
        <v>M358340M001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43982413.950000003</v>
      </c>
      <c r="J8" s="164">
        <f ca="1">+J9+J13+J15+J17+J40+J45+J47+J52+J55+J62+J65+J68+J77</f>
        <v>0</v>
      </c>
      <c r="K8" s="164">
        <f ca="1">+K9+K13+K15+K17+K40+K45+K47+K52+K55+K62+K65+K68+K77</f>
        <v>43982413.950000003</v>
      </c>
      <c r="L8" s="114"/>
      <c r="M8" s="164">
        <f ca="1">+M9+M13+M15+M17+M40+M45+M52+M55+M62+M65+M68+M77+M47</f>
        <v>-43982413.950000003</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31595210.850000001</v>
      </c>
      <c r="J9" s="166">
        <f t="shared" ref="J9" ca="1" si="26">SUM(J10:J12)</f>
        <v>0</v>
      </c>
      <c r="K9" s="166">
        <f t="shared" ref="K9" ca="1" si="27">SUM(K10:K12)</f>
        <v>31595210.850000001</v>
      </c>
      <c r="L9" s="114"/>
      <c r="M9" s="166">
        <f t="shared" ref="M9" ca="1" si="28">SUM(M10:M12)</f>
        <v>-31595210.850000001</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9027203.0999999996</v>
      </c>
      <c r="J10" s="165">
        <f>SUMIF($J$83:$J$1048576,C10,$Q$83:$Q$1048576)</f>
        <v>0</v>
      </c>
      <c r="K10" s="165">
        <f>I10+J10</f>
        <v>9027203.0999999996</v>
      </c>
      <c r="L10" s="114"/>
      <c r="M10" s="165">
        <f>+G10-K10</f>
        <v>-9027203.0999999996</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22568007.75</v>
      </c>
      <c r="J11" s="114">
        <f>SUMIF($J$83:$J$1048576,C11,$Q$83:$Q$1048576)</f>
        <v>0</v>
      </c>
      <c r="K11" s="114">
        <f>I11+J11</f>
        <v>22568007.75</v>
      </c>
      <c r="L11" s="114"/>
      <c r="M11" s="114">
        <f>+G11-K11</f>
        <v>-22568007.75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3360000</v>
      </c>
      <c r="J17" s="166">
        <f t="shared" ref="J17" ca="1" si="52">SUM(J18:J39)</f>
        <v>0</v>
      </c>
      <c r="K17" s="166">
        <f t="shared" ref="K17" ca="1" si="53">SUM(K18:K39)</f>
        <v>3360000</v>
      </c>
      <c r="L17" s="114"/>
      <c r="M17" s="166">
        <f t="shared" ref="M17" ca="1" si="54">SUM(M18:M39)</f>
        <v>-3360000</v>
      </c>
      <c r="N17" s="58"/>
      <c r="O17" s="38" t="str">
        <f t="shared" ca="1" si="46"/>
        <v>ERROR</v>
      </c>
      <c r="P17" s="39" t="str">
        <f t="shared" ca="1" si="47"/>
        <v>Please insert comment</v>
      </c>
      <c r="Q17" s="35"/>
      <c r="T17" s="41" t="str">
        <f>IF(F72=S12,"","ERROR")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144000</v>
      </c>
      <c r="J20" s="114">
        <f t="shared" ca="1" si="57"/>
        <v>0</v>
      </c>
      <c r="K20" s="114">
        <f t="shared" ca="1" si="58"/>
        <v>144000</v>
      </c>
      <c r="L20" s="114"/>
      <c r="M20" s="114">
        <f t="shared" ca="1" si="59"/>
        <v>-144000</v>
      </c>
      <c r="N20" s="18"/>
      <c r="O20" s="38" t="str">
        <f t="shared" ca="1" si="60"/>
        <v>ERROR</v>
      </c>
      <c r="P20" s="39" t="str">
        <f t="shared" ca="1" si="61"/>
        <v>Please insert comment</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v>3180000</v>
      </c>
      <c r="J24" s="114">
        <f t="shared" ca="1" si="57"/>
        <v>0</v>
      </c>
      <c r="K24" s="114">
        <f t="shared" ca="1" si="58"/>
        <v>3180000</v>
      </c>
      <c r="L24" s="114"/>
      <c r="M24" s="114">
        <f t="shared" ca="1" si="59"/>
        <v>-3180000</v>
      </c>
      <c r="N24" s="18"/>
      <c r="O24" s="38" t="str">
        <f ca="1">IF(M24=0,"",IF(N24=0,"ERROR",""))</f>
        <v>ERROR</v>
      </c>
      <c r="P24" s="39" t="str">
        <f ca="1">IF(O24="ERROR","Please insert comment","")</f>
        <v>Please insert comment</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c r="P25" s="39"/>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v>36000</v>
      </c>
      <c r="J32" s="114">
        <f t="shared" ca="1" si="57"/>
        <v>0</v>
      </c>
      <c r="K32" s="114">
        <f t="shared" ca="1" si="58"/>
        <v>36000</v>
      </c>
      <c r="L32" s="114"/>
      <c r="M32" s="114">
        <f t="shared" ca="1" si="59"/>
        <v>-36000</v>
      </c>
      <c r="N32" s="18"/>
      <c r="O32" s="38" t="str">
        <f t="shared" ca="1" si="46"/>
        <v>ERROR</v>
      </c>
      <c r="P32" s="39" t="str">
        <f t="shared" ca="1" si="47"/>
        <v>Please insert comment</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9027203.0999999996</v>
      </c>
      <c r="J40" s="166">
        <f ca="1">SUM(J41:J44)</f>
        <v>0</v>
      </c>
      <c r="K40" s="166">
        <f ca="1">SUM(K41:K44)</f>
        <v>9027203.0999999996</v>
      </c>
      <c r="L40" s="114"/>
      <c r="M40" s="166">
        <f ca="1">SUM(M41:M44)</f>
        <v>-9027203.0999999996</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8"/>
        <v/>
      </c>
      <c r="Q42" s="35"/>
      <c r="T42" s="41" t="str">
        <f ca="1">IF(J8=S33,"","ERROR")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8"/>
        <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9027203.0999999996</v>
      </c>
      <c r="J44" s="165">
        <f ca="1">SUMIF($J$84:$M$749,B44&amp;"- "&amp;C44,$Q$84:$Q$749)</f>
        <v>0</v>
      </c>
      <c r="K44" s="165">
        <f ca="1">I44+J44</f>
        <v>9027203.0999999996</v>
      </c>
      <c r="L44" s="114"/>
      <c r="M44" s="165">
        <f ca="1">+G44-K44</f>
        <v>-9027203.0999999996</v>
      </c>
      <c r="N44" s="68"/>
      <c r="O44" s="38" t="str">
        <f t="shared" ca="1" si="46"/>
        <v>ERROR</v>
      </c>
      <c r="P44" s="39" t="str">
        <f t="shared" ca="1" si="88"/>
        <v>Please insert comment</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SUMPRODUCT(($A$84:$A$751=$Y61&amp;"- "&amp;$Z61)*($C$84:$C$751=AA$1)*($G$84:$G$751))</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SUMPRODUCT(($J$84:$M$748=$AL61&amp;"- "&amp;$AM61)*($N$84:$N$748=AN$1)*($Q$84:$Q$748))</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SUMPRODUCT(($A$84:$A$751=$Y63&amp;"- "&amp;$Z63)*($C$84:$C$751=AA$1)*($G$84:$G$751))</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SUMPRODUCT(($J$84:$M$748=$AL63&amp;"- "&amp;$AM63)*($N$84:$N$748=AN$1)*($Q$84:$Q$748))</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SUMPRODUCT(($A$84:$A$751=$Y66&amp;"- "&amp;$Z66)*($C$84:$C$751=AA$1)*($G$84:$G$751))</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SUMPRODUCT(($J$84:$M$748=$AL66&amp;"- "&amp;$AM66)*($N$84:$N$748=AN$1)*($Q$84:$Q$748))</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SUMIF($A$84:$A$751,B69&amp;"- "&amp;C69,$G$84:$G$751)</f>
        <v>0</v>
      </c>
      <c r="G69" s="114">
        <f t="shared" ref="G69:G76" si="156">E69+F69</f>
        <v>0</v>
      </c>
      <c r="H69" s="114"/>
      <c r="I69" s="114"/>
      <c r="J69" s="114">
        <f t="shared" ref="J69:J76" ca="1" si="157">SUMIF($J$84:$M$749,B69&amp;"- "&amp;C69,$Q$84:$Q$749)</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SUMPRODUCT(($A$84:$A$751=$Y69&amp;"- "&amp;$Z69)*($C$84:$C$751=AA$1)*($G$84:$G$751))</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SUMPRODUCT(($J$84:$M$748=$AL69&amp;"- "&amp;$AM69)*($N$84:$N$748=AN$1)*($Q$84:$Q$748))</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SUMPRODUCT(($A$84:$A$751=$Y71&amp;"- "&amp;$Z71)*($C$84:$C$751=AA$1)*($G$84:$G$751))</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SUMPRODUCT(($J$84:$M$748=$AL71&amp;"- "&amp;$AM71)*($N$84:$N$748=AN$1)*($Q$84:$Q$748))</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SUMPRODUCT(($J$84:$M$748=$AL73&amp;"- "&amp;$AM73)*($N$84:$N$748=AN$1)*($Q$84:$Q$748))</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0</v>
      </c>
      <c r="J77" s="166">
        <f t="shared" ca="1" si="174"/>
        <v>0</v>
      </c>
      <c r="K77" s="166">
        <f t="shared" ca="1" si="174"/>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SUMPRODUCT(($A$84:$A$751=$Y78&amp;"- "&amp;$Z78)*($C$84:$C$751=AA$1)*($G$84:$G$751))</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SUMPRODUCT(($J$84:$M$748=$AL78&amp;"- "&amp;$AM78)*($N$84:$N$748=AN$1)*($Q$84:$Q$748))</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1"/>
      <c r="F84" s="122"/>
      <c r="G84" s="146"/>
      <c r="L84" s="60"/>
      <c r="N84" s="97"/>
      <c r="P84" s="131"/>
      <c r="Q84" s="148"/>
      <c r="R84" s="154"/>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P85" s="120"/>
      <c r="Q85" s="148"/>
      <c r="R85" s="154"/>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O86" s="121"/>
      <c r="P86" s="120"/>
      <c r="Q86" s="148"/>
      <c r="R86" s="15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121"/>
      <c r="P87" s="120"/>
      <c r="Q87" s="148"/>
      <c r="R87" s="15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0"/>
      <c r="Q88" s="148"/>
      <c r="R88" s="15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0"/>
      <c r="Q89" s="148"/>
      <c r="R89" s="154"/>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0"/>
      <c r="Q90" s="148"/>
      <c r="R90" s="154"/>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0"/>
      <c r="Q91" s="148"/>
      <c r="R91" s="15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0"/>
      <c r="Q92" s="148"/>
      <c r="R92" s="15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8"/>
      <c r="R93" s="15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8"/>
      <c r="R94" s="15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8"/>
      <c r="R95" s="15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8"/>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8"/>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8"/>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8"/>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8"/>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8"/>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8"/>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8"/>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8"/>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8"/>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8"/>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8"/>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8"/>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8"/>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8"/>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8"/>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8"/>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8"/>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8"/>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8"/>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8"/>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8"/>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8"/>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8"/>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8"/>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8"/>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8"/>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8"/>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8"/>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8"/>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8"/>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8"/>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8"/>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8"/>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8"/>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8"/>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8"/>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8"/>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8"/>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8"/>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8"/>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8"/>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8"/>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8"/>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8"/>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8"/>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8"/>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8"/>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8"/>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8"/>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8"/>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8"/>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8"/>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8"/>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8"/>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8"/>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8"/>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8"/>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8"/>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8"/>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8"/>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8"/>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8"/>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8"/>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8"/>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8"/>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8"/>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8"/>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8"/>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8"/>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8"/>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8"/>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8"/>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8"/>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8"/>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8"/>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8"/>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8"/>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8"/>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8"/>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8"/>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8"/>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8"/>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8"/>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8"/>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8"/>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8"/>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8"/>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8"/>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8"/>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8"/>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8"/>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8"/>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8"/>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8"/>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8"/>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8"/>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8"/>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8"/>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8"/>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4"/>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4"/>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4"/>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4"/>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4"/>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4"/>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4"/>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4"/>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4"/>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4"/>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4"/>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4"/>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4"/>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4"/>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4"/>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4"/>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4"/>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4"/>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4"/>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4"/>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4"/>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4"/>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4"/>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4"/>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4"/>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4"/>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4"/>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4"/>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4"/>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4"/>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4"/>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4"/>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4"/>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4"/>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4"/>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4"/>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4"/>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4"/>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4"/>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4"/>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4"/>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4"/>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4"/>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4"/>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4"/>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4"/>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4"/>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4"/>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4"/>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4"/>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4"/>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4"/>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4"/>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4"/>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4"/>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4"/>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4"/>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4"/>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4"/>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4"/>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4"/>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4"/>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4"/>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4"/>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4"/>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4"/>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4"/>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4"/>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4"/>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4"/>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4"/>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4"/>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4"/>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4"/>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4"/>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4"/>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4"/>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4"/>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4"/>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4"/>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4"/>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4"/>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4"/>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4"/>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4"/>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4"/>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4"/>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4"/>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4"/>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4"/>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4"/>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4"/>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4"/>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4"/>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4"/>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4"/>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4"/>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4"/>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4"/>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4"/>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4"/>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4"/>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4"/>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4"/>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4"/>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4"/>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4"/>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4"/>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4"/>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4"/>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4"/>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4"/>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4"/>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4"/>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4"/>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4"/>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4"/>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4"/>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4"/>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4"/>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4"/>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4"/>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4"/>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92"/>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92"/>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92"/>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92"/>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92"/>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92"/>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92"/>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92"/>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92"/>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92"/>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92"/>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92"/>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92"/>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92"/>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92"/>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92"/>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92"/>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92"/>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92"/>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92"/>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92"/>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92"/>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92"/>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92"/>
    </row>
    <row r="343" spans="1:48">
      <c r="A343" s="61"/>
      <c r="B343" s="24"/>
      <c r="C343" s="60"/>
      <c r="E343" s="47"/>
      <c r="F343" s="48"/>
      <c r="G343" s="47"/>
      <c r="J343" s="61"/>
      <c r="K343" s="61"/>
      <c r="L343" s="30"/>
      <c r="N343" s="97"/>
      <c r="O343" s="48"/>
      <c r="P343" s="47"/>
      <c r="Q343" s="92"/>
    </row>
    <row r="344" spans="1:48">
      <c r="A344" s="61"/>
      <c r="B344" s="24"/>
      <c r="C344" s="60"/>
      <c r="E344" s="47"/>
      <c r="F344" s="48"/>
      <c r="G344" s="47"/>
      <c r="J344" s="61"/>
      <c r="K344" s="61"/>
      <c r="L344" s="30"/>
      <c r="N344" s="97"/>
      <c r="O344" s="48"/>
      <c r="P344" s="47"/>
      <c r="Q344" s="92"/>
    </row>
    <row r="345" spans="1:48">
      <c r="A345" s="61"/>
      <c r="B345" s="24"/>
      <c r="C345" s="60"/>
      <c r="E345" s="47"/>
      <c r="F345" s="48"/>
      <c r="G345" s="47"/>
      <c r="J345" s="61"/>
      <c r="K345" s="61"/>
      <c r="L345" s="30"/>
      <c r="N345" s="97"/>
      <c r="O345" s="48"/>
      <c r="P345" s="47"/>
      <c r="Q345" s="92"/>
    </row>
    <row r="346" spans="1:48">
      <c r="A346" s="61"/>
      <c r="B346" s="24"/>
      <c r="C346" s="60"/>
      <c r="E346" s="47"/>
      <c r="F346" s="48"/>
      <c r="G346" s="47"/>
      <c r="J346" s="61"/>
      <c r="K346" s="61"/>
      <c r="L346" s="30"/>
      <c r="N346" s="97"/>
      <c r="O346" s="48"/>
      <c r="P346" s="47"/>
      <c r="Q346" s="92"/>
    </row>
    <row r="347" spans="1:48">
      <c r="A347" s="61"/>
      <c r="B347" s="24"/>
      <c r="C347" s="60"/>
      <c r="E347" s="47"/>
      <c r="F347" s="48"/>
      <c r="G347" s="47"/>
      <c r="J347" s="61"/>
      <c r="K347" s="61"/>
      <c r="L347" s="30"/>
      <c r="N347" s="97"/>
      <c r="O347" s="48"/>
      <c r="P347" s="47"/>
      <c r="Q347" s="92"/>
    </row>
    <row r="348" spans="1:48">
      <c r="A348" s="61"/>
      <c r="B348" s="24"/>
      <c r="C348" s="60"/>
      <c r="E348" s="47"/>
      <c r="F348" s="48"/>
      <c r="G348" s="47"/>
      <c r="J348" s="61"/>
      <c r="K348" s="61"/>
      <c r="L348" s="30"/>
      <c r="N348" s="97"/>
      <c r="O348" s="48"/>
      <c r="P348" s="47"/>
      <c r="Q348" s="92"/>
    </row>
    <row r="349" spans="1:48">
      <c r="A349" s="61"/>
      <c r="B349" s="24"/>
      <c r="C349" s="60"/>
      <c r="E349" s="47"/>
      <c r="F349" s="48"/>
      <c r="G349" s="47"/>
      <c r="J349" s="61"/>
      <c r="K349" s="61"/>
      <c r="L349" s="30"/>
      <c r="N349" s="97"/>
      <c r="O349" s="48"/>
      <c r="P349" s="47"/>
      <c r="Q349" s="92"/>
    </row>
    <row r="350" spans="1:48">
      <c r="A350" s="61"/>
      <c r="B350" s="24"/>
      <c r="C350" s="60"/>
      <c r="E350" s="47"/>
      <c r="F350" s="48"/>
      <c r="G350" s="47"/>
      <c r="J350" s="61"/>
      <c r="K350" s="61"/>
      <c r="L350" s="30"/>
      <c r="N350" s="97"/>
      <c r="O350" s="48"/>
      <c r="P350" s="47"/>
      <c r="Q350" s="92"/>
    </row>
    <row r="351" spans="1:48">
      <c r="A351" s="61"/>
      <c r="B351" s="24"/>
      <c r="C351" s="60"/>
      <c r="E351" s="47"/>
      <c r="F351" s="48"/>
      <c r="G351" s="47"/>
      <c r="J351" s="61"/>
      <c r="K351" s="61"/>
      <c r="L351" s="30"/>
      <c r="N351" s="97"/>
      <c r="O351" s="48"/>
      <c r="P351" s="47"/>
      <c r="Q351" s="92"/>
    </row>
    <row r="352" spans="1:48">
      <c r="A352" s="61"/>
      <c r="B352" s="24"/>
      <c r="C352" s="60"/>
      <c r="E352" s="47"/>
      <c r="F352" s="48"/>
      <c r="G352" s="47"/>
      <c r="J352" s="61"/>
      <c r="K352" s="61"/>
      <c r="L352" s="30"/>
      <c r="N352" s="97"/>
      <c r="O352" s="48"/>
      <c r="P352" s="47"/>
      <c r="Q352" s="92"/>
    </row>
    <row r="353" spans="1:17">
      <c r="A353" s="61"/>
      <c r="B353" s="24"/>
      <c r="C353" s="60"/>
      <c r="E353" s="47"/>
      <c r="F353" s="48"/>
      <c r="G353" s="47"/>
      <c r="J353" s="61"/>
      <c r="K353" s="61"/>
      <c r="L353" s="30"/>
      <c r="N353" s="97"/>
      <c r="O353" s="48"/>
      <c r="P353" s="47"/>
      <c r="Q353" s="92"/>
    </row>
    <row r="354" spans="1:17">
      <c r="A354" s="61"/>
      <c r="B354" s="24"/>
      <c r="C354" s="60"/>
      <c r="E354" s="47"/>
      <c r="F354" s="48"/>
      <c r="G354" s="47"/>
      <c r="J354" s="61"/>
      <c r="K354" s="61"/>
      <c r="L354" s="30"/>
      <c r="N354" s="97"/>
      <c r="O354" s="48"/>
      <c r="P354" s="47"/>
      <c r="Q354" s="92"/>
    </row>
    <row r="355" spans="1:17">
      <c r="A355" s="61"/>
      <c r="B355" s="24"/>
      <c r="C355" s="60"/>
      <c r="E355" s="47"/>
      <c r="F355" s="48"/>
      <c r="G355" s="47"/>
      <c r="J355" s="61"/>
      <c r="K355" s="61"/>
      <c r="L355" s="30"/>
      <c r="N355" s="97"/>
      <c r="O355" s="48"/>
      <c r="P355" s="47"/>
      <c r="Q355" s="92"/>
    </row>
    <row r="356" spans="1:17">
      <c r="A356" s="61"/>
      <c r="B356" s="24"/>
      <c r="C356" s="60"/>
      <c r="E356" s="47"/>
      <c r="F356" s="48"/>
      <c r="G356" s="47"/>
      <c r="J356" s="61"/>
      <c r="K356" s="61"/>
      <c r="L356" s="30"/>
      <c r="N356" s="97"/>
      <c r="O356" s="48"/>
      <c r="P356" s="47"/>
      <c r="Q356" s="92"/>
    </row>
    <row r="357" spans="1:17">
      <c r="A357" s="61"/>
      <c r="B357" s="24"/>
      <c r="C357" s="60"/>
      <c r="E357" s="47"/>
      <c r="F357" s="48"/>
      <c r="G357" s="47"/>
      <c r="J357" s="61"/>
      <c r="K357" s="61"/>
      <c r="L357" s="30"/>
      <c r="N357" s="97"/>
      <c r="O357" s="48"/>
      <c r="P357" s="47"/>
      <c r="Q357" s="92"/>
    </row>
    <row r="358" spans="1:17">
      <c r="A358" s="61"/>
      <c r="B358" s="24"/>
      <c r="C358" s="60"/>
      <c r="E358" s="47"/>
      <c r="F358" s="48"/>
      <c r="G358" s="47"/>
      <c r="J358" s="61"/>
      <c r="K358" s="61"/>
      <c r="L358" s="30"/>
      <c r="N358" s="97"/>
      <c r="O358" s="48"/>
      <c r="P358" s="47"/>
      <c r="Q358" s="92"/>
    </row>
    <row r="359" spans="1:17">
      <c r="A359" s="61"/>
      <c r="B359" s="24"/>
      <c r="C359" s="60"/>
      <c r="E359" s="47"/>
      <c r="F359" s="48"/>
      <c r="G359" s="47"/>
      <c r="J359" s="61"/>
      <c r="K359" s="61"/>
      <c r="L359" s="30"/>
      <c r="N359" s="97"/>
      <c r="O359" s="48"/>
      <c r="P359" s="47"/>
      <c r="Q359" s="92"/>
    </row>
    <row r="360" spans="1:17">
      <c r="A360" s="61"/>
      <c r="B360" s="24"/>
      <c r="C360" s="60"/>
      <c r="E360" s="47"/>
      <c r="F360" s="48"/>
      <c r="G360" s="47"/>
      <c r="J360" s="61"/>
      <c r="K360" s="61"/>
      <c r="L360" s="30"/>
      <c r="N360" s="97"/>
      <c r="O360" s="48"/>
      <c r="P360" s="47"/>
      <c r="Q360" s="92"/>
    </row>
    <row r="361" spans="1:17">
      <c r="A361" s="61"/>
      <c r="B361" s="24"/>
      <c r="C361" s="60"/>
      <c r="E361" s="47"/>
      <c r="F361" s="48"/>
      <c r="G361" s="47"/>
      <c r="J361" s="61"/>
      <c r="K361" s="61"/>
      <c r="L361" s="30"/>
      <c r="N361" s="97"/>
      <c r="O361" s="48"/>
      <c r="P361" s="47"/>
      <c r="Q361" s="92"/>
    </row>
    <row r="362" spans="1:17">
      <c r="A362" s="61"/>
      <c r="B362" s="24"/>
      <c r="C362" s="60"/>
      <c r="E362" s="47"/>
      <c r="F362" s="48"/>
      <c r="G362" s="47"/>
      <c r="J362" s="61"/>
      <c r="K362" s="61"/>
      <c r="L362" s="30"/>
      <c r="N362" s="97"/>
      <c r="O362" s="48"/>
      <c r="P362" s="47"/>
      <c r="Q362" s="92"/>
    </row>
    <row r="363" spans="1:17">
      <c r="A363" s="61"/>
      <c r="B363" s="24"/>
      <c r="C363" s="60"/>
      <c r="E363" s="47"/>
      <c r="F363" s="48"/>
      <c r="G363" s="47"/>
      <c r="J363" s="61"/>
      <c r="K363" s="61"/>
      <c r="L363" s="30"/>
      <c r="N363" s="97"/>
      <c r="O363" s="48"/>
      <c r="P363" s="47"/>
      <c r="Q363" s="92"/>
    </row>
    <row r="364" spans="1:17">
      <c r="A364" s="61"/>
      <c r="B364" s="24"/>
      <c r="C364" s="60"/>
      <c r="E364" s="47"/>
      <c r="F364" s="48"/>
      <c r="G364" s="47"/>
      <c r="J364" s="61"/>
      <c r="K364" s="61"/>
      <c r="L364" s="30"/>
      <c r="N364" s="97"/>
      <c r="O364" s="48"/>
      <c r="P364" s="47"/>
      <c r="Q364" s="92"/>
    </row>
    <row r="365" spans="1:17">
      <c r="A365" s="61"/>
      <c r="B365" s="24"/>
      <c r="C365" s="60"/>
      <c r="E365" s="47"/>
      <c r="F365" s="48"/>
      <c r="G365" s="47"/>
      <c r="J365" s="61"/>
      <c r="K365" s="61"/>
      <c r="L365" s="30"/>
      <c r="N365" s="97"/>
      <c r="O365" s="48"/>
      <c r="P365" s="47"/>
      <c r="Q365" s="92"/>
    </row>
    <row r="366" spans="1:17">
      <c r="A366" s="61"/>
      <c r="B366" s="24"/>
      <c r="C366" s="60"/>
      <c r="E366" s="47"/>
      <c r="F366" s="48"/>
      <c r="G366" s="47"/>
      <c r="J366" s="61"/>
      <c r="K366" s="61"/>
      <c r="L366" s="30"/>
      <c r="N366" s="97"/>
      <c r="O366" s="48"/>
      <c r="P366" s="47"/>
      <c r="Q366" s="92"/>
    </row>
    <row r="367" spans="1:17">
      <c r="A367" s="61"/>
      <c r="B367" s="24"/>
      <c r="C367" s="60"/>
      <c r="E367" s="47"/>
      <c r="F367" s="48"/>
      <c r="G367" s="47"/>
      <c r="J367" s="61"/>
      <c r="K367" s="61"/>
      <c r="L367" s="30"/>
      <c r="N367" s="97"/>
      <c r="O367" s="48"/>
      <c r="P367" s="47"/>
      <c r="Q367" s="92"/>
    </row>
    <row r="368" spans="1:17">
      <c r="A368" s="61"/>
      <c r="B368" s="24"/>
      <c r="C368" s="60"/>
      <c r="E368" s="47"/>
      <c r="F368" s="48"/>
      <c r="G368" s="47"/>
      <c r="J368" s="61"/>
      <c r="K368" s="61"/>
      <c r="L368" s="30"/>
      <c r="N368" s="97"/>
      <c r="O368" s="48"/>
      <c r="P368" s="47"/>
      <c r="Q368" s="92"/>
    </row>
    <row r="369" spans="1:17">
      <c r="A369" s="61"/>
      <c r="B369" s="24"/>
      <c r="C369" s="60"/>
      <c r="E369" s="47"/>
      <c r="F369" s="48"/>
      <c r="G369" s="47"/>
      <c r="J369" s="61"/>
      <c r="K369" s="61"/>
      <c r="L369" s="30"/>
      <c r="N369" s="97"/>
      <c r="O369" s="48"/>
      <c r="P369" s="47"/>
      <c r="Q369" s="92"/>
    </row>
    <row r="370" spans="1:17">
      <c r="A370" s="61"/>
      <c r="B370" s="24"/>
      <c r="C370" s="60"/>
      <c r="E370" s="47"/>
      <c r="F370" s="48"/>
      <c r="G370" s="47"/>
      <c r="J370" s="61"/>
      <c r="K370" s="61"/>
      <c r="L370" s="30"/>
      <c r="N370" s="97"/>
      <c r="O370" s="48"/>
      <c r="P370" s="47"/>
      <c r="Q370" s="92"/>
    </row>
    <row r="371" spans="1:17">
      <c r="A371" s="61"/>
      <c r="B371" s="24"/>
      <c r="C371" s="60"/>
      <c r="E371" s="47"/>
      <c r="F371" s="48"/>
      <c r="G371" s="47"/>
      <c r="J371" s="61"/>
      <c r="K371" s="61"/>
      <c r="L371" s="30"/>
      <c r="N371" s="97"/>
      <c r="O371" s="48"/>
      <c r="P371" s="47"/>
      <c r="Q371" s="92"/>
    </row>
    <row r="372" spans="1:17">
      <c r="A372" s="61"/>
      <c r="B372" s="24"/>
      <c r="C372" s="60"/>
      <c r="E372" s="47"/>
      <c r="F372" s="48"/>
      <c r="G372" s="47"/>
      <c r="J372" s="61"/>
      <c r="K372" s="61"/>
      <c r="L372" s="30"/>
      <c r="N372" s="97"/>
      <c r="O372" s="48"/>
      <c r="P372" s="47"/>
      <c r="Q372" s="92"/>
    </row>
    <row r="373" spans="1:17">
      <c r="A373" s="61"/>
      <c r="B373" s="24"/>
      <c r="C373" s="60"/>
      <c r="E373" s="47"/>
      <c r="F373" s="48"/>
      <c r="G373" s="47"/>
      <c r="J373" s="61"/>
      <c r="K373" s="61"/>
      <c r="L373" s="30"/>
      <c r="N373" s="97"/>
      <c r="O373" s="48"/>
      <c r="P373" s="47"/>
      <c r="Q373" s="92"/>
    </row>
    <row r="374" spans="1:17">
      <c r="A374" s="61"/>
      <c r="B374" s="24"/>
      <c r="C374" s="60"/>
      <c r="E374" s="47"/>
      <c r="F374" s="48"/>
      <c r="G374" s="47"/>
      <c r="J374" s="61"/>
      <c r="K374" s="61"/>
      <c r="L374" s="30"/>
      <c r="N374" s="97"/>
      <c r="O374" s="48"/>
      <c r="P374" s="47"/>
      <c r="Q374" s="92"/>
    </row>
    <row r="375" spans="1:17">
      <c r="A375" s="61"/>
      <c r="B375" s="24"/>
      <c r="C375" s="60"/>
      <c r="E375" s="47"/>
      <c r="F375" s="48"/>
      <c r="G375" s="47"/>
      <c r="J375" s="61"/>
      <c r="K375" s="61"/>
      <c r="L375" s="30"/>
      <c r="N375" s="97"/>
      <c r="O375" s="48"/>
      <c r="P375" s="47"/>
      <c r="Q375" s="92"/>
    </row>
    <row r="376" spans="1:17">
      <c r="A376" s="61"/>
      <c r="B376" s="24"/>
      <c r="C376" s="60"/>
      <c r="E376" s="47"/>
      <c r="F376" s="48"/>
      <c r="G376" s="47"/>
      <c r="J376" s="61"/>
      <c r="K376" s="61"/>
      <c r="L376" s="30"/>
      <c r="N376" s="97"/>
      <c r="O376" s="48"/>
      <c r="P376" s="47"/>
      <c r="Q376" s="92"/>
    </row>
    <row r="377" spans="1:17">
      <c r="A377" s="61"/>
      <c r="B377" s="24"/>
      <c r="C377" s="60"/>
      <c r="E377" s="47"/>
      <c r="F377" s="48"/>
      <c r="G377" s="47"/>
      <c r="J377" s="61"/>
      <c r="K377" s="61"/>
      <c r="L377" s="30"/>
      <c r="N377" s="97"/>
      <c r="O377" s="48"/>
      <c r="P377" s="47"/>
      <c r="Q377" s="92"/>
    </row>
    <row r="378" spans="1:17">
      <c r="A378" s="61"/>
      <c r="B378" s="24"/>
      <c r="C378" s="60"/>
      <c r="E378" s="47"/>
      <c r="F378" s="48"/>
      <c r="G378" s="47"/>
      <c r="J378" s="61"/>
      <c r="K378" s="61"/>
      <c r="L378" s="30"/>
      <c r="N378" s="97"/>
      <c r="O378" s="48"/>
      <c r="P378" s="47"/>
      <c r="Q378" s="92"/>
    </row>
    <row r="379" spans="1:17">
      <c r="A379" s="61"/>
      <c r="B379" s="24"/>
      <c r="C379" s="60"/>
      <c r="E379" s="47"/>
      <c r="F379" s="48"/>
      <c r="G379" s="47"/>
      <c r="J379" s="61"/>
      <c r="K379" s="61"/>
      <c r="L379" s="30"/>
      <c r="N379" s="97"/>
      <c r="O379" s="48"/>
      <c r="P379" s="47"/>
      <c r="Q379" s="92"/>
    </row>
    <row r="380" spans="1:17">
      <c r="A380" s="61"/>
      <c r="B380" s="24"/>
      <c r="C380" s="60"/>
      <c r="E380" s="47"/>
      <c r="F380" s="48"/>
      <c r="G380" s="47"/>
      <c r="J380" s="61"/>
      <c r="K380" s="61"/>
      <c r="L380" s="30"/>
      <c r="N380" s="97"/>
      <c r="O380" s="48"/>
      <c r="P380" s="47"/>
      <c r="Q380" s="92"/>
    </row>
    <row r="381" spans="1:17">
      <c r="A381" s="61"/>
      <c r="B381" s="24"/>
      <c r="C381" s="60"/>
      <c r="E381" s="47"/>
      <c r="F381" s="48"/>
      <c r="G381" s="47"/>
      <c r="J381" s="61"/>
      <c r="K381" s="61"/>
      <c r="L381" s="30"/>
      <c r="N381" s="97"/>
      <c r="O381" s="48"/>
      <c r="P381" s="47"/>
      <c r="Q381" s="92"/>
    </row>
    <row r="382" spans="1:17">
      <c r="A382" s="61"/>
      <c r="B382" s="24"/>
      <c r="C382" s="60"/>
      <c r="E382" s="47"/>
      <c r="F382" s="48"/>
      <c r="G382" s="47"/>
      <c r="J382" s="61"/>
      <c r="K382" s="61"/>
      <c r="L382" s="30"/>
      <c r="N382" s="97"/>
      <c r="O382" s="48"/>
      <c r="P382" s="47"/>
      <c r="Q382" s="92"/>
    </row>
    <row r="383" spans="1:17">
      <c r="A383" s="61"/>
      <c r="B383" s="24"/>
      <c r="C383" s="60"/>
      <c r="E383" s="47"/>
      <c r="F383" s="48"/>
      <c r="G383" s="47"/>
      <c r="J383" s="61"/>
      <c r="K383" s="61"/>
      <c r="L383" s="30"/>
      <c r="N383" s="97"/>
      <c r="O383" s="48"/>
      <c r="P383" s="47"/>
      <c r="Q383" s="92"/>
    </row>
    <row r="384" spans="1:17">
      <c r="A384" s="61"/>
      <c r="B384" s="24"/>
      <c r="C384" s="60"/>
      <c r="E384" s="47"/>
      <c r="F384" s="48"/>
      <c r="G384" s="47"/>
      <c r="J384" s="61"/>
      <c r="K384" s="61"/>
      <c r="L384" s="30"/>
      <c r="N384" s="97"/>
      <c r="O384" s="48"/>
      <c r="P384" s="47"/>
      <c r="Q384" s="92"/>
    </row>
    <row r="385" spans="1:17">
      <c r="A385" s="61"/>
      <c r="B385" s="24"/>
      <c r="C385" s="60"/>
      <c r="E385" s="47"/>
      <c r="F385" s="48"/>
      <c r="G385" s="47"/>
      <c r="J385" s="61"/>
      <c r="K385" s="61"/>
      <c r="L385" s="30"/>
      <c r="N385" s="97"/>
      <c r="O385" s="48"/>
      <c r="P385" s="47"/>
      <c r="Q385" s="92"/>
    </row>
    <row r="386" spans="1:17">
      <c r="A386" s="61"/>
      <c r="B386" s="24"/>
      <c r="C386" s="60"/>
      <c r="E386" s="47"/>
      <c r="F386" s="48"/>
      <c r="G386" s="47"/>
      <c r="J386" s="61"/>
      <c r="K386" s="61"/>
      <c r="L386" s="30"/>
      <c r="N386" s="97"/>
      <c r="O386" s="48"/>
      <c r="P386" s="47"/>
      <c r="Q386" s="92"/>
    </row>
    <row r="387" spans="1:17">
      <c r="A387" s="61"/>
      <c r="B387" s="24"/>
      <c r="C387" s="60"/>
      <c r="E387" s="47"/>
      <c r="F387" s="48"/>
      <c r="G387" s="47"/>
      <c r="J387" s="61"/>
      <c r="K387" s="61"/>
      <c r="L387" s="30"/>
      <c r="N387" s="97"/>
      <c r="O387" s="48"/>
      <c r="P387" s="47"/>
      <c r="Q387" s="92"/>
    </row>
    <row r="388" spans="1:17">
      <c r="A388" s="61"/>
      <c r="B388" s="24"/>
      <c r="C388" s="60"/>
      <c r="E388" s="47"/>
      <c r="F388" s="48"/>
      <c r="G388" s="47"/>
      <c r="J388" s="61"/>
      <c r="K388" s="61"/>
      <c r="L388" s="30"/>
      <c r="N388" s="97"/>
      <c r="O388" s="48"/>
      <c r="P388" s="47"/>
      <c r="Q388" s="92"/>
    </row>
    <row r="389" spans="1:17">
      <c r="A389" s="61"/>
      <c r="B389" s="24"/>
      <c r="C389" s="60"/>
      <c r="E389" s="47"/>
      <c r="F389" s="48"/>
      <c r="G389" s="47"/>
      <c r="J389" s="61"/>
      <c r="K389" s="61"/>
      <c r="L389" s="30"/>
      <c r="N389" s="97"/>
      <c r="O389" s="48"/>
      <c r="P389" s="47"/>
      <c r="Q389" s="92"/>
    </row>
    <row r="390" spans="1:17">
      <c r="A390" s="61"/>
      <c r="B390" s="24"/>
      <c r="C390" s="60"/>
      <c r="E390" s="47"/>
      <c r="F390" s="48"/>
      <c r="G390" s="47"/>
      <c r="J390" s="61"/>
      <c r="K390" s="61"/>
      <c r="L390" s="30"/>
      <c r="N390" s="97"/>
      <c r="O390" s="48"/>
      <c r="P390" s="47"/>
      <c r="Q390" s="92"/>
    </row>
    <row r="391" spans="1:17">
      <c r="A391" s="61"/>
      <c r="B391" s="24"/>
      <c r="C391" s="60"/>
      <c r="E391" s="47"/>
      <c r="F391" s="48"/>
      <c r="G391" s="47"/>
      <c r="J391" s="61"/>
      <c r="K391" s="61"/>
      <c r="L391" s="30"/>
      <c r="N391" s="97"/>
      <c r="O391" s="48"/>
      <c r="P391" s="47"/>
      <c r="Q391" s="92"/>
    </row>
    <row r="392" spans="1:17">
      <c r="A392" s="61"/>
      <c r="B392" s="24"/>
      <c r="C392" s="60"/>
      <c r="E392" s="47"/>
      <c r="F392" s="48"/>
      <c r="G392" s="47"/>
      <c r="J392" s="61"/>
      <c r="K392" s="61"/>
      <c r="L392" s="30"/>
      <c r="N392" s="97"/>
      <c r="O392" s="48"/>
      <c r="P392" s="47"/>
      <c r="Q392" s="92"/>
    </row>
    <row r="393" spans="1:17">
      <c r="A393" s="61"/>
      <c r="B393" s="24"/>
      <c r="C393" s="60"/>
      <c r="E393" s="47"/>
      <c r="F393" s="48"/>
      <c r="G393" s="47"/>
      <c r="J393" s="61"/>
      <c r="K393" s="61"/>
      <c r="L393" s="30"/>
      <c r="N393" s="97"/>
      <c r="O393" s="48"/>
      <c r="P393" s="47"/>
      <c r="Q393" s="92"/>
    </row>
    <row r="394" spans="1:17">
      <c r="A394" s="61"/>
      <c r="B394" s="24"/>
      <c r="C394" s="60"/>
      <c r="E394" s="47"/>
      <c r="F394" s="48"/>
      <c r="G394" s="47"/>
      <c r="J394" s="61"/>
      <c r="K394" s="61"/>
      <c r="L394" s="30"/>
      <c r="N394" s="97"/>
      <c r="O394" s="48"/>
      <c r="P394" s="47"/>
      <c r="Q394" s="92"/>
    </row>
    <row r="395" spans="1:17">
      <c r="A395" s="61"/>
      <c r="B395" s="24"/>
      <c r="C395" s="60"/>
      <c r="E395" s="47"/>
      <c r="F395" s="48"/>
      <c r="G395" s="47"/>
      <c r="J395" s="61"/>
      <c r="K395" s="61"/>
      <c r="L395" s="30"/>
      <c r="N395" s="97"/>
      <c r="O395" s="48"/>
      <c r="P395" s="47"/>
      <c r="Q395" s="92"/>
    </row>
    <row r="396" spans="1:17">
      <c r="A396" s="61"/>
      <c r="B396" s="24"/>
      <c r="C396" s="60"/>
      <c r="E396" s="47"/>
      <c r="F396" s="48"/>
      <c r="G396" s="47"/>
      <c r="J396" s="61"/>
      <c r="K396" s="61"/>
      <c r="L396" s="30"/>
      <c r="N396" s="97"/>
      <c r="O396" s="48"/>
      <c r="P396" s="47"/>
      <c r="Q396" s="92"/>
    </row>
    <row r="397" spans="1:17">
      <c r="A397" s="61"/>
      <c r="B397" s="24"/>
      <c r="C397" s="60"/>
      <c r="E397" s="47"/>
      <c r="F397" s="48"/>
      <c r="G397" s="47"/>
      <c r="J397" s="61"/>
      <c r="K397" s="61"/>
      <c r="L397" s="30"/>
      <c r="N397" s="97"/>
      <c r="O397" s="48"/>
      <c r="P397" s="47"/>
      <c r="Q397" s="92"/>
    </row>
    <row r="398" spans="1:17">
      <c r="A398" s="61"/>
      <c r="B398" s="24"/>
      <c r="C398" s="60"/>
      <c r="E398" s="47"/>
      <c r="F398" s="48"/>
      <c r="G398" s="47"/>
      <c r="J398" s="61"/>
      <c r="K398" s="61"/>
      <c r="L398" s="30"/>
      <c r="N398" s="97"/>
      <c r="O398" s="48"/>
      <c r="P398" s="47"/>
      <c r="Q398" s="92"/>
    </row>
    <row r="399" spans="1:17">
      <c r="A399" s="61"/>
      <c r="B399" s="24"/>
      <c r="C399" s="60"/>
      <c r="E399" s="47"/>
      <c r="F399" s="48"/>
      <c r="G399" s="47"/>
      <c r="J399" s="61"/>
      <c r="K399" s="61"/>
      <c r="L399" s="30"/>
      <c r="N399" s="97"/>
      <c r="O399" s="48"/>
      <c r="P399" s="47"/>
      <c r="Q399" s="92"/>
    </row>
    <row r="400" spans="1:17">
      <c r="A400" s="61"/>
      <c r="B400" s="24"/>
      <c r="C400" s="60"/>
      <c r="E400" s="47"/>
      <c r="F400" s="48"/>
      <c r="G400" s="47"/>
      <c r="J400" s="61"/>
      <c r="K400" s="61"/>
      <c r="L400" s="30"/>
      <c r="N400" s="97"/>
      <c r="O400" s="48"/>
      <c r="P400" s="47"/>
      <c r="Q400" s="92"/>
    </row>
    <row r="401" spans="1:17">
      <c r="A401" s="61"/>
      <c r="B401" s="24"/>
      <c r="C401" s="60"/>
      <c r="E401" s="47"/>
      <c r="F401" s="48"/>
      <c r="G401" s="47"/>
      <c r="J401" s="61"/>
      <c r="K401" s="61"/>
      <c r="L401" s="30"/>
      <c r="N401" s="97"/>
      <c r="O401" s="48"/>
      <c r="P401" s="47"/>
      <c r="Q401" s="92"/>
    </row>
    <row r="402" spans="1:17">
      <c r="A402" s="61"/>
      <c r="B402" s="24"/>
      <c r="C402" s="60"/>
      <c r="E402" s="47"/>
      <c r="F402" s="48"/>
      <c r="G402" s="47"/>
      <c r="J402" s="61"/>
      <c r="K402" s="61"/>
      <c r="L402" s="30"/>
      <c r="N402" s="97"/>
      <c r="O402" s="48"/>
      <c r="P402" s="47"/>
      <c r="Q402" s="92"/>
    </row>
    <row r="403" spans="1:17">
      <c r="A403" s="61"/>
      <c r="B403" s="24"/>
      <c r="C403" s="60"/>
      <c r="E403" s="47"/>
      <c r="F403" s="48"/>
      <c r="G403" s="47"/>
      <c r="J403" s="61"/>
      <c r="K403" s="61"/>
      <c r="L403" s="30"/>
      <c r="N403" s="97"/>
      <c r="O403" s="48"/>
      <c r="P403" s="47"/>
      <c r="Q403" s="92"/>
    </row>
    <row r="404" spans="1:17">
      <c r="A404" s="61"/>
      <c r="B404" s="24"/>
      <c r="C404" s="60"/>
      <c r="E404" s="47"/>
      <c r="F404" s="48"/>
      <c r="G404" s="47"/>
      <c r="J404" s="61"/>
      <c r="K404" s="61"/>
      <c r="L404" s="30"/>
      <c r="N404" s="97"/>
      <c r="O404" s="48"/>
      <c r="P404" s="47"/>
      <c r="Q404" s="92"/>
    </row>
    <row r="405" spans="1:17">
      <c r="A405" s="61"/>
      <c r="B405" s="24"/>
      <c r="C405" s="60"/>
      <c r="E405" s="47"/>
      <c r="F405" s="48"/>
      <c r="G405" s="47"/>
      <c r="J405" s="61"/>
      <c r="K405" s="61"/>
      <c r="L405" s="30"/>
      <c r="N405" s="97"/>
      <c r="O405" s="48"/>
      <c r="P405" s="47"/>
      <c r="Q405" s="92"/>
    </row>
    <row r="406" spans="1:17">
      <c r="A406" s="61"/>
      <c r="B406" s="24"/>
      <c r="C406" s="60"/>
      <c r="E406" s="47"/>
      <c r="F406" s="48"/>
      <c r="G406" s="47"/>
      <c r="J406" s="61"/>
      <c r="K406" s="61"/>
      <c r="L406" s="30"/>
      <c r="N406" s="97"/>
      <c r="O406" s="48"/>
      <c r="P406" s="47"/>
      <c r="Q406" s="92"/>
    </row>
    <row r="407" spans="1:17">
      <c r="A407" s="61"/>
      <c r="B407" s="24"/>
      <c r="C407" s="60"/>
      <c r="E407" s="47"/>
      <c r="F407" s="48"/>
      <c r="G407" s="47"/>
      <c r="J407" s="61"/>
      <c r="K407" s="61"/>
      <c r="L407" s="30"/>
      <c r="N407" s="97"/>
      <c r="O407" s="48"/>
      <c r="P407" s="47"/>
      <c r="Q407" s="92"/>
    </row>
    <row r="408" spans="1:17">
      <c r="A408" s="61"/>
      <c r="B408" s="24"/>
      <c r="C408" s="60"/>
      <c r="E408" s="47"/>
      <c r="F408" s="48"/>
      <c r="G408" s="47"/>
      <c r="J408" s="61"/>
      <c r="K408" s="61"/>
      <c r="L408" s="30"/>
      <c r="N408" s="97"/>
      <c r="O408" s="48"/>
      <c r="P408" s="47"/>
      <c r="Q408" s="92"/>
    </row>
    <row r="409" spans="1:17">
      <c r="A409" s="61"/>
      <c r="B409" s="24"/>
      <c r="C409" s="60"/>
      <c r="E409" s="47"/>
      <c r="F409" s="48"/>
      <c r="G409" s="47"/>
      <c r="J409" s="61"/>
      <c r="K409" s="61"/>
      <c r="L409" s="30"/>
      <c r="N409" s="97"/>
      <c r="O409" s="48"/>
      <c r="P409" s="47"/>
      <c r="Q409" s="92"/>
    </row>
    <row r="410" spans="1:17">
      <c r="A410" s="61"/>
      <c r="B410" s="24"/>
      <c r="C410" s="60"/>
      <c r="E410" s="47"/>
      <c r="F410" s="48"/>
      <c r="G410" s="47"/>
      <c r="J410" s="61"/>
      <c r="K410" s="61"/>
      <c r="L410" s="30"/>
      <c r="N410" s="97"/>
      <c r="O410" s="48"/>
      <c r="P410" s="47"/>
      <c r="Q410" s="92"/>
    </row>
    <row r="411" spans="1:17">
      <c r="A411" s="61"/>
      <c r="B411" s="24"/>
      <c r="C411" s="60"/>
      <c r="E411" s="47"/>
      <c r="F411" s="48"/>
      <c r="G411" s="47"/>
      <c r="J411" s="61"/>
      <c r="K411" s="61"/>
      <c r="L411" s="30"/>
      <c r="N411" s="97"/>
      <c r="O411" s="48"/>
      <c r="P411" s="47"/>
      <c r="Q411" s="92"/>
    </row>
    <row r="412" spans="1:17">
      <c r="A412" s="61"/>
      <c r="B412" s="24"/>
      <c r="C412" s="60"/>
      <c r="E412" s="47"/>
      <c r="F412" s="48"/>
      <c r="G412" s="47"/>
      <c r="J412" s="61"/>
      <c r="K412" s="61"/>
      <c r="L412" s="30"/>
      <c r="N412" s="97"/>
      <c r="O412" s="48"/>
      <c r="P412" s="47"/>
      <c r="Q412" s="92"/>
    </row>
    <row r="413" spans="1:17">
      <c r="A413" s="61"/>
      <c r="B413" s="24"/>
      <c r="C413" s="60"/>
      <c r="E413" s="47"/>
      <c r="F413" s="48"/>
      <c r="G413" s="47"/>
      <c r="J413" s="61"/>
      <c r="K413" s="61"/>
      <c r="L413" s="30"/>
      <c r="N413" s="97"/>
      <c r="O413" s="48"/>
      <c r="P413" s="47"/>
      <c r="Q413" s="92"/>
    </row>
    <row r="414" spans="1:17">
      <c r="A414" s="61"/>
      <c r="B414" s="24"/>
      <c r="C414" s="60"/>
      <c r="E414" s="47"/>
      <c r="F414" s="48"/>
      <c r="G414" s="47"/>
      <c r="J414" s="61"/>
      <c r="K414" s="61"/>
      <c r="L414" s="30"/>
      <c r="N414" s="97"/>
      <c r="O414" s="48"/>
      <c r="P414" s="47"/>
      <c r="Q414" s="92"/>
    </row>
    <row r="415" spans="1:17">
      <c r="A415" s="61"/>
      <c r="B415" s="24"/>
      <c r="C415" s="60"/>
      <c r="E415" s="47"/>
      <c r="F415" s="48"/>
      <c r="G415" s="47"/>
      <c r="J415" s="61"/>
      <c r="K415" s="61"/>
      <c r="L415" s="30"/>
      <c r="N415" s="97"/>
      <c r="O415" s="48"/>
      <c r="P415" s="47"/>
      <c r="Q415" s="92"/>
    </row>
    <row r="416" spans="1:17">
      <c r="A416" s="61"/>
      <c r="B416" s="24"/>
      <c r="C416" s="60"/>
      <c r="E416" s="47"/>
      <c r="F416" s="48"/>
      <c r="G416" s="47"/>
      <c r="J416" s="61"/>
      <c r="K416" s="61"/>
      <c r="L416" s="30"/>
      <c r="N416" s="97"/>
      <c r="O416" s="48"/>
      <c r="P416" s="47"/>
      <c r="Q416" s="92"/>
    </row>
    <row r="417" spans="1:17">
      <c r="A417" s="61"/>
      <c r="B417" s="24"/>
      <c r="C417" s="60"/>
      <c r="E417" s="47"/>
      <c r="F417" s="48"/>
      <c r="G417" s="47"/>
      <c r="J417" s="61"/>
      <c r="K417" s="61"/>
      <c r="L417" s="30"/>
      <c r="N417" s="97"/>
      <c r="O417" s="48"/>
      <c r="P417" s="47"/>
      <c r="Q417" s="92"/>
    </row>
    <row r="418" spans="1:17">
      <c r="A418" s="61"/>
      <c r="B418" s="24"/>
      <c r="C418" s="60"/>
      <c r="E418" s="47"/>
      <c r="F418" s="48"/>
      <c r="G418" s="47"/>
      <c r="J418" s="61"/>
      <c r="K418" s="61"/>
      <c r="L418" s="30"/>
      <c r="N418" s="97"/>
      <c r="O418" s="48"/>
      <c r="P418" s="47"/>
      <c r="Q418" s="92"/>
    </row>
    <row r="419" spans="1:17">
      <c r="A419" s="61"/>
      <c r="B419" s="24"/>
      <c r="C419" s="60"/>
      <c r="E419" s="47"/>
      <c r="F419" s="48"/>
      <c r="G419" s="47"/>
      <c r="J419" s="61"/>
      <c r="K419" s="61"/>
      <c r="L419" s="30"/>
      <c r="N419" s="97"/>
      <c r="O419" s="48"/>
      <c r="P419" s="47"/>
      <c r="Q419" s="92"/>
    </row>
    <row r="420" spans="1:17">
      <c r="A420" s="61"/>
      <c r="B420" s="24"/>
      <c r="C420" s="60"/>
      <c r="E420" s="47"/>
      <c r="F420" s="48"/>
      <c r="G420" s="47"/>
      <c r="J420" s="61"/>
      <c r="K420" s="61"/>
      <c r="L420" s="30"/>
      <c r="N420" s="97"/>
      <c r="O420" s="48"/>
      <c r="P420" s="47"/>
      <c r="Q420" s="92"/>
    </row>
    <row r="421" spans="1:17">
      <c r="A421" s="61"/>
      <c r="B421" s="24"/>
      <c r="C421" s="60"/>
      <c r="E421" s="47"/>
      <c r="F421" s="48"/>
      <c r="G421" s="47"/>
      <c r="J421" s="61"/>
      <c r="K421" s="61"/>
      <c r="L421" s="30"/>
      <c r="N421" s="97"/>
      <c r="O421" s="48"/>
      <c r="P421" s="47"/>
      <c r="Q421" s="92"/>
    </row>
    <row r="422" spans="1:17">
      <c r="A422" s="61"/>
      <c r="B422" s="24"/>
      <c r="C422" s="60"/>
      <c r="E422" s="47"/>
      <c r="F422" s="48"/>
      <c r="G422" s="47"/>
      <c r="J422" s="61"/>
      <c r="K422" s="61"/>
      <c r="L422" s="30"/>
      <c r="N422" s="97"/>
      <c r="O422" s="48"/>
      <c r="P422" s="47"/>
      <c r="Q422" s="92"/>
    </row>
    <row r="423" spans="1:17">
      <c r="A423" s="61"/>
      <c r="B423" s="24"/>
      <c r="C423" s="60"/>
      <c r="E423" s="47"/>
      <c r="F423" s="48"/>
      <c r="G423" s="47"/>
      <c r="J423" s="61"/>
      <c r="K423" s="61"/>
      <c r="L423" s="30"/>
      <c r="N423" s="97"/>
      <c r="O423" s="48"/>
      <c r="P423" s="47"/>
      <c r="Q423" s="92"/>
    </row>
    <row r="424" spans="1:17">
      <c r="A424" s="61"/>
      <c r="B424" s="24"/>
      <c r="C424" s="60"/>
      <c r="E424" s="47"/>
      <c r="F424" s="48"/>
      <c r="G424" s="47"/>
      <c r="J424" s="61"/>
      <c r="K424" s="61"/>
      <c r="L424" s="30"/>
      <c r="N424" s="97"/>
      <c r="O424" s="48"/>
      <c r="P424" s="47"/>
      <c r="Q424" s="92"/>
    </row>
    <row r="425" spans="1:17">
      <c r="A425" s="61"/>
      <c r="B425" s="24"/>
      <c r="C425" s="60"/>
      <c r="E425" s="47"/>
      <c r="F425" s="48"/>
      <c r="G425" s="47"/>
      <c r="J425" s="61"/>
      <c r="K425" s="61"/>
      <c r="L425" s="30"/>
      <c r="N425" s="97"/>
      <c r="O425" s="48"/>
      <c r="P425" s="47"/>
      <c r="Q425" s="92"/>
    </row>
    <row r="426" spans="1:17">
      <c r="A426" s="61"/>
      <c r="B426" s="24"/>
      <c r="C426" s="60"/>
      <c r="E426" s="47"/>
      <c r="F426" s="48"/>
      <c r="G426" s="47"/>
      <c r="J426" s="61"/>
      <c r="K426" s="61"/>
      <c r="L426" s="30"/>
      <c r="N426" s="97"/>
      <c r="O426" s="48"/>
      <c r="P426" s="47"/>
      <c r="Q426" s="92"/>
    </row>
    <row r="427" spans="1:17">
      <c r="A427" s="61"/>
      <c r="B427" s="24"/>
      <c r="C427" s="60"/>
      <c r="E427" s="47"/>
      <c r="F427" s="48"/>
      <c r="G427" s="47"/>
      <c r="J427" s="61"/>
      <c r="K427" s="61"/>
      <c r="L427" s="30"/>
      <c r="N427" s="97"/>
      <c r="O427" s="48"/>
      <c r="P427" s="47"/>
      <c r="Q427" s="92"/>
    </row>
    <row r="428" spans="1:17">
      <c r="A428" s="61"/>
      <c r="B428" s="24"/>
      <c r="C428" s="60"/>
      <c r="E428" s="47"/>
      <c r="F428" s="48"/>
      <c r="G428" s="47"/>
      <c r="J428" s="61"/>
      <c r="K428" s="61"/>
      <c r="L428" s="30"/>
      <c r="N428" s="97"/>
      <c r="O428" s="48"/>
      <c r="P428" s="47"/>
      <c r="Q428" s="92"/>
    </row>
    <row r="429" spans="1:17">
      <c r="A429" s="61"/>
      <c r="B429" s="24"/>
      <c r="C429" s="60"/>
      <c r="E429" s="47"/>
      <c r="F429" s="48"/>
      <c r="G429" s="47"/>
      <c r="J429" s="61"/>
      <c r="K429" s="61"/>
      <c r="L429" s="30"/>
      <c r="N429" s="97"/>
      <c r="O429" s="48"/>
      <c r="P429" s="47"/>
      <c r="Q429" s="92"/>
    </row>
    <row r="430" spans="1:17">
      <c r="A430" s="61"/>
      <c r="B430" s="24"/>
      <c r="C430" s="60"/>
      <c r="E430" s="47"/>
      <c r="F430" s="48"/>
      <c r="G430" s="47"/>
      <c r="J430" s="61"/>
      <c r="K430" s="61"/>
      <c r="L430" s="30"/>
      <c r="N430" s="97"/>
      <c r="O430" s="48"/>
      <c r="P430" s="47"/>
      <c r="Q430" s="92"/>
    </row>
    <row r="431" spans="1:17">
      <c r="A431" s="61"/>
      <c r="B431" s="24"/>
      <c r="C431" s="60"/>
      <c r="E431" s="47"/>
      <c r="F431" s="48"/>
      <c r="G431" s="47"/>
      <c r="J431" s="61"/>
      <c r="K431" s="61"/>
      <c r="L431" s="30"/>
      <c r="N431" s="97"/>
      <c r="O431" s="48"/>
      <c r="P431" s="47"/>
      <c r="Q431" s="92"/>
    </row>
    <row r="432" spans="1:17">
      <c r="A432" s="61"/>
      <c r="B432" s="24"/>
      <c r="C432" s="60"/>
      <c r="E432" s="47"/>
      <c r="F432" s="48"/>
      <c r="G432" s="47"/>
      <c r="J432" s="61"/>
      <c r="K432" s="61"/>
      <c r="L432" s="30"/>
      <c r="N432" s="97"/>
      <c r="O432" s="48"/>
      <c r="P432" s="47"/>
      <c r="Q432" s="92"/>
    </row>
    <row r="433" spans="1:17">
      <c r="A433" s="61"/>
      <c r="B433" s="24"/>
      <c r="C433" s="60"/>
      <c r="E433" s="47"/>
      <c r="F433" s="48"/>
      <c r="G433" s="47"/>
      <c r="J433" s="61"/>
      <c r="K433" s="61"/>
      <c r="L433" s="30"/>
      <c r="N433" s="97"/>
      <c r="O433" s="48"/>
      <c r="P433" s="47"/>
      <c r="Q433" s="92"/>
    </row>
    <row r="434" spans="1:17">
      <c r="A434" s="61"/>
      <c r="B434" s="24"/>
      <c r="C434" s="60"/>
      <c r="E434" s="47"/>
      <c r="F434" s="48"/>
      <c r="G434" s="47"/>
      <c r="J434" s="61"/>
      <c r="K434" s="61"/>
      <c r="L434" s="30"/>
      <c r="N434" s="97"/>
      <c r="O434" s="48"/>
      <c r="P434" s="47"/>
      <c r="Q434" s="92"/>
    </row>
    <row r="435" spans="1:17">
      <c r="A435" s="61"/>
      <c r="B435" s="24"/>
      <c r="C435" s="60"/>
      <c r="E435" s="47"/>
      <c r="F435" s="48"/>
      <c r="G435" s="47"/>
      <c r="J435" s="61"/>
      <c r="K435" s="61"/>
      <c r="L435" s="30"/>
      <c r="N435" s="97"/>
      <c r="O435" s="48"/>
      <c r="P435" s="47"/>
      <c r="Q435" s="92"/>
    </row>
    <row r="436" spans="1:17">
      <c r="A436" s="61"/>
      <c r="B436" s="24"/>
      <c r="C436" s="60"/>
      <c r="E436" s="47"/>
      <c r="F436" s="48"/>
      <c r="G436" s="47"/>
      <c r="J436" s="61"/>
      <c r="K436" s="61"/>
      <c r="L436" s="30"/>
      <c r="N436" s="97"/>
      <c r="O436" s="48"/>
      <c r="P436" s="47"/>
      <c r="Q436" s="92"/>
    </row>
    <row r="437" spans="1:17">
      <c r="A437" s="61"/>
      <c r="B437" s="24"/>
      <c r="C437" s="60"/>
      <c r="E437" s="47"/>
      <c r="F437" s="48"/>
      <c r="G437" s="47"/>
      <c r="J437" s="61"/>
      <c r="K437" s="61"/>
      <c r="L437" s="30"/>
      <c r="N437" s="97"/>
      <c r="O437" s="48"/>
      <c r="P437" s="47"/>
      <c r="Q437" s="92"/>
    </row>
    <row r="438" spans="1:17">
      <c r="A438" s="61"/>
      <c r="B438" s="24"/>
      <c r="C438" s="60"/>
      <c r="E438" s="47"/>
      <c r="F438" s="48"/>
      <c r="G438" s="47"/>
      <c r="J438" s="61"/>
      <c r="K438" s="61"/>
      <c r="L438" s="30"/>
      <c r="N438" s="97"/>
      <c r="O438" s="48"/>
      <c r="P438" s="47"/>
      <c r="Q438" s="92"/>
    </row>
    <row r="439" spans="1:17">
      <c r="A439" s="61"/>
      <c r="B439" s="24"/>
      <c r="C439" s="60"/>
      <c r="E439" s="47"/>
      <c r="F439" s="48"/>
      <c r="G439" s="47"/>
      <c r="J439" s="61"/>
      <c r="K439" s="61"/>
      <c r="L439" s="30"/>
      <c r="N439" s="97"/>
      <c r="O439" s="48"/>
      <c r="P439" s="47"/>
      <c r="Q439" s="92"/>
    </row>
    <row r="440" spans="1:17">
      <c r="A440" s="61"/>
      <c r="B440" s="24"/>
      <c r="C440" s="60"/>
      <c r="E440" s="47"/>
      <c r="F440" s="48"/>
      <c r="G440" s="47"/>
      <c r="J440" s="61"/>
      <c r="K440" s="61"/>
      <c r="L440" s="30"/>
      <c r="N440" s="97"/>
      <c r="O440" s="48"/>
      <c r="P440" s="47"/>
      <c r="Q440" s="92"/>
    </row>
    <row r="441" spans="1:17">
      <c r="A441" s="61"/>
      <c r="B441" s="24"/>
      <c r="C441" s="60"/>
      <c r="E441" s="47"/>
      <c r="F441" s="48"/>
      <c r="G441" s="47"/>
      <c r="J441" s="61"/>
      <c r="K441" s="61"/>
      <c r="L441" s="30"/>
      <c r="N441" s="97"/>
      <c r="O441" s="48"/>
      <c r="P441" s="47"/>
      <c r="Q441" s="92"/>
    </row>
    <row r="442" spans="1:17">
      <c r="A442" s="61"/>
      <c r="B442" s="24"/>
      <c r="C442" s="60"/>
      <c r="E442" s="47"/>
      <c r="F442" s="48"/>
      <c r="G442" s="47"/>
      <c r="J442" s="61"/>
      <c r="K442" s="61"/>
      <c r="L442" s="30"/>
      <c r="N442" s="97"/>
      <c r="O442" s="48"/>
      <c r="P442" s="47"/>
      <c r="Q442" s="92"/>
    </row>
    <row r="443" spans="1:17">
      <c r="A443" s="61"/>
      <c r="B443" s="24"/>
      <c r="C443" s="60"/>
      <c r="E443" s="47"/>
      <c r="F443" s="48"/>
      <c r="G443" s="47"/>
      <c r="J443" s="61"/>
      <c r="K443" s="61"/>
      <c r="L443" s="30"/>
      <c r="N443" s="97"/>
      <c r="O443" s="48"/>
      <c r="P443" s="47"/>
      <c r="Q443" s="92"/>
    </row>
    <row r="444" spans="1:17">
      <c r="A444" s="61"/>
      <c r="B444" s="24"/>
      <c r="C444" s="60"/>
      <c r="E444" s="47"/>
      <c r="F444" s="48"/>
      <c r="G444" s="47"/>
      <c r="J444" s="61"/>
      <c r="K444" s="61"/>
      <c r="L444" s="30"/>
      <c r="N444" s="97"/>
      <c r="O444" s="48"/>
      <c r="P444" s="47"/>
      <c r="Q444" s="92"/>
    </row>
    <row r="445" spans="1:17">
      <c r="A445" s="61"/>
      <c r="B445" s="24"/>
      <c r="C445" s="60"/>
      <c r="E445" s="47"/>
      <c r="F445" s="48"/>
      <c r="G445" s="47"/>
      <c r="J445" s="61"/>
      <c r="K445" s="61"/>
      <c r="L445" s="30"/>
      <c r="N445" s="97"/>
      <c r="O445" s="48"/>
      <c r="P445" s="47"/>
      <c r="Q445" s="92"/>
    </row>
    <row r="446" spans="1:17">
      <c r="A446" s="61"/>
      <c r="B446" s="24"/>
      <c r="C446" s="60"/>
      <c r="E446" s="47"/>
      <c r="F446" s="48"/>
      <c r="G446" s="47"/>
      <c r="J446" s="61"/>
      <c r="K446" s="61"/>
      <c r="L446" s="30"/>
      <c r="N446" s="97"/>
      <c r="O446" s="48"/>
      <c r="P446" s="47"/>
      <c r="Q446" s="92"/>
    </row>
    <row r="447" spans="1:17">
      <c r="A447" s="61"/>
      <c r="B447" s="24"/>
      <c r="C447" s="60"/>
      <c r="E447" s="47"/>
      <c r="F447" s="48"/>
      <c r="G447" s="47"/>
      <c r="J447" s="61"/>
      <c r="K447" s="61"/>
      <c r="L447" s="30"/>
      <c r="N447" s="97"/>
      <c r="O447" s="48"/>
      <c r="P447" s="47"/>
      <c r="Q447" s="92"/>
    </row>
    <row r="448" spans="1:17">
      <c r="A448" s="61"/>
      <c r="B448" s="24"/>
      <c r="C448" s="60"/>
      <c r="E448" s="47"/>
      <c r="F448" s="48"/>
      <c r="G448" s="47"/>
      <c r="J448" s="61"/>
      <c r="K448" s="61"/>
      <c r="L448" s="30"/>
      <c r="N448" s="97"/>
      <c r="O448" s="48"/>
      <c r="P448" s="47"/>
      <c r="Q448" s="92"/>
    </row>
    <row r="449" spans="1:17">
      <c r="A449" s="61"/>
      <c r="B449" s="24"/>
      <c r="C449" s="60"/>
      <c r="E449" s="47"/>
      <c r="F449" s="48"/>
      <c r="G449" s="47"/>
      <c r="J449" s="61"/>
      <c r="K449" s="61"/>
      <c r="L449" s="30"/>
      <c r="N449" s="97"/>
      <c r="O449" s="48"/>
      <c r="P449" s="47"/>
      <c r="Q449" s="92"/>
    </row>
    <row r="450" spans="1:17">
      <c r="A450" s="61"/>
      <c r="B450" s="24"/>
      <c r="C450" s="60"/>
      <c r="E450" s="47"/>
      <c r="F450" s="48"/>
      <c r="G450" s="47"/>
      <c r="J450" s="61"/>
      <c r="K450" s="61"/>
      <c r="L450" s="30"/>
      <c r="N450" s="97"/>
      <c r="O450" s="48"/>
      <c r="P450" s="47"/>
      <c r="Q450" s="92"/>
    </row>
    <row r="451" spans="1:17">
      <c r="A451" s="61"/>
      <c r="B451" s="24"/>
      <c r="C451" s="60"/>
      <c r="E451" s="47"/>
      <c r="F451" s="48"/>
      <c r="G451" s="47"/>
      <c r="J451" s="61"/>
      <c r="K451" s="61"/>
      <c r="L451" s="30"/>
      <c r="N451" s="97"/>
      <c r="O451" s="48"/>
      <c r="P451" s="47"/>
      <c r="Q451" s="92"/>
    </row>
    <row r="452" spans="1:17">
      <c r="A452" s="61"/>
      <c r="B452" s="24"/>
      <c r="C452" s="60"/>
      <c r="E452" s="47"/>
      <c r="F452" s="48"/>
      <c r="G452" s="47"/>
      <c r="J452" s="61"/>
      <c r="K452" s="61"/>
      <c r="L452" s="30"/>
      <c r="N452" s="97"/>
      <c r="O452" s="48"/>
      <c r="P452" s="47"/>
      <c r="Q452" s="92"/>
    </row>
    <row r="453" spans="1:17">
      <c r="A453" s="61"/>
      <c r="B453" s="24"/>
      <c r="C453" s="60"/>
      <c r="E453" s="47"/>
      <c r="F453" s="48"/>
      <c r="G453" s="47"/>
      <c r="J453" s="61"/>
      <c r="K453" s="61"/>
      <c r="L453" s="30"/>
      <c r="N453" s="97"/>
      <c r="O453" s="48"/>
      <c r="P453" s="47"/>
      <c r="Q453" s="92"/>
    </row>
    <row r="454" spans="1:17">
      <c r="A454" s="61"/>
      <c r="B454" s="24"/>
      <c r="C454" s="60"/>
      <c r="E454" s="47"/>
      <c r="F454" s="48"/>
      <c r="G454" s="47"/>
      <c r="J454" s="61"/>
      <c r="K454" s="61"/>
      <c r="L454" s="30"/>
      <c r="N454" s="97"/>
      <c r="O454" s="48"/>
      <c r="P454" s="47"/>
      <c r="Q454" s="92"/>
    </row>
    <row r="455" spans="1:17">
      <c r="A455" s="61"/>
      <c r="B455" s="24"/>
      <c r="C455" s="60"/>
      <c r="E455" s="47"/>
      <c r="F455" s="48"/>
      <c r="G455" s="47"/>
      <c r="J455" s="61"/>
      <c r="K455" s="61"/>
      <c r="L455" s="30"/>
      <c r="N455" s="97"/>
      <c r="O455" s="48"/>
      <c r="P455" s="47"/>
      <c r="Q455" s="92"/>
    </row>
    <row r="456" spans="1:17">
      <c r="A456" s="61"/>
      <c r="B456" s="24"/>
      <c r="C456" s="60"/>
      <c r="E456" s="47"/>
      <c r="F456" s="48"/>
      <c r="G456" s="47"/>
      <c r="J456" s="61"/>
      <c r="K456" s="61"/>
      <c r="L456" s="30"/>
      <c r="N456" s="97"/>
      <c r="O456" s="48"/>
      <c r="P456" s="47"/>
      <c r="Q456" s="92"/>
    </row>
    <row r="457" spans="1:17">
      <c r="A457" s="61"/>
      <c r="B457" s="24"/>
      <c r="C457" s="60"/>
      <c r="E457" s="47"/>
      <c r="F457" s="48"/>
      <c r="G457" s="47"/>
      <c r="J457" s="61"/>
      <c r="K457" s="61"/>
      <c r="L457" s="30"/>
      <c r="N457" s="97"/>
      <c r="O457" s="48"/>
      <c r="P457" s="47"/>
      <c r="Q457" s="92"/>
    </row>
    <row r="458" spans="1:17">
      <c r="A458" s="61"/>
      <c r="B458" s="24"/>
      <c r="C458" s="60"/>
      <c r="E458" s="47"/>
      <c r="F458" s="48"/>
      <c r="G458" s="47"/>
      <c r="J458" s="61"/>
      <c r="K458" s="61"/>
      <c r="L458" s="30"/>
      <c r="N458" s="97"/>
      <c r="O458" s="48"/>
      <c r="P458" s="47"/>
      <c r="Q458" s="92"/>
    </row>
    <row r="459" spans="1:17">
      <c r="A459" s="61"/>
      <c r="B459" s="24"/>
      <c r="C459" s="60"/>
      <c r="E459" s="47"/>
      <c r="F459" s="48"/>
      <c r="G459" s="47"/>
      <c r="J459" s="61"/>
      <c r="K459" s="61"/>
      <c r="L459" s="30"/>
      <c r="N459" s="97"/>
      <c r="O459" s="48"/>
      <c r="P459" s="47"/>
      <c r="Q459" s="92"/>
    </row>
    <row r="460" spans="1:17">
      <c r="A460" s="61"/>
      <c r="B460" s="24"/>
      <c r="C460" s="60"/>
      <c r="E460" s="47"/>
      <c r="F460" s="48"/>
      <c r="G460" s="47"/>
      <c r="J460" s="61"/>
      <c r="K460" s="61"/>
      <c r="L460" s="30"/>
      <c r="N460" s="97"/>
      <c r="O460" s="48"/>
      <c r="P460" s="47"/>
      <c r="Q460" s="92"/>
    </row>
    <row r="461" spans="1:17">
      <c r="A461" s="61"/>
      <c r="B461" s="24"/>
      <c r="C461" s="60"/>
      <c r="E461" s="47"/>
      <c r="F461" s="48"/>
      <c r="G461" s="47"/>
      <c r="J461" s="61"/>
      <c r="K461" s="61"/>
      <c r="L461" s="30"/>
      <c r="N461" s="97"/>
      <c r="O461" s="48"/>
      <c r="P461" s="47"/>
      <c r="Q461" s="92"/>
    </row>
    <row r="462" spans="1:17">
      <c r="A462" s="61"/>
      <c r="B462" s="24"/>
      <c r="C462" s="60"/>
      <c r="E462" s="47"/>
      <c r="F462" s="48"/>
      <c r="G462" s="47"/>
      <c r="J462" s="61"/>
      <c r="K462" s="61"/>
      <c r="L462" s="30"/>
      <c r="N462" s="97"/>
      <c r="O462" s="48"/>
      <c r="P462" s="47"/>
      <c r="Q462" s="92"/>
    </row>
    <row r="463" spans="1:17">
      <c r="A463" s="61"/>
      <c r="B463" s="24"/>
      <c r="C463" s="60"/>
      <c r="E463" s="47"/>
      <c r="F463" s="48"/>
      <c r="G463" s="47"/>
      <c r="J463" s="61"/>
      <c r="K463" s="61"/>
      <c r="L463" s="30"/>
      <c r="N463" s="97"/>
      <c r="O463" s="48"/>
      <c r="P463" s="47"/>
      <c r="Q463" s="92"/>
    </row>
    <row r="464" spans="1:17">
      <c r="A464" s="61"/>
      <c r="B464" s="24"/>
      <c r="C464" s="60"/>
      <c r="E464" s="47"/>
      <c r="F464" s="48"/>
      <c r="G464" s="47"/>
      <c r="J464" s="61"/>
      <c r="K464" s="61"/>
      <c r="L464" s="30"/>
      <c r="N464" s="97"/>
      <c r="O464" s="48"/>
      <c r="P464" s="47"/>
      <c r="Q464" s="92"/>
    </row>
    <row r="465" spans="1:17">
      <c r="A465" s="61"/>
      <c r="B465" s="24"/>
      <c r="C465" s="60"/>
      <c r="E465" s="47"/>
      <c r="F465" s="48"/>
      <c r="G465" s="47"/>
      <c r="J465" s="61"/>
      <c r="K465" s="61"/>
      <c r="L465" s="30"/>
      <c r="N465" s="97"/>
      <c r="O465" s="48"/>
      <c r="P465" s="47"/>
      <c r="Q465" s="92"/>
    </row>
    <row r="466" spans="1:17">
      <c r="A466" s="61"/>
      <c r="B466" s="24"/>
      <c r="C466" s="60"/>
      <c r="E466" s="47"/>
      <c r="F466" s="48"/>
      <c r="G466" s="47"/>
      <c r="J466" s="61"/>
      <c r="K466" s="61"/>
      <c r="L466" s="30"/>
      <c r="N466" s="97"/>
      <c r="O466" s="48"/>
      <c r="P466" s="47"/>
      <c r="Q466" s="92"/>
    </row>
    <row r="467" spans="1:17">
      <c r="A467" s="61"/>
      <c r="B467" s="24"/>
      <c r="C467" s="60"/>
      <c r="E467" s="47"/>
      <c r="F467" s="48"/>
      <c r="G467" s="47"/>
      <c r="J467" s="61"/>
      <c r="K467" s="61"/>
      <c r="L467" s="30"/>
      <c r="N467" s="97"/>
      <c r="O467" s="48"/>
      <c r="P467" s="47"/>
      <c r="Q467" s="92"/>
    </row>
    <row r="468" spans="1:17">
      <c r="A468" s="61"/>
      <c r="B468" s="24"/>
      <c r="C468" s="60"/>
      <c r="E468" s="47"/>
      <c r="F468" s="48"/>
      <c r="G468" s="47"/>
      <c r="J468" s="61"/>
      <c r="K468" s="61"/>
      <c r="L468" s="30"/>
      <c r="N468" s="97"/>
      <c r="O468" s="48"/>
      <c r="P468" s="47"/>
      <c r="Q468" s="92"/>
    </row>
    <row r="469" spans="1:17">
      <c r="A469" s="61"/>
      <c r="B469" s="24"/>
      <c r="C469" s="60"/>
      <c r="E469" s="47"/>
      <c r="F469" s="48"/>
      <c r="G469" s="47"/>
      <c r="J469" s="61"/>
      <c r="K469" s="61"/>
      <c r="L469" s="30"/>
      <c r="N469" s="97"/>
      <c r="O469" s="48"/>
      <c r="P469" s="47"/>
      <c r="Q469" s="92"/>
    </row>
    <row r="470" spans="1:17">
      <c r="A470" s="61"/>
      <c r="B470" s="24"/>
      <c r="C470" s="60"/>
      <c r="E470" s="47"/>
      <c r="F470" s="48"/>
      <c r="G470" s="47"/>
      <c r="J470" s="61"/>
      <c r="K470" s="61"/>
      <c r="L470" s="30"/>
      <c r="N470" s="97"/>
      <c r="O470" s="48"/>
      <c r="P470" s="47"/>
      <c r="Q470" s="92"/>
    </row>
    <row r="471" spans="1:17">
      <c r="A471" s="61"/>
      <c r="B471" s="24"/>
      <c r="C471" s="60"/>
      <c r="E471" s="47"/>
      <c r="F471" s="48"/>
      <c r="G471" s="47"/>
      <c r="J471" s="61"/>
      <c r="K471" s="61"/>
      <c r="L471" s="30"/>
      <c r="N471" s="97"/>
      <c r="O471" s="48"/>
      <c r="P471" s="47"/>
      <c r="Q471" s="92"/>
    </row>
    <row r="472" spans="1:17">
      <c r="A472" s="61"/>
      <c r="B472" s="24"/>
      <c r="C472" s="60"/>
      <c r="E472" s="47"/>
      <c r="F472" s="48"/>
      <c r="G472" s="47"/>
      <c r="J472" s="61"/>
      <c r="K472" s="61"/>
      <c r="L472" s="30"/>
      <c r="N472" s="97"/>
      <c r="O472" s="48"/>
      <c r="P472" s="47"/>
      <c r="Q472" s="92"/>
    </row>
    <row r="473" spans="1:17">
      <c r="A473" s="61"/>
      <c r="B473" s="24"/>
      <c r="C473" s="60"/>
      <c r="E473" s="47"/>
      <c r="F473" s="48"/>
      <c r="G473" s="47"/>
      <c r="J473" s="61"/>
      <c r="K473" s="61"/>
      <c r="L473" s="30"/>
      <c r="N473" s="97"/>
      <c r="O473" s="48"/>
      <c r="P473" s="47"/>
      <c r="Q473" s="92"/>
    </row>
    <row r="474" spans="1:17">
      <c r="A474" s="61"/>
      <c r="B474" s="24"/>
      <c r="C474" s="60"/>
      <c r="E474" s="47"/>
      <c r="F474" s="48"/>
      <c r="G474" s="47"/>
      <c r="J474" s="61"/>
      <c r="K474" s="61"/>
      <c r="L474" s="30"/>
      <c r="N474" s="97"/>
      <c r="O474" s="48"/>
      <c r="P474" s="47"/>
      <c r="Q474" s="92"/>
    </row>
    <row r="475" spans="1:17">
      <c r="A475" s="61"/>
      <c r="B475" s="24"/>
      <c r="C475" s="60"/>
      <c r="E475" s="47"/>
      <c r="F475" s="48"/>
      <c r="G475" s="47"/>
      <c r="J475" s="61"/>
      <c r="K475" s="61"/>
      <c r="L475" s="30"/>
      <c r="N475" s="97"/>
      <c r="O475" s="48"/>
      <c r="P475" s="47"/>
      <c r="Q475" s="92"/>
    </row>
    <row r="476" spans="1:17">
      <c r="A476" s="61"/>
      <c r="B476" s="24"/>
      <c r="C476" s="60"/>
      <c r="E476" s="47"/>
      <c r="F476" s="48"/>
      <c r="G476" s="47"/>
      <c r="J476" s="61"/>
      <c r="K476" s="61"/>
      <c r="L476" s="30"/>
      <c r="N476" s="97"/>
      <c r="O476" s="48"/>
      <c r="P476" s="47"/>
      <c r="Q476" s="92"/>
    </row>
    <row r="477" spans="1:17">
      <c r="A477" s="61"/>
      <c r="B477" s="24"/>
      <c r="C477" s="60"/>
      <c r="E477" s="47"/>
      <c r="F477" s="48"/>
      <c r="G477" s="47"/>
      <c r="J477" s="61"/>
      <c r="K477" s="61"/>
      <c r="L477" s="30"/>
      <c r="N477" s="97"/>
      <c r="O477" s="48"/>
      <c r="P477" s="47"/>
      <c r="Q477" s="92"/>
    </row>
    <row r="478" spans="1:17">
      <c r="A478" s="61"/>
      <c r="B478" s="24"/>
      <c r="C478" s="60"/>
      <c r="E478" s="47"/>
      <c r="F478" s="48"/>
      <c r="G478" s="47"/>
      <c r="J478" s="61"/>
      <c r="K478" s="61"/>
      <c r="L478" s="30"/>
      <c r="N478" s="97"/>
      <c r="O478" s="48"/>
      <c r="P478" s="47"/>
      <c r="Q478" s="92"/>
    </row>
    <row r="479" spans="1:17">
      <c r="A479" s="61"/>
      <c r="B479" s="24"/>
      <c r="C479" s="60"/>
      <c r="E479" s="47"/>
      <c r="F479" s="48"/>
      <c r="G479" s="47"/>
      <c r="J479" s="61"/>
      <c r="K479" s="61"/>
      <c r="L479" s="30"/>
      <c r="N479" s="97"/>
      <c r="O479" s="48"/>
      <c r="P479" s="47"/>
      <c r="Q479" s="92"/>
    </row>
    <row r="480" spans="1:17">
      <c r="A480" s="61"/>
      <c r="B480" s="24"/>
      <c r="C480" s="60"/>
      <c r="E480" s="47"/>
      <c r="F480" s="48"/>
      <c r="G480" s="47"/>
      <c r="J480" s="61"/>
      <c r="K480" s="61"/>
      <c r="L480" s="30"/>
      <c r="N480" s="97"/>
      <c r="O480" s="48"/>
      <c r="P480" s="47"/>
      <c r="Q480" s="92"/>
    </row>
    <row r="481" spans="1:17">
      <c r="A481" s="61"/>
      <c r="B481" s="24"/>
      <c r="C481" s="60"/>
      <c r="E481" s="47"/>
      <c r="F481" s="48"/>
      <c r="G481" s="47"/>
      <c r="J481" s="61"/>
      <c r="K481" s="61"/>
      <c r="L481" s="30"/>
      <c r="N481" s="97"/>
      <c r="O481" s="48"/>
      <c r="P481" s="47"/>
      <c r="Q481" s="92"/>
    </row>
    <row r="482" spans="1:17">
      <c r="A482" s="61"/>
      <c r="B482" s="24"/>
      <c r="C482" s="60"/>
      <c r="E482" s="47"/>
      <c r="F482" s="48"/>
      <c r="G482" s="47"/>
      <c r="J482" s="61"/>
      <c r="K482" s="61"/>
      <c r="L482" s="30"/>
      <c r="N482" s="97"/>
      <c r="O482" s="48"/>
      <c r="P482" s="47"/>
      <c r="Q482" s="92"/>
    </row>
    <row r="483" spans="1:17">
      <c r="A483" s="61"/>
      <c r="B483" s="24"/>
      <c r="C483" s="60"/>
      <c r="E483" s="47"/>
      <c r="F483" s="48"/>
      <c r="G483" s="47"/>
      <c r="J483" s="61"/>
      <c r="K483" s="61"/>
      <c r="L483" s="30"/>
      <c r="N483" s="97"/>
      <c r="O483" s="48"/>
      <c r="P483" s="47"/>
      <c r="Q483" s="92"/>
    </row>
    <row r="484" spans="1:17">
      <c r="A484" s="61"/>
      <c r="B484" s="24"/>
      <c r="C484" s="60"/>
      <c r="E484" s="47"/>
      <c r="F484" s="48"/>
      <c r="G484" s="47"/>
      <c r="J484" s="61"/>
      <c r="K484" s="61"/>
      <c r="L484" s="30"/>
      <c r="N484" s="97"/>
      <c r="O484" s="48"/>
      <c r="P484" s="47"/>
      <c r="Q484" s="92"/>
    </row>
    <row r="485" spans="1:17">
      <c r="A485" s="61"/>
      <c r="B485" s="24"/>
      <c r="C485" s="60"/>
      <c r="E485" s="47"/>
      <c r="F485" s="48"/>
      <c r="G485" s="47"/>
      <c r="J485" s="61"/>
      <c r="K485" s="61"/>
      <c r="L485" s="30"/>
      <c r="N485" s="97"/>
      <c r="O485" s="48"/>
      <c r="P485" s="47"/>
      <c r="Q485" s="92"/>
    </row>
    <row r="486" spans="1:17">
      <c r="A486" s="61"/>
      <c r="B486" s="24"/>
      <c r="C486" s="60"/>
      <c r="E486" s="47"/>
      <c r="F486" s="48"/>
      <c r="G486" s="47"/>
      <c r="J486" s="61"/>
      <c r="K486" s="61"/>
      <c r="L486" s="30"/>
      <c r="N486" s="97"/>
      <c r="O486" s="48"/>
      <c r="P486" s="47"/>
      <c r="Q486" s="92"/>
    </row>
    <row r="487" spans="1:17">
      <c r="A487" s="61"/>
      <c r="B487" s="24"/>
      <c r="C487" s="60"/>
      <c r="E487" s="47"/>
      <c r="F487" s="48"/>
      <c r="G487" s="47"/>
      <c r="J487" s="61"/>
      <c r="K487" s="61"/>
      <c r="L487" s="30"/>
      <c r="N487" s="97"/>
      <c r="O487" s="48"/>
      <c r="P487" s="47"/>
      <c r="Q487" s="92"/>
    </row>
    <row r="488" spans="1:17">
      <c r="A488" s="61"/>
      <c r="B488" s="24"/>
      <c r="C488" s="60"/>
      <c r="E488" s="47"/>
      <c r="F488" s="48"/>
      <c r="G488" s="47"/>
      <c r="J488" s="61"/>
      <c r="K488" s="61"/>
      <c r="L488" s="30"/>
      <c r="N488" s="97"/>
      <c r="O488" s="48"/>
      <c r="P488" s="47"/>
      <c r="Q488" s="92"/>
    </row>
    <row r="489" spans="1:17">
      <c r="A489" s="61"/>
      <c r="B489" s="24"/>
      <c r="C489" s="60"/>
      <c r="E489" s="47"/>
      <c r="F489" s="48"/>
      <c r="G489" s="47"/>
      <c r="J489" s="61"/>
      <c r="K489" s="61"/>
      <c r="L489" s="30"/>
      <c r="N489" s="97"/>
      <c r="O489" s="48"/>
      <c r="P489" s="47"/>
      <c r="Q489" s="92"/>
    </row>
    <row r="490" spans="1:17">
      <c r="A490" s="61"/>
      <c r="B490" s="24"/>
      <c r="C490" s="60"/>
      <c r="E490" s="47"/>
      <c r="F490" s="48"/>
      <c r="G490" s="47"/>
      <c r="J490" s="61"/>
      <c r="K490" s="61"/>
      <c r="L490" s="30"/>
      <c r="N490" s="97"/>
      <c r="O490" s="48"/>
      <c r="P490" s="47"/>
      <c r="Q490" s="92"/>
    </row>
    <row r="491" spans="1:17">
      <c r="A491" s="61"/>
      <c r="B491" s="24"/>
      <c r="C491" s="60"/>
      <c r="E491" s="47"/>
      <c r="F491" s="48"/>
      <c r="G491" s="47"/>
      <c r="J491" s="61"/>
      <c r="K491" s="61"/>
      <c r="L491" s="30"/>
      <c r="N491" s="97"/>
      <c r="O491" s="48"/>
      <c r="P491" s="47"/>
      <c r="Q491" s="92"/>
    </row>
    <row r="492" spans="1:17">
      <c r="A492" s="61"/>
      <c r="B492" s="24"/>
      <c r="C492" s="60"/>
      <c r="E492" s="47"/>
      <c r="F492" s="48"/>
      <c r="G492" s="47"/>
      <c r="J492" s="61"/>
      <c r="K492" s="61"/>
      <c r="L492" s="30"/>
      <c r="N492" s="97"/>
      <c r="O492" s="48"/>
      <c r="P492" s="47"/>
      <c r="Q492" s="92"/>
    </row>
    <row r="493" spans="1:17">
      <c r="A493" s="61"/>
      <c r="B493" s="24"/>
      <c r="C493" s="60"/>
      <c r="E493" s="47"/>
      <c r="F493" s="48"/>
      <c r="G493" s="47"/>
      <c r="J493" s="61"/>
      <c r="K493" s="61"/>
      <c r="L493" s="30"/>
      <c r="N493" s="97"/>
      <c r="O493" s="48"/>
      <c r="P493" s="47"/>
      <c r="Q493" s="92"/>
    </row>
    <row r="494" spans="1:17">
      <c r="A494" s="61"/>
      <c r="B494" s="24"/>
      <c r="C494" s="60"/>
      <c r="E494" s="47"/>
      <c r="F494" s="48"/>
      <c r="G494" s="47"/>
      <c r="J494" s="61"/>
      <c r="K494" s="61"/>
      <c r="L494" s="30"/>
      <c r="N494" s="97"/>
      <c r="O494" s="48"/>
      <c r="P494" s="47"/>
      <c r="Q494" s="92"/>
    </row>
    <row r="495" spans="1:17">
      <c r="A495" s="61"/>
      <c r="B495" s="24"/>
      <c r="C495" s="60"/>
      <c r="E495" s="47"/>
      <c r="F495" s="48"/>
      <c r="G495" s="47"/>
      <c r="J495" s="61"/>
      <c r="K495" s="61"/>
      <c r="L495" s="30"/>
      <c r="N495" s="97"/>
      <c r="O495" s="48"/>
      <c r="P495" s="47"/>
      <c r="Q495" s="92"/>
    </row>
    <row r="496" spans="1:17">
      <c r="A496" s="61"/>
      <c r="B496" s="24"/>
      <c r="C496" s="60"/>
      <c r="E496" s="47"/>
      <c r="F496" s="48"/>
      <c r="G496" s="47"/>
      <c r="J496" s="61"/>
      <c r="K496" s="61"/>
      <c r="L496" s="30"/>
      <c r="N496" s="97"/>
      <c r="O496" s="48"/>
      <c r="P496" s="47"/>
      <c r="Q496" s="92"/>
    </row>
    <row r="497" spans="1:17">
      <c r="A497" s="61"/>
      <c r="B497" s="24"/>
      <c r="C497" s="60"/>
      <c r="E497" s="47"/>
      <c r="F497" s="48"/>
      <c r="G497" s="47"/>
      <c r="J497" s="61"/>
      <c r="K497" s="61"/>
      <c r="L497" s="30"/>
      <c r="N497" s="97"/>
      <c r="O497" s="48"/>
      <c r="P497" s="47"/>
      <c r="Q497" s="92"/>
    </row>
    <row r="498" spans="1:17">
      <c r="A498" s="61"/>
      <c r="B498" s="24"/>
      <c r="C498" s="60"/>
      <c r="E498" s="47"/>
      <c r="F498" s="48"/>
      <c r="G498" s="47"/>
      <c r="J498" s="61"/>
      <c r="K498" s="61"/>
      <c r="L498" s="30"/>
      <c r="N498" s="97"/>
      <c r="O498" s="48"/>
      <c r="P498" s="47"/>
      <c r="Q498" s="92"/>
    </row>
    <row r="499" spans="1:17">
      <c r="A499" s="61"/>
      <c r="B499" s="24"/>
      <c r="C499" s="60"/>
      <c r="E499" s="47"/>
      <c r="F499" s="48"/>
      <c r="G499" s="47"/>
      <c r="J499" s="61"/>
      <c r="K499" s="61"/>
      <c r="L499" s="30"/>
      <c r="N499" s="97"/>
      <c r="O499" s="48"/>
      <c r="P499" s="47"/>
      <c r="Q499" s="92"/>
    </row>
    <row r="500" spans="1:17">
      <c r="A500" s="61"/>
      <c r="B500" s="24"/>
      <c r="C500" s="60"/>
      <c r="E500" s="47"/>
      <c r="F500" s="48"/>
      <c r="G500" s="47"/>
      <c r="J500" s="61"/>
      <c r="K500" s="61"/>
      <c r="L500" s="30"/>
      <c r="N500" s="97"/>
      <c r="O500" s="48"/>
      <c r="P500" s="47"/>
      <c r="Q500" s="92"/>
    </row>
    <row r="501" spans="1:17">
      <c r="A501" s="61"/>
      <c r="B501" s="24"/>
      <c r="C501" s="60"/>
      <c r="E501" s="47"/>
      <c r="F501" s="48"/>
      <c r="G501" s="47"/>
      <c r="J501" s="61"/>
      <c r="K501" s="61"/>
      <c r="L501" s="30"/>
      <c r="N501" s="97"/>
      <c r="O501" s="48"/>
      <c r="P501" s="47"/>
      <c r="Q501" s="92"/>
    </row>
    <row r="502" spans="1:17">
      <c r="A502" s="61"/>
      <c r="B502" s="24"/>
      <c r="C502" s="60"/>
      <c r="E502" s="47"/>
      <c r="F502" s="48"/>
      <c r="G502" s="47"/>
      <c r="J502" s="61"/>
      <c r="K502" s="61"/>
      <c r="L502" s="30"/>
      <c r="N502" s="97"/>
      <c r="O502" s="48"/>
      <c r="P502" s="47"/>
      <c r="Q502" s="92"/>
    </row>
    <row r="503" spans="1:17">
      <c r="A503" s="61"/>
      <c r="B503" s="24"/>
      <c r="C503" s="60"/>
      <c r="E503" s="47"/>
      <c r="F503" s="48"/>
      <c r="G503" s="47"/>
      <c r="J503" s="61"/>
      <c r="K503" s="61"/>
      <c r="L503" s="30"/>
      <c r="N503" s="97"/>
      <c r="O503" s="48"/>
      <c r="P503" s="47"/>
      <c r="Q503" s="92"/>
    </row>
    <row r="504" spans="1:17">
      <c r="A504" s="61"/>
      <c r="B504" s="24"/>
      <c r="C504" s="60"/>
      <c r="E504" s="47"/>
      <c r="F504" s="48"/>
      <c r="G504" s="47"/>
      <c r="J504" s="61"/>
      <c r="K504" s="61"/>
      <c r="L504" s="30"/>
      <c r="N504" s="97"/>
      <c r="O504" s="48"/>
      <c r="P504" s="47"/>
      <c r="Q504" s="92"/>
    </row>
    <row r="505" spans="1:17">
      <c r="A505" s="61"/>
      <c r="B505" s="24"/>
      <c r="C505" s="60"/>
      <c r="E505" s="47"/>
      <c r="F505" s="48"/>
      <c r="G505" s="47"/>
      <c r="J505" s="61"/>
      <c r="K505" s="61"/>
      <c r="L505" s="30"/>
      <c r="N505" s="97"/>
      <c r="O505" s="48"/>
      <c r="P505" s="47"/>
      <c r="Q505" s="92"/>
    </row>
    <row r="506" spans="1:17">
      <c r="A506" s="61"/>
      <c r="B506" s="24"/>
      <c r="C506" s="60"/>
      <c r="E506" s="47"/>
      <c r="F506" s="48"/>
      <c r="G506" s="47"/>
      <c r="J506" s="61"/>
      <c r="K506" s="61"/>
      <c r="L506" s="30"/>
      <c r="N506" s="97"/>
      <c r="O506" s="48"/>
      <c r="P506" s="47"/>
      <c r="Q506" s="92"/>
    </row>
    <row r="507" spans="1:17">
      <c r="A507" s="61"/>
      <c r="B507" s="24"/>
      <c r="C507" s="60"/>
      <c r="E507" s="47"/>
      <c r="F507" s="48"/>
      <c r="G507" s="47"/>
      <c r="J507" s="61"/>
      <c r="K507" s="61"/>
      <c r="L507" s="30"/>
      <c r="N507" s="97"/>
      <c r="O507" s="48"/>
      <c r="P507" s="47"/>
      <c r="Q507" s="92"/>
    </row>
    <row r="508" spans="1:17">
      <c r="A508" s="61"/>
      <c r="B508" s="24"/>
      <c r="C508" s="60"/>
      <c r="E508" s="47"/>
      <c r="F508" s="48"/>
      <c r="G508" s="47"/>
      <c r="J508" s="61"/>
      <c r="K508" s="61"/>
      <c r="L508" s="30"/>
      <c r="N508" s="97"/>
      <c r="O508" s="48"/>
      <c r="P508" s="47"/>
      <c r="Q508" s="92"/>
    </row>
    <row r="509" spans="1:17">
      <c r="A509" s="61"/>
      <c r="B509" s="24"/>
      <c r="C509" s="60"/>
      <c r="E509" s="47"/>
      <c r="F509" s="48"/>
      <c r="G509" s="47"/>
      <c r="J509" s="61"/>
      <c r="K509" s="61"/>
      <c r="L509" s="30"/>
      <c r="N509" s="97"/>
      <c r="O509" s="48"/>
      <c r="P509" s="47"/>
      <c r="Q509" s="92"/>
    </row>
    <row r="510" spans="1:17">
      <c r="A510" s="61"/>
      <c r="B510" s="24"/>
      <c r="C510" s="60"/>
      <c r="E510" s="47"/>
      <c r="F510" s="48"/>
      <c r="G510" s="47"/>
      <c r="J510" s="61"/>
      <c r="K510" s="61"/>
      <c r="L510" s="30"/>
      <c r="N510" s="97"/>
      <c r="O510" s="48"/>
      <c r="P510" s="47"/>
      <c r="Q510" s="92"/>
    </row>
    <row r="511" spans="1:17">
      <c r="A511" s="61"/>
      <c r="B511" s="24"/>
      <c r="C511" s="60"/>
      <c r="E511" s="47"/>
      <c r="F511" s="48"/>
      <c r="G511" s="47"/>
      <c r="J511" s="61"/>
      <c r="K511" s="61"/>
      <c r="L511" s="30"/>
      <c r="N511" s="97"/>
      <c r="O511" s="48"/>
      <c r="P511" s="47"/>
      <c r="Q511" s="92"/>
    </row>
    <row r="512" spans="1:17">
      <c r="A512" s="61"/>
      <c r="B512" s="24"/>
      <c r="C512" s="60"/>
      <c r="E512" s="47"/>
      <c r="F512" s="48"/>
      <c r="G512" s="47"/>
      <c r="J512" s="61"/>
      <c r="K512" s="61"/>
      <c r="L512" s="30"/>
      <c r="N512" s="97"/>
      <c r="O512" s="48"/>
      <c r="P512" s="47"/>
      <c r="Q512" s="92"/>
    </row>
    <row r="513" spans="1:17">
      <c r="A513" s="61"/>
      <c r="B513" s="24"/>
      <c r="C513" s="60"/>
      <c r="E513" s="47"/>
      <c r="F513" s="48"/>
      <c r="G513" s="47"/>
      <c r="J513" s="61"/>
      <c r="K513" s="61"/>
      <c r="L513" s="30"/>
      <c r="N513" s="97"/>
      <c r="O513" s="48"/>
      <c r="P513" s="47"/>
      <c r="Q513" s="92"/>
    </row>
    <row r="514" spans="1:17">
      <c r="A514" s="61"/>
      <c r="B514" s="24"/>
      <c r="C514" s="60"/>
      <c r="E514" s="47"/>
      <c r="F514" s="48"/>
      <c r="G514" s="47"/>
      <c r="J514" s="61"/>
      <c r="K514" s="61"/>
      <c r="L514" s="30"/>
      <c r="N514" s="97"/>
      <c r="O514" s="48"/>
      <c r="P514" s="47"/>
      <c r="Q514" s="92"/>
    </row>
    <row r="515" spans="1:17">
      <c r="A515" s="61"/>
      <c r="B515" s="24"/>
      <c r="C515" s="60"/>
      <c r="E515" s="47"/>
      <c r="F515" s="48"/>
      <c r="G515" s="47"/>
      <c r="J515" s="61"/>
      <c r="K515" s="61"/>
      <c r="L515" s="30"/>
      <c r="N515" s="97"/>
      <c r="O515" s="48"/>
      <c r="P515" s="47"/>
      <c r="Q515" s="92"/>
    </row>
    <row r="516" spans="1:17">
      <c r="A516" s="61"/>
      <c r="B516" s="24"/>
      <c r="C516" s="60"/>
      <c r="E516" s="47"/>
      <c r="F516" s="48"/>
      <c r="G516" s="47"/>
      <c r="J516" s="61"/>
      <c r="K516" s="61"/>
      <c r="L516" s="30"/>
      <c r="N516" s="97"/>
      <c r="O516" s="48"/>
      <c r="P516" s="47"/>
      <c r="Q516" s="92"/>
    </row>
    <row r="517" spans="1:17">
      <c r="A517" s="61"/>
      <c r="B517" s="24"/>
      <c r="C517" s="60"/>
      <c r="E517" s="47"/>
      <c r="F517" s="48"/>
      <c r="G517" s="47"/>
      <c r="J517" s="61"/>
      <c r="K517" s="61"/>
      <c r="L517" s="30"/>
      <c r="N517" s="97"/>
      <c r="O517" s="48"/>
      <c r="P517" s="47"/>
      <c r="Q517" s="92"/>
    </row>
    <row r="518" spans="1:17">
      <c r="A518" s="61"/>
      <c r="B518" s="24"/>
      <c r="C518" s="60"/>
      <c r="E518" s="47"/>
      <c r="F518" s="48"/>
      <c r="G518" s="47"/>
      <c r="J518" s="61"/>
      <c r="K518" s="61"/>
      <c r="L518" s="30"/>
      <c r="N518" s="97"/>
      <c r="O518" s="48"/>
      <c r="P518" s="47"/>
      <c r="Q518" s="92"/>
    </row>
    <row r="519" spans="1:17">
      <c r="A519" s="61"/>
      <c r="B519" s="24"/>
      <c r="C519" s="60"/>
      <c r="E519" s="47"/>
      <c r="F519" s="48"/>
      <c r="G519" s="47"/>
      <c r="J519" s="61"/>
      <c r="K519" s="61"/>
      <c r="L519" s="30"/>
      <c r="N519" s="97"/>
      <c r="O519" s="48"/>
      <c r="P519" s="47"/>
      <c r="Q519" s="92"/>
    </row>
    <row r="520" spans="1:17">
      <c r="A520" s="61"/>
      <c r="B520" s="24"/>
      <c r="C520" s="60"/>
      <c r="E520" s="47"/>
      <c r="F520" s="48"/>
      <c r="G520" s="47"/>
      <c r="J520" s="61"/>
      <c r="K520" s="61"/>
      <c r="L520" s="30"/>
      <c r="N520" s="97"/>
      <c r="O520" s="48"/>
      <c r="P520" s="47"/>
      <c r="Q520" s="92"/>
    </row>
    <row r="521" spans="1:17">
      <c r="A521" s="61"/>
      <c r="B521" s="24"/>
      <c r="C521" s="60"/>
      <c r="E521" s="47"/>
      <c r="F521" s="48"/>
      <c r="G521" s="47"/>
      <c r="J521" s="61"/>
      <c r="K521" s="61"/>
      <c r="L521" s="30"/>
      <c r="N521" s="97"/>
      <c r="O521" s="48"/>
      <c r="P521" s="47"/>
      <c r="Q521" s="92"/>
    </row>
    <row r="522" spans="1:17">
      <c r="A522" s="61"/>
      <c r="B522" s="24"/>
      <c r="C522" s="60"/>
      <c r="E522" s="47"/>
      <c r="F522" s="48"/>
      <c r="G522" s="47"/>
      <c r="J522" s="61"/>
      <c r="K522" s="61"/>
      <c r="L522" s="30"/>
      <c r="N522" s="97"/>
      <c r="O522" s="48"/>
      <c r="P522" s="47"/>
      <c r="Q522" s="92"/>
    </row>
    <row r="523" spans="1:17">
      <c r="A523" s="61"/>
      <c r="B523" s="24"/>
      <c r="C523" s="60"/>
      <c r="E523" s="47"/>
      <c r="F523" s="48"/>
      <c r="G523" s="47"/>
      <c r="J523" s="61"/>
      <c r="K523" s="61"/>
      <c r="L523" s="30"/>
      <c r="N523" s="97"/>
      <c r="O523" s="48"/>
      <c r="P523" s="47"/>
      <c r="Q523" s="92"/>
    </row>
    <row r="524" spans="1:17">
      <c r="A524" s="61"/>
      <c r="B524" s="24"/>
      <c r="C524" s="60"/>
      <c r="E524" s="47"/>
      <c r="F524" s="48"/>
      <c r="G524" s="47"/>
      <c r="J524" s="61"/>
      <c r="K524" s="61"/>
      <c r="L524" s="30"/>
      <c r="N524" s="97"/>
      <c r="O524" s="48"/>
      <c r="P524" s="47"/>
      <c r="Q524" s="92"/>
    </row>
    <row r="525" spans="1:17">
      <c r="A525" s="61"/>
      <c r="B525" s="24"/>
      <c r="C525" s="60"/>
      <c r="E525" s="47"/>
      <c r="F525" s="48"/>
      <c r="G525" s="47"/>
      <c r="J525" s="61"/>
      <c r="K525" s="61"/>
      <c r="L525" s="30"/>
      <c r="N525" s="97"/>
      <c r="O525" s="48"/>
      <c r="P525" s="47"/>
      <c r="Q525" s="92"/>
    </row>
    <row r="526" spans="1:17">
      <c r="A526" s="61"/>
      <c r="B526" s="24"/>
      <c r="C526" s="60"/>
      <c r="E526" s="47"/>
      <c r="F526" s="48"/>
      <c r="G526" s="47"/>
      <c r="J526" s="61"/>
      <c r="K526" s="61"/>
      <c r="L526" s="30"/>
      <c r="N526" s="97"/>
      <c r="O526" s="48"/>
      <c r="P526" s="47"/>
      <c r="Q526" s="92"/>
    </row>
    <row r="527" spans="1:17">
      <c r="A527" s="61"/>
      <c r="B527" s="24"/>
      <c r="C527" s="60"/>
      <c r="E527" s="47"/>
      <c r="F527" s="48"/>
      <c r="G527" s="47"/>
      <c r="J527" s="61"/>
      <c r="K527" s="61"/>
      <c r="L527" s="30"/>
      <c r="N527" s="97"/>
      <c r="O527" s="48"/>
      <c r="P527" s="47"/>
      <c r="Q527" s="92"/>
    </row>
    <row r="528" spans="1:17">
      <c r="A528" s="61"/>
      <c r="B528" s="24"/>
      <c r="C528" s="60"/>
      <c r="E528" s="47"/>
      <c r="F528" s="48"/>
      <c r="G528" s="47"/>
      <c r="J528" s="61"/>
      <c r="K528" s="61"/>
      <c r="L528" s="30"/>
      <c r="N528" s="97"/>
      <c r="O528" s="48"/>
      <c r="P528" s="47"/>
      <c r="Q528" s="92"/>
    </row>
    <row r="529" spans="1:17">
      <c r="A529" s="61"/>
      <c r="B529" s="24"/>
      <c r="C529" s="60"/>
      <c r="E529" s="47"/>
      <c r="F529" s="48"/>
      <c r="G529" s="47"/>
      <c r="J529" s="61"/>
      <c r="K529" s="61"/>
      <c r="L529" s="30"/>
      <c r="N529" s="97"/>
      <c r="O529" s="48"/>
      <c r="P529" s="47"/>
      <c r="Q529" s="92"/>
    </row>
    <row r="530" spans="1:17">
      <c r="A530" s="61"/>
      <c r="B530" s="24"/>
      <c r="C530" s="60"/>
      <c r="E530" s="47"/>
      <c r="F530" s="48"/>
      <c r="G530" s="47"/>
      <c r="J530" s="61"/>
      <c r="K530" s="61"/>
      <c r="L530" s="30"/>
      <c r="N530" s="97"/>
      <c r="O530" s="48"/>
      <c r="P530" s="47"/>
      <c r="Q530" s="92"/>
    </row>
    <row r="531" spans="1:17">
      <c r="A531" s="61"/>
      <c r="B531" s="24"/>
      <c r="C531" s="60"/>
      <c r="E531" s="47"/>
      <c r="F531" s="48"/>
      <c r="G531" s="47"/>
      <c r="J531" s="61"/>
      <c r="K531" s="61"/>
      <c r="L531" s="30"/>
      <c r="N531" s="97"/>
      <c r="O531" s="48"/>
      <c r="P531" s="47"/>
      <c r="Q531" s="92"/>
    </row>
    <row r="532" spans="1:17">
      <c r="A532" s="61"/>
      <c r="B532" s="24"/>
      <c r="C532" s="60"/>
      <c r="E532" s="47"/>
      <c r="F532" s="48"/>
      <c r="G532" s="47"/>
      <c r="J532" s="61"/>
      <c r="K532" s="61"/>
      <c r="L532" s="30"/>
      <c r="N532" s="97"/>
      <c r="O532" s="48"/>
      <c r="P532" s="47"/>
      <c r="Q532" s="92"/>
    </row>
    <row r="533" spans="1:17">
      <c r="A533" s="61"/>
      <c r="B533" s="24"/>
      <c r="C533" s="60"/>
      <c r="E533" s="47"/>
      <c r="F533" s="48"/>
      <c r="G533" s="47"/>
      <c r="J533" s="61"/>
      <c r="K533" s="61"/>
      <c r="L533" s="30"/>
      <c r="N533" s="97"/>
      <c r="O533" s="48"/>
      <c r="P533" s="47"/>
      <c r="Q533" s="92"/>
    </row>
    <row r="534" spans="1:17">
      <c r="A534" s="61"/>
      <c r="B534" s="24"/>
      <c r="C534" s="60"/>
      <c r="E534" s="47"/>
      <c r="F534" s="48"/>
      <c r="G534" s="47"/>
      <c r="J534" s="61"/>
      <c r="K534" s="61"/>
      <c r="L534" s="30"/>
      <c r="N534" s="97"/>
      <c r="O534" s="48"/>
      <c r="P534" s="47"/>
      <c r="Q534" s="92"/>
    </row>
    <row r="535" spans="1:17">
      <c r="A535" s="61"/>
      <c r="B535" s="24"/>
      <c r="C535" s="60"/>
      <c r="E535" s="47"/>
      <c r="F535" s="48"/>
      <c r="G535" s="47"/>
      <c r="J535" s="61"/>
      <c r="K535" s="61"/>
      <c r="L535" s="30"/>
      <c r="N535" s="97"/>
      <c r="O535" s="48"/>
      <c r="P535" s="47"/>
      <c r="Q535" s="92"/>
    </row>
    <row r="536" spans="1:17">
      <c r="A536" s="61"/>
      <c r="B536" s="24"/>
      <c r="C536" s="60"/>
      <c r="E536" s="47"/>
      <c r="F536" s="48"/>
      <c r="G536" s="47"/>
      <c r="J536" s="61"/>
      <c r="K536" s="61"/>
      <c r="L536" s="30"/>
      <c r="N536" s="97"/>
      <c r="O536" s="48"/>
      <c r="P536" s="47"/>
      <c r="Q536" s="92"/>
    </row>
    <row r="537" spans="1:17">
      <c r="A537" s="61"/>
      <c r="B537" s="24"/>
      <c r="C537" s="60"/>
      <c r="E537" s="47"/>
      <c r="F537" s="48"/>
      <c r="G537" s="47"/>
      <c r="J537" s="61"/>
      <c r="K537" s="61"/>
      <c r="L537" s="30"/>
      <c r="N537" s="97"/>
      <c r="O537" s="48"/>
      <c r="P537" s="47"/>
      <c r="Q537" s="92"/>
    </row>
    <row r="538" spans="1:17">
      <c r="A538" s="61"/>
      <c r="B538" s="24"/>
      <c r="C538" s="60"/>
      <c r="E538" s="47"/>
      <c r="F538" s="48"/>
      <c r="G538" s="47"/>
      <c r="J538" s="61"/>
      <c r="K538" s="61"/>
      <c r="L538" s="30"/>
      <c r="N538" s="97"/>
      <c r="O538" s="48"/>
      <c r="P538" s="47"/>
      <c r="Q538" s="92"/>
    </row>
    <row r="539" spans="1:17">
      <c r="A539" s="61"/>
      <c r="B539" s="24"/>
      <c r="C539" s="60"/>
      <c r="E539" s="47"/>
      <c r="F539" s="48"/>
      <c r="G539" s="47"/>
      <c r="J539" s="61"/>
      <c r="K539" s="61"/>
      <c r="L539" s="30"/>
      <c r="N539" s="97"/>
      <c r="O539" s="48"/>
      <c r="P539" s="47"/>
      <c r="Q539" s="92"/>
    </row>
    <row r="540" spans="1:17">
      <c r="A540" s="61"/>
      <c r="B540" s="24"/>
      <c r="C540" s="60"/>
      <c r="E540" s="47"/>
      <c r="F540" s="48"/>
      <c r="G540" s="47"/>
      <c r="J540" s="61"/>
      <c r="K540" s="61"/>
      <c r="L540" s="30"/>
      <c r="N540" s="97"/>
      <c r="O540" s="48"/>
      <c r="P540" s="47"/>
      <c r="Q540" s="92"/>
    </row>
    <row r="541" spans="1:17">
      <c r="A541" s="61"/>
      <c r="B541" s="24"/>
      <c r="C541" s="60"/>
      <c r="E541" s="47"/>
      <c r="F541" s="48"/>
      <c r="G541" s="47"/>
      <c r="J541" s="61"/>
      <c r="K541" s="61"/>
      <c r="L541" s="30"/>
      <c r="N541" s="97"/>
      <c r="O541" s="48"/>
      <c r="P541" s="47"/>
      <c r="Q541" s="92"/>
    </row>
    <row r="542" spans="1:17">
      <c r="A542" s="61"/>
      <c r="B542" s="24"/>
      <c r="C542" s="60"/>
      <c r="E542" s="47"/>
      <c r="F542" s="48"/>
      <c r="G542" s="47"/>
      <c r="J542" s="61"/>
      <c r="K542" s="61"/>
      <c r="L542" s="30"/>
      <c r="N542" s="97"/>
      <c r="O542" s="48"/>
      <c r="P542" s="47"/>
      <c r="Q542" s="92"/>
    </row>
    <row r="543" spans="1:17">
      <c r="A543" s="61"/>
      <c r="B543" s="24"/>
      <c r="C543" s="60"/>
      <c r="E543" s="47"/>
      <c r="F543" s="48"/>
      <c r="G543" s="47"/>
      <c r="J543" s="61"/>
      <c r="K543" s="61"/>
      <c r="L543" s="30"/>
      <c r="N543" s="97"/>
      <c r="O543" s="48"/>
      <c r="P543" s="47"/>
      <c r="Q543" s="92"/>
    </row>
    <row r="544" spans="1:17">
      <c r="A544" s="61"/>
      <c r="B544" s="24"/>
      <c r="C544" s="60"/>
      <c r="E544" s="47"/>
      <c r="F544" s="48"/>
      <c r="G544" s="47"/>
      <c r="J544" s="61"/>
      <c r="K544" s="61"/>
      <c r="L544" s="30"/>
      <c r="N544" s="97"/>
      <c r="O544" s="48"/>
      <c r="P544" s="47"/>
      <c r="Q544" s="92"/>
    </row>
    <row r="545" spans="1:17">
      <c r="A545" s="61"/>
      <c r="B545" s="24"/>
      <c r="C545" s="60"/>
      <c r="E545" s="47"/>
      <c r="F545" s="48"/>
      <c r="G545" s="47"/>
      <c r="J545" s="61"/>
      <c r="K545" s="61"/>
      <c r="L545" s="30"/>
      <c r="N545" s="97"/>
      <c r="O545" s="48"/>
      <c r="P545" s="47"/>
      <c r="Q545" s="92"/>
    </row>
    <row r="546" spans="1:17">
      <c r="A546" s="61"/>
      <c r="B546" s="24"/>
      <c r="C546" s="60"/>
      <c r="E546" s="47"/>
      <c r="F546" s="48"/>
      <c r="G546" s="47"/>
      <c r="J546" s="61"/>
      <c r="K546" s="61"/>
      <c r="L546" s="30"/>
      <c r="N546" s="97"/>
      <c r="O546" s="48"/>
      <c r="P546" s="47"/>
      <c r="Q546" s="92"/>
    </row>
    <row r="547" spans="1:17">
      <c r="A547" s="61"/>
      <c r="B547" s="24"/>
      <c r="C547" s="60"/>
      <c r="E547" s="47"/>
      <c r="F547" s="48"/>
      <c r="G547" s="47"/>
      <c r="J547" s="61"/>
      <c r="K547" s="61"/>
      <c r="L547" s="30"/>
      <c r="N547" s="97"/>
      <c r="O547" s="48"/>
      <c r="P547" s="47"/>
      <c r="Q547" s="92"/>
    </row>
    <row r="548" spans="1:17">
      <c r="A548" s="61"/>
      <c r="B548" s="24"/>
      <c r="C548" s="60"/>
      <c r="E548" s="47"/>
      <c r="F548" s="48"/>
      <c r="G548" s="47"/>
      <c r="J548" s="61"/>
      <c r="K548" s="61"/>
      <c r="L548" s="30"/>
      <c r="N548" s="97"/>
      <c r="O548" s="48"/>
      <c r="P548" s="47"/>
      <c r="Q548" s="92"/>
    </row>
    <row r="549" spans="1:17">
      <c r="A549" s="61"/>
      <c r="B549" s="24"/>
      <c r="C549" s="60"/>
      <c r="E549" s="47"/>
      <c r="F549" s="48"/>
      <c r="G549" s="47"/>
      <c r="J549" s="61"/>
      <c r="K549" s="61"/>
      <c r="L549" s="30"/>
      <c r="N549" s="97"/>
      <c r="O549" s="48"/>
      <c r="P549" s="47"/>
      <c r="Q549" s="92"/>
    </row>
    <row r="550" spans="1:17">
      <c r="A550" s="61"/>
      <c r="B550" s="24"/>
      <c r="C550" s="60"/>
      <c r="E550" s="47"/>
      <c r="F550" s="48"/>
      <c r="G550" s="47"/>
      <c r="J550" s="61"/>
      <c r="K550" s="61"/>
      <c r="L550" s="30"/>
      <c r="N550" s="97"/>
      <c r="O550" s="48"/>
      <c r="P550" s="47"/>
      <c r="Q550" s="92"/>
    </row>
    <row r="551" spans="1:17">
      <c r="A551" s="61"/>
      <c r="B551" s="24"/>
      <c r="C551" s="60"/>
      <c r="E551" s="47"/>
      <c r="F551" s="48"/>
      <c r="G551" s="47"/>
      <c r="J551" s="61"/>
      <c r="K551" s="61"/>
      <c r="L551" s="30"/>
      <c r="N551" s="97"/>
      <c r="O551" s="48"/>
      <c r="P551" s="47"/>
      <c r="Q551" s="92"/>
    </row>
    <row r="552" spans="1:17">
      <c r="A552" s="61"/>
      <c r="B552" s="24"/>
      <c r="C552" s="60"/>
      <c r="E552" s="47"/>
      <c r="F552" s="48"/>
      <c r="G552" s="47"/>
      <c r="J552" s="61"/>
      <c r="K552" s="61"/>
      <c r="L552" s="30"/>
      <c r="N552" s="97"/>
      <c r="O552" s="48"/>
      <c r="P552" s="47"/>
      <c r="Q552" s="92"/>
    </row>
    <row r="553" spans="1:17">
      <c r="A553" s="61"/>
      <c r="B553" s="24"/>
      <c r="C553" s="60"/>
      <c r="E553" s="47"/>
      <c r="F553" s="48"/>
      <c r="G553" s="47"/>
      <c r="J553" s="61"/>
      <c r="K553" s="61"/>
      <c r="L553" s="30"/>
      <c r="N553" s="97"/>
      <c r="O553" s="48"/>
      <c r="P553" s="47"/>
      <c r="Q553" s="92"/>
    </row>
    <row r="554" spans="1:17">
      <c r="A554" s="61"/>
      <c r="B554" s="24"/>
      <c r="C554" s="60"/>
      <c r="E554" s="47"/>
      <c r="F554" s="48"/>
      <c r="G554" s="47"/>
      <c r="J554" s="61"/>
      <c r="K554" s="61"/>
      <c r="L554" s="30"/>
      <c r="N554" s="97"/>
      <c r="O554" s="48"/>
      <c r="P554" s="47"/>
      <c r="Q554" s="92"/>
    </row>
    <row r="555" spans="1:17">
      <c r="A555" s="61"/>
      <c r="B555" s="24"/>
      <c r="C555" s="60"/>
      <c r="E555" s="47"/>
      <c r="F555" s="48"/>
      <c r="G555" s="47"/>
      <c r="J555" s="61"/>
      <c r="K555" s="61"/>
      <c r="L555" s="30"/>
      <c r="N555" s="97"/>
      <c r="O555" s="48"/>
      <c r="P555" s="47"/>
      <c r="Q555" s="92"/>
    </row>
    <row r="556" spans="1:17">
      <c r="A556" s="61"/>
      <c r="B556" s="24"/>
      <c r="C556" s="60"/>
      <c r="E556" s="47"/>
      <c r="F556" s="48"/>
      <c r="G556" s="47"/>
      <c r="J556" s="61"/>
      <c r="K556" s="61"/>
      <c r="L556" s="30"/>
      <c r="N556" s="97"/>
      <c r="O556" s="48"/>
      <c r="P556" s="47"/>
      <c r="Q556" s="92"/>
    </row>
    <row r="557" spans="1:17">
      <c r="A557" s="61"/>
      <c r="B557" s="24"/>
      <c r="C557" s="60"/>
      <c r="E557" s="47"/>
      <c r="F557" s="48"/>
      <c r="G557" s="47"/>
      <c r="J557" s="61"/>
      <c r="K557" s="61"/>
      <c r="L557" s="30"/>
      <c r="N557" s="97"/>
      <c r="O557" s="48"/>
      <c r="P557" s="47"/>
      <c r="Q557" s="92"/>
    </row>
    <row r="558" spans="1:17">
      <c r="A558" s="61"/>
      <c r="B558" s="24"/>
      <c r="C558" s="60"/>
      <c r="E558" s="47"/>
      <c r="F558" s="48"/>
      <c r="G558" s="47"/>
      <c r="J558" s="61"/>
      <c r="K558" s="61"/>
      <c r="L558" s="30"/>
      <c r="N558" s="97"/>
      <c r="O558" s="48"/>
      <c r="P558" s="47"/>
      <c r="Q558" s="92"/>
    </row>
    <row r="559" spans="1:17">
      <c r="A559" s="61"/>
      <c r="B559" s="24"/>
      <c r="C559" s="60"/>
      <c r="E559" s="47"/>
      <c r="F559" s="48"/>
      <c r="G559" s="47"/>
      <c r="J559" s="61"/>
      <c r="K559" s="61"/>
      <c r="L559" s="30"/>
      <c r="N559" s="97"/>
      <c r="O559" s="48"/>
      <c r="P559" s="47"/>
      <c r="Q559" s="92"/>
    </row>
    <row r="560" spans="1:17">
      <c r="A560" s="61"/>
      <c r="B560" s="24"/>
      <c r="C560" s="60"/>
      <c r="E560" s="47"/>
      <c r="F560" s="48"/>
      <c r="G560" s="47"/>
      <c r="J560" s="61"/>
      <c r="K560" s="61"/>
      <c r="L560" s="30"/>
      <c r="N560" s="97"/>
      <c r="O560" s="48"/>
      <c r="P560" s="47"/>
      <c r="Q560" s="92"/>
    </row>
    <row r="561" spans="1:17">
      <c r="A561" s="61"/>
      <c r="B561" s="24"/>
      <c r="C561" s="60"/>
      <c r="E561" s="47"/>
      <c r="F561" s="48"/>
      <c r="G561" s="47"/>
      <c r="J561" s="61"/>
      <c r="K561" s="61"/>
      <c r="L561" s="30"/>
      <c r="N561" s="97"/>
      <c r="O561" s="48"/>
      <c r="P561" s="47"/>
      <c r="Q561" s="92"/>
    </row>
    <row r="562" spans="1:17">
      <c r="A562" s="61"/>
      <c r="B562" s="24"/>
      <c r="C562" s="60"/>
      <c r="E562" s="47"/>
      <c r="F562" s="48"/>
      <c r="G562" s="47"/>
      <c r="J562" s="61"/>
      <c r="K562" s="61"/>
      <c r="L562" s="30"/>
      <c r="N562" s="97"/>
      <c r="O562" s="48"/>
      <c r="P562" s="47"/>
      <c r="Q562" s="92"/>
    </row>
    <row r="563" spans="1:17">
      <c r="A563" s="61"/>
      <c r="B563" s="24"/>
      <c r="C563" s="60"/>
      <c r="E563" s="47"/>
      <c r="F563" s="48"/>
      <c r="G563" s="47"/>
      <c r="J563" s="61"/>
      <c r="K563" s="61"/>
      <c r="L563" s="30"/>
      <c r="N563" s="97"/>
      <c r="O563" s="48"/>
      <c r="P563" s="47"/>
      <c r="Q563" s="92"/>
    </row>
    <row r="564" spans="1:17">
      <c r="A564" s="61"/>
      <c r="B564" s="24"/>
      <c r="C564" s="60"/>
      <c r="E564" s="47"/>
      <c r="F564" s="48"/>
      <c r="G564" s="47"/>
      <c r="J564" s="61"/>
      <c r="K564" s="61"/>
      <c r="L564" s="30"/>
      <c r="N564" s="97"/>
      <c r="O564" s="48"/>
      <c r="P564" s="47"/>
      <c r="Q564" s="92"/>
    </row>
    <row r="565" spans="1:17">
      <c r="A565" s="61"/>
      <c r="B565" s="24"/>
      <c r="C565" s="60"/>
      <c r="E565" s="47"/>
      <c r="F565" s="48"/>
      <c r="G565" s="47"/>
      <c r="J565" s="61"/>
      <c r="K565" s="61"/>
      <c r="L565" s="30"/>
      <c r="N565" s="97"/>
      <c r="O565" s="48"/>
      <c r="P565" s="47"/>
      <c r="Q565" s="92"/>
    </row>
    <row r="566" spans="1:17">
      <c r="A566" s="61"/>
      <c r="B566" s="24"/>
      <c r="C566" s="60"/>
      <c r="E566" s="47"/>
      <c r="F566" s="48"/>
      <c r="G566" s="47"/>
      <c r="J566" s="61"/>
      <c r="K566" s="61"/>
      <c r="L566" s="30"/>
      <c r="N566" s="97"/>
      <c r="O566" s="48"/>
      <c r="P566" s="47"/>
      <c r="Q566" s="92"/>
    </row>
    <row r="567" spans="1:17">
      <c r="A567" s="61"/>
      <c r="B567" s="24"/>
      <c r="C567" s="60"/>
      <c r="E567" s="47"/>
      <c r="F567" s="48"/>
      <c r="G567" s="47"/>
      <c r="J567" s="61"/>
      <c r="K567" s="61"/>
      <c r="L567" s="30"/>
      <c r="N567" s="97"/>
      <c r="O567" s="48"/>
      <c r="P567" s="47"/>
      <c r="Q567" s="92"/>
    </row>
    <row r="568" spans="1:17">
      <c r="A568" s="61"/>
      <c r="B568" s="24"/>
      <c r="C568" s="60"/>
      <c r="E568" s="47"/>
      <c r="F568" s="48"/>
      <c r="G568" s="47"/>
      <c r="J568" s="61"/>
      <c r="K568" s="61"/>
      <c r="L568" s="30"/>
      <c r="N568" s="97"/>
      <c r="O568" s="48"/>
      <c r="P568" s="47"/>
      <c r="Q568" s="92"/>
    </row>
    <row r="569" spans="1:17">
      <c r="A569" s="61"/>
      <c r="B569" s="24"/>
      <c r="C569" s="60"/>
      <c r="E569" s="47"/>
      <c r="F569" s="48"/>
      <c r="G569" s="47"/>
      <c r="J569" s="61"/>
      <c r="K569" s="61"/>
      <c r="L569" s="30"/>
      <c r="N569" s="97"/>
      <c r="O569" s="48"/>
      <c r="P569" s="47"/>
      <c r="Q569" s="92"/>
    </row>
    <row r="570" spans="1:17">
      <c r="A570" s="61"/>
      <c r="B570" s="24"/>
      <c r="C570" s="60"/>
      <c r="E570" s="47"/>
      <c r="F570" s="48"/>
      <c r="G570" s="47"/>
      <c r="J570" s="61"/>
      <c r="K570" s="61"/>
      <c r="L570" s="30"/>
      <c r="N570" s="97"/>
      <c r="O570" s="48"/>
      <c r="P570" s="47"/>
      <c r="Q570" s="92"/>
    </row>
    <row r="571" spans="1:17">
      <c r="A571" s="61"/>
      <c r="B571" s="24"/>
      <c r="C571" s="60"/>
      <c r="E571" s="47"/>
      <c r="F571" s="48"/>
      <c r="G571" s="47"/>
      <c r="J571" s="61"/>
      <c r="K571" s="61"/>
      <c r="L571" s="30"/>
      <c r="N571" s="97"/>
      <c r="O571" s="48"/>
      <c r="P571" s="47"/>
      <c r="Q571" s="92"/>
    </row>
    <row r="572" spans="1:17">
      <c r="A572" s="61"/>
      <c r="B572" s="24"/>
      <c r="C572" s="60"/>
      <c r="E572" s="47"/>
      <c r="F572" s="48"/>
      <c r="G572" s="47"/>
      <c r="J572" s="61"/>
      <c r="K572" s="61"/>
      <c r="L572" s="30"/>
      <c r="N572" s="97"/>
      <c r="O572" s="48"/>
      <c r="P572" s="47"/>
      <c r="Q572" s="92"/>
    </row>
    <row r="573" spans="1:17">
      <c r="A573" s="61"/>
      <c r="B573" s="24"/>
      <c r="C573" s="60"/>
      <c r="E573" s="47"/>
      <c r="F573" s="48"/>
      <c r="G573" s="47"/>
      <c r="J573" s="61"/>
      <c r="K573" s="61"/>
      <c r="L573" s="30"/>
      <c r="N573" s="97"/>
      <c r="O573" s="48"/>
      <c r="P573" s="47"/>
      <c r="Q573" s="92"/>
    </row>
    <row r="574" spans="1:17">
      <c r="A574" s="61"/>
      <c r="B574" s="24"/>
      <c r="C574" s="60"/>
      <c r="E574" s="47"/>
      <c r="F574" s="48"/>
      <c r="G574" s="47"/>
      <c r="J574" s="61"/>
      <c r="K574" s="61"/>
      <c r="L574" s="30"/>
      <c r="N574" s="97"/>
      <c r="O574" s="48"/>
      <c r="P574" s="47"/>
      <c r="Q574" s="92"/>
    </row>
    <row r="575" spans="1:17">
      <c r="A575" s="61"/>
      <c r="B575" s="24"/>
      <c r="C575" s="60"/>
      <c r="E575" s="47"/>
      <c r="F575" s="48"/>
      <c r="G575" s="47"/>
      <c r="J575" s="61"/>
      <c r="K575" s="61"/>
      <c r="L575" s="30"/>
      <c r="N575" s="97"/>
      <c r="O575" s="48"/>
      <c r="P575" s="47"/>
      <c r="Q575" s="92"/>
    </row>
    <row r="576" spans="1:17">
      <c r="A576" s="61"/>
      <c r="B576" s="24"/>
      <c r="C576" s="60"/>
      <c r="E576" s="47"/>
      <c r="F576" s="48"/>
      <c r="G576" s="47"/>
      <c r="J576" s="61"/>
      <c r="K576" s="61"/>
      <c r="L576" s="30"/>
      <c r="N576" s="97"/>
      <c r="O576" s="48"/>
      <c r="P576" s="47"/>
      <c r="Q576" s="92"/>
    </row>
    <row r="577" spans="1:17">
      <c r="A577" s="61"/>
      <c r="B577" s="24"/>
      <c r="C577" s="60"/>
      <c r="E577" s="47"/>
      <c r="F577" s="48"/>
      <c r="G577" s="47"/>
      <c r="J577" s="61"/>
      <c r="K577" s="61"/>
      <c r="L577" s="30"/>
      <c r="N577" s="97"/>
      <c r="O577" s="48"/>
      <c r="P577" s="47"/>
      <c r="Q577" s="92"/>
    </row>
    <row r="578" spans="1:17">
      <c r="A578" s="61"/>
      <c r="B578" s="24"/>
      <c r="C578" s="60"/>
      <c r="E578" s="47"/>
      <c r="F578" s="48"/>
      <c r="G578" s="47"/>
      <c r="J578" s="61"/>
      <c r="K578" s="61"/>
      <c r="L578" s="30"/>
      <c r="N578" s="97"/>
      <c r="O578" s="48"/>
      <c r="P578" s="47"/>
      <c r="Q578" s="92"/>
    </row>
    <row r="579" spans="1:17">
      <c r="A579" s="61"/>
      <c r="B579" s="24"/>
      <c r="C579" s="60"/>
      <c r="E579" s="47"/>
      <c r="F579" s="48"/>
      <c r="G579" s="47"/>
      <c r="J579" s="61"/>
      <c r="K579" s="61"/>
      <c r="L579" s="30"/>
      <c r="N579" s="97"/>
      <c r="O579" s="48"/>
      <c r="P579" s="47"/>
      <c r="Q579" s="92"/>
    </row>
    <row r="580" spans="1:17">
      <c r="A580" s="61"/>
      <c r="B580" s="24"/>
      <c r="C580" s="60"/>
      <c r="E580" s="47"/>
      <c r="F580" s="48"/>
      <c r="G580" s="47"/>
      <c r="J580" s="61"/>
      <c r="K580" s="61"/>
      <c r="L580" s="30"/>
      <c r="N580" s="97"/>
      <c r="O580" s="48"/>
      <c r="P580" s="47"/>
      <c r="Q580" s="92"/>
    </row>
    <row r="581" spans="1:17">
      <c r="A581" s="61"/>
      <c r="B581" s="24"/>
      <c r="C581" s="60"/>
      <c r="E581" s="47"/>
      <c r="F581" s="48"/>
      <c r="G581" s="47"/>
      <c r="J581" s="61"/>
      <c r="K581" s="61"/>
      <c r="L581" s="30"/>
      <c r="N581" s="97"/>
      <c r="O581" s="48"/>
      <c r="P581" s="47"/>
      <c r="Q581" s="92"/>
    </row>
    <row r="582" spans="1:17">
      <c r="A582" s="61"/>
      <c r="B582" s="24"/>
      <c r="C582" s="60"/>
      <c r="E582" s="47"/>
      <c r="F582" s="48"/>
      <c r="G582" s="47"/>
      <c r="J582" s="61"/>
      <c r="K582" s="61"/>
      <c r="L582" s="30"/>
      <c r="N582" s="97"/>
      <c r="O582" s="48"/>
      <c r="P582" s="47"/>
      <c r="Q582" s="92"/>
    </row>
    <row r="583" spans="1:17">
      <c r="A583" s="61"/>
      <c r="B583" s="24"/>
      <c r="C583" s="60"/>
      <c r="E583" s="47"/>
      <c r="F583" s="48"/>
      <c r="G583" s="47"/>
      <c r="J583" s="61"/>
      <c r="K583" s="61"/>
      <c r="L583" s="30"/>
      <c r="N583" s="97"/>
      <c r="O583" s="48"/>
      <c r="P583" s="47"/>
      <c r="Q583" s="92"/>
    </row>
    <row r="584" spans="1:17">
      <c r="A584" s="61"/>
      <c r="B584" s="24"/>
      <c r="C584" s="60"/>
      <c r="E584" s="47"/>
      <c r="F584" s="48"/>
      <c r="G584" s="47"/>
      <c r="J584" s="61"/>
      <c r="K584" s="61"/>
      <c r="L584" s="30"/>
      <c r="N584" s="97"/>
      <c r="O584" s="48"/>
      <c r="P584" s="47"/>
      <c r="Q584" s="92"/>
    </row>
    <row r="585" spans="1:17">
      <c r="A585" s="61"/>
      <c r="B585" s="24"/>
      <c r="C585" s="60"/>
      <c r="E585" s="47"/>
      <c r="F585" s="48"/>
      <c r="G585" s="47"/>
      <c r="J585" s="61"/>
      <c r="K585" s="61"/>
      <c r="L585" s="30"/>
      <c r="N585" s="97"/>
      <c r="O585" s="48"/>
      <c r="P585" s="47"/>
      <c r="Q585" s="92"/>
    </row>
    <row r="586" spans="1:17">
      <c r="A586" s="61"/>
      <c r="B586" s="24"/>
      <c r="C586" s="60"/>
      <c r="E586" s="47"/>
      <c r="F586" s="48"/>
      <c r="G586" s="47"/>
      <c r="J586" s="61"/>
      <c r="K586" s="61"/>
      <c r="L586" s="30"/>
      <c r="N586" s="97"/>
      <c r="O586" s="48"/>
      <c r="P586" s="47"/>
      <c r="Q586" s="92"/>
    </row>
    <row r="587" spans="1:17">
      <c r="A587" s="61"/>
      <c r="B587" s="24"/>
      <c r="C587" s="60"/>
      <c r="E587" s="47"/>
      <c r="F587" s="48"/>
      <c r="G587" s="47"/>
      <c r="J587" s="61"/>
      <c r="K587" s="61"/>
      <c r="L587" s="30"/>
      <c r="N587" s="97"/>
      <c r="O587" s="48"/>
      <c r="P587" s="47"/>
      <c r="Q587" s="92"/>
    </row>
    <row r="588" spans="1:17">
      <c r="A588" s="61"/>
      <c r="B588" s="24"/>
      <c r="C588" s="60"/>
      <c r="E588" s="47"/>
      <c r="F588" s="48"/>
      <c r="G588" s="47"/>
      <c r="J588" s="61"/>
      <c r="K588" s="61"/>
      <c r="L588" s="30"/>
      <c r="N588" s="97"/>
      <c r="O588" s="48"/>
      <c r="P588" s="47"/>
      <c r="Q588" s="92"/>
    </row>
    <row r="589" spans="1:17">
      <c r="A589" s="61"/>
      <c r="B589" s="24"/>
      <c r="C589" s="60"/>
      <c r="E589" s="47"/>
      <c r="F589" s="48"/>
      <c r="G589" s="47"/>
      <c r="J589" s="61"/>
      <c r="K589" s="61"/>
      <c r="L589" s="30"/>
      <c r="N589" s="97"/>
      <c r="O589" s="48"/>
      <c r="P589" s="47"/>
      <c r="Q589" s="92"/>
    </row>
    <row r="590" spans="1:17">
      <c r="A590" s="61"/>
      <c r="B590" s="24"/>
      <c r="C590" s="60"/>
      <c r="E590" s="47"/>
      <c r="F590" s="48"/>
      <c r="G590" s="47"/>
      <c r="J590" s="61"/>
      <c r="K590" s="61"/>
      <c r="L590" s="30"/>
      <c r="N590" s="97"/>
      <c r="O590" s="48"/>
      <c r="P590" s="47"/>
      <c r="Q590" s="92"/>
    </row>
    <row r="591" spans="1:17">
      <c r="A591" s="61"/>
      <c r="B591" s="24"/>
      <c r="C591" s="60"/>
      <c r="E591" s="47"/>
      <c r="F591" s="48"/>
      <c r="G591" s="47"/>
      <c r="J591" s="61"/>
      <c r="K591" s="61"/>
      <c r="L591" s="30"/>
      <c r="N591" s="97"/>
      <c r="O591" s="48"/>
      <c r="P591" s="47"/>
      <c r="Q591" s="92"/>
    </row>
    <row r="592" spans="1:17">
      <c r="A592" s="61"/>
      <c r="B592" s="24"/>
      <c r="C592" s="60"/>
      <c r="E592" s="47"/>
      <c r="F592" s="48"/>
      <c r="G592" s="47"/>
      <c r="J592" s="61"/>
      <c r="K592" s="61"/>
      <c r="L592" s="30"/>
      <c r="N592" s="97"/>
      <c r="O592" s="48"/>
      <c r="P592" s="47"/>
      <c r="Q592" s="92"/>
    </row>
    <row r="593" spans="1:17">
      <c r="A593" s="61"/>
      <c r="B593" s="24"/>
      <c r="C593" s="60"/>
      <c r="E593" s="47"/>
      <c r="F593" s="48"/>
      <c r="G593" s="47"/>
      <c r="J593" s="61"/>
      <c r="K593" s="61"/>
      <c r="L593" s="30"/>
      <c r="N593" s="97"/>
      <c r="O593" s="48"/>
      <c r="P593" s="47"/>
      <c r="Q593" s="92"/>
    </row>
    <row r="594" spans="1:17">
      <c r="A594" s="61"/>
      <c r="B594" s="24"/>
      <c r="C594" s="60"/>
      <c r="E594" s="47"/>
      <c r="F594" s="48"/>
      <c r="G594" s="47"/>
      <c r="J594" s="61"/>
      <c r="K594" s="61"/>
      <c r="L594" s="30"/>
      <c r="N594" s="97"/>
      <c r="O594" s="48"/>
      <c r="P594" s="47"/>
      <c r="Q594" s="92"/>
    </row>
    <row r="595" spans="1:17">
      <c r="A595" s="61"/>
      <c r="B595" s="24"/>
      <c r="C595" s="60"/>
      <c r="E595" s="47"/>
      <c r="F595" s="48"/>
      <c r="G595" s="47"/>
      <c r="J595" s="61"/>
      <c r="K595" s="61"/>
      <c r="L595" s="30"/>
      <c r="N595" s="97"/>
      <c r="O595" s="48"/>
      <c r="P595" s="47"/>
      <c r="Q595" s="92"/>
    </row>
    <row r="596" spans="1:17">
      <c r="A596" s="61"/>
      <c r="B596" s="24"/>
      <c r="C596" s="60"/>
      <c r="E596" s="47"/>
      <c r="F596" s="48"/>
      <c r="G596" s="47"/>
      <c r="J596" s="61"/>
      <c r="K596" s="61"/>
      <c r="L596" s="30"/>
      <c r="N596" s="97"/>
      <c r="O596" s="48"/>
      <c r="P596" s="47"/>
      <c r="Q596" s="92"/>
    </row>
    <row r="597" spans="1:17">
      <c r="A597" s="61"/>
      <c r="B597" s="24"/>
      <c r="C597" s="60"/>
      <c r="E597" s="47"/>
      <c r="F597" s="48"/>
      <c r="G597" s="47"/>
      <c r="J597" s="61"/>
      <c r="K597" s="61"/>
      <c r="L597" s="30"/>
      <c r="N597" s="97"/>
      <c r="O597" s="48"/>
      <c r="P597" s="47"/>
      <c r="Q597" s="92"/>
    </row>
    <row r="598" spans="1:17">
      <c r="A598" s="61"/>
      <c r="B598" s="24"/>
      <c r="C598" s="60"/>
      <c r="E598" s="47"/>
      <c r="F598" s="48"/>
      <c r="G598" s="47"/>
      <c r="J598" s="61"/>
      <c r="K598" s="61"/>
      <c r="L598" s="30"/>
      <c r="N598" s="97"/>
      <c r="O598" s="48"/>
      <c r="P598" s="47"/>
      <c r="Q598" s="92"/>
    </row>
    <row r="599" spans="1:17">
      <c r="A599" s="61"/>
      <c r="B599" s="24"/>
      <c r="C599" s="60"/>
      <c r="E599" s="47"/>
      <c r="F599" s="48"/>
      <c r="G599" s="47"/>
      <c r="J599" s="61"/>
      <c r="K599" s="61"/>
      <c r="L599" s="30"/>
      <c r="N599" s="97"/>
      <c r="O599" s="48"/>
      <c r="P599" s="47"/>
      <c r="Q599" s="92"/>
    </row>
    <row r="600" spans="1:17">
      <c r="A600" s="61"/>
      <c r="B600" s="24"/>
      <c r="C600" s="60"/>
      <c r="E600" s="47"/>
      <c r="F600" s="48"/>
      <c r="G600" s="47"/>
      <c r="J600" s="61"/>
      <c r="K600" s="61"/>
      <c r="L600" s="30"/>
      <c r="N600" s="97"/>
      <c r="O600" s="48"/>
      <c r="P600" s="47"/>
      <c r="Q600" s="92"/>
    </row>
    <row r="601" spans="1:17">
      <c r="A601" s="61"/>
      <c r="B601" s="24"/>
      <c r="C601" s="60"/>
      <c r="E601" s="47"/>
      <c r="F601" s="48"/>
      <c r="G601" s="47"/>
      <c r="J601" s="61"/>
      <c r="K601" s="61"/>
      <c r="L601" s="30"/>
      <c r="N601" s="97"/>
      <c r="O601" s="48"/>
      <c r="P601" s="47"/>
      <c r="Q601" s="92"/>
    </row>
    <row r="602" spans="1:17">
      <c r="A602" s="61"/>
      <c r="B602" s="24"/>
      <c r="C602" s="60"/>
      <c r="E602" s="47"/>
      <c r="F602" s="48"/>
      <c r="G602" s="47"/>
      <c r="J602" s="61"/>
      <c r="K602" s="61"/>
      <c r="L602" s="30"/>
      <c r="N602" s="97"/>
      <c r="O602" s="48"/>
      <c r="P602" s="47"/>
      <c r="Q602" s="92"/>
    </row>
    <row r="603" spans="1:17">
      <c r="A603" s="61"/>
      <c r="B603" s="24"/>
      <c r="C603" s="60"/>
      <c r="E603" s="47"/>
      <c r="F603" s="48"/>
      <c r="G603" s="47"/>
      <c r="J603" s="61"/>
      <c r="K603" s="61"/>
      <c r="L603" s="30"/>
      <c r="N603" s="97"/>
      <c r="O603" s="48"/>
      <c r="P603" s="47"/>
      <c r="Q603" s="92"/>
    </row>
    <row r="604" spans="1:17">
      <c r="A604" s="61"/>
      <c r="B604" s="24"/>
      <c r="C604" s="60"/>
      <c r="E604" s="47"/>
      <c r="F604" s="48"/>
      <c r="G604" s="47"/>
      <c r="J604" s="61"/>
      <c r="K604" s="61"/>
      <c r="L604" s="30"/>
      <c r="N604" s="97"/>
      <c r="O604" s="48"/>
      <c r="P604" s="47"/>
      <c r="Q604" s="92"/>
    </row>
    <row r="605" spans="1:17">
      <c r="A605" s="61"/>
      <c r="B605" s="24"/>
      <c r="C605" s="60"/>
      <c r="E605" s="47"/>
      <c r="F605" s="48"/>
      <c r="G605" s="47"/>
      <c r="J605" s="61"/>
      <c r="K605" s="61"/>
      <c r="L605" s="30"/>
      <c r="N605" s="97"/>
      <c r="O605" s="48"/>
      <c r="P605" s="47"/>
      <c r="Q605" s="92"/>
    </row>
    <row r="606" spans="1:17">
      <c r="A606" s="61"/>
      <c r="B606" s="24"/>
      <c r="C606" s="60"/>
      <c r="E606" s="47"/>
      <c r="F606" s="48"/>
      <c r="G606" s="47"/>
      <c r="J606" s="61"/>
      <c r="K606" s="61"/>
      <c r="L606" s="30"/>
      <c r="N606" s="97"/>
      <c r="O606" s="48"/>
      <c r="P606" s="47"/>
      <c r="Q606" s="92"/>
    </row>
    <row r="607" spans="1:17">
      <c r="A607" s="61"/>
      <c r="B607" s="24"/>
      <c r="C607" s="60"/>
      <c r="E607" s="47"/>
      <c r="F607" s="48"/>
      <c r="G607" s="47"/>
      <c r="J607" s="61"/>
      <c r="K607" s="61"/>
      <c r="L607" s="30"/>
      <c r="N607" s="97"/>
      <c r="O607" s="48"/>
      <c r="P607" s="47"/>
      <c r="Q607" s="92"/>
    </row>
    <row r="608" spans="1:17">
      <c r="A608" s="61"/>
      <c r="B608" s="24"/>
      <c r="C608" s="60"/>
      <c r="E608" s="47"/>
      <c r="F608" s="48"/>
      <c r="G608" s="47"/>
      <c r="J608" s="61"/>
      <c r="K608" s="61"/>
      <c r="L608" s="30"/>
      <c r="N608" s="97"/>
      <c r="O608" s="48"/>
      <c r="P608" s="47"/>
      <c r="Q608" s="92"/>
    </row>
    <row r="609" spans="1:17">
      <c r="A609" s="61"/>
      <c r="B609" s="24"/>
      <c r="C609" s="60"/>
      <c r="E609" s="47"/>
      <c r="F609" s="48"/>
      <c r="G609" s="47"/>
      <c r="J609" s="61"/>
      <c r="K609" s="61"/>
      <c r="L609" s="30"/>
      <c r="N609" s="97"/>
      <c r="O609" s="48"/>
      <c r="P609" s="47"/>
      <c r="Q609" s="92"/>
    </row>
    <row r="610" spans="1:17">
      <c r="A610" s="61"/>
      <c r="B610" s="24"/>
      <c r="C610" s="60"/>
      <c r="E610" s="47"/>
      <c r="F610" s="48"/>
      <c r="G610" s="47"/>
      <c r="J610" s="61"/>
      <c r="K610" s="61"/>
      <c r="L610" s="30"/>
      <c r="N610" s="97"/>
      <c r="O610" s="48"/>
      <c r="P610" s="47"/>
      <c r="Q610" s="92"/>
    </row>
    <row r="611" spans="1:17">
      <c r="A611" s="61"/>
      <c r="B611" s="24"/>
      <c r="C611" s="60"/>
      <c r="E611" s="47"/>
      <c r="F611" s="48"/>
      <c r="G611" s="47"/>
      <c r="J611" s="61"/>
      <c r="K611" s="61"/>
      <c r="L611" s="30"/>
      <c r="N611" s="97"/>
      <c r="O611" s="48"/>
      <c r="P611" s="47"/>
      <c r="Q611" s="92"/>
    </row>
    <row r="612" spans="1:17">
      <c r="A612" s="61"/>
      <c r="B612" s="24"/>
      <c r="C612" s="60"/>
      <c r="E612" s="47"/>
      <c r="F612" s="48"/>
      <c r="G612" s="47"/>
      <c r="J612" s="61"/>
      <c r="K612" s="61"/>
      <c r="L612" s="30"/>
      <c r="N612" s="97"/>
      <c r="O612" s="48"/>
      <c r="P612" s="47"/>
      <c r="Q612" s="92"/>
    </row>
    <row r="613" spans="1:17">
      <c r="A613" s="61"/>
      <c r="B613" s="24"/>
      <c r="C613" s="60"/>
      <c r="E613" s="47"/>
      <c r="F613" s="48"/>
      <c r="G613" s="47"/>
      <c r="J613" s="61"/>
      <c r="K613" s="61"/>
      <c r="L613" s="30"/>
      <c r="N613" s="97"/>
      <c r="O613" s="48"/>
      <c r="P613" s="47"/>
      <c r="Q613" s="92"/>
    </row>
    <row r="614" spans="1:17">
      <c r="A614" s="61"/>
      <c r="B614" s="24"/>
      <c r="C614" s="60"/>
      <c r="E614" s="47"/>
      <c r="F614" s="48"/>
      <c r="G614" s="47"/>
      <c r="J614" s="61"/>
      <c r="K614" s="61"/>
      <c r="L614" s="30"/>
      <c r="N614" s="97"/>
      <c r="O614" s="48"/>
      <c r="P614" s="47"/>
      <c r="Q614" s="92"/>
    </row>
    <row r="615" spans="1:17">
      <c r="A615" s="61"/>
      <c r="B615" s="24"/>
      <c r="C615" s="60"/>
      <c r="E615" s="47"/>
      <c r="F615" s="48"/>
      <c r="G615" s="47"/>
      <c r="J615" s="61"/>
      <c r="K615" s="61"/>
      <c r="L615" s="30"/>
      <c r="N615" s="97"/>
      <c r="O615" s="48"/>
      <c r="P615" s="47"/>
      <c r="Q615" s="92"/>
    </row>
    <row r="616" spans="1:17">
      <c r="A616" s="61"/>
      <c r="B616" s="24"/>
      <c r="C616" s="60"/>
      <c r="E616" s="47"/>
      <c r="F616" s="48"/>
      <c r="G616" s="47"/>
      <c r="J616" s="61"/>
      <c r="K616" s="61"/>
      <c r="L616" s="30"/>
      <c r="N616" s="97"/>
      <c r="O616" s="48"/>
      <c r="P616" s="47"/>
      <c r="Q616" s="92"/>
    </row>
    <row r="617" spans="1:17">
      <c r="A617" s="61"/>
      <c r="B617" s="24"/>
      <c r="C617" s="60"/>
      <c r="E617" s="47"/>
      <c r="F617" s="48"/>
      <c r="G617" s="47"/>
      <c r="J617" s="61"/>
      <c r="K617" s="61"/>
      <c r="L617" s="30"/>
      <c r="N617" s="97"/>
      <c r="O617" s="48"/>
      <c r="P617" s="47"/>
      <c r="Q617" s="92"/>
    </row>
    <row r="618" spans="1:17">
      <c r="A618" s="61"/>
      <c r="B618" s="24"/>
      <c r="C618" s="60"/>
      <c r="E618" s="47"/>
      <c r="F618" s="48"/>
      <c r="G618" s="47"/>
      <c r="J618" s="61"/>
      <c r="K618" s="61"/>
      <c r="L618" s="30"/>
      <c r="N618" s="97"/>
      <c r="O618" s="48"/>
      <c r="P618" s="47"/>
      <c r="Q618" s="92"/>
    </row>
    <row r="619" spans="1:17">
      <c r="A619" s="61"/>
      <c r="B619" s="24"/>
      <c r="C619" s="60"/>
      <c r="E619" s="47"/>
      <c r="F619" s="48"/>
      <c r="G619" s="47"/>
      <c r="J619" s="61"/>
      <c r="K619" s="61"/>
      <c r="L619" s="30"/>
      <c r="N619" s="97"/>
      <c r="O619" s="48"/>
      <c r="P619" s="47"/>
      <c r="Q619" s="92"/>
    </row>
    <row r="620" spans="1:17">
      <c r="A620" s="61"/>
      <c r="B620" s="24"/>
      <c r="C620" s="60"/>
      <c r="E620" s="47"/>
      <c r="F620" s="48"/>
      <c r="G620" s="47"/>
      <c r="J620" s="61"/>
      <c r="K620" s="61"/>
      <c r="L620" s="30"/>
      <c r="N620" s="97"/>
      <c r="O620" s="48"/>
      <c r="P620" s="47"/>
      <c r="Q620" s="92"/>
    </row>
    <row r="621" spans="1:17">
      <c r="A621" s="61"/>
      <c r="B621" s="24"/>
      <c r="C621" s="60"/>
      <c r="E621" s="47"/>
      <c r="F621" s="48"/>
      <c r="G621" s="47"/>
      <c r="J621" s="61"/>
      <c r="K621" s="61"/>
      <c r="L621" s="30"/>
      <c r="N621" s="97"/>
      <c r="O621" s="48"/>
      <c r="P621" s="47"/>
      <c r="Q621" s="92"/>
    </row>
    <row r="622" spans="1:17">
      <c r="A622" s="61"/>
      <c r="B622" s="24"/>
      <c r="C622" s="60"/>
      <c r="E622" s="47"/>
      <c r="F622" s="48"/>
      <c r="G622" s="47"/>
      <c r="J622" s="61"/>
      <c r="K622" s="61"/>
      <c r="L622" s="30"/>
      <c r="N622" s="97"/>
      <c r="O622" s="48"/>
      <c r="P622" s="47"/>
      <c r="Q622" s="92"/>
    </row>
    <row r="623" spans="1:17">
      <c r="A623" s="61"/>
      <c r="B623" s="24"/>
      <c r="C623" s="60"/>
      <c r="E623" s="47"/>
      <c r="F623" s="48"/>
      <c r="G623" s="47"/>
      <c r="J623" s="61"/>
      <c r="K623" s="61"/>
      <c r="L623" s="30"/>
      <c r="N623" s="97"/>
      <c r="O623" s="48"/>
      <c r="P623" s="47"/>
      <c r="Q623" s="92"/>
    </row>
    <row r="624" spans="1:17">
      <c r="A624" s="61"/>
      <c r="B624" s="24"/>
      <c r="C624" s="60"/>
      <c r="E624" s="47"/>
      <c r="F624" s="48"/>
      <c r="G624" s="47"/>
      <c r="J624" s="61"/>
      <c r="K624" s="61"/>
      <c r="L624" s="30"/>
      <c r="N624" s="97"/>
      <c r="O624" s="48"/>
      <c r="P624" s="47"/>
      <c r="Q624" s="92"/>
    </row>
    <row r="625" spans="1:17">
      <c r="A625" s="61"/>
      <c r="B625" s="24"/>
      <c r="C625" s="60"/>
      <c r="E625" s="47"/>
      <c r="F625" s="48"/>
      <c r="G625" s="47"/>
      <c r="J625" s="61"/>
      <c r="K625" s="61"/>
      <c r="L625" s="30"/>
      <c r="N625" s="97"/>
      <c r="O625" s="48"/>
      <c r="P625" s="47"/>
      <c r="Q625" s="92"/>
    </row>
    <row r="626" spans="1:17">
      <c r="A626" s="61"/>
      <c r="B626" s="24"/>
      <c r="C626" s="60"/>
      <c r="E626" s="47"/>
      <c r="F626" s="48"/>
      <c r="G626" s="47"/>
      <c r="J626" s="61"/>
      <c r="K626" s="61"/>
      <c r="L626" s="30"/>
      <c r="N626" s="97"/>
      <c r="O626" s="48"/>
      <c r="P626" s="47"/>
      <c r="Q626" s="92"/>
    </row>
    <row r="627" spans="1:17">
      <c r="A627" s="61"/>
      <c r="B627" s="24"/>
      <c r="C627" s="60"/>
      <c r="E627" s="47"/>
      <c r="F627" s="48"/>
      <c r="G627" s="47"/>
      <c r="J627" s="61"/>
      <c r="K627" s="61"/>
      <c r="L627" s="30"/>
      <c r="N627" s="97"/>
      <c r="O627" s="48"/>
      <c r="P627" s="47"/>
      <c r="Q627" s="92"/>
    </row>
    <row r="628" spans="1:17">
      <c r="A628" s="61"/>
      <c r="B628" s="24"/>
      <c r="C628" s="60"/>
      <c r="E628" s="47"/>
      <c r="F628" s="48"/>
      <c r="G628" s="47"/>
      <c r="J628" s="61"/>
      <c r="K628" s="61"/>
      <c r="L628" s="30"/>
      <c r="N628" s="97"/>
      <c r="O628" s="48"/>
      <c r="P628" s="47"/>
      <c r="Q628" s="92"/>
    </row>
    <row r="629" spans="1:17">
      <c r="A629" s="61"/>
      <c r="B629" s="24"/>
      <c r="C629" s="60"/>
      <c r="E629" s="47"/>
      <c r="F629" s="48"/>
      <c r="G629" s="47"/>
      <c r="J629" s="61"/>
      <c r="K629" s="61"/>
      <c r="L629" s="30"/>
      <c r="N629" s="97"/>
      <c r="O629" s="48"/>
      <c r="P629" s="47"/>
      <c r="Q629" s="92"/>
    </row>
    <row r="630" spans="1:17">
      <c r="A630" s="61"/>
      <c r="B630" s="24"/>
      <c r="C630" s="60"/>
      <c r="E630" s="47"/>
      <c r="F630" s="48"/>
      <c r="G630" s="47"/>
      <c r="J630" s="61"/>
      <c r="K630" s="61"/>
      <c r="L630" s="30"/>
      <c r="N630" s="97"/>
      <c r="O630" s="48"/>
      <c r="P630" s="47"/>
      <c r="Q630" s="92"/>
    </row>
    <row r="631" spans="1:17">
      <c r="A631" s="61"/>
      <c r="B631" s="24"/>
      <c r="C631" s="60"/>
      <c r="E631" s="47"/>
      <c r="F631" s="48"/>
      <c r="G631" s="47"/>
      <c r="J631" s="61"/>
      <c r="K631" s="61"/>
      <c r="L631" s="30"/>
      <c r="N631" s="97"/>
      <c r="O631" s="48"/>
      <c r="P631" s="47"/>
      <c r="Q631" s="92"/>
    </row>
    <row r="632" spans="1:17">
      <c r="A632" s="61"/>
      <c r="B632" s="24"/>
      <c r="C632" s="60"/>
      <c r="E632" s="47"/>
      <c r="F632" s="48"/>
      <c r="G632" s="47"/>
      <c r="J632" s="61"/>
      <c r="K632" s="61"/>
      <c r="L632" s="30"/>
      <c r="N632" s="97"/>
      <c r="O632" s="48"/>
      <c r="P632" s="47"/>
      <c r="Q632" s="92"/>
    </row>
    <row r="633" spans="1:17">
      <c r="A633" s="61"/>
      <c r="B633" s="24"/>
      <c r="C633" s="60"/>
      <c r="E633" s="47"/>
      <c r="F633" s="48"/>
      <c r="G633" s="47"/>
      <c r="J633" s="61"/>
      <c r="K633" s="61"/>
      <c r="L633" s="30"/>
      <c r="N633" s="97"/>
      <c r="O633" s="48"/>
      <c r="P633" s="47"/>
      <c r="Q633" s="92"/>
    </row>
    <row r="634" spans="1:17">
      <c r="A634" s="61"/>
      <c r="B634" s="24"/>
      <c r="C634" s="60"/>
      <c r="E634" s="47"/>
      <c r="F634" s="48"/>
      <c r="G634" s="47"/>
      <c r="J634" s="61"/>
      <c r="K634" s="61"/>
      <c r="L634" s="30"/>
      <c r="N634" s="97"/>
      <c r="O634" s="48"/>
      <c r="P634" s="47"/>
      <c r="Q634" s="92"/>
    </row>
    <row r="635" spans="1:17">
      <c r="A635" s="61"/>
      <c r="B635" s="24"/>
      <c r="C635" s="60"/>
      <c r="E635" s="47"/>
      <c r="F635" s="48"/>
      <c r="G635" s="47"/>
      <c r="J635" s="61"/>
      <c r="K635" s="61"/>
      <c r="L635" s="30"/>
      <c r="N635" s="97"/>
      <c r="O635" s="48"/>
      <c r="P635" s="47"/>
      <c r="Q635" s="92"/>
    </row>
    <row r="636" spans="1:17">
      <c r="A636" s="61"/>
      <c r="B636" s="24"/>
      <c r="C636" s="60"/>
      <c r="E636" s="47"/>
      <c r="F636" s="48"/>
      <c r="G636" s="47"/>
      <c r="J636" s="61"/>
      <c r="K636" s="61"/>
      <c r="L636" s="30"/>
      <c r="N636" s="97"/>
      <c r="O636" s="48"/>
      <c r="P636" s="47"/>
      <c r="Q636" s="92"/>
    </row>
    <row r="637" spans="1:17">
      <c r="A637" s="61"/>
      <c r="B637" s="24"/>
      <c r="C637" s="60"/>
      <c r="E637" s="47"/>
      <c r="F637" s="48"/>
      <c r="G637" s="47"/>
      <c r="J637" s="61"/>
      <c r="K637" s="61"/>
      <c r="L637" s="30"/>
      <c r="N637" s="97"/>
      <c r="O637" s="48"/>
      <c r="P637" s="47"/>
      <c r="Q637" s="92"/>
    </row>
    <row r="638" spans="1:17">
      <c r="A638" s="61"/>
      <c r="B638" s="24"/>
      <c r="C638" s="60"/>
      <c r="E638" s="47"/>
      <c r="F638" s="48"/>
      <c r="G638" s="47"/>
      <c r="J638" s="61"/>
      <c r="K638" s="61"/>
      <c r="L638" s="30"/>
      <c r="N638" s="97"/>
      <c r="O638" s="48"/>
      <c r="P638" s="47"/>
      <c r="Q638" s="92"/>
    </row>
    <row r="639" spans="1:17">
      <c r="A639" s="61"/>
      <c r="B639" s="24"/>
      <c r="C639" s="60"/>
      <c r="E639" s="47"/>
      <c r="F639" s="48"/>
      <c r="G639" s="47"/>
      <c r="J639" s="61"/>
      <c r="K639" s="61"/>
      <c r="L639" s="30"/>
      <c r="N639" s="97"/>
      <c r="O639" s="48"/>
      <c r="P639" s="47"/>
      <c r="Q639" s="92"/>
    </row>
    <row r="640" spans="1:17">
      <c r="A640" s="61"/>
      <c r="B640" s="24"/>
      <c r="C640" s="60"/>
      <c r="E640" s="47"/>
      <c r="F640" s="48"/>
      <c r="G640" s="47"/>
      <c r="J640" s="61"/>
      <c r="K640" s="61"/>
      <c r="L640" s="30"/>
      <c r="N640" s="97"/>
      <c r="O640" s="48"/>
      <c r="P640" s="47"/>
      <c r="Q640" s="92"/>
    </row>
    <row r="641" spans="1:17">
      <c r="A641" s="61"/>
      <c r="B641" s="24"/>
      <c r="C641" s="60"/>
      <c r="E641" s="47"/>
      <c r="F641" s="48"/>
      <c r="G641" s="47"/>
      <c r="J641" s="61"/>
      <c r="K641" s="61"/>
      <c r="L641" s="30"/>
      <c r="N641" s="97"/>
      <c r="O641" s="48"/>
      <c r="P641" s="47"/>
      <c r="Q641" s="92"/>
    </row>
    <row r="642" spans="1:17">
      <c r="A642" s="61"/>
      <c r="B642" s="24"/>
      <c r="C642" s="60"/>
      <c r="E642" s="47"/>
      <c r="F642" s="48"/>
      <c r="G642" s="47"/>
      <c r="J642" s="61"/>
      <c r="K642" s="61"/>
      <c r="L642" s="30"/>
      <c r="N642" s="97"/>
      <c r="O642" s="48"/>
      <c r="P642" s="47"/>
      <c r="Q642" s="92"/>
    </row>
    <row r="643" spans="1:17">
      <c r="A643" s="61"/>
      <c r="B643" s="24"/>
      <c r="C643" s="60"/>
      <c r="E643" s="47"/>
      <c r="F643" s="48"/>
      <c r="G643" s="47"/>
      <c r="J643" s="61"/>
      <c r="K643" s="61"/>
      <c r="L643" s="30"/>
      <c r="N643" s="97"/>
      <c r="O643" s="48"/>
      <c r="P643" s="47"/>
      <c r="Q643" s="92"/>
    </row>
    <row r="644" spans="1:17">
      <c r="A644" s="61"/>
      <c r="B644" s="24"/>
      <c r="C644" s="60"/>
      <c r="E644" s="47"/>
      <c r="F644" s="48"/>
      <c r="G644" s="47"/>
      <c r="J644" s="61"/>
      <c r="K644" s="61"/>
      <c r="L644" s="30"/>
      <c r="N644" s="97"/>
      <c r="O644" s="48"/>
      <c r="P644" s="47"/>
      <c r="Q644" s="92"/>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75" priority="8" operator="containsText" text="ERROR">
      <formula>NOT(ISERROR(SEARCH("ERROR",T17)))</formula>
    </cfRule>
  </conditionalFormatting>
  <conditionalFormatting sqref="T42">
    <cfRule type="containsText" dxfId="74" priority="7" operator="containsText" text="ERROR">
      <formula>NOT(ISERROR(SEARCH("ERROR",T42)))</formula>
    </cfRule>
  </conditionalFormatting>
  <conditionalFormatting sqref="W19">
    <cfRule type="containsText" dxfId="73" priority="3" operator="containsText" text="ERROR">
      <formula>NOT(ISERROR(SEARCH("ERROR",W19)))</formula>
    </cfRule>
  </conditionalFormatting>
  <conditionalFormatting sqref="BL72">
    <cfRule type="containsText" dxfId="72" priority="4" operator="containsText" text="ERROR">
      <formula>NOT(ISERROR(SEARCH("ERROR",BL72)))</formula>
    </cfRule>
  </conditionalFormatting>
  <dataValidations count="5">
    <dataValidation type="list" allowBlank="1" showInputMessage="1" showErrorMessage="1" sqref="N5:N8 N75 N73 N77:N79 N10:N71" xr:uid="{7717715D-BC42-4281-BAB7-7D8A6F8521E6}">
      <formula1>FinalDiff</formula1>
    </dataValidation>
    <dataValidation type="list" allowBlank="1" showInputMessage="1" showErrorMessage="1" sqref="M131:M748 L84:L748" xr:uid="{38F66224-6239-4E68-B1DF-D7919893BCAA}">
      <formula1>Taxes</formula1>
    </dataValidation>
    <dataValidation type="list" allowBlank="1" showInputMessage="1" showErrorMessage="1" sqref="C84:C752" xr:uid="{434C8E46-AF19-435C-8204-CE29F008376F}">
      <formula1>Compadjust</formula1>
    </dataValidation>
    <dataValidation type="list" allowBlank="1" showInputMessage="1" showErrorMessage="1" sqref="N84:N749" xr:uid="{17F60920-7344-4E5C-BE5D-4DAE8A8551C4}">
      <formula1>Govadjust</formula1>
    </dataValidation>
    <dataValidation type="list" allowBlank="1" showErrorMessage="1" errorTitle="Taxes" error="Non valid entry. Please check the tax list" promptTitle="Taxes" prompt="Please select the tax subject to adjustment" sqref="B84:B105" xr:uid="{1E03815D-2145-41A8-B404-14B163313EB1}">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ErrorMessage="1" errorTitle="Taxes" error="Non valid entry. Please check the tax list" promptTitle="Taxes" prompt="Please select the tax subject to adjustment" xr:uid="{A32310D3-1551-4C92-B875-BD81423FD53C}">
          <x14:formula1>
            <xm:f>Lists!$A$131:$A$132</xm:f>
          </x14:formula1>
          <xm:sqref>K84:K749</xm:sqref>
        </x14:dataValidation>
        <x14:dataValidation type="list" allowBlank="1" showErrorMessage="1" errorTitle="Taxes" error="Non valid entry. Please check the tax list" promptTitle="Taxes" prompt="Please select the tax subject to adjustment" xr:uid="{17D5790A-1B3C-477C-838F-27316C158418}">
          <x14:formula1>
            <xm:f>Lists!$A$7:$A$64</xm:f>
          </x14:formula1>
          <xm:sqref>A84:A751</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tabColor rgb="FF92D050"/>
  </sheetPr>
  <dimension ref="A1:BL753"/>
  <sheetViews>
    <sheetView showGridLines="0" topLeftCell="D11" zoomScaleNormal="100" workbookViewId="0">
      <selection activeCell="O8" sqref="O8"/>
    </sheetView>
  </sheetViews>
  <sheetFormatPr baseColWidth="10" defaultColWidth="11.54296875" defaultRowHeight="12" outlineLevelCol="1"/>
  <cols>
    <col min="1" max="1" width="28.54296875" style="17" hidden="1" customWidth="1"/>
    <col min="2" max="2" width="4.453125" style="17" customWidth="1"/>
    <col min="3" max="3" width="53.269531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Companies!B12</f>
        <v>HW-Lepo</v>
      </c>
      <c r="F1" s="32" t="str">
        <f>Companies!C12</f>
        <v>M349506@001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SUMIF($N$9:$N$79,U3,$M$9:$M$79)</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18800000</v>
      </c>
      <c r="BH5" s="81">
        <f t="shared" ca="1" si="15"/>
        <v>0</v>
      </c>
      <c r="BI5" s="81">
        <f t="shared" ca="1" si="15"/>
        <v>0</v>
      </c>
      <c r="BJ5" s="81">
        <f t="shared" ca="1" si="15"/>
        <v>0</v>
      </c>
      <c r="BK5" s="81">
        <f t="shared" ca="1" si="15"/>
        <v>-754285</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62069593</v>
      </c>
      <c r="F8" s="164">
        <f>+F9+F13+F15+F17+F40+F45+F47+F52+F55+F62+F65+F68+F77</f>
        <v>-6983617.7750000004</v>
      </c>
      <c r="G8" s="164">
        <f>+G9+G13+G15+G17+G40+G45+G47+G52+G55+G62+G65+G68+G77</f>
        <v>55085975.225000001</v>
      </c>
      <c r="H8" s="114"/>
      <c r="I8" s="164">
        <f>+I9+I13+I15+I17+I40+I45+I47+I52+I55+I62+I65+I68+I77</f>
        <v>29490500.225000001</v>
      </c>
      <c r="J8" s="164">
        <f ca="1">+J9+J13+J15+J17+J40+J45+J47+J52+J55+J62+J65+J68+J77</f>
        <v>7549760</v>
      </c>
      <c r="K8" s="164">
        <f ca="1">+K9+K13+K15+K17+K40+K45+K47+K52+K55+K62+K65+K68+K77</f>
        <v>37040260.225000001</v>
      </c>
      <c r="L8" s="114"/>
      <c r="M8" s="164">
        <f ca="1">+M9+M13+M15+M17+M40+M45+M52+M55+M62+M65+M68+M77+M47</f>
        <v>18045715</v>
      </c>
      <c r="N8" s="79"/>
      <c r="O8" s="774"/>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4577433.1749999998</v>
      </c>
      <c r="G9" s="166">
        <f t="shared" si="25"/>
        <v>4577433.1749999998</v>
      </c>
      <c r="H9" s="114"/>
      <c r="I9" s="166">
        <f>SUM(I10:I12)</f>
        <v>4577433.1749999998</v>
      </c>
      <c r="J9" s="166">
        <f t="shared" ref="J9" ca="1" si="26">SUM(J10:J12)</f>
        <v>0</v>
      </c>
      <c r="K9" s="166">
        <f t="shared" ref="K9" ca="1" si="27">SUM(K10:K12)</f>
        <v>4577433.1749999998</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+G87</f>
        <v>1307838.05</v>
      </c>
      <c r="G10" s="165">
        <f>E10+F10</f>
        <v>1307838.05</v>
      </c>
      <c r="H10" s="114"/>
      <c r="I10" s="165">
        <v>1307838.05</v>
      </c>
      <c r="J10" s="165">
        <f>SUMIF($J$83:$J$1048576,C10,$Q$83:$Q$1048576)</f>
        <v>0</v>
      </c>
      <c r="K10" s="165">
        <f>I10+J10</f>
        <v>1307838.05</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ca="1" si="4"/>
        <v>18800000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382">
        <f>+G88</f>
        <v>3269595.125</v>
      </c>
      <c r="G11" s="114">
        <f>E11+F11</f>
        <v>3269595.125</v>
      </c>
      <c r="H11" s="114"/>
      <c r="I11" s="114">
        <v>3269595.125</v>
      </c>
      <c r="J11" s="114">
        <f>SUMIF($J$83:$J$1048576,C11,$Q$83:$Q$1048576)</f>
        <v>0</v>
      </c>
      <c r="K11" s="114">
        <f>I11+J11</f>
        <v>3269595.125</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-754285</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ca="1" si="4"/>
        <v>-754285</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 ca="1">SUM(V3:V14)</f>
        <v>18045715</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-498632</v>
      </c>
    </row>
    <row r="17" spans="1:63">
      <c r="A17" s="80">
        <f t="shared" si="29"/>
        <v>0</v>
      </c>
      <c r="B17" s="163"/>
      <c r="C17" s="58" t="str">
        <f>+'Taxes RCA 2022'!B10</f>
        <v>DGID</v>
      </c>
      <c r="E17" s="166">
        <f>SUM(E18:E39)</f>
        <v>27800704</v>
      </c>
      <c r="F17" s="166">
        <f t="shared" ref="F17:G17" si="51">SUM(F18:F39)</f>
        <v>-1200000</v>
      </c>
      <c r="G17" s="166">
        <f t="shared" si="51"/>
        <v>26600704</v>
      </c>
      <c r="H17" s="114"/>
      <c r="I17" s="166">
        <f>SUM(I18:I39)</f>
        <v>23605229</v>
      </c>
      <c r="J17" s="166">
        <f t="shared" ref="J17" ca="1" si="52">SUM(J18:J39)</f>
        <v>3749760</v>
      </c>
      <c r="K17" s="166">
        <f t="shared" ref="K17" ca="1" si="53">SUM(K18:K39)</f>
        <v>27354989</v>
      </c>
      <c r="L17" s="114"/>
      <c r="M17" s="166">
        <f t="shared" ref="M17" ca="1" si="54">SUM(M18:M39)</f>
        <v>-754285</v>
      </c>
      <c r="N17" s="58"/>
      <c r="O17" s="38" t="str">
        <f t="shared" ca="1" si="46"/>
        <v>ERROR</v>
      </c>
      <c r="P17" s="39" t="str">
        <f t="shared" ca="1" si="47"/>
        <v>Please insert comment</v>
      </c>
      <c r="Q17" s="35"/>
      <c r="T17" s="41" t="str">
        <f>IF(F8=S12,"","ERROR")</f>
        <v>ERROR</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-255653</v>
      </c>
    </row>
    <row r="19" spans="1:63">
      <c r="A19" s="80">
        <f t="shared" si="29"/>
        <v>7</v>
      </c>
      <c r="B19" s="64">
        <f>+'Taxes RCA 2022'!A12</f>
        <v>7</v>
      </c>
      <c r="C19" s="68" t="str">
        <f>+'Taxes RCA 2022'!B12</f>
        <v>Contribution au développement social (CDS)</v>
      </c>
      <c r="E19" s="165">
        <v>3836564</v>
      </c>
      <c r="F19" s="165">
        <f t="shared" si="55"/>
        <v>0</v>
      </c>
      <c r="G19" s="165">
        <f t="shared" si="56"/>
        <v>3836564</v>
      </c>
      <c r="H19" s="114"/>
      <c r="I19" s="165">
        <v>4335196</v>
      </c>
      <c r="J19" s="165">
        <f t="shared" ca="1" si="57"/>
        <v>0</v>
      </c>
      <c r="K19" s="165">
        <f t="shared" ca="1" si="58"/>
        <v>4335196</v>
      </c>
      <c r="L19" s="114"/>
      <c r="M19" s="165">
        <f t="shared" ca="1" si="59"/>
        <v>-498632</v>
      </c>
      <c r="N19" s="68" t="s">
        <v>229</v>
      </c>
      <c r="O19" s="38" t="str">
        <f t="shared" ca="1" si="60"/>
        <v/>
      </c>
      <c r="P19" s="39" t="str">
        <f t="shared" ca="1" si="61"/>
        <v/>
      </c>
      <c r="Q19" s="35"/>
      <c r="W19" s="41" t="str">
        <f ca="1">IF(M8=V15,"","ERROR")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v>1728000</v>
      </c>
      <c r="F20" s="114">
        <f t="shared" si="55"/>
        <v>0</v>
      </c>
      <c r="G20" s="114">
        <f t="shared" si="56"/>
        <v>1728000</v>
      </c>
      <c r="H20" s="114"/>
      <c r="I20" s="114">
        <v>1728000</v>
      </c>
      <c r="J20" s="114">
        <f t="shared" ca="1" si="57"/>
        <v>0</v>
      </c>
      <c r="K20" s="114">
        <f t="shared" ca="1" si="58"/>
        <v>1728000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v>17754140</v>
      </c>
      <c r="F21" s="165">
        <f t="shared" si="55"/>
        <v>0</v>
      </c>
      <c r="G21" s="165">
        <f t="shared" si="56"/>
        <v>17754140</v>
      </c>
      <c r="H21" s="114"/>
      <c r="I21" s="165">
        <v>14260033</v>
      </c>
      <c r="J21" s="165">
        <f ca="1">SUMIF($J$84:$M$749,C21,$Q$84:$Q$749)</f>
        <v>3749760</v>
      </c>
      <c r="K21" s="165">
        <f t="shared" ca="1" si="58"/>
        <v>18009793</v>
      </c>
      <c r="L21" s="114"/>
      <c r="M21" s="165">
        <f t="shared" ca="1" si="59"/>
        <v>-255653</v>
      </c>
      <c r="N21" s="68" t="s">
        <v>229</v>
      </c>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v>1200000</v>
      </c>
      <c r="F23" s="165">
        <f>+G86</f>
        <v>-1200000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v>1000000</v>
      </c>
      <c r="F24" s="114">
        <f t="shared" si="55"/>
        <v>0</v>
      </c>
      <c r="G24" s="114">
        <f t="shared" si="56"/>
        <v>1000000</v>
      </c>
      <c r="H24" s="114"/>
      <c r="I24" s="114">
        <v>1000000</v>
      </c>
      <c r="J24" s="114">
        <f t="shared" ca="1" si="57"/>
        <v>0</v>
      </c>
      <c r="K24" s="114">
        <f t="shared" ca="1" si="58"/>
        <v>1000000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v>1850000</v>
      </c>
      <c r="F28" s="114">
        <f t="shared" si="55"/>
        <v>0</v>
      </c>
      <c r="G28" s="114">
        <f t="shared" si="56"/>
        <v>1850000</v>
      </c>
      <c r="H28" s="114"/>
      <c r="I28" s="114">
        <v>1850000</v>
      </c>
      <c r="J28" s="114">
        <f t="shared" ca="1" si="57"/>
        <v>0</v>
      </c>
      <c r="K28" s="114">
        <f t="shared" ca="1" si="58"/>
        <v>1850000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v>432000</v>
      </c>
      <c r="F32" s="114">
        <f t="shared" si="55"/>
        <v>0</v>
      </c>
      <c r="G32" s="114">
        <f t="shared" si="56"/>
        <v>432000</v>
      </c>
      <c r="H32" s="114"/>
      <c r="I32" s="114">
        <v>432000</v>
      </c>
      <c r="J32" s="114">
        <f t="shared" ca="1" si="57"/>
        <v>0</v>
      </c>
      <c r="K32" s="114">
        <f t="shared" ca="1" si="58"/>
        <v>432000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18800000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2600000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21800000</v>
      </c>
      <c r="F40" s="166">
        <f>SUM(F41:F44)</f>
        <v>1307838.05</v>
      </c>
      <c r="G40" s="166">
        <f>SUM(G41:G44)</f>
        <v>23107838.050000001</v>
      </c>
      <c r="H40" s="114"/>
      <c r="I40" s="166">
        <f>SUM(I41:I44)</f>
        <v>1307838.05</v>
      </c>
      <c r="J40" s="166">
        <f ca="1">SUM(J41:J44)</f>
        <v>3000000</v>
      </c>
      <c r="K40" s="166">
        <f ca="1">SUM(K41:K44)</f>
        <v>4307838.05</v>
      </c>
      <c r="L40" s="114"/>
      <c r="M40" s="166">
        <f ca="1">SUM(M41:M44)</f>
        <v>18800000</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16200000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v>5600000</v>
      </c>
      <c r="F42" s="165"/>
      <c r="G42" s="165">
        <f>E42+F42</f>
        <v>5600000</v>
      </c>
      <c r="H42" s="114"/>
      <c r="I42" s="165"/>
      <c r="J42" s="165">
        <f>Q92</f>
        <v>3000000</v>
      </c>
      <c r="K42" s="165">
        <f>I42+J42</f>
        <v>3000000</v>
      </c>
      <c r="L42" s="114"/>
      <c r="M42" s="165">
        <f>+G42-K42</f>
        <v>2600000</v>
      </c>
      <c r="N42" s="68" t="s">
        <v>54</v>
      </c>
      <c r="O42" s="38" t="str">
        <f t="shared" si="46"/>
        <v/>
      </c>
      <c r="P42" s="39" t="str">
        <f t="shared" si="88"/>
        <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v>16200000</v>
      </c>
      <c r="F43" s="114">
        <f>SUMIF($A$84:$A$751,B43&amp;"- "&amp;C43,$G$84:$G$751)</f>
        <v>0</v>
      </c>
      <c r="G43" s="114">
        <f>E43+F43</f>
        <v>16200000</v>
      </c>
      <c r="H43" s="114"/>
      <c r="I43" s="114"/>
      <c r="J43" s="114">
        <f ca="1">SUMIF($J$84:$M$749,B43&amp;"- "&amp;C43,$Q$84:$Q$749)</f>
        <v>0</v>
      </c>
      <c r="K43" s="114">
        <f ca="1">I43+J43</f>
        <v>0</v>
      </c>
      <c r="L43" s="114"/>
      <c r="M43" s="114">
        <f ca="1">+G43-K43</f>
        <v>16200000</v>
      </c>
      <c r="N43" s="18" t="s">
        <v>54</v>
      </c>
      <c r="O43" s="38" t="str">
        <f t="shared" ca="1" si="46"/>
        <v/>
      </c>
      <c r="P43" s="39" t="str">
        <f t="shared" ca="1" si="88"/>
        <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+G89</f>
        <v>1307838.05</v>
      </c>
      <c r="G44" s="165">
        <f>E44+F44</f>
        <v>1307838.05</v>
      </c>
      <c r="H44" s="114"/>
      <c r="I44" s="165">
        <v>1307838.05</v>
      </c>
      <c r="J44" s="165">
        <f ca="1">SUMIF($J$84:$M$749,B44&amp;"- "&amp;C44,$Q$84:$Q$749)</f>
        <v>0</v>
      </c>
      <c r="K44" s="165">
        <f ca="1">I44+J44</f>
        <v>1307838.05</v>
      </c>
      <c r="L44" s="114"/>
      <c r="M44" s="165">
        <f ca="1">+G44-K44</f>
        <v>0</v>
      </c>
      <c r="N44" s="68"/>
      <c r="O44" s="38" t="str">
        <f t="shared" ca="1" si="46"/>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800000</v>
      </c>
      <c r="F45" s="166">
        <f>+F46</f>
        <v>0</v>
      </c>
      <c r="G45" s="166">
        <f>+G46</f>
        <v>800000</v>
      </c>
      <c r="H45" s="114"/>
      <c r="I45" s="166">
        <f>+I46</f>
        <v>0</v>
      </c>
      <c r="J45" s="166">
        <f>+J46</f>
        <v>800000</v>
      </c>
      <c r="K45" s="166">
        <f>+K46</f>
        <v>800000</v>
      </c>
      <c r="L45" s="114"/>
      <c r="M45" s="166">
        <f>+M46</f>
        <v>0</v>
      </c>
      <c r="N45" s="58"/>
      <c r="O45" s="38" t="str">
        <f t="shared" si="46"/>
        <v/>
      </c>
      <c r="P45" s="39" t="str">
        <f t="shared"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v>800000</v>
      </c>
      <c r="F46" s="165">
        <f>SUMIF($A$84:$A$751,B46&amp;"- "&amp;C46,$G$84:$G$751)</f>
        <v>0</v>
      </c>
      <c r="G46" s="165">
        <f>E46+F46</f>
        <v>800000</v>
      </c>
      <c r="H46" s="114"/>
      <c r="I46" s="165"/>
      <c r="J46" s="165">
        <f>+Q88</f>
        <v>800000</v>
      </c>
      <c r="K46" s="165">
        <f>I46+J46</f>
        <v>800000</v>
      </c>
      <c r="L46" s="114"/>
      <c r="M46" s="165">
        <f>+G46-K46</f>
        <v>0</v>
      </c>
      <c r="N46" s="68" t="s">
        <v>229</v>
      </c>
      <c r="O46" s="38" t="str">
        <f t="shared" si="46"/>
        <v/>
      </c>
      <c r="P46" s="39" t="str">
        <f t="shared"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t="str">
        <f t="shared" ref="O56:O62" ca="1" si="122">IF(M56=0,"",IF(N56=0,"ERROR",""))</f>
        <v/>
      </c>
      <c r="P56" s="39" t="str">
        <f t="shared" ref="P56:P62" ca="1" si="123">IF(O56="ERROR","Please insert comment","")</f>
        <v/>
      </c>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t="str">
        <f t="shared" ca="1" si="122"/>
        <v/>
      </c>
      <c r="P57" s="39" t="str">
        <f t="shared" ca="1" si="123"/>
        <v/>
      </c>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t="str">
        <f t="shared" ca="1" si="122"/>
        <v/>
      </c>
      <c r="P58" s="39" t="str">
        <f t="shared" ca="1" si="123"/>
        <v/>
      </c>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t="str">
        <f t="shared" ca="1" si="122"/>
        <v/>
      </c>
      <c r="P59" s="39" t="str">
        <f t="shared" ca="1" si="123"/>
        <v/>
      </c>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t="str">
        <f t="shared" ca="1" si="122"/>
        <v/>
      </c>
      <c r="P60" s="39" t="str">
        <f t="shared" ca="1" si="123"/>
        <v/>
      </c>
      <c r="Y60" s="15"/>
      <c r="Z60" s="25" t="str">
        <f t="shared" si="110"/>
        <v xml:space="preserve">Fonds du soutien à la Promotion Pétrolière </v>
      </c>
      <c r="AA60" s="16">
        <f>SUM(AA61:AA64)</f>
        <v>0</v>
      </c>
      <c r="AB60" s="16">
        <f t="shared" ref="AB60:AJ60" si="124">SUM(AB61:AB64)</f>
        <v>0</v>
      </c>
      <c r="AC60" s="16">
        <f t="shared" si="124"/>
        <v>0</v>
      </c>
      <c r="AD60" s="16">
        <f t="shared" si="124"/>
        <v>0</v>
      </c>
      <c r="AE60" s="16">
        <f t="shared" si="124"/>
        <v>0</v>
      </c>
      <c r="AF60" s="16">
        <f t="shared" si="124"/>
        <v>0</v>
      </c>
      <c r="AG60" s="16">
        <f t="shared" si="124"/>
        <v>0</v>
      </c>
      <c r="AH60" s="16">
        <f t="shared" si="124"/>
        <v>0</v>
      </c>
      <c r="AI60" s="16">
        <f t="shared" si="124"/>
        <v>0</v>
      </c>
      <c r="AJ60" s="16">
        <f t="shared" si="124"/>
        <v>0</v>
      </c>
      <c r="AL60" s="17"/>
      <c r="AM60" s="26" t="str">
        <f t="shared" si="111"/>
        <v xml:space="preserve">Fonds du soutien à la Promotion Pétrolière </v>
      </c>
      <c r="AN60" s="18">
        <f t="shared" ref="AN60:AV60" si="125">SUM(AN61:AN64)</f>
        <v>0</v>
      </c>
      <c r="AO60" s="18">
        <f t="shared" si="125"/>
        <v>0</v>
      </c>
      <c r="AP60" s="18">
        <f t="shared" si="125"/>
        <v>0</v>
      </c>
      <c r="AQ60" s="18">
        <f t="shared" si="125"/>
        <v>0</v>
      </c>
      <c r="AR60" s="18">
        <f t="shared" si="125"/>
        <v>0</v>
      </c>
      <c r="AS60" s="18">
        <f t="shared" si="125"/>
        <v>0</v>
      </c>
      <c r="AT60" s="18">
        <f t="shared" si="125"/>
        <v>0</v>
      </c>
      <c r="AU60" s="18">
        <f t="shared" si="125"/>
        <v>0</v>
      </c>
      <c r="AV60" s="18">
        <f t="shared" si="125"/>
        <v>0</v>
      </c>
      <c r="AW60" s="18"/>
      <c r="AX60" s="17"/>
      <c r="AY60" s="26" t="str">
        <f t="shared" si="112"/>
        <v xml:space="preserve">Fonds du soutien à la Promotion Pétrolière </v>
      </c>
      <c r="AZ60" s="18">
        <f t="shared" ref="AZ60:BK60" ca="1" si="126">SUM(AZ61:AZ64)</f>
        <v>0</v>
      </c>
      <c r="BA60" s="18">
        <f t="shared" ca="1" si="126"/>
        <v>0</v>
      </c>
      <c r="BB60" s="18">
        <f t="shared" ca="1" si="126"/>
        <v>0</v>
      </c>
      <c r="BC60" s="18">
        <f t="shared" ca="1" si="126"/>
        <v>0</v>
      </c>
      <c r="BD60" s="18">
        <f t="shared" ca="1" si="126"/>
        <v>0</v>
      </c>
      <c r="BE60" s="18">
        <f t="shared" ca="1" si="126"/>
        <v>0</v>
      </c>
      <c r="BF60" s="18">
        <f t="shared" ca="1" si="126"/>
        <v>0</v>
      </c>
      <c r="BG60" s="18">
        <f t="shared" ca="1" si="126"/>
        <v>0</v>
      </c>
      <c r="BH60" s="18">
        <f t="shared" ca="1" si="126"/>
        <v>0</v>
      </c>
      <c r="BI60" s="18">
        <f t="shared" ca="1" si="126"/>
        <v>0</v>
      </c>
      <c r="BJ60" s="18">
        <f t="shared" ca="1" si="126"/>
        <v>0</v>
      </c>
      <c r="BK60" s="18">
        <f t="shared" ca="1" si="126"/>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7">SUMPRODUCT(($A$84:$A$751=$Y61&amp;"- "&amp;$Z61)*($C$84:$C$751=AA$1)*($G$84:$G$751))</f>
        <v>0</v>
      </c>
      <c r="AB61" s="16">
        <f t="shared" si="127"/>
        <v>0</v>
      </c>
      <c r="AC61" s="16">
        <f t="shared" si="127"/>
        <v>0</v>
      </c>
      <c r="AD61" s="16">
        <f t="shared" si="127"/>
        <v>0</v>
      </c>
      <c r="AE61" s="16">
        <f t="shared" si="127"/>
        <v>0</v>
      </c>
      <c r="AF61" s="16">
        <f t="shared" si="127"/>
        <v>0</v>
      </c>
      <c r="AG61" s="16">
        <f t="shared" si="127"/>
        <v>0</v>
      </c>
      <c r="AH61" s="16">
        <f t="shared" si="127"/>
        <v>0</v>
      </c>
      <c r="AI61" s="16">
        <f t="shared" si="127"/>
        <v>0</v>
      </c>
      <c r="AJ61" s="16">
        <f>SUM(AA61:AI61)</f>
        <v>0</v>
      </c>
      <c r="AL61" s="17">
        <f>+B64</f>
        <v>45</v>
      </c>
      <c r="AM61" s="26" t="str">
        <f t="shared" si="111"/>
        <v>Fonds de Soutien aux projets de Développement Communautaire</v>
      </c>
      <c r="AN61" s="18">
        <f t="shared" ref="AN61:AU61" si="128">SUMPRODUCT(($J$84:$M$748=$AL61&amp;"- "&amp;$AM61)*($N$84:$N$748=AN$1)*($Q$84:$Q$748))</f>
        <v>0</v>
      </c>
      <c r="AO61" s="18">
        <f t="shared" si="128"/>
        <v>0</v>
      </c>
      <c r="AP61" s="18">
        <f t="shared" si="128"/>
        <v>0</v>
      </c>
      <c r="AQ61" s="18">
        <f t="shared" si="128"/>
        <v>0</v>
      </c>
      <c r="AR61" s="18">
        <f t="shared" si="128"/>
        <v>0</v>
      </c>
      <c r="AS61" s="18">
        <f t="shared" si="128"/>
        <v>0</v>
      </c>
      <c r="AT61" s="18">
        <f t="shared" si="128"/>
        <v>0</v>
      </c>
      <c r="AU61" s="18">
        <f t="shared" si="128"/>
        <v>0</v>
      </c>
      <c r="AV61" s="18">
        <f>SUM(AN61:AU61)</f>
        <v>0</v>
      </c>
      <c r="AW61" s="18"/>
      <c r="AX61" s="17">
        <f>B64</f>
        <v>45</v>
      </c>
      <c r="AY61" s="26" t="str">
        <f t="shared" si="112"/>
        <v>Fonds de Soutien aux projets de Développement Communautaire</v>
      </c>
      <c r="AZ61" s="18">
        <f t="shared" ref="AZ61:BK61" ca="1" si="129">SUMPRODUCT(($C$10:$C$75=$AY61)*($N$10:$N$75=AZ$1)*($M$10:$M$75))</f>
        <v>0</v>
      </c>
      <c r="BA61" s="18">
        <f t="shared" ca="1" si="129"/>
        <v>0</v>
      </c>
      <c r="BB61" s="18">
        <f t="shared" ca="1" si="129"/>
        <v>0</v>
      </c>
      <c r="BC61" s="18">
        <f t="shared" ca="1" si="129"/>
        <v>0</v>
      </c>
      <c r="BD61" s="18">
        <f t="shared" ca="1" si="129"/>
        <v>0</v>
      </c>
      <c r="BE61" s="18">
        <f t="shared" ca="1" si="129"/>
        <v>0</v>
      </c>
      <c r="BF61" s="18">
        <f t="shared" ca="1" si="129"/>
        <v>0</v>
      </c>
      <c r="BG61" s="18">
        <f t="shared" ca="1" si="129"/>
        <v>0</v>
      </c>
      <c r="BH61" s="18">
        <f t="shared" ca="1" si="129"/>
        <v>0</v>
      </c>
      <c r="BI61" s="18">
        <f t="shared" ca="1" si="129"/>
        <v>0</v>
      </c>
      <c r="BJ61" s="18">
        <f t="shared" ca="1" si="129"/>
        <v>0</v>
      </c>
      <c r="BK61" s="18">
        <f t="shared" ca="1" si="129"/>
        <v>0</v>
      </c>
    </row>
    <row r="62" spans="1:63">
      <c r="A62" s="80"/>
      <c r="B62" s="163"/>
      <c r="C62" s="58" t="str">
        <f>+'Taxes RCA 2022'!B55</f>
        <v>DGTCP (DGP)</v>
      </c>
      <c r="E62" s="166">
        <f>+E64+E63</f>
        <v>0</v>
      </c>
      <c r="F62" s="166">
        <f t="shared" ref="F62:G62" si="130">+F64+F63</f>
        <v>0</v>
      </c>
      <c r="G62" s="166">
        <f t="shared" si="130"/>
        <v>0</v>
      </c>
      <c r="H62" s="114"/>
      <c r="I62" s="166">
        <f>+I64+I63</f>
        <v>0</v>
      </c>
      <c r="J62" s="166">
        <f t="shared" ref="J62" ca="1" si="131">+J64+J63</f>
        <v>0</v>
      </c>
      <c r="K62" s="166">
        <f t="shared" ref="K62" ca="1" si="132">+K64+K63</f>
        <v>0</v>
      </c>
      <c r="L62" s="114"/>
      <c r="M62" s="166">
        <f t="shared" ref="M62" ca="1" si="133">+M64+M63</f>
        <v>0</v>
      </c>
      <c r="N62" s="58"/>
      <c r="O62" s="38" t="str">
        <f t="shared" ca="1" si="122"/>
        <v/>
      </c>
      <c r="P62" s="39" t="str">
        <f t="shared" ca="1" si="123"/>
        <v/>
      </c>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4">SUMPRODUCT(($A$84:$A$751=$Y63&amp;"- "&amp;$Z63)*($C$84:$C$751=AA$1)*($G$84:$G$751))</f>
        <v>0</v>
      </c>
      <c r="AB63" s="16">
        <f t="shared" si="134"/>
        <v>0</v>
      </c>
      <c r="AC63" s="16">
        <f t="shared" si="134"/>
        <v>0</v>
      </c>
      <c r="AD63" s="16">
        <f t="shared" si="134"/>
        <v>0</v>
      </c>
      <c r="AE63" s="16">
        <f t="shared" si="134"/>
        <v>0</v>
      </c>
      <c r="AF63" s="16">
        <f t="shared" si="134"/>
        <v>0</v>
      </c>
      <c r="AG63" s="16">
        <f t="shared" si="134"/>
        <v>0</v>
      </c>
      <c r="AH63" s="16">
        <f t="shared" si="134"/>
        <v>0</v>
      </c>
      <c r="AI63" s="16">
        <f t="shared" si="134"/>
        <v>0</v>
      </c>
      <c r="AJ63" s="16">
        <f>SUM(AA63:AI63)</f>
        <v>0</v>
      </c>
      <c r="AL63" s="17">
        <f>+B65</f>
        <v>0</v>
      </c>
      <c r="AM63" s="26" t="str">
        <f>+C65</f>
        <v xml:space="preserve">Paiements Sociaux </v>
      </c>
      <c r="AN63" s="18">
        <f t="shared" ref="AN63:AU64" si="135">SUMPRODUCT(($J$84:$M$748=$AL63&amp;"- "&amp;$AM63)*($N$84:$N$748=AN$1)*($Q$84:$Q$748))</f>
        <v>0</v>
      </c>
      <c r="AO63" s="18">
        <f t="shared" si="135"/>
        <v>0</v>
      </c>
      <c r="AP63" s="18">
        <f t="shared" si="135"/>
        <v>0</v>
      </c>
      <c r="AQ63" s="18">
        <f t="shared" si="135"/>
        <v>0</v>
      </c>
      <c r="AR63" s="18">
        <f t="shared" si="135"/>
        <v>0</v>
      </c>
      <c r="AS63" s="18">
        <f t="shared" si="135"/>
        <v>0</v>
      </c>
      <c r="AT63" s="18">
        <f t="shared" si="135"/>
        <v>0</v>
      </c>
      <c r="AU63" s="18">
        <f t="shared" si="135"/>
        <v>0</v>
      </c>
      <c r="AV63" s="18">
        <f>SUM(AN63:AU63)</f>
        <v>0</v>
      </c>
      <c r="AW63" s="18"/>
      <c r="AX63" s="17">
        <f>B65</f>
        <v>0</v>
      </c>
      <c r="AY63" s="26" t="str">
        <f>C65</f>
        <v xml:space="preserve">Paiements Sociaux </v>
      </c>
      <c r="AZ63" s="18">
        <f t="shared" ref="AZ63:BK64" ca="1" si="136">SUMPRODUCT(($C$10:$C$75=$AY63)*($N$10:$N$75=AZ$1)*($M$10:$M$75))</f>
        <v>0</v>
      </c>
      <c r="BA63" s="18">
        <f t="shared" ca="1" si="136"/>
        <v>0</v>
      </c>
      <c r="BB63" s="18">
        <f t="shared" ca="1" si="136"/>
        <v>0</v>
      </c>
      <c r="BC63" s="18">
        <f t="shared" ca="1" si="136"/>
        <v>0</v>
      </c>
      <c r="BD63" s="18">
        <f t="shared" ca="1" si="136"/>
        <v>0</v>
      </c>
      <c r="BE63" s="18">
        <f t="shared" ca="1" si="136"/>
        <v>0</v>
      </c>
      <c r="BF63" s="18">
        <f t="shared" ca="1" si="136"/>
        <v>0</v>
      </c>
      <c r="BG63" s="18">
        <f t="shared" ca="1" si="136"/>
        <v>0</v>
      </c>
      <c r="BH63" s="18">
        <f t="shared" ca="1" si="136"/>
        <v>0</v>
      </c>
      <c r="BI63" s="18">
        <f t="shared" ca="1" si="136"/>
        <v>0</v>
      </c>
      <c r="BJ63" s="18">
        <f t="shared" ca="1" si="136"/>
        <v>0</v>
      </c>
      <c r="BK63" s="18">
        <f t="shared" ca="1" si="136"/>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4"/>
        <v>0</v>
      </c>
      <c r="AB64" s="16">
        <f t="shared" si="134"/>
        <v>0</v>
      </c>
      <c r="AC64" s="16">
        <f t="shared" si="134"/>
        <v>0</v>
      </c>
      <c r="AD64" s="16">
        <f t="shared" si="134"/>
        <v>0</v>
      </c>
      <c r="AE64" s="16">
        <f t="shared" si="134"/>
        <v>0</v>
      </c>
      <c r="AF64" s="16">
        <f t="shared" si="134"/>
        <v>0</v>
      </c>
      <c r="AG64" s="16">
        <f t="shared" si="134"/>
        <v>0</v>
      </c>
      <c r="AH64" s="16">
        <f t="shared" si="134"/>
        <v>0</v>
      </c>
      <c r="AI64" s="16">
        <f t="shared" si="134"/>
        <v>0</v>
      </c>
      <c r="AJ64" s="16">
        <f>SUM(AA64:AI64)</f>
        <v>0</v>
      </c>
      <c r="AL64" s="17">
        <f>+B66</f>
        <v>46</v>
      </c>
      <c r="AM64" s="26" t="str">
        <f>+C66</f>
        <v>Paiements sociaux obligatoires</v>
      </c>
      <c r="AN64" s="18">
        <f t="shared" si="135"/>
        <v>0</v>
      </c>
      <c r="AO64" s="18">
        <f t="shared" si="135"/>
        <v>0</v>
      </c>
      <c r="AP64" s="18">
        <f t="shared" si="135"/>
        <v>0</v>
      </c>
      <c r="AQ64" s="18">
        <f t="shared" si="135"/>
        <v>0</v>
      </c>
      <c r="AR64" s="18">
        <f t="shared" si="135"/>
        <v>0</v>
      </c>
      <c r="AS64" s="18">
        <f t="shared" si="135"/>
        <v>0</v>
      </c>
      <c r="AT64" s="18">
        <f t="shared" si="135"/>
        <v>0</v>
      </c>
      <c r="AU64" s="18">
        <f t="shared" si="135"/>
        <v>0</v>
      </c>
      <c r="AV64" s="18">
        <f>SUM(AN64:AU64)</f>
        <v>0</v>
      </c>
      <c r="AW64" s="38"/>
      <c r="AX64" s="17">
        <f>B66</f>
        <v>46</v>
      </c>
      <c r="AY64" s="26" t="str">
        <f>C66</f>
        <v>Paiements sociaux obligatoires</v>
      </c>
      <c r="AZ64" s="18">
        <f t="shared" ca="1" si="136"/>
        <v>0</v>
      </c>
      <c r="BA64" s="18">
        <f t="shared" ca="1" si="136"/>
        <v>0</v>
      </c>
      <c r="BB64" s="18">
        <f t="shared" ca="1" si="136"/>
        <v>0</v>
      </c>
      <c r="BC64" s="18">
        <f t="shared" ca="1" si="136"/>
        <v>0</v>
      </c>
      <c r="BD64" s="18">
        <f t="shared" ca="1" si="136"/>
        <v>0</v>
      </c>
      <c r="BE64" s="18">
        <f t="shared" ca="1" si="136"/>
        <v>0</v>
      </c>
      <c r="BF64" s="18">
        <f t="shared" ca="1" si="136"/>
        <v>0</v>
      </c>
      <c r="BG64" s="18">
        <f t="shared" ca="1" si="136"/>
        <v>0</v>
      </c>
      <c r="BH64" s="18">
        <f t="shared" ca="1" si="136"/>
        <v>0</v>
      </c>
      <c r="BI64" s="18">
        <f t="shared" ca="1" si="136"/>
        <v>0</v>
      </c>
      <c r="BJ64" s="18">
        <f t="shared" ca="1" si="136"/>
        <v>0</v>
      </c>
      <c r="BK64" s="18">
        <f t="shared" ca="1" si="136"/>
        <v>0</v>
      </c>
    </row>
    <row r="65" spans="1:64">
      <c r="A65" s="80">
        <f t="shared" si="29"/>
        <v>0</v>
      </c>
      <c r="B65" s="163"/>
      <c r="C65" s="58" t="str">
        <f>+'Taxes RCA 2022'!B58</f>
        <v xml:space="preserve">Paiements Sociaux </v>
      </c>
      <c r="E65" s="166">
        <f>+E67+E66</f>
        <v>9489800</v>
      </c>
      <c r="F65" s="166">
        <f t="shared" ref="F65:G65" si="137">+F67+F66</f>
        <v>-9489800</v>
      </c>
      <c r="G65" s="166">
        <f t="shared" si="137"/>
        <v>0</v>
      </c>
      <c r="H65" s="114"/>
      <c r="I65" s="166">
        <f>+I67+I66</f>
        <v>0</v>
      </c>
      <c r="J65" s="166">
        <f t="shared" ref="J65" ca="1" si="138">+J67+J66</f>
        <v>0</v>
      </c>
      <c r="K65" s="166">
        <f t="shared" ref="K65" ca="1" si="139">+K67+K66</f>
        <v>0</v>
      </c>
      <c r="L65" s="114"/>
      <c r="M65" s="166">
        <f t="shared" ref="M65" ca="1" si="140">+M67+M66</f>
        <v>0</v>
      </c>
      <c r="N65" s="58"/>
      <c r="O65" s="38" t="str">
        <f t="shared" ca="1" si="46"/>
        <v/>
      </c>
      <c r="P65" s="39" t="str">
        <f ca="1">IF(O65="ERROR","Please insert comment","")</f>
        <v/>
      </c>
      <c r="Y65" s="15"/>
      <c r="Z65" s="25" t="str">
        <f t="shared" ref="Z65:Z73" si="141">C67</f>
        <v>Paiements sociaux volontaires</v>
      </c>
      <c r="AA65" s="16">
        <f>SUM(AA66:AA67)</f>
        <v>0</v>
      </c>
      <c r="AB65" s="16">
        <f t="shared" ref="AB65:AJ65" si="142">SUM(AB66:AB67)</f>
        <v>0</v>
      </c>
      <c r="AC65" s="16">
        <f t="shared" si="142"/>
        <v>0</v>
      </c>
      <c r="AD65" s="16">
        <f t="shared" si="142"/>
        <v>0</v>
      </c>
      <c r="AE65" s="16">
        <f t="shared" si="142"/>
        <v>0</v>
      </c>
      <c r="AF65" s="16">
        <f t="shared" si="142"/>
        <v>0</v>
      </c>
      <c r="AG65" s="16">
        <f t="shared" si="142"/>
        <v>0</v>
      </c>
      <c r="AH65" s="16">
        <f t="shared" si="142"/>
        <v>0</v>
      </c>
      <c r="AI65" s="16">
        <f t="shared" si="142"/>
        <v>0</v>
      </c>
      <c r="AJ65" s="16">
        <f t="shared" si="142"/>
        <v>0</v>
      </c>
      <c r="AL65" s="17"/>
      <c r="AM65" s="26" t="str">
        <f t="shared" ref="AM65:AM73" si="143">+C67</f>
        <v>Paiements sociaux volontaires</v>
      </c>
      <c r="AN65" s="18">
        <f>SUM(AN66:AN67)</f>
        <v>0</v>
      </c>
      <c r="AO65" s="18">
        <f t="shared" ref="AO65:AV65" si="144">SUM(AO66:AO67)</f>
        <v>0</v>
      </c>
      <c r="AP65" s="18">
        <f t="shared" si="144"/>
        <v>0</v>
      </c>
      <c r="AQ65" s="18">
        <f t="shared" si="144"/>
        <v>0</v>
      </c>
      <c r="AR65" s="18">
        <f t="shared" si="144"/>
        <v>0</v>
      </c>
      <c r="AS65" s="18">
        <f t="shared" si="144"/>
        <v>0</v>
      </c>
      <c r="AT65" s="18">
        <f t="shared" si="144"/>
        <v>0</v>
      </c>
      <c r="AU65" s="18">
        <f t="shared" si="144"/>
        <v>0</v>
      </c>
      <c r="AV65" s="18">
        <f t="shared" si="144"/>
        <v>0</v>
      </c>
      <c r="AW65" s="18"/>
      <c r="AX65" s="17"/>
      <c r="AY65" s="26" t="str">
        <f t="shared" ref="AY65:AY73" si="145">C67</f>
        <v>Paiements sociaux volontaires</v>
      </c>
      <c r="AZ65" s="18">
        <f ca="1">SUM(AZ66:AZ67)</f>
        <v>0</v>
      </c>
      <c r="BA65" s="18">
        <f t="shared" ref="BA65:BK65" ca="1" si="146">SUM(BA66:BA67)</f>
        <v>0</v>
      </c>
      <c r="BB65" s="18">
        <f t="shared" ca="1" si="146"/>
        <v>0</v>
      </c>
      <c r="BC65" s="18">
        <f t="shared" ca="1" si="146"/>
        <v>0</v>
      </c>
      <c r="BD65" s="18">
        <f t="shared" ca="1" si="146"/>
        <v>0</v>
      </c>
      <c r="BE65" s="18">
        <f t="shared" ca="1" si="146"/>
        <v>0</v>
      </c>
      <c r="BF65" s="18">
        <f t="shared" ca="1" si="146"/>
        <v>0</v>
      </c>
      <c r="BG65" s="18">
        <f t="shared" ca="1" si="146"/>
        <v>0</v>
      </c>
      <c r="BH65" s="18">
        <f t="shared" ca="1" si="146"/>
        <v>0</v>
      </c>
      <c r="BI65" s="18">
        <f t="shared" ca="1" si="146"/>
        <v>0</v>
      </c>
      <c r="BJ65" s="18">
        <f t="shared" ca="1" si="146"/>
        <v>0</v>
      </c>
      <c r="BK65" s="18">
        <f t="shared" ca="1" si="146"/>
        <v>0</v>
      </c>
    </row>
    <row r="66" spans="1:64">
      <c r="A66" s="80">
        <f t="shared" si="29"/>
        <v>46</v>
      </c>
      <c r="B66" s="53">
        <f>+'Taxes RCA 2022'!A59</f>
        <v>46</v>
      </c>
      <c r="C66" s="18" t="str">
        <f>+'Taxes RCA 2022'!B59</f>
        <v>Paiements sociaux obligatoires</v>
      </c>
      <c r="E66" s="114">
        <v>9489800</v>
      </c>
      <c r="F66" s="114">
        <f>G85</f>
        <v>-9489800</v>
      </c>
      <c r="G66" s="114">
        <f>E66+F66</f>
        <v>0</v>
      </c>
      <c r="H66" s="114"/>
      <c r="I66" s="114"/>
      <c r="J66" s="114">
        <f>+Q84</f>
        <v>0</v>
      </c>
      <c r="K66" s="114">
        <f>I66+J66</f>
        <v>0</v>
      </c>
      <c r="L66" s="114"/>
      <c r="M66" s="114">
        <f>+G66-K66</f>
        <v>0</v>
      </c>
      <c r="N66" s="18"/>
      <c r="O66" s="38" t="str">
        <f t="shared" si="46"/>
        <v/>
      </c>
      <c r="P66" s="39" t="str">
        <f>IF(O66="ERROR","Please insert comment","")</f>
        <v/>
      </c>
      <c r="Y66" s="15">
        <f>B68</f>
        <v>0</v>
      </c>
      <c r="Z66" s="25" t="str">
        <f t="shared" si="141"/>
        <v>Paiements environnementaux - DGTCP (FNE)</v>
      </c>
      <c r="AA66" s="16">
        <f t="shared" ref="AA66:AI67" si="147">SUMPRODUCT(($A$84:$A$751=$Y66&amp;"- "&amp;$Z66)*($C$84:$C$751=AA$1)*($G$84:$G$751))</f>
        <v>0</v>
      </c>
      <c r="AB66" s="16">
        <f t="shared" si="147"/>
        <v>0</v>
      </c>
      <c r="AC66" s="16">
        <f t="shared" si="147"/>
        <v>0</v>
      </c>
      <c r="AD66" s="16">
        <f t="shared" si="147"/>
        <v>0</v>
      </c>
      <c r="AE66" s="16">
        <f t="shared" si="147"/>
        <v>0</v>
      </c>
      <c r="AF66" s="16">
        <f t="shared" si="147"/>
        <v>0</v>
      </c>
      <c r="AG66" s="16">
        <f t="shared" si="147"/>
        <v>0</v>
      </c>
      <c r="AH66" s="16">
        <f t="shared" si="147"/>
        <v>0</v>
      </c>
      <c r="AI66" s="16">
        <f t="shared" si="147"/>
        <v>0</v>
      </c>
      <c r="AJ66" s="16">
        <f>SUM(AA66:AI66)</f>
        <v>0</v>
      </c>
      <c r="AL66" s="17">
        <f>+B68</f>
        <v>0</v>
      </c>
      <c r="AM66" s="26" t="str">
        <f t="shared" si="143"/>
        <v>Paiements environnementaux - DGTCP (FNE)</v>
      </c>
      <c r="AN66" s="18">
        <f t="shared" ref="AN66:AU67" si="148">SUMPRODUCT(($J$84:$M$748=$AL66&amp;"- "&amp;$AM66)*($N$84:$N$748=AN$1)*($Q$84:$Q$748))</f>
        <v>0</v>
      </c>
      <c r="AO66" s="18">
        <f t="shared" si="148"/>
        <v>0</v>
      </c>
      <c r="AP66" s="18">
        <f t="shared" si="148"/>
        <v>0</v>
      </c>
      <c r="AQ66" s="18">
        <f t="shared" si="148"/>
        <v>0</v>
      </c>
      <c r="AR66" s="18">
        <f t="shared" si="148"/>
        <v>0</v>
      </c>
      <c r="AS66" s="18">
        <f t="shared" si="148"/>
        <v>0</v>
      </c>
      <c r="AT66" s="18">
        <f t="shared" si="148"/>
        <v>0</v>
      </c>
      <c r="AU66" s="18">
        <f t="shared" si="148"/>
        <v>0</v>
      </c>
      <c r="AV66" s="18">
        <f>SUM(AN66:AU66)</f>
        <v>0</v>
      </c>
      <c r="AW66" s="18"/>
      <c r="AX66" s="17">
        <f>B68</f>
        <v>0</v>
      </c>
      <c r="AY66" s="26" t="str">
        <f t="shared" si="145"/>
        <v>Paiements environnementaux - DGTCP (FNE)</v>
      </c>
      <c r="AZ66" s="18">
        <f t="shared" ref="AZ66:BK67" ca="1" si="149">SUMPRODUCT(($C$10:$C$75=$AY66)*($N$10:$N$75=AZ$1)*($M$10:$M$75))</f>
        <v>0</v>
      </c>
      <c r="BA66" s="18">
        <f t="shared" ca="1" si="149"/>
        <v>0</v>
      </c>
      <c r="BB66" s="18">
        <f t="shared" ca="1" si="149"/>
        <v>0</v>
      </c>
      <c r="BC66" s="18">
        <f t="shared" ca="1" si="149"/>
        <v>0</v>
      </c>
      <c r="BD66" s="18">
        <f t="shared" ca="1" si="149"/>
        <v>0</v>
      </c>
      <c r="BE66" s="18">
        <f t="shared" ca="1" si="149"/>
        <v>0</v>
      </c>
      <c r="BF66" s="18">
        <f t="shared" ca="1" si="149"/>
        <v>0</v>
      </c>
      <c r="BG66" s="18">
        <f t="shared" ca="1" si="149"/>
        <v>0</v>
      </c>
      <c r="BH66" s="18">
        <f t="shared" ca="1" si="149"/>
        <v>0</v>
      </c>
      <c r="BI66" s="18">
        <f t="shared" ca="1" si="149"/>
        <v>0</v>
      </c>
      <c r="BJ66" s="18">
        <f t="shared" ca="1" si="149"/>
        <v>0</v>
      </c>
      <c r="BK66" s="18">
        <f t="shared" ca="1" si="149"/>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41"/>
        <v>Taxes sur les appareils à pression de vapeur et de gaz (+)</v>
      </c>
      <c r="AA67" s="16">
        <f t="shared" si="147"/>
        <v>0</v>
      </c>
      <c r="AB67" s="16">
        <f t="shared" si="147"/>
        <v>0</v>
      </c>
      <c r="AC67" s="16">
        <f t="shared" si="147"/>
        <v>0</v>
      </c>
      <c r="AD67" s="16">
        <f t="shared" si="147"/>
        <v>0</v>
      </c>
      <c r="AE67" s="16">
        <f t="shared" si="147"/>
        <v>0</v>
      </c>
      <c r="AF67" s="16">
        <f t="shared" si="147"/>
        <v>0</v>
      </c>
      <c r="AG67" s="16">
        <f t="shared" si="147"/>
        <v>0</v>
      </c>
      <c r="AH67" s="16">
        <f t="shared" si="147"/>
        <v>0</v>
      </c>
      <c r="AI67" s="16">
        <f t="shared" si="147"/>
        <v>0</v>
      </c>
      <c r="AJ67" s="16">
        <f>SUM(AA67:AI67)</f>
        <v>0</v>
      </c>
      <c r="AL67" s="17">
        <f>+B69</f>
        <v>48</v>
      </c>
      <c r="AM67" s="26" t="str">
        <f t="shared" si="143"/>
        <v>Taxes sur les appareils à pression de vapeur et de gaz (+)</v>
      </c>
      <c r="AN67" s="18">
        <f t="shared" si="148"/>
        <v>0</v>
      </c>
      <c r="AO67" s="18">
        <f t="shared" si="148"/>
        <v>0</v>
      </c>
      <c r="AP67" s="18">
        <f t="shared" si="148"/>
        <v>0</v>
      </c>
      <c r="AQ67" s="18">
        <f t="shared" si="148"/>
        <v>0</v>
      </c>
      <c r="AR67" s="18">
        <f t="shared" si="148"/>
        <v>0</v>
      </c>
      <c r="AS67" s="18">
        <f t="shared" si="148"/>
        <v>0</v>
      </c>
      <c r="AT67" s="18">
        <f t="shared" si="148"/>
        <v>0</v>
      </c>
      <c r="AU67" s="18">
        <f t="shared" si="148"/>
        <v>0</v>
      </c>
      <c r="AV67" s="18">
        <f>SUM(AN67:AU67)</f>
        <v>0</v>
      </c>
      <c r="AW67" s="18"/>
      <c r="AX67" s="17">
        <f>B69</f>
        <v>48</v>
      </c>
      <c r="AY67" s="26" t="str">
        <f t="shared" si="145"/>
        <v>Taxes sur les appareils à pression de vapeur et de gaz (+)</v>
      </c>
      <c r="AZ67" s="18">
        <f t="shared" ca="1" si="149"/>
        <v>0</v>
      </c>
      <c r="BA67" s="18">
        <f t="shared" ca="1" si="149"/>
        <v>0</v>
      </c>
      <c r="BB67" s="18">
        <f t="shared" ca="1" si="149"/>
        <v>0</v>
      </c>
      <c r="BC67" s="18">
        <f t="shared" ca="1" si="149"/>
        <v>0</v>
      </c>
      <c r="BD67" s="18">
        <f t="shared" ca="1" si="149"/>
        <v>0</v>
      </c>
      <c r="BE67" s="18">
        <f t="shared" ca="1" si="149"/>
        <v>0</v>
      </c>
      <c r="BF67" s="18">
        <f t="shared" ca="1" si="149"/>
        <v>0</v>
      </c>
      <c r="BG67" s="18">
        <f t="shared" ca="1" si="149"/>
        <v>0</v>
      </c>
      <c r="BH67" s="18">
        <f t="shared" ca="1" si="149"/>
        <v>0</v>
      </c>
      <c r="BI67" s="18">
        <f t="shared" ca="1" si="149"/>
        <v>0</v>
      </c>
      <c r="BJ67" s="18">
        <f t="shared" ca="1" si="149"/>
        <v>0</v>
      </c>
      <c r="BK67" s="18">
        <f t="shared" ca="1" si="149"/>
        <v>0</v>
      </c>
    </row>
    <row r="68" spans="1:64">
      <c r="A68" s="80"/>
      <c r="B68" s="163"/>
      <c r="C68" s="58" t="str">
        <f>+'Taxes RCA 2022'!B61</f>
        <v>Paiements environnementaux - DGTCP (FNE)</v>
      </c>
      <c r="E68" s="166">
        <f>SUM(E69:E76)</f>
        <v>0</v>
      </c>
      <c r="F68" s="166">
        <f t="shared" ref="F68:G68" si="150">SUM(F69:F76)</f>
        <v>0</v>
      </c>
      <c r="G68" s="166">
        <f t="shared" si="150"/>
        <v>0</v>
      </c>
      <c r="H68" s="114"/>
      <c r="I68" s="166">
        <f>SUM(I69:I76)</f>
        <v>0</v>
      </c>
      <c r="J68" s="166">
        <f t="shared" ref="J68" ca="1" si="151">SUM(J69:J76)</f>
        <v>0</v>
      </c>
      <c r="K68" s="166">
        <f t="shared" ref="K68" ca="1" si="152">SUM(K69:K76)</f>
        <v>0</v>
      </c>
      <c r="L68" s="114"/>
      <c r="M68" s="166">
        <f t="shared" ref="M68" ca="1" si="153">SUM(M69:M76)</f>
        <v>0</v>
      </c>
      <c r="N68" s="58"/>
      <c r="O68" s="38"/>
      <c r="P68" s="39"/>
      <c r="Y68" s="28"/>
      <c r="Z68" s="28" t="str">
        <f t="shared" si="141"/>
        <v>Taxes à la pollution (+)</v>
      </c>
      <c r="AA68" s="29">
        <f>SUM(AA69:AA69)</f>
        <v>0</v>
      </c>
      <c r="AB68" s="29">
        <f t="shared" ref="AB68:AJ68" si="154">SUM(AB69:AB69)</f>
        <v>0</v>
      </c>
      <c r="AC68" s="29">
        <f t="shared" si="154"/>
        <v>0</v>
      </c>
      <c r="AD68" s="29">
        <f t="shared" si="154"/>
        <v>0</v>
      </c>
      <c r="AE68" s="29">
        <f t="shared" si="154"/>
        <v>0</v>
      </c>
      <c r="AF68" s="29">
        <f t="shared" si="154"/>
        <v>0</v>
      </c>
      <c r="AG68" s="29">
        <f t="shared" si="154"/>
        <v>0</v>
      </c>
      <c r="AH68" s="29">
        <f t="shared" si="154"/>
        <v>0</v>
      </c>
      <c r="AI68" s="29">
        <f t="shared" si="154"/>
        <v>0</v>
      </c>
      <c r="AJ68" s="29">
        <f t="shared" si="154"/>
        <v>0</v>
      </c>
      <c r="AL68" s="28"/>
      <c r="AM68" s="28" t="str">
        <f t="shared" si="143"/>
        <v>Taxes à la pollution (+)</v>
      </c>
      <c r="AN68" s="29">
        <f t="shared" ref="AN68:AV68" si="155">SUM(AN69:AN70)</f>
        <v>0</v>
      </c>
      <c r="AO68" s="29">
        <f t="shared" si="155"/>
        <v>0</v>
      </c>
      <c r="AP68" s="29">
        <f t="shared" si="155"/>
        <v>0</v>
      </c>
      <c r="AQ68" s="29">
        <f t="shared" si="155"/>
        <v>0</v>
      </c>
      <c r="AR68" s="29">
        <f t="shared" si="155"/>
        <v>0</v>
      </c>
      <c r="AS68" s="29">
        <f t="shared" si="155"/>
        <v>0</v>
      </c>
      <c r="AT68" s="29">
        <f t="shared" si="155"/>
        <v>0</v>
      </c>
      <c r="AU68" s="29">
        <f t="shared" si="155"/>
        <v>0</v>
      </c>
      <c r="AV68" s="29">
        <f t="shared" si="155"/>
        <v>0</v>
      </c>
      <c r="AW68" s="38"/>
      <c r="AX68" s="28"/>
      <c r="AY68" s="28" t="str">
        <f t="shared" si="145"/>
        <v>Taxes à la pollution (+)</v>
      </c>
      <c r="AZ68" s="29">
        <f t="shared" ref="AZ68:BK68" ca="1" si="156">SUM(AZ69:AZ70)</f>
        <v>0</v>
      </c>
      <c r="BA68" s="29">
        <f t="shared" ca="1" si="156"/>
        <v>0</v>
      </c>
      <c r="BB68" s="29">
        <f t="shared" ca="1" si="156"/>
        <v>0</v>
      </c>
      <c r="BC68" s="29">
        <f t="shared" ca="1" si="156"/>
        <v>0</v>
      </c>
      <c r="BD68" s="29">
        <f t="shared" ca="1" si="156"/>
        <v>0</v>
      </c>
      <c r="BE68" s="29">
        <f t="shared" ca="1" si="156"/>
        <v>0</v>
      </c>
      <c r="BF68" s="29">
        <f t="shared" ca="1" si="156"/>
        <v>0</v>
      </c>
      <c r="BG68" s="29">
        <f t="shared" ca="1" si="156"/>
        <v>0</v>
      </c>
      <c r="BH68" s="29">
        <f t="shared" ca="1" si="156"/>
        <v>0</v>
      </c>
      <c r="BI68" s="29">
        <f t="shared" ca="1" si="156"/>
        <v>0</v>
      </c>
      <c r="BJ68" s="29">
        <f t="shared" ca="1" si="156"/>
        <v>0</v>
      </c>
      <c r="BK68" s="29">
        <f t="shared" ca="1" si="156"/>
        <v>0</v>
      </c>
    </row>
    <row r="69" spans="1:64">
      <c r="A69" s="80"/>
      <c r="B69" s="53">
        <f>+'Taxes RCA 2022'!A62</f>
        <v>48</v>
      </c>
      <c r="C69" s="18" t="str">
        <f>+'Taxes RCA 2022'!B62</f>
        <v>Taxes sur les appareils à pression de vapeur et de gaz (+)</v>
      </c>
      <c r="E69" s="114"/>
      <c r="F69" s="114">
        <f t="shared" ref="F69:F76" si="157">SUMIF($A$84:$A$751,B69&amp;"- "&amp;C69,$G$84:$G$751)</f>
        <v>0</v>
      </c>
      <c r="G69" s="114">
        <f t="shared" ref="G69:G76" si="158">E69+F69</f>
        <v>0</v>
      </c>
      <c r="H69" s="114"/>
      <c r="I69" s="114"/>
      <c r="J69" s="114">
        <f t="shared" ref="J69:J76" ca="1" si="159">SUMIF($J$84:$M$749,B69&amp;"- "&amp;C69,$Q$84:$Q$749)</f>
        <v>0</v>
      </c>
      <c r="K69" s="114">
        <f t="shared" ref="K69:K76" ca="1" si="160">I69+J69</f>
        <v>0</v>
      </c>
      <c r="L69" s="114"/>
      <c r="M69" s="114">
        <f t="shared" ref="M69:M76" ca="1" si="161">+G69-K69</f>
        <v>0</v>
      </c>
      <c r="N69" s="18"/>
      <c r="O69" s="38"/>
      <c r="P69" s="39"/>
      <c r="Y69" s="15">
        <f>B71</f>
        <v>50</v>
      </c>
      <c r="Z69" s="25" t="str">
        <f t="shared" si="141"/>
        <v>Redevances annuelles résultant des inspections et contrôle des installations classées (+)</v>
      </c>
      <c r="AA69" s="16">
        <f t="shared" ref="AA69:AI69" si="162">SUMPRODUCT(($A$84:$A$751=$Y69&amp;"- "&amp;$Z69)*($C$84:$C$751=AA$1)*($G$84:$G$751))</f>
        <v>0</v>
      </c>
      <c r="AB69" s="16">
        <f t="shared" si="162"/>
        <v>0</v>
      </c>
      <c r="AC69" s="16">
        <f t="shared" si="162"/>
        <v>0</v>
      </c>
      <c r="AD69" s="16">
        <f t="shared" si="162"/>
        <v>0</v>
      </c>
      <c r="AE69" s="16">
        <f t="shared" si="162"/>
        <v>0</v>
      </c>
      <c r="AF69" s="16">
        <f t="shared" si="162"/>
        <v>0</v>
      </c>
      <c r="AG69" s="16">
        <f t="shared" si="162"/>
        <v>0</v>
      </c>
      <c r="AH69" s="16">
        <f t="shared" si="162"/>
        <v>0</v>
      </c>
      <c r="AI69" s="16">
        <f t="shared" si="162"/>
        <v>0</v>
      </c>
      <c r="AJ69" s="16">
        <f>SUM(AA69:AI69)</f>
        <v>0</v>
      </c>
      <c r="AL69" s="17">
        <f>+B71</f>
        <v>50</v>
      </c>
      <c r="AM69" s="26" t="str">
        <f t="shared" si="143"/>
        <v>Redevances annuelles résultant des inspections et contrôle des installations classées (+)</v>
      </c>
      <c r="AN69" s="18">
        <f t="shared" ref="AN69:AU69" si="163">SUMPRODUCT(($J$84:$M$748=$AL69&amp;"- "&amp;$AM69)*($N$84:$N$748=AN$1)*($Q$84:$Q$748))</f>
        <v>0</v>
      </c>
      <c r="AO69" s="18">
        <f t="shared" si="163"/>
        <v>0</v>
      </c>
      <c r="AP69" s="18">
        <f t="shared" si="163"/>
        <v>0</v>
      </c>
      <c r="AQ69" s="18">
        <f t="shared" si="163"/>
        <v>0</v>
      </c>
      <c r="AR69" s="18">
        <f t="shared" si="163"/>
        <v>0</v>
      </c>
      <c r="AS69" s="18">
        <f t="shared" si="163"/>
        <v>0</v>
      </c>
      <c r="AT69" s="18">
        <f t="shared" si="163"/>
        <v>0</v>
      </c>
      <c r="AU69" s="18">
        <f t="shared" si="163"/>
        <v>0</v>
      </c>
      <c r="AV69" s="18">
        <f>SUM(AN69:AU69)</f>
        <v>0</v>
      </c>
      <c r="AW69" s="18"/>
      <c r="AX69" s="17">
        <f>B71</f>
        <v>50</v>
      </c>
      <c r="AY69" s="26" t="str">
        <f t="shared" si="145"/>
        <v>Redevances annuelles résultant des inspections et contrôle des installations classées (+)</v>
      </c>
      <c r="AZ69" s="18">
        <f t="shared" ref="AZ69:BK69" ca="1" si="164">SUMPRODUCT(($C$10:$C$75=$AY69)*($N$10:$N$75=AZ$1)*($M$10:$M$75))</f>
        <v>0</v>
      </c>
      <c r="BA69" s="18">
        <f t="shared" ca="1" si="164"/>
        <v>0</v>
      </c>
      <c r="BB69" s="18">
        <f t="shared" ca="1" si="164"/>
        <v>0</v>
      </c>
      <c r="BC69" s="18">
        <f t="shared" ca="1" si="164"/>
        <v>0</v>
      </c>
      <c r="BD69" s="18">
        <f t="shared" ca="1" si="164"/>
        <v>0</v>
      </c>
      <c r="BE69" s="18">
        <f t="shared" ca="1" si="164"/>
        <v>0</v>
      </c>
      <c r="BF69" s="18">
        <f t="shared" ca="1" si="164"/>
        <v>0</v>
      </c>
      <c r="BG69" s="18">
        <f t="shared" ca="1" si="164"/>
        <v>0</v>
      </c>
      <c r="BH69" s="18">
        <f t="shared" ca="1" si="164"/>
        <v>0</v>
      </c>
      <c r="BI69" s="18">
        <f t="shared" ca="1" si="164"/>
        <v>0</v>
      </c>
      <c r="BJ69" s="18">
        <f t="shared" ca="1" si="164"/>
        <v>0</v>
      </c>
      <c r="BK69" s="18">
        <f t="shared" ca="1" si="164"/>
        <v>0</v>
      </c>
    </row>
    <row r="70" spans="1:64">
      <c r="A70" s="80">
        <f t="shared" si="29"/>
        <v>49</v>
      </c>
      <c r="B70" s="64">
        <f>+'Taxes RCA 2022'!A63</f>
        <v>49</v>
      </c>
      <c r="C70" s="68" t="str">
        <f>+'Taxes RCA 2022'!B63</f>
        <v>Taxes à la pollution (+)</v>
      </c>
      <c r="E70" s="165"/>
      <c r="F70" s="165">
        <f t="shared" si="157"/>
        <v>0</v>
      </c>
      <c r="G70" s="165">
        <f t="shared" si="158"/>
        <v>0</v>
      </c>
      <c r="H70" s="114"/>
      <c r="I70" s="165"/>
      <c r="J70" s="165">
        <f t="shared" ca="1" si="159"/>
        <v>0</v>
      </c>
      <c r="K70" s="165">
        <f t="shared" ca="1" si="160"/>
        <v>0</v>
      </c>
      <c r="L70" s="114"/>
      <c r="M70" s="165">
        <f t="shared" ca="1" si="161"/>
        <v>0</v>
      </c>
      <c r="N70" s="68"/>
      <c r="O70" s="38"/>
      <c r="P70" s="39"/>
      <c r="Y70" s="15"/>
      <c r="Z70" s="25" t="str">
        <f t="shared" si="141"/>
        <v>Taxes superficiaires encaissées par le FNE (+)</v>
      </c>
      <c r="AA70" s="16">
        <f t="shared" ref="AA70:AJ70" si="165">SUM(AA71:AA71)</f>
        <v>0</v>
      </c>
      <c r="AB70" s="16">
        <f t="shared" si="165"/>
        <v>0</v>
      </c>
      <c r="AC70" s="16">
        <f t="shared" si="165"/>
        <v>0</v>
      </c>
      <c r="AD70" s="16">
        <f t="shared" si="165"/>
        <v>0</v>
      </c>
      <c r="AE70" s="16">
        <f t="shared" si="165"/>
        <v>0</v>
      </c>
      <c r="AF70" s="16">
        <f t="shared" si="165"/>
        <v>0</v>
      </c>
      <c r="AG70" s="16">
        <f t="shared" si="165"/>
        <v>0</v>
      </c>
      <c r="AH70" s="16">
        <f t="shared" si="165"/>
        <v>0</v>
      </c>
      <c r="AI70" s="16">
        <f t="shared" si="165"/>
        <v>0</v>
      </c>
      <c r="AJ70" s="16">
        <f t="shared" si="165"/>
        <v>0</v>
      </c>
      <c r="AL70" s="17"/>
      <c r="AM70" s="26" t="str">
        <f t="shared" si="143"/>
        <v>Taxes superficiaires encaissées par le FNE (+)</v>
      </c>
      <c r="AN70" s="18">
        <f t="shared" ref="AN70:AU70" si="166">SUM(AN71:AN71)</f>
        <v>0</v>
      </c>
      <c r="AO70" s="18">
        <f t="shared" si="166"/>
        <v>0</v>
      </c>
      <c r="AP70" s="18">
        <f t="shared" si="166"/>
        <v>0</v>
      </c>
      <c r="AQ70" s="18">
        <f t="shared" si="166"/>
        <v>0</v>
      </c>
      <c r="AR70" s="18">
        <f t="shared" si="166"/>
        <v>0</v>
      </c>
      <c r="AS70" s="18">
        <f t="shared" si="166"/>
        <v>0</v>
      </c>
      <c r="AT70" s="18">
        <f t="shared" si="166"/>
        <v>0</v>
      </c>
      <c r="AU70" s="18">
        <f t="shared" si="166"/>
        <v>0</v>
      </c>
      <c r="AV70" s="18">
        <f>SUM(AV71:AV71)</f>
        <v>0</v>
      </c>
      <c r="AW70" s="18"/>
      <c r="AX70" s="17"/>
      <c r="AY70" s="26" t="str">
        <f t="shared" si="145"/>
        <v>Taxes superficiaires encaissées par le FNE (+)</v>
      </c>
      <c r="AZ70" s="18">
        <f t="shared" ref="AZ70:BK70" ca="1" si="167">SUM(AZ71:AZ71)</f>
        <v>0</v>
      </c>
      <c r="BA70" s="18">
        <f t="shared" ca="1" si="167"/>
        <v>0</v>
      </c>
      <c r="BB70" s="18">
        <f t="shared" ca="1" si="167"/>
        <v>0</v>
      </c>
      <c r="BC70" s="18">
        <f t="shared" ca="1" si="167"/>
        <v>0</v>
      </c>
      <c r="BD70" s="18">
        <f t="shared" ca="1" si="167"/>
        <v>0</v>
      </c>
      <c r="BE70" s="18">
        <f t="shared" ca="1" si="167"/>
        <v>0</v>
      </c>
      <c r="BF70" s="18">
        <f t="shared" ca="1" si="167"/>
        <v>0</v>
      </c>
      <c r="BG70" s="18">
        <f t="shared" ca="1" si="167"/>
        <v>0</v>
      </c>
      <c r="BH70" s="18">
        <f t="shared" ca="1" si="167"/>
        <v>0</v>
      </c>
      <c r="BI70" s="18">
        <f t="shared" ca="1" si="167"/>
        <v>0</v>
      </c>
      <c r="BJ70" s="18">
        <f t="shared" ca="1" si="167"/>
        <v>0</v>
      </c>
      <c r="BK70" s="18">
        <f t="shared" ca="1" si="167"/>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7"/>
        <v>0</v>
      </c>
      <c r="G71" s="114">
        <f t="shared" si="158"/>
        <v>0</v>
      </c>
      <c r="H71" s="114"/>
      <c r="I71" s="114"/>
      <c r="J71" s="114">
        <f t="shared" ca="1" si="159"/>
        <v>0</v>
      </c>
      <c r="K71" s="114">
        <f t="shared" ca="1" si="160"/>
        <v>0</v>
      </c>
      <c r="L71" s="114"/>
      <c r="M71" s="114">
        <f t="shared" ca="1" si="161"/>
        <v>0</v>
      </c>
      <c r="N71" s="18"/>
      <c r="O71" s="38" t="str">
        <f t="shared" ca="1" si="46"/>
        <v/>
      </c>
      <c r="P71" s="39" t="str">
        <f ca="1">IF(O71="ERROR","Please insert comment","")</f>
        <v/>
      </c>
      <c r="Y71" s="15">
        <f>B73</f>
        <v>52</v>
      </c>
      <c r="Z71" s="25" t="str">
        <f t="shared" si="141"/>
        <v>Taxes de remise en état (+)</v>
      </c>
      <c r="AA71" s="16">
        <f t="shared" ref="AA71:AI73" si="168">SUMPRODUCT(($A$84:$A$751=$Y71&amp;"- "&amp;$Z71)*($C$84:$C$751=AA$1)*($G$84:$G$751))</f>
        <v>0</v>
      </c>
      <c r="AB71" s="16">
        <f t="shared" si="168"/>
        <v>0</v>
      </c>
      <c r="AC71" s="16">
        <f t="shared" si="168"/>
        <v>0</v>
      </c>
      <c r="AD71" s="16">
        <f t="shared" si="168"/>
        <v>0</v>
      </c>
      <c r="AE71" s="16">
        <f t="shared" si="168"/>
        <v>0</v>
      </c>
      <c r="AF71" s="16">
        <f t="shared" si="168"/>
        <v>0</v>
      </c>
      <c r="AG71" s="16">
        <f t="shared" si="168"/>
        <v>0</v>
      </c>
      <c r="AH71" s="16">
        <f t="shared" si="168"/>
        <v>0</v>
      </c>
      <c r="AI71" s="16">
        <f t="shared" si="168"/>
        <v>0</v>
      </c>
      <c r="AJ71" s="16">
        <f>SUM(AA71:AI71)</f>
        <v>0</v>
      </c>
      <c r="AL71" s="17">
        <f>+B73</f>
        <v>52</v>
      </c>
      <c r="AM71" s="26" t="str">
        <f t="shared" si="143"/>
        <v>Taxes de remise en état (+)</v>
      </c>
      <c r="AN71" s="18">
        <f t="shared" ref="AN71:AU71" si="169">SUMPRODUCT(($J$84:$M$748=$AL71&amp;"- "&amp;$AM71)*($N$84:$N$748=AN$1)*($Q$84:$Q$748))</f>
        <v>0</v>
      </c>
      <c r="AO71" s="18">
        <f t="shared" si="169"/>
        <v>0</v>
      </c>
      <c r="AP71" s="18">
        <f t="shared" si="169"/>
        <v>0</v>
      </c>
      <c r="AQ71" s="18">
        <f t="shared" si="169"/>
        <v>0</v>
      </c>
      <c r="AR71" s="18">
        <f t="shared" si="169"/>
        <v>0</v>
      </c>
      <c r="AS71" s="18">
        <f t="shared" si="169"/>
        <v>0</v>
      </c>
      <c r="AT71" s="18">
        <f t="shared" si="169"/>
        <v>0</v>
      </c>
      <c r="AU71" s="18">
        <f t="shared" si="169"/>
        <v>0</v>
      </c>
      <c r="AV71" s="18">
        <f>SUM(AN71:AU71)</f>
        <v>0</v>
      </c>
      <c r="AW71" s="18"/>
      <c r="AX71" s="17">
        <f>B73</f>
        <v>52</v>
      </c>
      <c r="AY71" s="26" t="str">
        <f t="shared" si="145"/>
        <v>Taxes de remise en état (+)</v>
      </c>
      <c r="AZ71" s="18">
        <f t="shared" ref="AZ71:BK71" ca="1" si="170">SUMPRODUCT(($C$10:$C$75=$AY71)*($N$10:$N$75=AZ$1)*($M$10:$M$75))</f>
        <v>0</v>
      </c>
      <c r="BA71" s="18">
        <f t="shared" ca="1" si="170"/>
        <v>0</v>
      </c>
      <c r="BB71" s="18">
        <f t="shared" ca="1" si="170"/>
        <v>0</v>
      </c>
      <c r="BC71" s="18">
        <f t="shared" ca="1" si="170"/>
        <v>0</v>
      </c>
      <c r="BD71" s="18">
        <f t="shared" ca="1" si="170"/>
        <v>0</v>
      </c>
      <c r="BE71" s="18">
        <f t="shared" ca="1" si="170"/>
        <v>0</v>
      </c>
      <c r="BF71" s="18">
        <f t="shared" ca="1" si="170"/>
        <v>0</v>
      </c>
      <c r="BG71" s="18">
        <f t="shared" ca="1" si="170"/>
        <v>0</v>
      </c>
      <c r="BH71" s="18">
        <f t="shared" ca="1" si="170"/>
        <v>0</v>
      </c>
      <c r="BI71" s="18">
        <f t="shared" ca="1" si="170"/>
        <v>0</v>
      </c>
      <c r="BJ71" s="18">
        <f t="shared" ca="1" si="170"/>
        <v>0</v>
      </c>
      <c r="BK71" s="18">
        <f t="shared" ca="1" si="170"/>
        <v>0</v>
      </c>
    </row>
    <row r="72" spans="1:64">
      <c r="A72" s="80">
        <f t="shared" si="29"/>
        <v>51</v>
      </c>
      <c r="B72" s="64">
        <f>+'Taxes RCA 2022'!A65</f>
        <v>51</v>
      </c>
      <c r="C72" s="68" t="str">
        <f>+'Taxes RCA 2022'!B65</f>
        <v>Taxes superficiaires encaissées par le FNE (+)</v>
      </c>
      <c r="E72" s="165"/>
      <c r="F72" s="165">
        <f t="shared" si="157"/>
        <v>0</v>
      </c>
      <c r="G72" s="165">
        <f t="shared" si="158"/>
        <v>0</v>
      </c>
      <c r="H72" s="114"/>
      <c r="I72" s="165"/>
      <c r="J72" s="165">
        <f t="shared" ca="1" si="159"/>
        <v>0</v>
      </c>
      <c r="K72" s="165">
        <f t="shared" ca="1" si="160"/>
        <v>0</v>
      </c>
      <c r="L72" s="114"/>
      <c r="M72" s="165">
        <f t="shared" ca="1" si="161"/>
        <v>0</v>
      </c>
      <c r="N72" s="68"/>
      <c r="Y72" s="15"/>
      <c r="Z72" s="25" t="str">
        <f t="shared" si="141"/>
        <v>Taxes environnementales sur les Stes forestières et Minières (+)</v>
      </c>
      <c r="AA72" s="16">
        <f t="shared" si="168"/>
        <v>0</v>
      </c>
      <c r="AB72" s="16">
        <f t="shared" si="168"/>
        <v>0</v>
      </c>
      <c r="AC72" s="16">
        <f t="shared" si="168"/>
        <v>0</v>
      </c>
      <c r="AD72" s="16">
        <f t="shared" si="168"/>
        <v>0</v>
      </c>
      <c r="AE72" s="16">
        <f t="shared" si="168"/>
        <v>0</v>
      </c>
      <c r="AF72" s="16">
        <f t="shared" si="168"/>
        <v>0</v>
      </c>
      <c r="AG72" s="16">
        <f t="shared" si="168"/>
        <v>0</v>
      </c>
      <c r="AH72" s="16">
        <f t="shared" si="168"/>
        <v>0</v>
      </c>
      <c r="AI72" s="16">
        <f t="shared" si="168"/>
        <v>0</v>
      </c>
      <c r="AJ72" s="16">
        <f>SUM(AA72:AI72)</f>
        <v>0</v>
      </c>
      <c r="AL72" s="17"/>
      <c r="AM72" s="26" t="str">
        <f t="shared" si="143"/>
        <v>Taxes environnementales sur les Stes forestières et Minières (+)</v>
      </c>
      <c r="AN72" s="18">
        <f t="shared" ref="AN72:AV72" si="171">SUM(AN73:AN73)</f>
        <v>0</v>
      </c>
      <c r="AO72" s="18">
        <f t="shared" si="171"/>
        <v>0</v>
      </c>
      <c r="AP72" s="18">
        <f t="shared" si="171"/>
        <v>0</v>
      </c>
      <c r="AQ72" s="18">
        <f t="shared" si="171"/>
        <v>0</v>
      </c>
      <c r="AR72" s="18">
        <f t="shared" si="171"/>
        <v>0</v>
      </c>
      <c r="AS72" s="18">
        <f t="shared" si="171"/>
        <v>0</v>
      </c>
      <c r="AT72" s="18">
        <f t="shared" si="171"/>
        <v>0</v>
      </c>
      <c r="AU72" s="18">
        <f t="shared" si="171"/>
        <v>0</v>
      </c>
      <c r="AV72" s="18">
        <f t="shared" si="171"/>
        <v>0</v>
      </c>
      <c r="AW72" s="18"/>
      <c r="AX72" s="17"/>
      <c r="AY72" s="26" t="str">
        <f t="shared" si="145"/>
        <v>Taxes environnementales sur les Stes forestières et Minières (+)</v>
      </c>
      <c r="AZ72" s="18">
        <f t="shared" ref="AZ72:BK72" ca="1" si="172">SUM(AZ73:AZ73)</f>
        <v>0</v>
      </c>
      <c r="BA72" s="18">
        <f t="shared" ca="1" si="172"/>
        <v>0</v>
      </c>
      <c r="BB72" s="18">
        <f t="shared" ca="1" si="172"/>
        <v>0</v>
      </c>
      <c r="BC72" s="18">
        <f t="shared" ca="1" si="172"/>
        <v>0</v>
      </c>
      <c r="BD72" s="18">
        <f t="shared" ca="1" si="172"/>
        <v>0</v>
      </c>
      <c r="BE72" s="18">
        <f t="shared" ca="1" si="172"/>
        <v>0</v>
      </c>
      <c r="BF72" s="18">
        <f t="shared" ca="1" si="172"/>
        <v>0</v>
      </c>
      <c r="BG72" s="18">
        <f t="shared" ca="1" si="172"/>
        <v>0</v>
      </c>
      <c r="BH72" s="18">
        <f t="shared" ca="1" si="172"/>
        <v>0</v>
      </c>
      <c r="BI72" s="18">
        <f t="shared" ca="1" si="172"/>
        <v>0</v>
      </c>
      <c r="BJ72" s="18">
        <f t="shared" ca="1" si="172"/>
        <v>0</v>
      </c>
      <c r="BK72" s="18">
        <f t="shared" ca="1" si="172"/>
        <v>0</v>
      </c>
      <c r="BL72" s="41"/>
    </row>
    <row r="73" spans="1:64">
      <c r="A73" s="80">
        <f t="shared" si="29"/>
        <v>52</v>
      </c>
      <c r="B73" s="53">
        <f>+'Taxes RCA 2022'!A66</f>
        <v>52</v>
      </c>
      <c r="C73" s="18" t="str">
        <f>+'Taxes RCA 2022'!B66</f>
        <v>Taxes de remise en état (+)</v>
      </c>
      <c r="E73" s="114"/>
      <c r="F73" s="114">
        <f t="shared" si="157"/>
        <v>0</v>
      </c>
      <c r="G73" s="114">
        <f t="shared" si="158"/>
        <v>0</v>
      </c>
      <c r="H73" s="114"/>
      <c r="I73" s="114"/>
      <c r="J73" s="114">
        <f t="shared" ca="1" si="159"/>
        <v>0</v>
      </c>
      <c r="K73" s="114">
        <f t="shared" ca="1" si="160"/>
        <v>0</v>
      </c>
      <c r="L73" s="114"/>
      <c r="M73" s="114">
        <f t="shared" ca="1" si="161"/>
        <v>0</v>
      </c>
      <c r="N73" s="18"/>
      <c r="O73" s="38" t="str">
        <f ca="1">IF(M73=0,"",IF(N73=0,"ERROR",""))</f>
        <v/>
      </c>
      <c r="P73" s="39" t="str">
        <f ca="1">IF(O73="ERROR","Please insert comment","")</f>
        <v/>
      </c>
      <c r="Y73" s="15">
        <v>58</v>
      </c>
      <c r="Z73" s="25" t="str">
        <f t="shared" si="141"/>
        <v xml:space="preserve">Amendes environnementales </v>
      </c>
      <c r="AA73" s="16">
        <f t="shared" si="168"/>
        <v>0</v>
      </c>
      <c r="AB73" s="16">
        <f t="shared" si="168"/>
        <v>0</v>
      </c>
      <c r="AC73" s="16">
        <f t="shared" si="168"/>
        <v>0</v>
      </c>
      <c r="AD73" s="16">
        <f t="shared" si="168"/>
        <v>0</v>
      </c>
      <c r="AE73" s="16">
        <f t="shared" si="168"/>
        <v>0</v>
      </c>
      <c r="AF73" s="16">
        <f t="shared" si="168"/>
        <v>0</v>
      </c>
      <c r="AG73" s="16">
        <f t="shared" si="168"/>
        <v>0</v>
      </c>
      <c r="AH73" s="16">
        <f t="shared" si="168"/>
        <v>0</v>
      </c>
      <c r="AI73" s="16">
        <f t="shared" si="168"/>
        <v>0</v>
      </c>
      <c r="AJ73" s="16">
        <f>SUM(AA73:AI73)</f>
        <v>0</v>
      </c>
      <c r="AL73" s="17">
        <f>+B75</f>
        <v>54</v>
      </c>
      <c r="AM73" s="26" t="str">
        <f t="shared" si="143"/>
        <v xml:space="preserve">Amendes environnementales </v>
      </c>
      <c r="AN73" s="18">
        <f t="shared" ref="AN73:AU73" si="173">SUMPRODUCT(($J$84:$M$748=$AL73&amp;"- "&amp;$AM73)*($N$84:$N$748=AN$1)*($Q$84:$Q$748))</f>
        <v>0</v>
      </c>
      <c r="AO73" s="18">
        <f t="shared" si="173"/>
        <v>0</v>
      </c>
      <c r="AP73" s="18">
        <f t="shared" si="173"/>
        <v>0</v>
      </c>
      <c r="AQ73" s="18">
        <f t="shared" si="173"/>
        <v>0</v>
      </c>
      <c r="AR73" s="18">
        <f t="shared" si="173"/>
        <v>0</v>
      </c>
      <c r="AS73" s="18">
        <f t="shared" si="173"/>
        <v>0</v>
      </c>
      <c r="AT73" s="18">
        <f t="shared" si="173"/>
        <v>0</v>
      </c>
      <c r="AU73" s="18">
        <f t="shared" si="173"/>
        <v>0</v>
      </c>
      <c r="AV73" s="18">
        <f>SUM(AN73:AU73)</f>
        <v>0</v>
      </c>
      <c r="AW73" s="18"/>
      <c r="AX73" s="17">
        <f>B75</f>
        <v>54</v>
      </c>
      <c r="AY73" s="26" t="str">
        <f t="shared" si="145"/>
        <v xml:space="preserve">Amendes environnementales </v>
      </c>
      <c r="AZ73" s="18">
        <f t="shared" ref="AZ73:BK73" ca="1" si="174">SUMPRODUCT(($C$10:$C$75=$AY73)*($N$10:$N$75=AZ$1)*($M$10:$M$75))</f>
        <v>0</v>
      </c>
      <c r="BA73" s="18">
        <f t="shared" ca="1" si="174"/>
        <v>0</v>
      </c>
      <c r="BB73" s="18">
        <f t="shared" ca="1" si="174"/>
        <v>0</v>
      </c>
      <c r="BC73" s="18">
        <f t="shared" ca="1" si="174"/>
        <v>0</v>
      </c>
      <c r="BD73" s="18">
        <f t="shared" ca="1" si="174"/>
        <v>0</v>
      </c>
      <c r="BE73" s="18">
        <f t="shared" ca="1" si="174"/>
        <v>0</v>
      </c>
      <c r="BF73" s="18">
        <f t="shared" ca="1" si="174"/>
        <v>0</v>
      </c>
      <c r="BG73" s="18">
        <f t="shared" ca="1" si="174"/>
        <v>0</v>
      </c>
      <c r="BH73" s="18">
        <f t="shared" ca="1" si="174"/>
        <v>0</v>
      </c>
      <c r="BI73" s="18">
        <f t="shared" ca="1" si="174"/>
        <v>0</v>
      </c>
      <c r="BJ73" s="18">
        <f t="shared" ca="1" si="174"/>
        <v>0</v>
      </c>
      <c r="BK73" s="18">
        <f t="shared" ca="1" si="174"/>
        <v>0</v>
      </c>
    </row>
    <row r="74" spans="1:64">
      <c r="A74" s="80"/>
      <c r="B74" s="64">
        <f>+'Taxes RCA 2022'!A67</f>
        <v>53</v>
      </c>
      <c r="C74" s="68" t="str">
        <f>+'Taxes RCA 2022'!B67</f>
        <v>Taxes environnementales sur les Stes forestières et Minières (+)</v>
      </c>
      <c r="E74" s="165"/>
      <c r="F74" s="165">
        <f t="shared" si="157"/>
        <v>0</v>
      </c>
      <c r="G74" s="165">
        <f t="shared" si="158"/>
        <v>0</v>
      </c>
      <c r="H74" s="167">
        <v>808920</v>
      </c>
      <c r="I74" s="165"/>
      <c r="J74" s="165">
        <f t="shared" ca="1" si="159"/>
        <v>0</v>
      </c>
      <c r="K74" s="165">
        <f t="shared" ca="1" si="160"/>
        <v>0</v>
      </c>
      <c r="L74" s="114"/>
      <c r="M74" s="165">
        <f t="shared" ca="1" si="161"/>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7"/>
        <v>0</v>
      </c>
      <c r="G75" s="114">
        <f t="shared" si="158"/>
        <v>0</v>
      </c>
      <c r="H75" s="114"/>
      <c r="I75" s="114"/>
      <c r="J75" s="114">
        <f t="shared" ca="1" si="159"/>
        <v>0</v>
      </c>
      <c r="K75" s="114">
        <f t="shared" ca="1" si="160"/>
        <v>0</v>
      </c>
      <c r="L75" s="114"/>
      <c r="M75" s="114">
        <f t="shared" ca="1" si="161"/>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7"/>
        <v>0</v>
      </c>
      <c r="G76" s="165">
        <f t="shared" si="158"/>
        <v>0</v>
      </c>
      <c r="H76" s="168"/>
      <c r="I76" s="165"/>
      <c r="J76" s="165">
        <f t="shared" ca="1" si="159"/>
        <v>0</v>
      </c>
      <c r="K76" s="165">
        <f t="shared" ca="1" si="160"/>
        <v>0</v>
      </c>
      <c r="L76" s="168"/>
      <c r="M76" s="165">
        <f t="shared" ca="1" si="161"/>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2179089</v>
      </c>
      <c r="F77" s="166">
        <f t="shared" ref="F77:G77" si="175">+F78+F79</f>
        <v>-2179089</v>
      </c>
      <c r="G77" s="166">
        <f t="shared" si="175"/>
        <v>0</v>
      </c>
      <c r="H77" s="169"/>
      <c r="I77" s="166">
        <f t="shared" ref="I77:K77" si="176">+I78+I79</f>
        <v>0</v>
      </c>
      <c r="J77" s="166">
        <f t="shared" ca="1" si="176"/>
        <v>0</v>
      </c>
      <c r="K77" s="166">
        <f t="shared" ca="1" si="176"/>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7">SUMPRODUCT(($A$84:$A$751=$Y78&amp;"- "&amp;$Z78)*($C$84:$C$751=AA$1)*($G$84:$G$751))</f>
        <v>0</v>
      </c>
      <c r="AB78" s="16">
        <f t="shared" si="177"/>
        <v>0</v>
      </c>
      <c r="AC78" s="16">
        <f t="shared" si="177"/>
        <v>0</v>
      </c>
      <c r="AD78" s="16">
        <f t="shared" si="177"/>
        <v>0</v>
      </c>
      <c r="AE78" s="16">
        <f t="shared" si="177"/>
        <v>0</v>
      </c>
      <c r="AF78" s="16">
        <f t="shared" si="177"/>
        <v>0</v>
      </c>
      <c r="AG78" s="16">
        <f t="shared" si="177"/>
        <v>0</v>
      </c>
      <c r="AH78" s="16">
        <f t="shared" si="177"/>
        <v>0</v>
      </c>
      <c r="AI78" s="16">
        <f t="shared" si="177"/>
        <v>0</v>
      </c>
      <c r="AJ78" s="16">
        <f>SUM(AA78:AI78)</f>
        <v>0</v>
      </c>
      <c r="AL78" s="17">
        <f>+B45</f>
        <v>0</v>
      </c>
      <c r="AM78" s="26" t="str">
        <f>+C45</f>
        <v xml:space="preserve">Paiements infranationaux au profit des communes </v>
      </c>
      <c r="AN78" s="18">
        <f t="shared" ref="AN78:AU78" si="178">SUMPRODUCT(($J$84:$M$748=$AL78&amp;"- "&amp;$AM78)*($N$84:$N$748=AN$1)*($Q$84:$Q$748))</f>
        <v>0</v>
      </c>
      <c r="AO78" s="18">
        <f t="shared" si="178"/>
        <v>0</v>
      </c>
      <c r="AP78" s="18">
        <f t="shared" si="178"/>
        <v>0</v>
      </c>
      <c r="AQ78" s="18">
        <f t="shared" si="178"/>
        <v>0</v>
      </c>
      <c r="AR78" s="18">
        <f t="shared" si="178"/>
        <v>0</v>
      </c>
      <c r="AS78" s="18">
        <f t="shared" si="178"/>
        <v>0</v>
      </c>
      <c r="AT78" s="18">
        <f t="shared" si="178"/>
        <v>0</v>
      </c>
      <c r="AU78" s="18">
        <f t="shared" si="178"/>
        <v>0</v>
      </c>
      <c r="AV78" s="18">
        <f>SUM(AN78:AU78)</f>
        <v>0</v>
      </c>
      <c r="AW78" s="18"/>
      <c r="AX78" s="17">
        <f>B45</f>
        <v>0</v>
      </c>
      <c r="AY78" s="26" t="str">
        <f>C45</f>
        <v xml:space="preserve">Paiements infranationaux au profit des communes </v>
      </c>
      <c r="AZ78" s="18">
        <f t="shared" ref="AZ78:BK78" ca="1" si="179">SUMPRODUCT(($C$10:$C$75=$AY78)*($N$10:$N$75=AZ$1)*($M$10:$M$75))</f>
        <v>0</v>
      </c>
      <c r="BA78" s="18">
        <f t="shared" ca="1" si="179"/>
        <v>0</v>
      </c>
      <c r="BB78" s="18">
        <f t="shared" ca="1" si="179"/>
        <v>0</v>
      </c>
      <c r="BC78" s="18">
        <f t="shared" ca="1" si="179"/>
        <v>0</v>
      </c>
      <c r="BD78" s="18">
        <f t="shared" ca="1" si="179"/>
        <v>0</v>
      </c>
      <c r="BE78" s="18">
        <f t="shared" ca="1" si="179"/>
        <v>0</v>
      </c>
      <c r="BF78" s="18">
        <f t="shared" ca="1" si="179"/>
        <v>0</v>
      </c>
      <c r="BG78" s="18">
        <f t="shared" ca="1" si="179"/>
        <v>0</v>
      </c>
      <c r="BH78" s="18">
        <f t="shared" ca="1" si="179"/>
        <v>0</v>
      </c>
      <c r="BI78" s="18">
        <f t="shared" ca="1" si="179"/>
        <v>0</v>
      </c>
      <c r="BJ78" s="18">
        <f t="shared" ca="1" si="179"/>
        <v>0</v>
      </c>
      <c r="BK78" s="18">
        <f t="shared" ca="1" si="179"/>
        <v>0</v>
      </c>
    </row>
    <row r="79" spans="1:64">
      <c r="A79" s="80">
        <f t="shared" si="29"/>
        <v>57</v>
      </c>
      <c r="B79" s="64">
        <f>+'Taxes RCA 2022'!A72</f>
        <v>57</v>
      </c>
      <c r="C79" s="68" t="str">
        <f>+'Taxes RCA 2022'!B72</f>
        <v>Autres paiements significatifs versés aux entités gouvernementales (&gt;10 millions FCFA)</v>
      </c>
      <c r="E79" s="165">
        <v>2179089</v>
      </c>
      <c r="F79" s="165">
        <f>+G84</f>
        <v>-2179089</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ht="24">
      <c r="C84" s="60" t="s">
        <v>225</v>
      </c>
      <c r="E84" s="126"/>
      <c r="F84" s="129"/>
      <c r="G84" s="145">
        <f>-E79</f>
        <v>-2179089</v>
      </c>
      <c r="J84" s="18" t="s">
        <v>67</v>
      </c>
      <c r="L84" s="60"/>
      <c r="N84" s="97"/>
      <c r="O84" s="121"/>
      <c r="P84" s="129"/>
      <c r="Q84" s="145">
        <f>+G66</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B85" s="61">
        <v>48</v>
      </c>
      <c r="C85" s="60" t="s">
        <v>67</v>
      </c>
      <c r="E85" s="126"/>
      <c r="F85" s="129"/>
      <c r="G85" s="145">
        <f>-E66</f>
        <v>-9489800</v>
      </c>
      <c r="J85" s="61" t="s">
        <v>174</v>
      </c>
      <c r="L85" s="60"/>
      <c r="N85" s="97"/>
      <c r="O85" s="121"/>
      <c r="P85" s="129"/>
      <c r="Q85" s="145">
        <v>3749760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t="s">
        <v>176</v>
      </c>
      <c r="E86" s="126"/>
      <c r="F86" s="129"/>
      <c r="G86" s="145">
        <v>-1200000</v>
      </c>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t="s">
        <v>165</v>
      </c>
      <c r="F87" s="122"/>
      <c r="G87" s="146">
        <v>1307838.05</v>
      </c>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t="s">
        <v>167</v>
      </c>
      <c r="F88" s="122"/>
      <c r="G88" s="146">
        <v>3269595.125</v>
      </c>
      <c r="J88" s="61" t="s">
        <v>200</v>
      </c>
      <c r="L88" s="60"/>
      <c r="N88" s="97"/>
      <c r="O88" s="121"/>
      <c r="P88" s="129"/>
      <c r="Q88" s="145">
        <f>+G46</f>
        <v>800000</v>
      </c>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t="s">
        <v>197</v>
      </c>
      <c r="F89" s="122"/>
      <c r="G89" s="146">
        <v>1307838.05</v>
      </c>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J92" s="61" t="s">
        <v>194</v>
      </c>
      <c r="L92" s="60"/>
      <c r="N92" s="97"/>
      <c r="O92" s="121"/>
      <c r="P92" s="129"/>
      <c r="Q92" s="145">
        <v>3000000</v>
      </c>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7549760</v>
      </c>
    </row>
    <row r="752" spans="1:17">
      <c r="B752" s="24"/>
      <c r="C752" s="60"/>
      <c r="E752" s="47"/>
      <c r="F752" s="48"/>
      <c r="G752" s="47"/>
    </row>
    <row r="753" spans="5:7" ht="15">
      <c r="E753" s="49"/>
      <c r="F753" s="50"/>
      <c r="G753" s="51">
        <f>SUM(G84:G752)</f>
        <v>-6983617.7749999994</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71" priority="7" operator="containsText" text="ERROR">
      <formula>NOT(ISERROR(SEARCH("ERROR",T17)))</formula>
    </cfRule>
  </conditionalFormatting>
  <conditionalFormatting sqref="T42">
    <cfRule type="containsText" dxfId="70" priority="6" operator="containsText" text="ERROR">
      <formula>NOT(ISERROR(SEARCH("ERROR",T42)))</formula>
    </cfRule>
  </conditionalFormatting>
  <conditionalFormatting sqref="W19">
    <cfRule type="containsText" dxfId="69" priority="2" operator="containsText" text="ERROR">
      <formula>NOT(ISERROR(SEARCH("ERROR",W19)))</formula>
    </cfRule>
  </conditionalFormatting>
  <conditionalFormatting sqref="BL72">
    <cfRule type="containsText" dxfId="68" priority="3" operator="containsText" text="ERROR">
      <formula>NOT(ISERROR(SEARCH("ERROR",BL72)))</formula>
    </cfRule>
  </conditionalFormatting>
  <dataValidations count="5">
    <dataValidation type="list" allowBlank="1" showInputMessage="1" showErrorMessage="1" sqref="M93:M95 L84:L96 M131:M748 L97:M98 L100:L748" xr:uid="{F41C4C10-A44C-443F-B617-96E347925206}">
      <formula1>Taxes</formula1>
    </dataValidation>
    <dataValidation type="list" allowBlank="1" showInputMessage="1" showErrorMessage="1" sqref="N84:N749" xr:uid="{1F884F7C-8F4A-4672-BE13-66C3781B131A}">
      <formula1>Govadjust</formula1>
    </dataValidation>
    <dataValidation type="list" allowBlank="1" showInputMessage="1" showErrorMessage="1" sqref="N5:N8 N73 N75 N77:N79 N10:N71" xr:uid="{37624404-58F3-4843-B1EA-6B371FE336B0}">
      <formula1>FinalDiff</formula1>
    </dataValidation>
    <dataValidation type="list" allowBlank="1" showInputMessage="1" showErrorMessage="1" sqref="C84:C752" xr:uid="{705E69D1-F57F-4D77-8C92-7BEB77BA7B61}">
      <formula1>Compadjust</formula1>
    </dataValidation>
    <dataValidation type="list" allowBlank="1" showErrorMessage="1" errorTitle="Taxes" error="Non valid entry. Please check the tax list" promptTitle="Taxes" prompt="Please select the tax subject to adjustment" sqref="B87:B105" xr:uid="{71F25C05-7729-45FB-82D1-D175A175530A}">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2C30CA39-8F7F-4FA4-89E4-45BCEECE4364}">
          <x14:formula1>
            <xm:f>Lists!$A$131:$A$132</xm:f>
          </x14:formula1>
          <xm:sqref>K84:K749 B84:B86</xm:sqref>
        </x14:dataValidation>
        <x14:dataValidation type="list" allowBlank="1" showInputMessage="1" showErrorMessage="1" xr:uid="{E4E467E7-4C98-4475-98A9-7CEDFD571E58}">
          <x14:formula1>
            <xm:f>Lists!$A$7:$A$64</xm:f>
          </x14:formula1>
          <xm:sqref>J85:J749</xm:sqref>
        </x14:dataValidation>
        <x14:dataValidation type="list" allowBlank="1" showErrorMessage="1" errorTitle="Taxes" error="Non valid entry. Please check the tax list" promptTitle="Taxes" prompt="Please select the tax subject to adjustment" xr:uid="{F4D8504B-96F3-4E05-8742-5272A0D0E9B1}">
          <x14:formula1>
            <xm:f>Lists!$A$7:$A$64</xm:f>
          </x14:formula1>
          <xm:sqref>A84:A751</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BL753"/>
  <sheetViews>
    <sheetView showGridLines="0" topLeftCell="B24" zoomScaleNormal="100" workbookViewId="0">
      <selection activeCell="J42" sqref="J42:J43"/>
    </sheetView>
  </sheetViews>
  <sheetFormatPr baseColWidth="10" defaultColWidth="11.54296875" defaultRowHeight="12" outlineLevelCol="1"/>
  <cols>
    <col min="1" max="1" width="28.54296875" style="17" hidden="1" customWidth="1"/>
    <col min="2" max="2" width="4.453125" style="17" customWidth="1"/>
    <col min="3" max="3" width="49.81640625" style="30" bestFit="1" customWidth="1"/>
    <col min="4" max="4" width="0.81640625" style="21" customWidth="1"/>
    <col min="5" max="5" width="16.8164062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Companies!B13</f>
        <v>VOGUEROC SURL</v>
      </c>
      <c r="F1" s="32" t="str">
        <f>Companies!C13</f>
        <v>M369291E001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SUMPRODUCT(($J$84:$M$743=$AL3&amp;"- "&amp;$AM3)*($N$84:$N$743=AN$1)*($Q$84:$Q$743))</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SUMIF($J$84:$M$744,B6&amp;"- "&amp;C6,$Q$84:$Q$744)</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SUMIF($J$84:$M$744,B7&amp;"- "&amp;C7,$Q$84:$Q$744)</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SUMPRODUCT(($J$84:$M$743=$AL7&amp;"- "&amp;$AM7)*($N$84:$N$743=AN$1)*($Q$84:$Q$743))</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9271554.1050000004</v>
      </c>
      <c r="J8" s="164">
        <f ca="1">+J9+J13+J15+J17+J40+J45+J47+J52+J55+J62+J65+J68+J77</f>
        <v>22500000</v>
      </c>
      <c r="K8" s="164">
        <f ca="1">+K9+K13+K15+K17+K40+K45+K47+K52+K55+K62+K65+K68+K77</f>
        <v>31771554.104999997</v>
      </c>
      <c r="L8" s="114"/>
      <c r="M8" s="164">
        <f ca="1">+M9+M13+M15+M17+M40+M45+M52+M55+M62+M65+M68+M77+M47</f>
        <v>-31771554.104999997</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3090517.8850000002</v>
      </c>
      <c r="J9" s="166">
        <f t="shared" ref="J9" ca="1" si="26">SUM(J10:J12)</f>
        <v>0</v>
      </c>
      <c r="K9" s="166">
        <f t="shared" ref="K9" ca="1" si="27">SUM(K10:K12)</f>
        <v>3090517.8850000002</v>
      </c>
      <c r="L9" s="114"/>
      <c r="M9" s="166">
        <f t="shared" ref="M9" ca="1" si="28">SUM(M10:M12)</f>
        <v>-3090517.8850000002</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441502.55499999999</v>
      </c>
      <c r="J10" s="165">
        <f>SUMIF($J$83:$J$1048576,C10,$Q$83:$Q$1048576)</f>
        <v>0</v>
      </c>
      <c r="K10" s="165">
        <f>I10+J10</f>
        <v>441502.55499999999</v>
      </c>
      <c r="L10" s="114"/>
      <c r="M10" s="165">
        <f>+G10-K10</f>
        <v>-441502.55499999999</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2649015.33</v>
      </c>
      <c r="J11" s="114">
        <f>SUMIF($J$83:$J$1048576,C11,$Q$83:$Q$1048576)</f>
        <v>0</v>
      </c>
      <c r="K11" s="114">
        <f>I11+J11</f>
        <v>2649015.33</v>
      </c>
      <c r="L11" s="114"/>
      <c r="M11" s="114">
        <f>+G11-K11</f>
        <v>-2649015.33</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SUMIF($J$84:$M$744,B12&amp;"- "&amp;C12,$Q$84:$Q$744)</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SUMPRODUCT(($J$84:$M$743=$AL13&amp;"- "&amp;$AM13)*($N$84:$N$743=AN$1)*($Q$84:$Q$743))</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SUMIF($J$84:$M$744,B14&amp;"- "&amp;C14,$Q$84:$Q$744)</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SUMIF($J$84:$M$744,B16&amp;"- "&amp;C16,$Q$84:$Q$744)</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4415026</v>
      </c>
      <c r="J17" s="166">
        <f t="shared" ref="J17" ca="1" si="52">SUM(J18:J39)</f>
        <v>0</v>
      </c>
      <c r="K17" s="166">
        <f t="shared" ref="K17" ca="1" si="53">SUM(K18:K39)</f>
        <v>4415026</v>
      </c>
      <c r="L17" s="114"/>
      <c r="M17" s="166">
        <f t="shared" ref="M17" ca="1" si="54">SUM(M18:M39)</f>
        <v>-4415026</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SUMIF($J$84:$M$744,B18&amp;"- "&amp;C18,$Q$84:$Q$744)</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SUMPRODUCT(($J$84:$M$743=$AL23&amp;"- "&amp;$AM23)*($N$84:$N$743=AN$1)*($Q$84:$Q$743))</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SUMIF($N$84:$N$744,R25,$Q$84:$Q$744)</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4415026</v>
      </c>
      <c r="J29" s="165">
        <f t="shared" ca="1" si="57"/>
        <v>0</v>
      </c>
      <c r="K29" s="165">
        <f t="shared" ca="1" si="58"/>
        <v>4415026</v>
      </c>
      <c r="L29" s="114"/>
      <c r="M29" s="165">
        <f t="shared" ca="1" si="59"/>
        <v>-4415026</v>
      </c>
      <c r="N29" s="68"/>
      <c r="O29" s="38" t="str">
        <f t="shared" ca="1" si="46"/>
        <v>ERROR</v>
      </c>
      <c r="P29" s="39" t="str">
        <f t="shared" ca="1" si="47"/>
        <v>Please insert comment</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SUMPRODUCT(($J$84:$M$743=$AL34&amp;"- "&amp;$AM34)*($N$84:$N$743=AN$1)*($Q$84:$Q$743))</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883005.11</v>
      </c>
      <c r="J40" s="166">
        <f ca="1">SUM(J41:J44)</f>
        <v>22500000</v>
      </c>
      <c r="K40" s="166">
        <f ca="1">SUM(K41:K44)</f>
        <v>23383005.109999999</v>
      </c>
      <c r="L40" s="114"/>
      <c r="M40" s="166">
        <f ca="1">SUM(M41:M44)</f>
        <v>-23383005.109999999</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SUMIF($J$84:$M$744,B41&amp;"- "&amp;C41,$Q$84:$Q$744)</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v>15000000</v>
      </c>
      <c r="K42" s="165">
        <f>I42+J42</f>
        <v>15000000</v>
      </c>
      <c r="L42" s="114"/>
      <c r="M42" s="165">
        <f>+G42-K42</f>
        <v>-15000000</v>
      </c>
      <c r="N42" s="68"/>
      <c r="O42" s="38" t="str">
        <f t="shared" si="46"/>
        <v>ERROR</v>
      </c>
      <c r="P42" s="39" t="str">
        <f t="shared" si="88"/>
        <v>Please insert comment</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v>7500000</v>
      </c>
      <c r="K43" s="114">
        <f>I43+J43</f>
        <v>7500000</v>
      </c>
      <c r="L43" s="114"/>
      <c r="M43" s="114">
        <f>+G43-K43</f>
        <v>-7500000</v>
      </c>
      <c r="N43" s="18"/>
      <c r="O43" s="38" t="str">
        <f t="shared" si="46"/>
        <v>ERROR</v>
      </c>
      <c r="P43" s="39" t="str">
        <f t="shared" si="88"/>
        <v>Please insert comment</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883005.11</v>
      </c>
      <c r="J44" s="165">
        <f ca="1">SUMIF($J$84:$M$744,B44&amp;"- "&amp;C44,$Q$84:$Q$744)</f>
        <v>0</v>
      </c>
      <c r="K44" s="165">
        <f ca="1">I44+J44</f>
        <v>883005.11</v>
      </c>
      <c r="L44" s="114"/>
      <c r="M44" s="165">
        <f ca="1">+G44-K44</f>
        <v>-883005.11</v>
      </c>
      <c r="N44" s="68"/>
      <c r="O44" s="38" t="str">
        <f t="shared" ca="1" si="46"/>
        <v>ERROR</v>
      </c>
      <c r="P44" s="39" t="str">
        <f t="shared" ca="1" si="88"/>
        <v>Please insert comment</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SUMIF($J$84:$M$744,B46&amp;"- "&amp;C46,$Q$84:$Q$744)</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SUMIF($J$84:$M$744,B48&amp;"- "&amp;C48,$Q$84:$Q$744)</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SUMPRODUCT(($J$84:$M$743=$AL48&amp;"- "&amp;$AM48)*($N$84:$N$743=AN$1)*($Q$84:$Q$743))</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SUMIF($J$84:$M$744,B49&amp;"- "&amp;C49,$Q$84:$Q$744)</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SUMIF($J$84:$M$744,B50&amp;"- "&amp;C50,$Q$84:$Q$744)</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SUMIF($J$84:$M$744,B51&amp;"- "&amp;C51,$Q$84:$Q$744)</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SUMPRODUCT(($J$84:$M$743=$AL51&amp;"- "&amp;$AM51)*($N$84:$N$743=AN$1)*($Q$84:$Q$743))</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SUMIF($J$84:$M$744,B53&amp;"- "&amp;C53,$Q$84:$Q$744)</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SUMIF($J$84:$M$744,B54&amp;"- "&amp;C54,$Q$84:$Q$744)</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SUMIF($J$84:$M$744,B56&amp;"- "&amp;C56,$Q$84:$Q$744)</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SUMPRODUCT(($A$84:$A$751=$Y61&amp;"- "&amp;$Z61)*($C$84:$C$751=AA$1)*($G$84:$G$751))</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SUMPRODUCT(($J$84:$M$743=$AL61&amp;"- "&amp;$AM61)*($N$84:$N$743=AN$1)*($Q$84:$Q$743))</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SUMIF($J$84:$M$744,B63&amp;"- "&amp;C63,$Q$84:$Q$744)</f>
        <v>0</v>
      </c>
      <c r="K63" s="114">
        <f ca="1">I63+J63</f>
        <v>0</v>
      </c>
      <c r="L63" s="114"/>
      <c r="M63" s="114">
        <f ca="1">+G63-K63</f>
        <v>0</v>
      </c>
      <c r="N63" s="18"/>
      <c r="O63" s="38"/>
      <c r="P63" s="39"/>
      <c r="Q63" s="23"/>
      <c r="Y63" s="15">
        <f>B65</f>
        <v>0</v>
      </c>
      <c r="Z63" s="25" t="str">
        <f>C65</f>
        <v xml:space="preserve">Paiements Sociaux </v>
      </c>
      <c r="AA63" s="16">
        <f t="shared" ref="AA63:AI64" si="132">SUMPRODUCT(($A$84:$A$751=$Y63&amp;"- "&amp;$Z63)*($C$84:$C$751=AA$1)*($G$84:$G$751))</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SUMPRODUCT(($J$84:$M$743=$AL63&amp;"- "&amp;$AM63)*($N$84:$N$743=AN$1)*($Q$84:$Q$743))</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SUMIF($J$84:$M$744,B64&amp;"- "&amp;C64,$Q$84:$Q$744)</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SUMIF($J$84:$M$744,B66&amp;"- "&amp;C66,$Q$84:$Q$744)</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SUMPRODUCT(($A$84:$A$751=$Y66&amp;"- "&amp;$Z66)*($C$84:$C$751=AA$1)*($G$84:$G$751))</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SUMPRODUCT(($J$84:$M$743=$AL66&amp;"- "&amp;$AM66)*($N$84:$N$743=AN$1)*($Q$84:$Q$743))</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SUMIF($J$84:$M$744,B67&amp;"- "&amp;C67,$Q$84:$Q$744)</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SUMIF($A$84:$A$751,B69&amp;"- "&amp;C69,$G$84:$G$751)</f>
        <v>0</v>
      </c>
      <c r="G69" s="114">
        <f t="shared" ref="G69:G76" si="156">E69+F69</f>
        <v>0</v>
      </c>
      <c r="H69" s="114"/>
      <c r="I69" s="114"/>
      <c r="J69" s="114">
        <f t="shared" ref="J69:J76" ca="1" si="157">SUMIF($J$84:$M$744,B69&amp;"- "&amp;C69,$Q$84:$Q$744)</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SUMPRODUCT(($A$84:$A$751=$Y69&amp;"- "&amp;$Z69)*($C$84:$C$751=AA$1)*($G$84:$G$751))</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SUMPRODUCT(($J$84:$M$743=$AL69&amp;"- "&amp;$AM69)*($N$84:$N$743=AN$1)*($Q$84:$Q$743))</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SUMPRODUCT(($A$84:$A$751=$Y71&amp;"- "&amp;$Z71)*($C$84:$C$751=AA$1)*($G$84:$G$751))</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SUMPRODUCT(($J$84:$M$743=$AL71&amp;"- "&amp;$AM71)*($N$84:$N$743=AN$1)*($Q$84:$Q$743))</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SUMPRODUCT(($J$84:$M$743=$AL73&amp;"- "&amp;$AM73)*($N$84:$N$743=AN$1)*($Q$84:$Q$743))</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883005.11</v>
      </c>
      <c r="J77" s="166">
        <f t="shared" ca="1" si="174"/>
        <v>0</v>
      </c>
      <c r="K77" s="166">
        <f t="shared" ca="1" si="174"/>
        <v>883005.11</v>
      </c>
      <c r="L77" s="169"/>
      <c r="M77" s="166">
        <f ca="1">+M78+M79</f>
        <v>-883005.11</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v>883005.11</v>
      </c>
      <c r="J78" s="114">
        <f ca="1">SUMIF($J$84:$M$744,B78&amp;"- "&amp;C78,$Q$84:$Q$744)</f>
        <v>0</v>
      </c>
      <c r="K78" s="114">
        <f ca="1">I78+J78</f>
        <v>883005.11</v>
      </c>
      <c r="L78" s="114"/>
      <c r="M78" s="114">
        <f ca="1">+G78-K78</f>
        <v>-883005.11</v>
      </c>
      <c r="N78" s="18"/>
      <c r="O78" s="38" t="str">
        <f ca="1">IF(M78=0,"",IF(N78=0,"ERROR",""))</f>
        <v>ERROR</v>
      </c>
      <c r="P78" s="39" t="str">
        <f ca="1">IF(O78="ERROR","Please insert comment","")</f>
        <v>Please insert comment</v>
      </c>
      <c r="Q78" s="35"/>
      <c r="Y78" s="15">
        <f>B45</f>
        <v>0</v>
      </c>
      <c r="Z78" s="25" t="str">
        <f>C45</f>
        <v xml:space="preserve">Paiements infranationaux au profit des communes </v>
      </c>
      <c r="AA78" s="16">
        <f t="shared" ref="AA78:AI78" si="175">SUMPRODUCT(($A$84:$A$751=$Y78&amp;"- "&amp;$Z78)*($C$84:$C$751=AA$1)*($G$84:$G$751))</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SUMPRODUCT(($J$84:$M$743=$AL78&amp;"- "&amp;$AM78)*($N$84:$N$743=AN$1)*($Q$84:$Q$743))</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SUMIF($J$84:$M$744,B79&amp;"- "&amp;C79,$Q$84:$Q$744)</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IF(J8=Q746,"","ERROR")</f>
        <v>ERROR</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F84" s="120"/>
      <c r="G84" s="144"/>
      <c r="L84" s="60"/>
      <c r="N84" s="97"/>
      <c r="P84" s="120"/>
      <c r="Q84" s="148"/>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4"/>
      <c r="L85" s="60"/>
      <c r="N85" s="97"/>
      <c r="P85" s="120"/>
      <c r="Q85" s="148"/>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P86" s="120"/>
      <c r="Q86" s="148"/>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P87" s="120"/>
      <c r="Q87" s="148"/>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0"/>
      <c r="Q88" s="148"/>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0"/>
      <c r="Q89" s="148"/>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0"/>
      <c r="Q90" s="148"/>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0"/>
      <c r="Q91" s="148"/>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0"/>
      <c r="Q92" s="148"/>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0"/>
      <c r="Q93" s="148"/>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0"/>
      <c r="Q94" s="148"/>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0"/>
      <c r="Q95" s="148"/>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0"/>
      <c r="Q96" s="148"/>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0"/>
      <c r="Q97" s="148"/>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0"/>
      <c r="Q98" s="148"/>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0"/>
      <c r="Q99" s="148"/>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0"/>
      <c r="Q100" s="148"/>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0"/>
      <c r="Q101" s="148"/>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0"/>
      <c r="Q102" s="148"/>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0"/>
      <c r="Q103" s="148"/>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0"/>
      <c r="Q104" s="148"/>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0"/>
      <c r="Q105" s="148"/>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0"/>
      <c r="Q106" s="148"/>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0"/>
      <c r="Q107" s="148"/>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0"/>
      <c r="Q108" s="148"/>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0"/>
      <c r="Q109" s="148"/>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0"/>
      <c r="Q110" s="148"/>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0"/>
      <c r="Q111" s="148"/>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0"/>
      <c r="Q112" s="148"/>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0"/>
      <c r="Q113" s="148"/>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0"/>
      <c r="Q114" s="148"/>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0"/>
      <c r="Q115" s="148"/>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0"/>
      <c r="Q116" s="148"/>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0"/>
      <c r="Q117" s="148"/>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0"/>
      <c r="Q118" s="148"/>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0"/>
      <c r="Q119" s="148"/>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0"/>
      <c r="Q120" s="148"/>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0"/>
      <c r="Q121" s="148"/>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0"/>
      <c r="Q122" s="148"/>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0"/>
      <c r="Q123" s="148"/>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0"/>
      <c r="Q124" s="148"/>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0"/>
      <c r="Q125" s="148"/>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ht="15">
      <c r="A746" s="61"/>
      <c r="B746" s="24"/>
      <c r="C746" s="60"/>
      <c r="E746" s="47"/>
      <c r="F746" s="48"/>
      <c r="G746" s="47"/>
      <c r="J746" s="61"/>
      <c r="K746" s="61"/>
      <c r="N746" s="97"/>
      <c r="O746" s="49"/>
      <c r="P746" s="50"/>
      <c r="Q746" s="51">
        <f>SUM(Q82:Q745)</f>
        <v>0</v>
      </c>
    </row>
    <row r="747" spans="1:17">
      <c r="A747" s="61"/>
      <c r="B747" s="24"/>
      <c r="C747" s="60"/>
      <c r="E747" s="47"/>
      <c r="F747" s="48"/>
      <c r="G747" s="47"/>
      <c r="J747" s="61"/>
      <c r="K747" s="61"/>
      <c r="N747" s="97"/>
    </row>
    <row r="748" spans="1:17">
      <c r="A748" s="61"/>
      <c r="B748" s="24"/>
      <c r="C748" s="60"/>
      <c r="E748" s="47"/>
      <c r="F748" s="48"/>
      <c r="G748" s="47"/>
      <c r="J748" s="61"/>
      <c r="K748" s="61"/>
      <c r="N748" s="97"/>
    </row>
    <row r="749" spans="1:17">
      <c r="A749" s="61"/>
      <c r="B749" s="24"/>
      <c r="C749" s="60"/>
      <c r="E749" s="47"/>
      <c r="F749" s="48"/>
      <c r="G749" s="47"/>
      <c r="J749" s="61"/>
      <c r="K749" s="61"/>
      <c r="N749" s="97"/>
    </row>
    <row r="750" spans="1:17">
      <c r="A750" s="61"/>
      <c r="B750" s="24"/>
      <c r="C750" s="60"/>
      <c r="E750" s="47"/>
      <c r="F750" s="48"/>
      <c r="G750" s="47"/>
    </row>
    <row r="751" spans="1:17">
      <c r="A751" s="61"/>
      <c r="B751" s="24"/>
      <c r="C751" s="60"/>
      <c r="E751" s="47"/>
      <c r="F751" s="48"/>
      <c r="G751" s="47"/>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67" priority="8" operator="containsText" text="ERROR">
      <formula>NOT(ISERROR(SEARCH("ERROR",T17)))</formula>
    </cfRule>
  </conditionalFormatting>
  <conditionalFormatting sqref="T42">
    <cfRule type="containsText" dxfId="66" priority="7" operator="containsText" text="ERROR">
      <formula>NOT(ISERROR(SEARCH("ERROR",T42)))</formula>
    </cfRule>
  </conditionalFormatting>
  <conditionalFormatting sqref="W19">
    <cfRule type="containsText" dxfId="65" priority="3" operator="containsText" text="ERROR">
      <formula>NOT(ISERROR(SEARCH("ERROR",W19)))</formula>
    </cfRule>
  </conditionalFormatting>
  <conditionalFormatting sqref="BL72">
    <cfRule type="containsText" dxfId="64" priority="4" operator="containsText" text="ERROR">
      <formula>NOT(ISERROR(SEARCH("ERROR",BL72)))</formula>
    </cfRule>
  </conditionalFormatting>
  <dataValidations count="5">
    <dataValidation type="list" allowBlank="1" showInputMessage="1" showErrorMessage="1" sqref="N5:N8 N73 N75 N77:N79 N10:N71" xr:uid="{7A0955EC-3962-42B2-A545-20EC057B6DA2}">
      <formula1>FinalDiff</formula1>
    </dataValidation>
    <dataValidation type="list" allowBlank="1" showInputMessage="1" showErrorMessage="1" sqref="M126:M743 L84:L743" xr:uid="{BD704466-CCE1-40E8-89B4-DD17422D4270}">
      <formula1>Taxes</formula1>
    </dataValidation>
    <dataValidation type="list" allowBlank="1" showInputMessage="1" showErrorMessage="1" sqref="C84:C752" xr:uid="{8DC8E678-A907-41CF-B460-27158DE717B0}">
      <formula1>Compadjust</formula1>
    </dataValidation>
    <dataValidation type="list" allowBlank="1" showErrorMessage="1" errorTitle="Taxes" error="Non valid entry. Please check the tax list" promptTitle="Taxes" prompt="Please select the tax subject to adjustment" sqref="B85:B105" xr:uid="{40C098F2-E5AB-4F78-A22F-58FD820A29FF}">
      <formula1>$A$135:$A$136</formula1>
    </dataValidation>
    <dataValidation type="list" allowBlank="1" showInputMessage="1" showErrorMessage="1" sqref="N84:N749" xr:uid="{FEB3AEA9-9B8B-4285-8B36-2537F390D225}">
      <formula1>Govadjust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E816C9AC-796E-4BC1-97D0-00895E87E6CC}">
          <x14:formula1>
            <xm:f>Lists!$A$131:$A$132</xm:f>
          </x14:formula1>
          <xm:sqref>B84 K84:K749</xm:sqref>
        </x14:dataValidation>
        <x14:dataValidation type="list" allowBlank="1" showErrorMessage="1" errorTitle="Taxes" error="Non valid entry. Please check the tax list" promptTitle="Taxes" prompt="Please select the tax subject to adjustment" xr:uid="{3F45B3E2-2453-4402-94AE-1AAEDCE36959}">
          <x14:formula1>
            <xm:f>Lists!$A$7:$A$64</xm:f>
          </x14:formula1>
          <xm:sqref>A84:A751</xm:sqref>
        </x14:dataValidation>
        <x14:dataValidation type="list" allowBlank="1" showInputMessage="1" showErrorMessage="1" xr:uid="{B3F9F4B4-091A-4439-B788-5F4DC6859982}">
          <x14:formula1>
            <xm:f>Lists!$A$7:$A$64</xm:f>
          </x14:formula1>
          <xm:sqref>J84:J749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dimension ref="A1:BL752"/>
  <sheetViews>
    <sheetView showGridLines="0" topLeftCell="A15" zoomScaleNormal="100" workbookViewId="0">
      <selection activeCell="G26" sqref="G26"/>
    </sheetView>
  </sheetViews>
  <sheetFormatPr baseColWidth="10" defaultColWidth="11.54296875" defaultRowHeight="12" outlineLevelCol="1"/>
  <cols>
    <col min="1" max="1" width="28.54296875" style="17" customWidth="1"/>
    <col min="2" max="2" width="4.453125" style="17" customWidth="1"/>
    <col min="3" max="3" width="55.179687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4.17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Companies!B14</f>
        <v>SOCIETE DUNTA</v>
      </c>
      <c r="F1" s="32" t="str">
        <f>Companies!C14</f>
        <v>M350653V001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SUMIF($C$84:$C$750,R3,$G$84:$G$750)</f>
        <v>0</v>
      </c>
      <c r="U3" s="21" t="str">
        <f>Lists!A91</f>
        <v>FD non soumis par la Société</v>
      </c>
      <c r="V3" s="18">
        <f t="shared" ref="V3:V14" si="4">SUMIF($N$9:$N$75,U3,$M$9:$M$75)</f>
        <v>0</v>
      </c>
      <c r="Y3" s="19">
        <f>B6</f>
        <v>0</v>
      </c>
      <c r="Z3" s="19">
        <f>C6</f>
        <v>0</v>
      </c>
      <c r="AA3" s="16">
        <f t="shared" ref="AA3:AI4" si="5">SUMPRODUCT(($A$84:$A$750=$Y3&amp;"- "&amp;$Z3)*($C$84:$C$750=AA$1)*($G$84:$G$750))</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SUMPRODUCT(($J$84:$M$747=$AL3&amp;"- "&amp;$AM3)*($N$84:$N$747=AN$1)*($Q$84:$Q$747))</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1728000</v>
      </c>
      <c r="BH5" s="81">
        <f t="shared" ca="1" si="15"/>
        <v>0</v>
      </c>
      <c r="BI5" s="81">
        <f t="shared" ca="1" si="15"/>
        <v>0</v>
      </c>
      <c r="BJ5" s="81">
        <f t="shared" ca="1" si="15"/>
        <v>0</v>
      </c>
      <c r="BK5" s="81">
        <f t="shared" ca="1" si="15"/>
        <v>1482745.9075000004</v>
      </c>
    </row>
    <row r="6" spans="1:63">
      <c r="B6" s="67"/>
      <c r="C6" s="69"/>
      <c r="E6" s="165"/>
      <c r="F6" s="165">
        <f>SUMIF($A$84:$A$750,B6&amp;"- "&amp;C6,$G$84:$G$750)</f>
        <v>0</v>
      </c>
      <c r="G6" s="165">
        <f>E6+F6</f>
        <v>0</v>
      </c>
      <c r="H6" s="114"/>
      <c r="I6" s="165"/>
      <c r="J6" s="165">
        <f ca="1">SUMIF($J$84:$M$748,B6&amp;"- "&amp;C6,$Q$84:$Q$748)</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366858.37250000041</v>
      </c>
    </row>
    <row r="7" spans="1:63">
      <c r="C7" s="24"/>
      <c r="E7" s="114"/>
      <c r="F7" s="114">
        <f>SUMIF($A$84:$A$750,B7&amp;"- "&amp;C7,$G$84:$G$750)</f>
        <v>0</v>
      </c>
      <c r="G7" s="114">
        <f>E7+F7</f>
        <v>0</v>
      </c>
      <c r="H7" s="114"/>
      <c r="I7" s="114"/>
      <c r="J7" s="114">
        <f ca="1">SUMIF($J$84:$M$748,B7&amp;"- "&amp;C7,$Q$84:$Q$748)</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SUMPRODUCT(($A$84:$A$750=$Y7&amp;"- "&amp;$Z7)*($C$84:$C$750=AA$1)*($G$84:$G$750))</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SUMPRODUCT(($J$84:$M$747=$AL7&amp;"- "&amp;$AM7)*($N$84:$N$747=AN$1)*($Q$84:$Q$747))</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-0.23250000004190952</v>
      </c>
    </row>
    <row r="8" spans="1:63">
      <c r="B8" s="78" t="s">
        <v>93</v>
      </c>
      <c r="C8" s="77"/>
      <c r="E8" s="164">
        <f>+E9+E13+E15+E17+E40+E45+E47+E52+E55+E62+E65+E68+E77</f>
        <v>31919352</v>
      </c>
      <c r="F8" s="164">
        <f>+F9+F13+F15+F17+F40+F45+F47+F52+F55+F62+F65+F68+F77</f>
        <v>0</v>
      </c>
      <c r="G8" s="164">
        <f>+G9+G13+G15+G17+G40+G45+G47+G52+G55+G62+G65+G68+G77</f>
        <v>31919352</v>
      </c>
      <c r="H8" s="114"/>
      <c r="I8" s="164">
        <f>+I9+I13+I15+I17+I40+I45+I47+I52+I55+I62+I65+I68+I77</f>
        <v>11721767.557499999</v>
      </c>
      <c r="J8" s="164">
        <f ca="1">+J9+J13+J15+J17+J40+J45+J47+J52+J55+J62+J65+J68+J77</f>
        <v>16986839</v>
      </c>
      <c r="K8" s="164">
        <f ca="1">+K9+K13+K15+K17+K40+K45+K47+K52+K55+K62+K65+K68+K77</f>
        <v>28708606.557499997</v>
      </c>
      <c r="L8" s="114"/>
      <c r="M8" s="164">
        <f ca="1">+M9+M13+M15+M17+M40+M45+M52+M55+M62+M65+M68+M77+M47</f>
        <v>3210745.4425000008</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366858.60500000045</v>
      </c>
    </row>
    <row r="9" spans="1:63">
      <c r="B9" s="58"/>
      <c r="C9" s="58" t="str">
        <f>+'Taxes RCA 2022'!B2</f>
        <v>DGDDI</v>
      </c>
      <c r="E9" s="166">
        <f>SUM(E10:E12)</f>
        <v>5306123</v>
      </c>
      <c r="F9" s="166">
        <f t="shared" ref="F9:G9" si="25">SUM(F10:F12)</f>
        <v>0</v>
      </c>
      <c r="G9" s="166">
        <f t="shared" si="25"/>
        <v>5306123</v>
      </c>
      <c r="H9" s="114"/>
      <c r="I9" s="166">
        <f>SUM(I10:I12)</f>
        <v>4939264.6274999995</v>
      </c>
      <c r="J9" s="166">
        <f t="shared" ref="J9" ca="1" si="26">SUM(J10:J12)</f>
        <v>0</v>
      </c>
      <c r="K9" s="166">
        <f t="shared" ref="K9" ca="1" si="27">SUM(K10:K12)</f>
        <v>4939264.6274999995</v>
      </c>
      <c r="L9" s="114"/>
      <c r="M9" s="166">
        <f t="shared" ref="M9" ca="1" si="28">SUM(M10:M12)</f>
        <v>366858.37250000041</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v>705609</v>
      </c>
      <c r="F10" s="165">
        <f>SUMIF($A$84:$A$750,B10&amp;"- "&amp;C10,$G$84:$G$750)</f>
        <v>0</v>
      </c>
      <c r="G10" s="165">
        <f>E10+F10</f>
        <v>705609</v>
      </c>
      <c r="H10" s="114"/>
      <c r="I10" s="165">
        <v>705609.23250000004</v>
      </c>
      <c r="J10" s="165">
        <f>SUMIF($J$83:$J$1048576,C10,$Q$83:$Q$1048576)</f>
        <v>0</v>
      </c>
      <c r="K10" s="165">
        <f>I10+J10</f>
        <v>705609.23250000004</v>
      </c>
      <c r="L10" s="114"/>
      <c r="M10" s="165">
        <f>+G10-K10</f>
        <v>-0.23250000004190952</v>
      </c>
      <c r="N10" s="68" t="s">
        <v>229</v>
      </c>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ca="1" si="4"/>
        <v>1728000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v>4600514</v>
      </c>
      <c r="F11" s="114">
        <f>SUMIF($A$84:$A$750,B11&amp;"- "&amp;C11,$G$84:$G$750)</f>
        <v>0</v>
      </c>
      <c r="G11" s="114">
        <f>E11+F11</f>
        <v>4600514</v>
      </c>
      <c r="H11" s="114"/>
      <c r="I11" s="114">
        <v>4233655.3949999996</v>
      </c>
      <c r="J11" s="114">
        <f>SUMIF($J$83:$J$1048576,C11,$Q$83:$Q$1048576)</f>
        <v>0</v>
      </c>
      <c r="K11" s="114">
        <f>I11+J11</f>
        <v>4233655.3949999996</v>
      </c>
      <c r="L11" s="114"/>
      <c r="M11" s="114">
        <f>+G11-K11</f>
        <v>366858.60500000045</v>
      </c>
      <c r="N11" s="18" t="s">
        <v>229</v>
      </c>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SUMIF($A$84:$A$750,B12&amp;"- "&amp;C12,$G$84:$G$750)</f>
        <v>0</v>
      </c>
      <c r="G12" s="165">
        <f>E12+F12</f>
        <v>0</v>
      </c>
      <c r="H12" s="114"/>
      <c r="I12" s="165"/>
      <c r="J12" s="165">
        <f ca="1">SUMIF($J$84:$M$748,B12&amp;"- "&amp;C12,$Q$84:$Q$748)</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1728000</v>
      </c>
      <c r="BH12" s="29">
        <f t="shared" ca="1" si="32"/>
        <v>0</v>
      </c>
      <c r="BI12" s="29">
        <f t="shared" ca="1" si="32"/>
        <v>0</v>
      </c>
      <c r="BJ12" s="29">
        <f t="shared" ca="1" si="32"/>
        <v>0</v>
      </c>
      <c r="BK12" s="29">
        <f t="shared" ca="1" si="32"/>
        <v>1115888</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SUMPRODUCT(($A$84:$A$750=$Y13&amp;"- "&amp;$Z13)*($C$84:$C$750=AA$1)*($G$84:$G$750))</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SUMPRODUCT(($J$84:$M$747=$AL13&amp;"- "&amp;$AM13)*($N$84:$N$747=AN$1)*($Q$84:$Q$747))</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SUMIF($A$84:$A$750,B14&amp;"- "&amp;C14,$G$84:$G$750)</f>
        <v>0</v>
      </c>
      <c r="G14" s="114">
        <f>E14+F14</f>
        <v>0</v>
      </c>
      <c r="H14" s="114"/>
      <c r="I14" s="114"/>
      <c r="J14" s="114">
        <f ca="1">SUMIF($J$84:$M$748,B14&amp;"- "&amp;C14,$Q$84:$Q$748)</f>
        <v>0</v>
      </c>
      <c r="K14" s="114">
        <f ca="1">I14+J14</f>
        <v>0</v>
      </c>
      <c r="L14" s="114"/>
      <c r="M14" s="114">
        <f ca="1">+G14-K14</f>
        <v>0</v>
      </c>
      <c r="N14" s="18"/>
      <c r="O14" s="38"/>
      <c r="P14" s="39"/>
      <c r="Q14" s="35"/>
      <c r="U14" s="21" t="str">
        <f>Lists!A102</f>
        <v>Non significatif &lt; 1 M FCFA</v>
      </c>
      <c r="V14" s="18">
        <f t="shared" ca="1" si="4"/>
        <v>1482745.9075000004</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 ca="1">SUM(V3:V14)</f>
        <v>3210745.9075000007</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SUMIF($A$84:$A$750,B16&amp;"- "&amp;C16,$G$84:$G$750)</f>
        <v>0</v>
      </c>
      <c r="G16" s="165">
        <f>E16+F16</f>
        <v>0</v>
      </c>
      <c r="H16" s="114"/>
      <c r="I16" s="165"/>
      <c r="J16" s="165">
        <f ca="1">SUMIF($J$84:$M$748,B16&amp;"- "&amp;C16,$Q$84:$Q$748)</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195000</v>
      </c>
    </row>
    <row r="17" spans="1:63">
      <c r="A17" s="80">
        <f t="shared" si="29"/>
        <v>0</v>
      </c>
      <c r="B17" s="163"/>
      <c r="C17" s="58" t="str">
        <f>+'Taxes RCA 2022'!B10</f>
        <v>DGID</v>
      </c>
      <c r="E17" s="166">
        <f>SUM(E18:E39)</f>
        <v>23790793</v>
      </c>
      <c r="F17" s="166">
        <f t="shared" ref="F17:G17" si="51">SUM(F18:F39)</f>
        <v>0</v>
      </c>
      <c r="G17" s="166">
        <f t="shared" si="51"/>
        <v>23790793</v>
      </c>
      <c r="H17" s="114"/>
      <c r="I17" s="166">
        <f>SUM(I18:I39)</f>
        <v>3960066</v>
      </c>
      <c r="J17" s="166">
        <f t="shared" ref="J17" ca="1" si="52">SUM(J18:J39)</f>
        <v>16986839</v>
      </c>
      <c r="K17" s="166">
        <f t="shared" ref="K17" ca="1" si="53">SUM(K18:K39)</f>
        <v>20946905</v>
      </c>
      <c r="L17" s="114"/>
      <c r="M17" s="166">
        <f t="shared" ref="M17" ca="1" si="54">SUM(M18:M39)</f>
        <v>2843888</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1728000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SUMIF($A$84:$A$750,B18&amp;"- "&amp;C18,$G$84:$G$750)</f>
        <v>0</v>
      </c>
      <c r="G18" s="114">
        <f t="shared" ref="G18:G39" si="56">E18+F18</f>
        <v>0</v>
      </c>
      <c r="H18" s="114"/>
      <c r="I18" s="114"/>
      <c r="J18" s="114">
        <f t="shared" ref="J18:J39" ca="1" si="57">SUMIF($J$84:$M$749,C18,$Q$84:$Q$749)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200888</v>
      </c>
    </row>
    <row r="19" spans="1:63">
      <c r="A19" s="80">
        <f t="shared" si="29"/>
        <v>7</v>
      </c>
      <c r="B19" s="64">
        <f>+'Taxes RCA 2022'!A12</f>
        <v>7</v>
      </c>
      <c r="C19" s="68" t="str">
        <f>+'Taxes RCA 2022'!B12</f>
        <v>Contribution au développement social (CDS)</v>
      </c>
      <c r="E19" s="165">
        <v>195000</v>
      </c>
      <c r="F19" s="165">
        <f t="shared" si="55"/>
        <v>0</v>
      </c>
      <c r="G19" s="165">
        <f t="shared" si="56"/>
        <v>195000</v>
      </c>
      <c r="H19" s="114"/>
      <c r="I19" s="165"/>
      <c r="J19" s="165">
        <f t="shared" ca="1" si="57"/>
        <v>0</v>
      </c>
      <c r="K19" s="165">
        <f t="shared" ca="1" si="58"/>
        <v>0</v>
      </c>
      <c r="L19" s="114"/>
      <c r="M19" s="165">
        <f t="shared" ca="1" si="59"/>
        <v>195000</v>
      </c>
      <c r="N19" s="68" t="s">
        <v>229</v>
      </c>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v>1728000</v>
      </c>
      <c r="F20" s="114">
        <f t="shared" si="55"/>
        <v>0</v>
      </c>
      <c r="G20" s="114">
        <f t="shared" si="56"/>
        <v>1728000</v>
      </c>
      <c r="H20" s="114"/>
      <c r="I20" s="114"/>
      <c r="J20" s="114">
        <f t="shared" ca="1" si="57"/>
        <v>0</v>
      </c>
      <c r="K20" s="114">
        <f t="shared" ca="1" si="58"/>
        <v>0</v>
      </c>
      <c r="L20" s="114"/>
      <c r="M20" s="114">
        <f t="shared" ca="1" si="59"/>
        <v>1728000</v>
      </c>
      <c r="N20" s="18" t="s">
        <v>54</v>
      </c>
      <c r="O20" s="38" t="str">
        <f ca="1">IF(M20=0,"",IF(N20=0,"ERROR",""))</f>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v>200888</v>
      </c>
      <c r="F21" s="165">
        <f t="shared" si="55"/>
        <v>0</v>
      </c>
      <c r="G21" s="165">
        <f t="shared" si="56"/>
        <v>200888</v>
      </c>
      <c r="H21" s="114"/>
      <c r="I21" s="165"/>
      <c r="J21" s="165">
        <f t="shared" ca="1" si="57"/>
        <v>0</v>
      </c>
      <c r="K21" s="165">
        <f t="shared" ca="1" si="58"/>
        <v>0</v>
      </c>
      <c r="L21" s="114"/>
      <c r="M21" s="165">
        <f t="shared" ca="1" si="59"/>
        <v>200888</v>
      </c>
      <c r="N21" s="68" t="s">
        <v>229</v>
      </c>
      <c r="O21" s="38" t="str">
        <f ca="1">IF(M21=0,"",IF(N21=0,"ERROR",""))</f>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720000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v>14400000</v>
      </c>
      <c r="F23" s="165">
        <f t="shared" si="55"/>
        <v>0</v>
      </c>
      <c r="G23" s="165">
        <f t="shared" si="56"/>
        <v>14400000</v>
      </c>
      <c r="H23" s="114"/>
      <c r="I23" s="165"/>
      <c r="J23" s="165">
        <f t="shared" ca="1" si="57"/>
        <v>14400000</v>
      </c>
      <c r="K23" s="165">
        <f t="shared" ca="1" si="58"/>
        <v>14400000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SUMPRODUCT(($A$84:$A$750=$Y23&amp;"- "&amp;$Z23)*($C$84:$C$750=AA$1)*($G$84:$G$750))</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SUMPRODUCT(($J$84:$M$747=$AL23&amp;"- "&amp;$AM23)*($N$84:$N$747=AN$1)*($Q$84:$Q$747))</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v>720000</v>
      </c>
      <c r="F24" s="114">
        <f t="shared" si="55"/>
        <v>0</v>
      </c>
      <c r="G24" s="114">
        <f t="shared" si="56"/>
        <v>720000</v>
      </c>
      <c r="H24" s="114"/>
      <c r="I24" s="114"/>
      <c r="J24" s="114">
        <f t="shared" ca="1" si="57"/>
        <v>0</v>
      </c>
      <c r="K24" s="114">
        <f t="shared" ca="1" si="58"/>
        <v>0</v>
      </c>
      <c r="L24" s="114"/>
      <c r="M24" s="114">
        <f t="shared" ca="1" si="59"/>
        <v>720000</v>
      </c>
      <c r="N24" s="18" t="s">
        <v>229</v>
      </c>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SUMIF($N$84:$N$748,R25,$Q$84:$Q$748)</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v>2220000</v>
      </c>
      <c r="F28" s="114">
        <f t="shared" si="55"/>
        <v>0</v>
      </c>
      <c r="G28" s="114">
        <f t="shared" si="56"/>
        <v>2220000</v>
      </c>
      <c r="H28" s="114"/>
      <c r="I28" s="114"/>
      <c r="J28" s="114">
        <f t="shared" ca="1" si="57"/>
        <v>2220000</v>
      </c>
      <c r="K28" s="114">
        <f t="shared" ca="1" si="58"/>
        <v>2220000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v>3894905</v>
      </c>
      <c r="F29" s="165">
        <f t="shared" si="55"/>
        <v>0</v>
      </c>
      <c r="G29" s="165">
        <f t="shared" si="56"/>
        <v>3894905</v>
      </c>
      <c r="H29" s="114"/>
      <c r="I29" s="165">
        <v>3528066</v>
      </c>
      <c r="J29" s="165">
        <f t="shared" ca="1" si="57"/>
        <v>366839</v>
      </c>
      <c r="K29" s="165">
        <f t="shared" ca="1" si="58"/>
        <v>3894905</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v>432000</v>
      </c>
      <c r="F32" s="114">
        <f t="shared" si="55"/>
        <v>0</v>
      </c>
      <c r="G32" s="114">
        <f t="shared" si="56"/>
        <v>432000</v>
      </c>
      <c r="H32" s="114"/>
      <c r="I32" s="114">
        <v>432000</v>
      </c>
      <c r="J32" s="114">
        <f t="shared" ca="1" si="57"/>
        <v>0</v>
      </c>
      <c r="K32" s="114">
        <f t="shared" ca="1" si="58"/>
        <v>432000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-0.46500000008381903</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SUMPRODUCT(($A$84:$A$750=$Y34&amp;"- "&amp;$Z34)*($C$84:$C$750=AA$1)*($G$84:$G$750))</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SUMPRODUCT(($J$84:$M$747=$AL34&amp;"- "&amp;$AM34)*($N$84:$N$747=AN$1)*($Q$84:$Q$747))</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1411218</v>
      </c>
      <c r="F40" s="166">
        <f>SUM(F41:F44)</f>
        <v>0</v>
      </c>
      <c r="G40" s="166">
        <f>SUM(G41:G44)</f>
        <v>1411218</v>
      </c>
      <c r="H40" s="114"/>
      <c r="I40" s="166">
        <f>SUM(I41:I44)</f>
        <v>1411218.4650000001</v>
      </c>
      <c r="J40" s="166">
        <f ca="1">SUM(J41:J44)</f>
        <v>0</v>
      </c>
      <c r="K40" s="166">
        <f ca="1">SUM(K41:K44)</f>
        <v>1411218.4650000001</v>
      </c>
      <c r="L40" s="114"/>
      <c r="M40" s="166">
        <f ca="1">SUM(M41:M44)</f>
        <v>-0.46500000008381903</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SUMIF($A$84:$A$750,B41&amp;"- "&amp;C41,$G$84:$G$750)</f>
        <v>0</v>
      </c>
      <c r="G41" s="114">
        <f>E41+F41</f>
        <v>0</v>
      </c>
      <c r="H41" s="114"/>
      <c r="I41" s="114"/>
      <c r="J41" s="114">
        <f ca="1">SUMIF($J$84:$M$748,B41&amp;"- "&amp;C41,$Q$84:$Q$748)</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SUMIF($A$84:$A$750,B42&amp;"- "&amp;C42,$G$84:$G$750)</f>
        <v>0</v>
      </c>
      <c r="G42" s="165">
        <f>E42+F42</f>
        <v>0</v>
      </c>
      <c r="H42" s="114"/>
      <c r="I42" s="165"/>
      <c r="J42" s="165">
        <f ca="1">SUMIF($J$84:$M$748,B42&amp;"- "&amp;C42,$Q$84:$Q$748)</f>
        <v>0</v>
      </c>
      <c r="K42" s="165">
        <f ca="1">I42+J42</f>
        <v>0</v>
      </c>
      <c r="L42" s="114"/>
      <c r="M42" s="165">
        <f ca="1">+G42-K42</f>
        <v>0</v>
      </c>
      <c r="N42" s="68"/>
      <c r="O42" s="38" t="str">
        <f t="shared" ca="1" si="46"/>
        <v/>
      </c>
      <c r="P42" s="39" t="str">
        <f t="shared" ca="1" si="88"/>
        <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-0.46500000008381903</v>
      </c>
    </row>
    <row r="43" spans="1:63">
      <c r="A43" s="80">
        <f t="shared" si="29"/>
        <v>30</v>
      </c>
      <c r="B43" s="53">
        <f>+'Taxes RCA 2022'!A36</f>
        <v>30</v>
      </c>
      <c r="C43" s="18" t="str">
        <f>+'Taxes RCA 2022'!B36</f>
        <v xml:space="preserve">Redevance superficiaire   </v>
      </c>
      <c r="E43" s="114"/>
      <c r="F43" s="114">
        <f>SUMIF($A$84:$A$750,B43&amp;"- "&amp;C43,$G$84:$G$750)</f>
        <v>0</v>
      </c>
      <c r="G43" s="114">
        <f>E43+F43</f>
        <v>0</v>
      </c>
      <c r="H43" s="114"/>
      <c r="I43" s="114"/>
      <c r="J43" s="114">
        <f ca="1">SUMIF($J$84:$M$748,B43&amp;"- "&amp;C43,$Q$84:$Q$748)</f>
        <v>0</v>
      </c>
      <c r="K43" s="114">
        <f ca="1">I43+J43</f>
        <v>0</v>
      </c>
      <c r="L43" s="114"/>
      <c r="M43" s="114">
        <f ca="1">+G43-K43</f>
        <v>0</v>
      </c>
      <c r="N43" s="18"/>
      <c r="O43" s="38" t="str">
        <f t="shared" ca="1" si="46"/>
        <v/>
      </c>
      <c r="P43" s="39" t="str">
        <f t="shared" ca="1" si="88"/>
        <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v>1411218</v>
      </c>
      <c r="F44" s="165">
        <f>SUMIF($A$84:$A$750,B44&amp;"- "&amp;C44,$G$84:$G$750)</f>
        <v>0</v>
      </c>
      <c r="G44" s="165">
        <f>E44+F44</f>
        <v>1411218</v>
      </c>
      <c r="H44" s="114"/>
      <c r="I44" s="165">
        <v>1411218.4650000001</v>
      </c>
      <c r="J44" s="165">
        <f ca="1">SUMIF($J$84:$M$748,B44&amp;"- "&amp;C44,$Q$84:$Q$748)</f>
        <v>0</v>
      </c>
      <c r="K44" s="165">
        <f ca="1">I44+J44</f>
        <v>1411218.4650000001</v>
      </c>
      <c r="L44" s="114"/>
      <c r="M44" s="165">
        <f ca="1">+G44-K44</f>
        <v>-0.46500000008381903</v>
      </c>
      <c r="N44" s="68" t="s">
        <v>229</v>
      </c>
      <c r="O44" s="38" t="str">
        <f t="shared" ca="1" si="46"/>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SUMIF($A$84:$A$750,B46&amp;"- "&amp;C46,$G$84:$G$750)</f>
        <v>0</v>
      </c>
      <c r="G46" s="165">
        <f>E46+F46</f>
        <v>0</v>
      </c>
      <c r="H46" s="114"/>
      <c r="I46" s="165"/>
      <c r="J46" s="165">
        <f ca="1">SUMIF($J$84:$M$748,B46&amp;"- "&amp;C46,$Q$84:$Q$748)</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SUMIF($A$84:$A$750,B48&amp;"- "&amp;C48,$G$84:$G$750)</f>
        <v>0</v>
      </c>
      <c r="G48" s="114">
        <f>E48+F48</f>
        <v>0</v>
      </c>
      <c r="H48" s="114"/>
      <c r="I48" s="114"/>
      <c r="J48" s="114">
        <f ca="1">SUMIF($J$84:$M$748,B48&amp;"- "&amp;C48,$Q$84:$Q$748)</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SUMPRODUCT(($A$84:$A$750=$Y48&amp;"- "&amp;$Z48)*($C$84:$C$750=AA$1)*($G$84:$G$750))</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SUMPRODUCT(($J$84:$M$747=$AL48&amp;"- "&amp;$AM48)*($N$84:$N$747=AN$1)*($Q$84:$Q$747))</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SUMIF($A$84:$A$750,B49&amp;"- "&amp;C49,$G$84:$G$750)</f>
        <v>0</v>
      </c>
      <c r="G49" s="165">
        <f>E49+F49</f>
        <v>0</v>
      </c>
      <c r="H49" s="114"/>
      <c r="I49" s="165"/>
      <c r="J49" s="165">
        <f ca="1">SUMIF($J$84:$M$748,B49&amp;"- "&amp;C49,$Q$84:$Q$748)</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SUMIF($A$84:$A$750,B50&amp;"- "&amp;C50,$G$84:$G$750)</f>
        <v>0</v>
      </c>
      <c r="G50" s="114">
        <f>E50+F50</f>
        <v>0</v>
      </c>
      <c r="H50" s="114"/>
      <c r="I50" s="114"/>
      <c r="J50" s="114">
        <f ca="1">SUMIF($J$84:$M$748,B50&amp;"- "&amp;C50,$Q$84:$Q$748)</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SUMIF($A$84:$A$750,B51&amp;"- "&amp;C51,$G$84:$G$750)</f>
        <v>0</v>
      </c>
      <c r="G51" s="165">
        <f>E51+F51</f>
        <v>0</v>
      </c>
      <c r="H51" s="114"/>
      <c r="I51" s="165"/>
      <c r="J51" s="165">
        <f ca="1">SUMIF($J$84:$M$748,B51&amp;"- "&amp;C51,$Q$84:$Q$748)</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SUMPRODUCT(($A$84:$A$750=$Y51&amp;"- "&amp;$Z51)*($C$84:$C$750=AA$1)*($G$84:$G$750))</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SUMPRODUCT(($J$84:$M$747=$AL51&amp;"- "&amp;$AM51)*($N$84:$N$747=AN$1)*($Q$84:$Q$747))</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SUMIF($A$84:$A$750,B53&amp;"- "&amp;C53,$G$84:$G$750)</f>
        <v>0</v>
      </c>
      <c r="G53" s="114">
        <f>E53+F53</f>
        <v>0</v>
      </c>
      <c r="H53" s="114"/>
      <c r="I53" s="114"/>
      <c r="J53" s="114">
        <f ca="1">SUMIF($J$84:$M$748,B53&amp;"- "&amp;C53,$Q$84:$Q$748)</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SUMIF($A$84:$A$750,B54&amp;"- "&amp;C54,$G$84:$G$750)</f>
        <v>0</v>
      </c>
      <c r="G54" s="165">
        <f>E54+F54</f>
        <v>0</v>
      </c>
      <c r="H54" s="114"/>
      <c r="I54" s="165"/>
      <c r="J54" s="165">
        <f ca="1">SUMIF($J$84:$M$748,B54&amp;"- "&amp;C54,$Q$84:$Q$748)</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SUMIF($A$84:$A$750,B56&amp;"- "&amp;C56,$G$84:$G$750)</f>
        <v>0</v>
      </c>
      <c r="G56" s="114">
        <f t="shared" ref="G56:G61" si="118">E56+F56</f>
        <v>0</v>
      </c>
      <c r="H56" s="114"/>
      <c r="I56" s="114"/>
      <c r="J56" s="114">
        <f t="shared" ref="J56:J61" ca="1" si="119">SUMIF($J$84:$M$748,B56&amp;"- "&amp;C56,$Q$84:$Q$748)</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SUMPRODUCT(($A$84:$A$750=$Y61&amp;"- "&amp;$Z61)*($C$84:$C$750=AA$1)*($G$84:$G$750))</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SUMPRODUCT(($J$84:$M$747=$AL61&amp;"- "&amp;$AM61)*($N$84:$N$747=AN$1)*($Q$84:$Q$747))</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SUMIF($A$84:$A$750,B63&amp;"- "&amp;C63,$G$84:$G$750)</f>
        <v>0</v>
      </c>
      <c r="G63" s="114">
        <f>E63+F63</f>
        <v>0</v>
      </c>
      <c r="H63" s="114"/>
      <c r="I63" s="114"/>
      <c r="J63" s="114">
        <f ca="1">SUMIF($J$84:$M$748,B63&amp;"- "&amp;C63,$Q$84:$Q$748)</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SUMPRODUCT(($A$84:$A$750=$Y63&amp;"- "&amp;$Z63)*($C$84:$C$750=AA$1)*($G$84:$G$750))</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SUMPRODUCT(($J$84:$M$747=$AL63&amp;"- "&amp;$AM63)*($N$84:$N$747=AN$1)*($Q$84:$Q$747))</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SUMIF($A$84:$A$750,B64&amp;"- "&amp;C64,$G$84:$G$750)</f>
        <v>0</v>
      </c>
      <c r="G64" s="165">
        <f>E64+F64</f>
        <v>0</v>
      </c>
      <c r="H64" s="114"/>
      <c r="I64" s="165"/>
      <c r="J64" s="165">
        <f ca="1">SUMIF($J$84:$M$748,B64&amp;"- "&amp;C64,$Q$84:$Q$748)</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SUMIF($A$84:$A$750,B66&amp;"- "&amp;C66,$G$84:$G$750)</f>
        <v>0</v>
      </c>
      <c r="G66" s="114">
        <f>E66+F66</f>
        <v>0</v>
      </c>
      <c r="H66" s="114"/>
      <c r="I66" s="114"/>
      <c r="J66" s="114">
        <f ca="1">SUMIF($J$84:$M$748,B66&amp;"- "&amp;C66,$Q$84:$Q$748)</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SUMPRODUCT(($A$84:$A$750=$Y66&amp;"- "&amp;$Z66)*($C$84:$C$750=AA$1)*($G$84:$G$750))</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SUMPRODUCT(($J$84:$M$747=$AL66&amp;"- "&amp;$AM66)*($N$84:$N$747=AN$1)*($Q$84:$Q$747))</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SUMIF($A$84:$A$750,B67&amp;"- "&amp;C67,$G$84:$G$750)</f>
        <v>0</v>
      </c>
      <c r="G67" s="165">
        <f>E67+F67</f>
        <v>0</v>
      </c>
      <c r="H67" s="114"/>
      <c r="I67" s="165"/>
      <c r="J67" s="165">
        <f ca="1">SUMIF($J$84:$M$748,B67&amp;"- "&amp;C67,$Q$84:$Q$748)</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SUMIF($A$84:$A$750,B69&amp;"- "&amp;C69,$G$84:$G$750)</f>
        <v>0</v>
      </c>
      <c r="G69" s="114">
        <f t="shared" ref="G69:G76" si="156">E69+F69</f>
        <v>0</v>
      </c>
      <c r="H69" s="114"/>
      <c r="I69" s="114"/>
      <c r="J69" s="114">
        <f t="shared" ref="J69:J76" ca="1" si="157">SUMIF($J$84:$M$748,B69&amp;"- "&amp;C69,$Q$84:$Q$748)</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SUMPRODUCT(($A$84:$A$750=$Y69&amp;"- "&amp;$Z69)*($C$84:$C$750=AA$1)*($G$84:$G$750))</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SUMPRODUCT(($J$84:$M$747=$AL69&amp;"- "&amp;$AM69)*($N$84:$N$747=AN$1)*($Q$84:$Q$747))</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SUMPRODUCT(($A$84:$A$750=$Y71&amp;"- "&amp;$Z71)*($C$84:$C$750=AA$1)*($G$84:$G$750))</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SUMPRODUCT(($J$84:$M$747=$AL71&amp;"- "&amp;$AM71)*($N$84:$N$747=AN$1)*($Q$84:$Q$747))</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SUMPRODUCT(($J$84:$M$747=$AL73&amp;"- "&amp;$AM73)*($N$84:$N$747=AN$1)*($Q$84:$Q$747))</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1411218</v>
      </c>
      <c r="F77" s="166">
        <f t="shared" ref="F77:G77" si="173">+F78+F79</f>
        <v>0</v>
      </c>
      <c r="G77" s="166">
        <f t="shared" si="173"/>
        <v>1411218</v>
      </c>
      <c r="H77" s="169"/>
      <c r="I77" s="166">
        <f t="shared" ref="I77:K77" si="174">+I78+I79</f>
        <v>1411218.4650000001</v>
      </c>
      <c r="J77" s="166">
        <f t="shared" ca="1" si="174"/>
        <v>0</v>
      </c>
      <c r="K77" s="166">
        <f t="shared" ca="1" si="174"/>
        <v>1411218.4650000001</v>
      </c>
      <c r="L77" s="169"/>
      <c r="M77" s="166">
        <f ca="1">+M78+M79</f>
        <v>-0.46500000008381903</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v>1411218</v>
      </c>
      <c r="F78" s="114">
        <f>SUMIF($A$84:$A$750,B78&amp;"- "&amp;C78,$G$84:$G$750)</f>
        <v>0</v>
      </c>
      <c r="G78" s="114">
        <f>E78+F78</f>
        <v>1411218</v>
      </c>
      <c r="H78" s="114"/>
      <c r="I78" s="114">
        <v>1411218.4650000001</v>
      </c>
      <c r="J78" s="114">
        <f ca="1">SUMIF($J$84:$M$748,B78&amp;"- "&amp;C78,$Q$84:$Q$748)</f>
        <v>0</v>
      </c>
      <c r="K78" s="114">
        <f ca="1">I78+J78</f>
        <v>1411218.4650000001</v>
      </c>
      <c r="L78" s="114"/>
      <c r="M78" s="114">
        <f ca="1">+G78-K78</f>
        <v>-0.46500000008381903</v>
      </c>
      <c r="N78" s="18" t="s">
        <v>229</v>
      </c>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SUMPRODUCT(($A$84:$A$750=$Y78&amp;"- "&amp;$Z78)*($C$84:$C$750=AA$1)*($G$84:$G$750))</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SUMPRODUCT(($J$84:$M$747=$AL78&amp;"- "&amp;$AM78)*($N$84:$N$747=AN$1)*($Q$84:$Q$747))</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SUMIF($A$84:$A$750,B79&amp;"- "&amp;C79,$G$84:$G$750)</f>
        <v>0</v>
      </c>
      <c r="G79" s="165">
        <f>+E79+F79</f>
        <v>0</v>
      </c>
      <c r="H79" s="114"/>
      <c r="I79" s="165"/>
      <c r="J79" s="165">
        <f ca="1">SUMIF($J$84:$M$748,B79&amp;"- "&amp;C79,$Q$84:$Q$748)</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IF(F8=G752,"","ERROR")</f>
        <v/>
      </c>
      <c r="G80" s="382"/>
      <c r="H80" s="382"/>
      <c r="I80" s="382"/>
      <c r="J80" s="382" t="str">
        <f ca="1">IF(J8=Q750,"","ERROR")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F84" s="122"/>
      <c r="G84" s="146"/>
      <c r="J84" s="61" t="s">
        <v>176</v>
      </c>
      <c r="L84" s="60"/>
      <c r="N84" s="97"/>
      <c r="O84" s="61" t="s">
        <v>514</v>
      </c>
      <c r="P84" s="120"/>
      <c r="Q84" s="144">
        <v>14400000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2"/>
      <c r="G85" s="146"/>
      <c r="J85" s="61" t="s">
        <v>180</v>
      </c>
      <c r="L85" s="60"/>
      <c r="N85" s="97"/>
      <c r="O85" s="61" t="s">
        <v>514</v>
      </c>
      <c r="P85" s="120"/>
      <c r="Q85" s="144">
        <v>2220000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F86" s="122"/>
      <c r="G86" s="146"/>
      <c r="J86" s="61" t="s">
        <v>181</v>
      </c>
      <c r="L86" s="60"/>
      <c r="N86" s="97"/>
      <c r="O86" s="61" t="s">
        <v>514</v>
      </c>
      <c r="P86" s="120"/>
      <c r="Q86" s="144">
        <v>366839</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22"/>
      <c r="G87" s="146"/>
      <c r="L87" s="60"/>
      <c r="N87" s="97"/>
      <c r="P87" s="120"/>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F88" s="122"/>
      <c r="G88" s="146"/>
      <c r="L88" s="60"/>
      <c r="N88" s="97"/>
      <c r="P88" s="120"/>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P89" s="120"/>
      <c r="Q89" s="144"/>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P90" s="120"/>
      <c r="Q90" s="144"/>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P91" s="120"/>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P92" s="120"/>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P93" s="120"/>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P94" s="120"/>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P95" s="120"/>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P96" s="120"/>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P97" s="120"/>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P98" s="120"/>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P99" s="120"/>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R136" s="119"/>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R137" s="119"/>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ht="15">
      <c r="A750" s="61"/>
      <c r="B750" s="24"/>
      <c r="C750" s="60"/>
      <c r="E750" s="47"/>
      <c r="F750" s="48"/>
      <c r="G750" s="47"/>
      <c r="O750" s="49"/>
      <c r="P750" s="50"/>
      <c r="Q750" s="51">
        <f>SUM(Q82:Q749)</f>
        <v>16986839</v>
      </c>
    </row>
    <row r="751" spans="1:17">
      <c r="A751" s="61"/>
      <c r="B751" s="24"/>
      <c r="C751" s="60"/>
      <c r="E751" s="47"/>
      <c r="F751" s="48"/>
      <c r="G751" s="47"/>
    </row>
    <row r="752" spans="1:17" ht="15">
      <c r="C752" s="60"/>
      <c r="E752" s="49"/>
      <c r="F752" s="50"/>
      <c r="G752" s="51">
        <f>SUM(G84:G751)</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63" priority="6" operator="containsText" text="ERROR">
      <formula>NOT(ISERROR(SEARCH("ERROR",T17)))</formula>
    </cfRule>
  </conditionalFormatting>
  <conditionalFormatting sqref="T42">
    <cfRule type="containsText" dxfId="62" priority="5" operator="containsText" text="ERROR">
      <formula>NOT(ISERROR(SEARCH("ERROR",T42)))</formula>
    </cfRule>
  </conditionalFormatting>
  <conditionalFormatting sqref="W19">
    <cfRule type="containsText" dxfId="61" priority="1" operator="containsText" text="ERROR">
      <formula>NOT(ISERROR(SEARCH("ERROR",W19)))</formula>
    </cfRule>
  </conditionalFormatting>
  <conditionalFormatting sqref="BL72">
    <cfRule type="containsText" dxfId="60" priority="2" operator="containsText" text="ERROR">
      <formula>NOT(ISERROR(SEARCH("ERROR",BL72)))</formula>
    </cfRule>
  </conditionalFormatting>
  <dataValidations count="5">
    <dataValidation type="list" allowBlank="1" showInputMessage="1" showErrorMessage="1" sqref="M92:M99 M130:M136 L138:M747 L84:L137" xr:uid="{C7E52BAC-01EC-4648-A476-2943DA4C45F6}">
      <formula1>Taxes</formula1>
    </dataValidation>
    <dataValidation type="list" allowBlank="1" showInputMessage="1" showErrorMessage="1" sqref="N5:N8 N73 N75 N77:N79 N10:N71" xr:uid="{7D552205-6E43-475E-A018-D5DAF5EA4E4D}">
      <formula1>FinalDiff</formula1>
    </dataValidation>
    <dataValidation type="list" allowBlank="1" showInputMessage="1" showErrorMessage="1" sqref="C84:C752" xr:uid="{84675309-CCB4-454A-8435-9B2501199B54}">
      <formula1>Compadjust</formula1>
    </dataValidation>
    <dataValidation type="list" allowBlank="1" showInputMessage="1" showErrorMessage="1" sqref="N84:N749" xr:uid="{F9A960B9-9B0C-4A8C-9CC0-ACE5957B3528}">
      <formula1>Govadjust</formula1>
    </dataValidation>
    <dataValidation type="list" allowBlank="1" showErrorMessage="1" errorTitle="Taxes" error="Non valid entry. Please check the tax list" promptTitle="Taxes" prompt="Please select the tax subject to adjustment" sqref="B85:B104" xr:uid="{4DF715D9-45E1-4BF0-856E-3D73D86611B5}">
      <formula1>$A$134:$A$135</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776E0EFD-126A-41F9-8605-A587F8BDB6C9}">
          <x14:formula1>
            <xm:f>Lists!$A$131:$A$132</xm:f>
          </x14:formula1>
          <xm:sqref>B84 K84:K749</xm:sqref>
        </x14:dataValidation>
        <x14:dataValidation type="list" allowBlank="1" showInputMessage="1" showErrorMessage="1" xr:uid="{F952A213-F291-4BDE-B01E-327D8F2C1695}">
          <x14:formula1>
            <xm:f>Lists!$A$7:$A$64</xm:f>
          </x14:formula1>
          <xm:sqref>J84:J749</xm:sqref>
        </x14:dataValidation>
        <x14:dataValidation type="list" allowBlank="1" showErrorMessage="1" errorTitle="Taxes" error="Non valid entry. Please check the tax list" promptTitle="Taxes" prompt="Please select the tax subject to adjustment" xr:uid="{BAFDC857-B120-44CC-9746-A693CA4F3FFF}">
          <x14:formula1>
            <xm:f>Lists!$A$7:$A$64</xm:f>
          </x14:formula1>
          <xm:sqref>A84:A751</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tabColor rgb="FFFF0000"/>
  </sheetPr>
  <dimension ref="A1:BL753"/>
  <sheetViews>
    <sheetView showGridLines="0" topLeftCell="B42" zoomScaleNormal="100" workbookViewId="0">
      <selection activeCell="H48" sqref="H48"/>
    </sheetView>
  </sheetViews>
  <sheetFormatPr baseColWidth="10" defaultColWidth="11.54296875" defaultRowHeight="12" outlineLevelCol="1"/>
  <cols>
    <col min="1" max="1" width="28.54296875" style="17" hidden="1" customWidth="1"/>
    <col min="2" max="2" width="4.453125" style="17" customWidth="1"/>
    <col min="3" max="3" width="53"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Companies!B15</f>
        <v>SOCIETE_AMERICAN EAGLE</v>
      </c>
      <c r="F1" s="32">
        <f>Companies!C15</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0</v>
      </c>
      <c r="J8" s="164">
        <f ca="1">+J9+J13+J15+J17+J40+J45+J47+J52+J55+J62+J65+J68+J77</f>
        <v>22500000</v>
      </c>
      <c r="K8" s="164">
        <f ca="1">+K9+K13+K15+K17+K40+K45+K47+K52+K55+K62+K65+K68+K77</f>
        <v>22500000</v>
      </c>
      <c r="L8" s="114"/>
      <c r="M8" s="164">
        <f ca="1">+M9+M13+M15+M17+M40+M45+M52+M55+M62+M65+M68+M77+M47</f>
        <v>-22500000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
        <v>74</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22500000</v>
      </c>
      <c r="K40" s="166">
        <f ca="1">SUM(K41:K44)</f>
        <v>22500000</v>
      </c>
      <c r="L40" s="114"/>
      <c r="M40" s="166">
        <f ca="1">SUM(M41:M44)</f>
        <v>-22500000</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v>15000000</v>
      </c>
      <c r="K42" s="165">
        <f>I42+J42</f>
        <v>15000000</v>
      </c>
      <c r="L42" s="114"/>
      <c r="M42" s="165">
        <f>+G42-K42</f>
        <v>-15000000</v>
      </c>
      <c r="N42" s="68"/>
      <c r="O42" s="38" t="str">
        <f t="shared" si="46"/>
        <v>ERROR</v>
      </c>
      <c r="P42" s="39" t="str">
        <f t="shared" si="88"/>
        <v>Please insert comment</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v>7500000</v>
      </c>
      <c r="K43" s="114">
        <f>I43+J43</f>
        <v>7500000</v>
      </c>
      <c r="L43" s="114"/>
      <c r="M43" s="114">
        <f>+G43-K43</f>
        <v>-7500000</v>
      </c>
      <c r="N43" s="18"/>
      <c r="O43" s="38" t="str">
        <f t="shared" si="46"/>
        <v>ERROR</v>
      </c>
      <c r="P43" s="39" t="str">
        <f t="shared" si="88"/>
        <v>Please insert comment</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SUMPRODUCT(($A$84:$A$751=$Y61&amp;"- "&amp;$Z61)*($C$84:$C$751=AA$1)*($G$84:$G$751))</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SUMPRODUCT(($J$84:$M$748=$AL61&amp;"- "&amp;$AM61)*($N$84:$N$748=AN$1)*($Q$84:$Q$748))</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SUMPRODUCT(($A$84:$A$751=$Y63&amp;"- "&amp;$Z63)*($C$84:$C$751=AA$1)*($G$84:$G$751))</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SUMPRODUCT(($J$84:$M$748=$AL63&amp;"- "&amp;$AM63)*($N$84:$N$748=AN$1)*($Q$84:$Q$748))</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SUMPRODUCT(($A$84:$A$751=$Y66&amp;"- "&amp;$Z66)*($C$84:$C$751=AA$1)*($G$84:$G$751))</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SUMPRODUCT(($J$84:$M$748=$AL66&amp;"- "&amp;$AM66)*($N$84:$N$748=AN$1)*($Q$84:$Q$748))</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SUMIF($A$84:$A$751,B69&amp;"- "&amp;C69,$G$84:$G$751)</f>
        <v>0</v>
      </c>
      <c r="G69" s="114">
        <f t="shared" ref="G69:G76" si="156">E69+F69</f>
        <v>0</v>
      </c>
      <c r="H69" s="114"/>
      <c r="I69" s="114"/>
      <c r="J69" s="114">
        <f t="shared" ref="J69:J76" ca="1" si="157">SUMIF($J$84:$M$749,B69&amp;"- "&amp;C69,$Q$84:$Q$749)</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SUMPRODUCT(($A$84:$A$751=$Y69&amp;"- "&amp;$Z69)*($C$84:$C$751=AA$1)*($G$84:$G$751))</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SUMPRODUCT(($J$84:$M$748=$AL69&amp;"- "&amp;$AM69)*($N$84:$N$748=AN$1)*($Q$84:$Q$748))</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SUMPRODUCT(($A$84:$A$751=$Y71&amp;"- "&amp;$Z71)*($C$84:$C$751=AA$1)*($G$84:$G$751))</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SUMPRODUCT(($J$84:$M$748=$AL71&amp;"- "&amp;$AM71)*($N$84:$N$748=AN$1)*($Q$84:$Q$748))</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SUMPRODUCT(($J$84:$M$748=$AL73&amp;"- "&amp;$AM73)*($N$84:$N$748=AN$1)*($Q$84:$Q$748))</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0</v>
      </c>
      <c r="J77" s="166">
        <f t="shared" ca="1" si="174"/>
        <v>0</v>
      </c>
      <c r="K77" s="166">
        <f t="shared" ca="1" si="174"/>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SUMPRODUCT(($A$84:$A$751=$Y78&amp;"- "&amp;$Z78)*($C$84:$C$751=AA$1)*($G$84:$G$751))</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SUMPRODUCT(($J$84:$M$748=$AL78&amp;"- "&amp;$AM78)*($N$84:$N$748=AN$1)*($Q$84:$Q$748))</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ERROR</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L84" s="60"/>
      <c r="N84" s="97"/>
      <c r="P84" s="118"/>
      <c r="Q84" s="148"/>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P85" s="118"/>
      <c r="Q85" s="148"/>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P86" s="118"/>
      <c r="Q86" s="14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121"/>
      <c r="P87" s="118"/>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59" priority="6" operator="containsText" text="ERROR">
      <formula>NOT(ISERROR(SEARCH("ERROR",T17)))</formula>
    </cfRule>
  </conditionalFormatting>
  <conditionalFormatting sqref="T42">
    <cfRule type="containsText" dxfId="58" priority="5" operator="containsText" text="ERROR">
      <formula>NOT(ISERROR(SEARCH("ERROR",T42)))</formula>
    </cfRule>
  </conditionalFormatting>
  <conditionalFormatting sqref="W19">
    <cfRule type="containsText" dxfId="57" priority="1" operator="containsText" text="ERROR">
      <formula>NOT(ISERROR(SEARCH("ERROR",W19)))</formula>
    </cfRule>
  </conditionalFormatting>
  <conditionalFormatting sqref="BL72">
    <cfRule type="containsText" dxfId="56" priority="2" operator="containsText" text="ERROR">
      <formula>NOT(ISERROR(SEARCH("ERROR",BL72)))</formula>
    </cfRule>
  </conditionalFormatting>
  <dataValidations count="5">
    <dataValidation type="list" allowBlank="1" showInputMessage="1" showErrorMessage="1" sqref="N5:N8 N73 N75 N77:N79 N10:N71" xr:uid="{81B3344E-EBFF-434F-903A-59FF7733BB8B}">
      <formula1>FinalDiff</formula1>
    </dataValidation>
    <dataValidation type="list" allowBlank="1" showInputMessage="1" showErrorMessage="1" sqref="N84:N749" xr:uid="{011A2251-EA05-4D09-82BA-9F4B14B40099}">
      <formula1>Govadjust</formula1>
    </dataValidation>
    <dataValidation type="list" allowBlank="1" showInputMessage="1" showErrorMessage="1" sqref="M93:M95 L100:L748 M131:M748 L97:M98 L84:L96" xr:uid="{F3B0717C-FAA3-4506-8008-7BAD70015772}">
      <formula1>Taxes</formula1>
    </dataValidation>
    <dataValidation type="list" allowBlank="1" showInputMessage="1" showErrorMessage="1" sqref="C84:C752" xr:uid="{B87FED3C-1C6C-4A5A-8A0A-89D1944E357D}">
      <formula1>Compadjust</formula1>
    </dataValidation>
    <dataValidation type="list" allowBlank="1" showErrorMessage="1" errorTitle="Taxes" error="Non valid entry. Please check the tax list" promptTitle="Taxes" prompt="Please select the tax subject to adjustment" sqref="B84:B105" xr:uid="{6E7AFA91-041A-4E1A-95AA-D57B93096421}">
      <formula1>$A$135:$A$136</formula1>
    </dataValidation>
  </dataValidations>
  <pageMargins left="0.7" right="0.7" top="0.75" bottom="0.75" header="0.3" footer="0.3"/>
  <pageSetup paperSize="9" orientation="landscape" r:id="rId1"/>
  <ignoredErrors>
    <ignoredError sqref="L63:L64 L66:L67 L75 L69:L70 L71:L72 L73:L74 L65 L68" formula="1"/>
  </ignoredErrors>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F52DA408-D0F2-45A6-9276-25614174889C}">
          <x14:formula1>
            <xm:f>Lists!$A$131:$A$132</xm:f>
          </x14:formula1>
          <xm:sqref>K84:K749</xm:sqref>
        </x14:dataValidation>
        <x14:dataValidation type="list" allowBlank="1" showInputMessage="1" showErrorMessage="1" xr:uid="{5CCE56F8-9F98-45FD-B75E-5FD63BA04350}">
          <x14:formula1>
            <xm:f>Lists!$A$7:$A$64</xm:f>
          </x14:formula1>
          <xm:sqref>J84:J749</xm:sqref>
        </x14:dataValidation>
        <x14:dataValidation type="list" allowBlank="1" showErrorMessage="1" errorTitle="Taxes" error="Non valid entry. Please check the tax list" promptTitle="Taxes" prompt="Please select the tax subject to adjustment" xr:uid="{4093FA46-A4D5-4E04-BE02-74D4316BB56F}">
          <x14:formula1>
            <xm:f>Lists!$A$7:$A$64</xm:f>
          </x14:formula1>
          <xm:sqref>A84:A751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F4CC0-B324-4090-9B16-1D16929A74CE}">
  <sheetPr codeName="Feuil9"/>
  <dimension ref="A1:BL754"/>
  <sheetViews>
    <sheetView showGridLines="0" topLeftCell="B1" zoomScaleNormal="100" workbookViewId="0">
      <selection activeCell="C14" sqref="C14"/>
    </sheetView>
  </sheetViews>
  <sheetFormatPr baseColWidth="10" defaultColWidth="11.54296875" defaultRowHeight="12" outlineLevelCol="1"/>
  <cols>
    <col min="1" max="1" width="28.54296875" style="17" customWidth="1"/>
    <col min="2" max="2" width="4.453125" style="17" customWidth="1"/>
    <col min="3" max="3" width="56"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3.816406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Companies!B3</f>
        <v>CCO</v>
      </c>
      <c r="F1" s="32" t="str">
        <f>Companies!C3</f>
        <v>M361614Q001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3" t="str">
        <f>B5</f>
        <v>Paiements en nature</v>
      </c>
      <c r="AM2" s="813"/>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3" t="str">
        <f>B5</f>
        <v>Paiements en nature</v>
      </c>
      <c r="AY2" s="813"/>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SUMIF($C$84:$C$752,R3,$G$84:$G$752)</f>
        <v>0</v>
      </c>
      <c r="U3" s="21" t="str">
        <f>Lists!A91</f>
        <v>FD non soumis par la Société</v>
      </c>
      <c r="V3" s="18">
        <f t="shared" ref="V3:V14" si="4">SUMIF($N$9:$N$75,U3,$M$9:$M$75)</f>
        <v>0</v>
      </c>
      <c r="Y3" s="19">
        <f>B6</f>
        <v>0</v>
      </c>
      <c r="Z3" s="19">
        <f>C6</f>
        <v>0</v>
      </c>
      <c r="AA3" s="16">
        <f t="shared" ref="AA3:AI4" si="5">SUMPRODUCT(($A$84:$A$752=$Y3&amp;"- "&amp;$Z3)*($C$84:$C$752=AA$1)*($G$84:$G$752))</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K5" ca="1" si="9">J6+J7</f>
        <v>0</v>
      </c>
      <c r="K5" s="164">
        <f t="shared" ca="1" si="9"/>
        <v>0</v>
      </c>
      <c r="L5" s="114"/>
      <c r="M5" s="164">
        <f t="shared" ref="M5" ca="1" si="10">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1">B8</f>
        <v>Paiements en numéraire</v>
      </c>
      <c r="Z5" s="811"/>
      <c r="AA5" s="81">
        <f t="shared" ref="AA5:AJ5" si="12">AA6+AA12+AA22+AA33+AA50+AA60+AA68+AA70+AA72+AA65</f>
        <v>0</v>
      </c>
      <c r="AB5" s="81">
        <f t="shared" si="12"/>
        <v>0</v>
      </c>
      <c r="AC5" s="81">
        <f t="shared" si="12"/>
        <v>0</v>
      </c>
      <c r="AD5" s="81">
        <f t="shared" si="12"/>
        <v>0</v>
      </c>
      <c r="AE5" s="81">
        <f t="shared" si="12"/>
        <v>0</v>
      </c>
      <c r="AF5" s="81">
        <f t="shared" si="12"/>
        <v>0</v>
      </c>
      <c r="AG5" s="81">
        <f t="shared" si="12"/>
        <v>0</v>
      </c>
      <c r="AH5" s="81">
        <f t="shared" si="12"/>
        <v>0</v>
      </c>
      <c r="AI5" s="81">
        <f t="shared" si="12"/>
        <v>0</v>
      </c>
      <c r="AJ5" s="81">
        <f t="shared" si="12"/>
        <v>0</v>
      </c>
      <c r="AL5" s="811" t="str">
        <f>B8</f>
        <v>Paiements en numéraire</v>
      </c>
      <c r="AM5" s="811"/>
      <c r="AN5" s="81">
        <f t="shared" ref="AN5:AV5" si="13">AN6+AN12+AN22+AN33+AN50+AN60+AN68+AN70+AN72+AN65</f>
        <v>0</v>
      </c>
      <c r="AO5" s="81">
        <f t="shared" si="13"/>
        <v>0</v>
      </c>
      <c r="AP5" s="81">
        <f t="shared" si="13"/>
        <v>0</v>
      </c>
      <c r="AQ5" s="81">
        <f t="shared" si="13"/>
        <v>0</v>
      </c>
      <c r="AR5" s="81">
        <f t="shared" si="13"/>
        <v>0</v>
      </c>
      <c r="AS5" s="81">
        <f t="shared" si="13"/>
        <v>0</v>
      </c>
      <c r="AT5" s="81">
        <f t="shared" si="13"/>
        <v>0</v>
      </c>
      <c r="AU5" s="81">
        <f t="shared" si="13"/>
        <v>0</v>
      </c>
      <c r="AV5" s="81">
        <f t="shared" si="13"/>
        <v>0</v>
      </c>
      <c r="AW5" s="82"/>
      <c r="AX5" s="811" t="str">
        <f>B8</f>
        <v>Paiements en numéraire</v>
      </c>
      <c r="AY5" s="811"/>
      <c r="AZ5" s="81">
        <f t="shared" ref="AZ5:BK5" ca="1" si="14">AZ6+AZ12+AZ22+AZ33+AZ50+AZ60+AZ68+AZ70+AZ72+AZ65</f>
        <v>0</v>
      </c>
      <c r="BA5" s="81">
        <f t="shared" ca="1" si="14"/>
        <v>0</v>
      </c>
      <c r="BB5" s="81">
        <f t="shared" ca="1" si="14"/>
        <v>0</v>
      </c>
      <c r="BC5" s="81">
        <f t="shared" ca="1" si="14"/>
        <v>0</v>
      </c>
      <c r="BD5" s="81">
        <f t="shared" ca="1" si="14"/>
        <v>-1236846</v>
      </c>
      <c r="BE5" s="81">
        <f t="shared" ca="1" si="14"/>
        <v>0</v>
      </c>
      <c r="BF5" s="81">
        <f t="shared" ca="1" si="14"/>
        <v>0</v>
      </c>
      <c r="BG5" s="81">
        <f t="shared" ca="1" si="14"/>
        <v>0</v>
      </c>
      <c r="BH5" s="81">
        <f t="shared" ca="1" si="14"/>
        <v>0</v>
      </c>
      <c r="BI5" s="81">
        <f t="shared" ca="1" si="14"/>
        <v>0</v>
      </c>
      <c r="BJ5" s="81">
        <f t="shared" ca="1" si="14"/>
        <v>0</v>
      </c>
      <c r="BK5" s="81">
        <f t="shared" ca="1" si="14"/>
        <v>815450.68500000983</v>
      </c>
    </row>
    <row r="6" spans="1:63">
      <c r="B6" s="67"/>
      <c r="C6" s="69"/>
      <c r="E6" s="165"/>
      <c r="F6" s="165">
        <f>SUMIF($A$84:$A$752,B6&amp;"- "&amp;C6,$G$84:$G$752)</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5">C9</f>
        <v>DGDDI</v>
      </c>
      <c r="AA6" s="29">
        <f t="shared" ref="AA6:AJ6" si="16">SUM(AA7:AA11)</f>
        <v>0</v>
      </c>
      <c r="AB6" s="29">
        <f t="shared" si="16"/>
        <v>0</v>
      </c>
      <c r="AC6" s="29">
        <f t="shared" si="16"/>
        <v>0</v>
      </c>
      <c r="AD6" s="29">
        <f t="shared" si="16"/>
        <v>0</v>
      </c>
      <c r="AE6" s="29">
        <f t="shared" si="16"/>
        <v>0</v>
      </c>
      <c r="AF6" s="29">
        <f t="shared" si="16"/>
        <v>0</v>
      </c>
      <c r="AG6" s="29">
        <f t="shared" si="16"/>
        <v>0</v>
      </c>
      <c r="AH6" s="29">
        <f t="shared" si="16"/>
        <v>0</v>
      </c>
      <c r="AI6" s="29">
        <f t="shared" si="16"/>
        <v>0</v>
      </c>
      <c r="AJ6" s="29">
        <f t="shared" si="16"/>
        <v>0</v>
      </c>
      <c r="AL6" s="28"/>
      <c r="AM6" s="28" t="str">
        <f t="shared" ref="AM6:AM14" si="17">+C9</f>
        <v>DGDDI</v>
      </c>
      <c r="AN6" s="29">
        <f t="shared" ref="AN6:AV6" si="18">SUM(AN7:AN11)</f>
        <v>0</v>
      </c>
      <c r="AO6" s="29">
        <f t="shared" si="18"/>
        <v>0</v>
      </c>
      <c r="AP6" s="29">
        <f t="shared" si="18"/>
        <v>0</v>
      </c>
      <c r="AQ6" s="29">
        <f t="shared" si="18"/>
        <v>0</v>
      </c>
      <c r="AR6" s="29">
        <f t="shared" si="18"/>
        <v>0</v>
      </c>
      <c r="AS6" s="29">
        <f t="shared" si="18"/>
        <v>0</v>
      </c>
      <c r="AT6" s="29">
        <f t="shared" si="18"/>
        <v>0</v>
      </c>
      <c r="AU6" s="29">
        <f t="shared" si="18"/>
        <v>0</v>
      </c>
      <c r="AV6" s="29">
        <f t="shared" si="18"/>
        <v>0</v>
      </c>
      <c r="AW6" s="18"/>
      <c r="AX6" s="28"/>
      <c r="AY6" s="28" t="str">
        <f t="shared" ref="AY6:AY14" si="19">C9</f>
        <v>DGDDI</v>
      </c>
      <c r="AZ6" s="29">
        <f t="shared" ref="AZ6:BK6" ca="1" si="20">SUM(AZ7:AZ11)</f>
        <v>0</v>
      </c>
      <c r="BA6" s="29">
        <f t="shared" ca="1" si="20"/>
        <v>0</v>
      </c>
      <c r="BB6" s="29">
        <f t="shared" ca="1" si="20"/>
        <v>0</v>
      </c>
      <c r="BC6" s="29">
        <f t="shared" ca="1" si="20"/>
        <v>0</v>
      </c>
      <c r="BD6" s="29">
        <f t="shared" ca="1" si="20"/>
        <v>0</v>
      </c>
      <c r="BE6" s="29">
        <f t="shared" ca="1" si="20"/>
        <v>0</v>
      </c>
      <c r="BF6" s="29">
        <f t="shared" ca="1" si="20"/>
        <v>0</v>
      </c>
      <c r="BG6" s="29">
        <f t="shared" ca="1" si="20"/>
        <v>0</v>
      </c>
      <c r="BH6" s="29">
        <f t="shared" ca="1" si="20"/>
        <v>0</v>
      </c>
      <c r="BI6" s="29">
        <f t="shared" ca="1" si="20"/>
        <v>0</v>
      </c>
      <c r="BJ6" s="29">
        <f t="shared" ca="1" si="20"/>
        <v>0</v>
      </c>
      <c r="BK6" s="29">
        <f t="shared" ca="1" si="20"/>
        <v>0.3450000062584877</v>
      </c>
    </row>
    <row r="7" spans="1:63">
      <c r="C7" s="24"/>
      <c r="E7" s="114"/>
      <c r="F7" s="114">
        <f>SUMIF($A$84:$A$752,B7&amp;"- "&amp;C7,$G$84:$G$752)</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ca="1" si="4"/>
        <v>-1236846</v>
      </c>
      <c r="Y7" s="15">
        <f>B10</f>
        <v>1</v>
      </c>
      <c r="Z7" s="25" t="str">
        <f t="shared" si="15"/>
        <v>Redevance équipement, informatique et finances (REIF)</v>
      </c>
      <c r="AA7" s="16">
        <f t="shared" ref="AA7:AI11" si="21">SUMPRODUCT(($A$84:$A$752=$Y7&amp;"- "&amp;$Z7)*($C$84:$C$752=AA$1)*($G$84:$G$752))</f>
        <v>0</v>
      </c>
      <c r="AB7" s="16">
        <f t="shared" si="21"/>
        <v>0</v>
      </c>
      <c r="AC7" s="16">
        <f t="shared" si="21"/>
        <v>0</v>
      </c>
      <c r="AD7" s="16">
        <f t="shared" si="21"/>
        <v>0</v>
      </c>
      <c r="AE7" s="16">
        <f t="shared" si="21"/>
        <v>0</v>
      </c>
      <c r="AF7" s="16">
        <f t="shared" si="21"/>
        <v>0</v>
      </c>
      <c r="AG7" s="16">
        <f t="shared" si="21"/>
        <v>0</v>
      </c>
      <c r="AH7" s="16">
        <f t="shared" si="21"/>
        <v>0</v>
      </c>
      <c r="AI7" s="16">
        <f t="shared" si="21"/>
        <v>0</v>
      </c>
      <c r="AJ7" s="16">
        <f>SUM(AA7:AI7)</f>
        <v>0</v>
      </c>
      <c r="AL7" s="17">
        <f>+B10</f>
        <v>1</v>
      </c>
      <c r="AM7" s="26" t="str">
        <f t="shared" si="17"/>
        <v>Redevance équipement, informatique et finances (REIF)</v>
      </c>
      <c r="AN7" s="18">
        <f t="shared" ref="AN7:AU11" si="22">SUMPRODUCT(($J$84:$M$748=$AL7&amp;"- "&amp;$AM7)*($N$84:$N$748=AN$1)*($Q$84:$Q$748))</f>
        <v>0</v>
      </c>
      <c r="AO7" s="18">
        <f t="shared" si="22"/>
        <v>0</v>
      </c>
      <c r="AP7" s="18">
        <f t="shared" si="22"/>
        <v>0</v>
      </c>
      <c r="AQ7" s="18">
        <f t="shared" si="22"/>
        <v>0</v>
      </c>
      <c r="AR7" s="18">
        <f t="shared" si="22"/>
        <v>0</v>
      </c>
      <c r="AS7" s="18">
        <f t="shared" si="22"/>
        <v>0</v>
      </c>
      <c r="AT7" s="18">
        <f t="shared" si="22"/>
        <v>0</v>
      </c>
      <c r="AU7" s="18">
        <f t="shared" si="22"/>
        <v>0</v>
      </c>
      <c r="AV7" s="18">
        <f>SUM(AN7:AU7)</f>
        <v>0</v>
      </c>
      <c r="AW7" s="18"/>
      <c r="AX7" s="17">
        <f>B10</f>
        <v>1</v>
      </c>
      <c r="AY7" s="26" t="str">
        <f t="shared" si="19"/>
        <v>Redevance équipement, informatique et finances (REIF)</v>
      </c>
      <c r="AZ7" s="18">
        <f t="shared" ref="AZ7:BK11" ca="1" si="23">SUMPRODUCT(($C$10:$C$75=$AY7)*($N$10:$N$75=AZ$1)*($M$10:$M$75))</f>
        <v>0</v>
      </c>
      <c r="BA7" s="18">
        <f t="shared" ca="1" si="23"/>
        <v>0</v>
      </c>
      <c r="BB7" s="18">
        <f t="shared" ca="1" si="23"/>
        <v>0</v>
      </c>
      <c r="BC7" s="18">
        <f t="shared" ca="1" si="23"/>
        <v>0</v>
      </c>
      <c r="BD7" s="18">
        <f t="shared" ca="1" si="23"/>
        <v>0</v>
      </c>
      <c r="BE7" s="18">
        <f t="shared" ca="1" si="23"/>
        <v>0</v>
      </c>
      <c r="BF7" s="18">
        <f t="shared" ca="1" si="23"/>
        <v>0</v>
      </c>
      <c r="BG7" s="18">
        <f t="shared" ca="1" si="23"/>
        <v>0</v>
      </c>
      <c r="BH7" s="18">
        <f t="shared" ca="1" si="23"/>
        <v>0</v>
      </c>
      <c r="BI7" s="18">
        <f t="shared" ca="1" si="23"/>
        <v>0</v>
      </c>
      <c r="BJ7" s="18">
        <f t="shared" ca="1" si="23"/>
        <v>0</v>
      </c>
      <c r="BK7" s="18">
        <f t="shared" ca="1" si="23"/>
        <v>0.33500000089406967</v>
      </c>
    </row>
    <row r="8" spans="1:63">
      <c r="B8" s="78" t="s">
        <v>93</v>
      </c>
      <c r="C8" s="77"/>
      <c r="E8" s="164">
        <f>+E9+E13+E15+E17+E40+E45+E47+E52+E55+E62+E65+E68+E77</f>
        <v>334281652</v>
      </c>
      <c r="F8" s="164">
        <f>+F9+F13+F15+F17+F40+F45+F47+F52+F55+F62+F65+F68+F77</f>
        <v>0</v>
      </c>
      <c r="G8" s="164">
        <f>+G9+G13+G15+G17+G40+G45+G47+G52+G55+G62+G65+G68+G77</f>
        <v>334281652</v>
      </c>
      <c r="H8" s="114"/>
      <c r="I8" s="164">
        <f>+I9+I13+I15+I17+I40+I45+I47+I52+I55+I62+I65+I68+I77</f>
        <v>322703047.315</v>
      </c>
      <c r="J8" s="164">
        <f ca="1">+J9+J13+J15+J17+J40+J45+J47+J52+J55+J62+J65+J68+J77</f>
        <v>12000000</v>
      </c>
      <c r="K8" s="164">
        <f ca="1">+K9+K13+K15+K17+K40+K45+K47+K52+K55+K62+K65+K68+K77</f>
        <v>334703047.315</v>
      </c>
      <c r="L8" s="114"/>
      <c r="M8" s="164">
        <f ca="1">+M9+M13+M15+M17+M40+M45+M52+M55+M62+M65+M68+M77+M47</f>
        <v>-421395.31499999017</v>
      </c>
      <c r="N8" s="79"/>
      <c r="Q8" s="35"/>
      <c r="R8" s="21" t="str">
        <f>Lists!A73</f>
        <v>Montant doublement déclaré</v>
      </c>
      <c r="S8" s="18">
        <f t="shared" si="3"/>
        <v>0</v>
      </c>
      <c r="U8" s="21" t="str">
        <f>Lists!A96</f>
        <v>Détail non soumis par l'Etat</v>
      </c>
      <c r="V8" s="18">
        <f t="shared" si="4"/>
        <v>0</v>
      </c>
      <c r="Y8" s="15">
        <f>B11</f>
        <v>2</v>
      </c>
      <c r="Z8" s="25" t="str">
        <f t="shared" si="15"/>
        <v>Droit de sortie (DS)</v>
      </c>
      <c r="AA8" s="16">
        <f t="shared" si="21"/>
        <v>0</v>
      </c>
      <c r="AB8" s="16">
        <f t="shared" si="21"/>
        <v>0</v>
      </c>
      <c r="AC8" s="16">
        <f t="shared" si="21"/>
        <v>0</v>
      </c>
      <c r="AD8" s="16">
        <f t="shared" si="21"/>
        <v>0</v>
      </c>
      <c r="AE8" s="16">
        <f t="shared" si="21"/>
        <v>0</v>
      </c>
      <c r="AF8" s="16">
        <f t="shared" si="21"/>
        <v>0</v>
      </c>
      <c r="AG8" s="16">
        <f t="shared" si="21"/>
        <v>0</v>
      </c>
      <c r="AH8" s="16">
        <f t="shared" si="21"/>
        <v>0</v>
      </c>
      <c r="AI8" s="16">
        <f t="shared" si="21"/>
        <v>0</v>
      </c>
      <c r="AJ8" s="16">
        <f>SUM(AA8:AI8)</f>
        <v>0</v>
      </c>
      <c r="AL8" s="17">
        <f>+B11</f>
        <v>2</v>
      </c>
      <c r="AM8" s="26" t="str">
        <f t="shared" si="17"/>
        <v>Droit de sortie (DS)</v>
      </c>
      <c r="AN8" s="18">
        <f t="shared" si="22"/>
        <v>0</v>
      </c>
      <c r="AO8" s="18">
        <f t="shared" si="22"/>
        <v>0</v>
      </c>
      <c r="AP8" s="18">
        <f t="shared" si="22"/>
        <v>0</v>
      </c>
      <c r="AQ8" s="18">
        <f t="shared" si="22"/>
        <v>0</v>
      </c>
      <c r="AR8" s="18">
        <f t="shared" si="22"/>
        <v>0</v>
      </c>
      <c r="AS8" s="18">
        <f t="shared" si="22"/>
        <v>0</v>
      </c>
      <c r="AT8" s="18">
        <f t="shared" si="22"/>
        <v>0</v>
      </c>
      <c r="AU8" s="18">
        <f t="shared" si="22"/>
        <v>0</v>
      </c>
      <c r="AV8" s="18">
        <f>SUM(AN8:AU8)</f>
        <v>0</v>
      </c>
      <c r="AW8" s="18"/>
      <c r="AX8" s="17">
        <f>B11</f>
        <v>2</v>
      </c>
      <c r="AY8" s="26" t="str">
        <f t="shared" si="19"/>
        <v>Droit de sortie (DS)</v>
      </c>
      <c r="AZ8" s="18">
        <f t="shared" ca="1" si="23"/>
        <v>0</v>
      </c>
      <c r="BA8" s="18">
        <f t="shared" ca="1" si="23"/>
        <v>0</v>
      </c>
      <c r="BB8" s="18">
        <f t="shared" ca="1" si="23"/>
        <v>0</v>
      </c>
      <c r="BC8" s="18">
        <f t="shared" ca="1" si="23"/>
        <v>0</v>
      </c>
      <c r="BD8" s="18">
        <f t="shared" ca="1" si="23"/>
        <v>0</v>
      </c>
      <c r="BE8" s="18">
        <f t="shared" ca="1" si="23"/>
        <v>0</v>
      </c>
      <c r="BF8" s="18">
        <f t="shared" ca="1" si="23"/>
        <v>0</v>
      </c>
      <c r="BG8" s="18">
        <f t="shared" ca="1" si="23"/>
        <v>0</v>
      </c>
      <c r="BH8" s="18">
        <f t="shared" ca="1" si="23"/>
        <v>0</v>
      </c>
      <c r="BI8" s="18">
        <f t="shared" ca="1" si="23"/>
        <v>0</v>
      </c>
      <c r="BJ8" s="18">
        <f t="shared" ca="1" si="23"/>
        <v>0</v>
      </c>
      <c r="BK8" s="18">
        <f t="shared" ca="1" si="23"/>
        <v>1.000000536441803E-2</v>
      </c>
    </row>
    <row r="9" spans="1:63">
      <c r="B9" s="58"/>
      <c r="C9" s="58" t="str">
        <f>+'Taxes RCA 2022'!B2</f>
        <v>DGDDI</v>
      </c>
      <c r="E9" s="166">
        <f>SUM(E10:E12)</f>
        <v>124595714</v>
      </c>
      <c r="F9" s="166">
        <f t="shared" ref="F9:G9" si="24">SUM(F10:F12)</f>
        <v>0</v>
      </c>
      <c r="G9" s="166">
        <f t="shared" si="24"/>
        <v>124595714</v>
      </c>
      <c r="H9" s="114"/>
      <c r="I9" s="166">
        <f>SUM(I10:I12)</f>
        <v>124595713.655</v>
      </c>
      <c r="J9" s="166">
        <f t="shared" ref="J9:K9" ca="1" si="25">SUM(J10:J12)</f>
        <v>0</v>
      </c>
      <c r="K9" s="166">
        <f t="shared" ca="1" si="25"/>
        <v>124595713.655</v>
      </c>
      <c r="L9" s="114"/>
      <c r="M9" s="166">
        <f t="shared" ref="M9" ca="1" si="26">SUM(M10:M12)</f>
        <v>0.3450000062584877</v>
      </c>
      <c r="N9" s="58"/>
      <c r="Q9" s="35"/>
      <c r="R9" s="21" t="str">
        <f>Lists!A74</f>
        <v>Erreur de classification</v>
      </c>
      <c r="S9" s="18">
        <f t="shared" si="3"/>
        <v>0</v>
      </c>
      <c r="U9" s="21" t="str">
        <f>Lists!A97</f>
        <v>Taxes non reportées par l'Entreprise Extractive</v>
      </c>
      <c r="V9" s="18">
        <f t="shared" si="4"/>
        <v>0</v>
      </c>
      <c r="Y9" s="15">
        <f>B12</f>
        <v>3</v>
      </c>
      <c r="Z9" s="25" t="str">
        <f t="shared" si="15"/>
        <v>Amendes et pénalités payées à la DGDDI (+)</v>
      </c>
      <c r="AA9" s="16">
        <f t="shared" si="21"/>
        <v>0</v>
      </c>
      <c r="AB9" s="16">
        <f t="shared" si="21"/>
        <v>0</v>
      </c>
      <c r="AC9" s="16">
        <f t="shared" si="21"/>
        <v>0</v>
      </c>
      <c r="AD9" s="16">
        <f t="shared" si="21"/>
        <v>0</v>
      </c>
      <c r="AE9" s="16">
        <f t="shared" si="21"/>
        <v>0</v>
      </c>
      <c r="AF9" s="16">
        <f t="shared" si="21"/>
        <v>0</v>
      </c>
      <c r="AG9" s="16">
        <f t="shared" si="21"/>
        <v>0</v>
      </c>
      <c r="AH9" s="16">
        <f t="shared" si="21"/>
        <v>0</v>
      </c>
      <c r="AI9" s="16">
        <f t="shared" si="21"/>
        <v>0</v>
      </c>
      <c r="AJ9" s="16">
        <f>SUM(AA9:AI9)</f>
        <v>0</v>
      </c>
      <c r="AL9" s="17">
        <f>+B12</f>
        <v>3</v>
      </c>
      <c r="AM9" s="26" t="str">
        <f t="shared" si="17"/>
        <v>Amendes et pénalités payées à la DGDDI (+)</v>
      </c>
      <c r="AN9" s="18">
        <f t="shared" si="22"/>
        <v>0</v>
      </c>
      <c r="AO9" s="18">
        <f t="shared" si="22"/>
        <v>0</v>
      </c>
      <c r="AP9" s="18">
        <f t="shared" si="22"/>
        <v>0</v>
      </c>
      <c r="AQ9" s="18">
        <f t="shared" si="22"/>
        <v>0</v>
      </c>
      <c r="AR9" s="18">
        <f t="shared" si="22"/>
        <v>0</v>
      </c>
      <c r="AS9" s="18">
        <f t="shared" si="22"/>
        <v>0</v>
      </c>
      <c r="AT9" s="18">
        <f t="shared" si="22"/>
        <v>0</v>
      </c>
      <c r="AU9" s="18">
        <f t="shared" si="22"/>
        <v>0</v>
      </c>
      <c r="AV9" s="18">
        <f>SUM(AN9:AU9)</f>
        <v>0</v>
      </c>
      <c r="AW9" s="18"/>
      <c r="AX9" s="17">
        <f>B12</f>
        <v>3</v>
      </c>
      <c r="AY9" s="26" t="str">
        <f t="shared" si="19"/>
        <v>Amendes et pénalités payées à la DGDDI (+)</v>
      </c>
      <c r="AZ9" s="18">
        <f t="shared" ca="1" si="23"/>
        <v>0</v>
      </c>
      <c r="BA9" s="18">
        <f t="shared" ca="1" si="23"/>
        <v>0</v>
      </c>
      <c r="BB9" s="18">
        <f t="shared" ca="1" si="23"/>
        <v>0</v>
      </c>
      <c r="BC9" s="18">
        <f t="shared" ca="1" si="23"/>
        <v>0</v>
      </c>
      <c r="BD9" s="18">
        <f t="shared" ca="1" si="23"/>
        <v>0</v>
      </c>
      <c r="BE9" s="18">
        <f t="shared" ca="1" si="23"/>
        <v>0</v>
      </c>
      <c r="BF9" s="18">
        <f t="shared" ca="1" si="23"/>
        <v>0</v>
      </c>
      <c r="BG9" s="18">
        <f t="shared" ca="1" si="23"/>
        <v>0</v>
      </c>
      <c r="BH9" s="18">
        <f t="shared" ca="1" si="23"/>
        <v>0</v>
      </c>
      <c r="BI9" s="18">
        <f t="shared" ca="1" si="23"/>
        <v>0</v>
      </c>
      <c r="BJ9" s="18">
        <f t="shared" ca="1" si="23"/>
        <v>0</v>
      </c>
      <c r="BK9" s="18">
        <f t="shared" ca="1" si="23"/>
        <v>0</v>
      </c>
    </row>
    <row r="10" spans="1:63">
      <c r="A10" s="80">
        <f>B10</f>
        <v>1</v>
      </c>
      <c r="B10" s="64">
        <f>+'Taxes RCA 2022'!A3</f>
        <v>1</v>
      </c>
      <c r="C10" s="68" t="str">
        <f>+'Taxes RCA 2022'!B3</f>
        <v>Redevance équipement, informatique et finances (REIF)</v>
      </c>
      <c r="E10" s="165">
        <v>17799388</v>
      </c>
      <c r="F10" s="165">
        <f>SUMIF($A$84:$A$752,B10&amp;"- "&amp;C10,$G$84:$G$752)</f>
        <v>0</v>
      </c>
      <c r="G10" s="165">
        <f>E10+F10</f>
        <v>17799388</v>
      </c>
      <c r="H10" s="114"/>
      <c r="I10" s="165">
        <v>17799387.664999999</v>
      </c>
      <c r="J10" s="165">
        <f>SUMIF($J$83:$J$1048576,C10,$Q$83:$Q$1048576)</f>
        <v>0</v>
      </c>
      <c r="K10" s="165">
        <f>I10+J10</f>
        <v>17799387.664999999</v>
      </c>
      <c r="L10" s="114"/>
      <c r="M10" s="165">
        <f>+G10-K10</f>
        <v>0.33500000089406967</v>
      </c>
      <c r="N10" s="68" t="s">
        <v>229</v>
      </c>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5"/>
        <v>DGTCP</v>
      </c>
      <c r="AA10" s="16">
        <f t="shared" si="21"/>
        <v>0</v>
      </c>
      <c r="AB10" s="16">
        <f t="shared" si="21"/>
        <v>0</v>
      </c>
      <c r="AC10" s="16">
        <f t="shared" si="21"/>
        <v>0</v>
      </c>
      <c r="AD10" s="16">
        <f t="shared" si="21"/>
        <v>0</v>
      </c>
      <c r="AE10" s="16">
        <f t="shared" si="21"/>
        <v>0</v>
      </c>
      <c r="AF10" s="16">
        <f t="shared" si="21"/>
        <v>0</v>
      </c>
      <c r="AG10" s="16">
        <f t="shared" si="21"/>
        <v>0</v>
      </c>
      <c r="AH10" s="16">
        <f t="shared" si="21"/>
        <v>0</v>
      </c>
      <c r="AI10" s="16">
        <f t="shared" si="21"/>
        <v>0</v>
      </c>
      <c r="AJ10" s="16">
        <f>SUM(AA10:AI10)</f>
        <v>0</v>
      </c>
      <c r="AL10" s="17">
        <f>+B13</f>
        <v>0</v>
      </c>
      <c r="AM10" s="26" t="str">
        <f t="shared" si="17"/>
        <v>DGTCP</v>
      </c>
      <c r="AN10" s="18">
        <f t="shared" si="22"/>
        <v>0</v>
      </c>
      <c r="AO10" s="18">
        <f t="shared" si="22"/>
        <v>0</v>
      </c>
      <c r="AP10" s="18">
        <f t="shared" si="22"/>
        <v>0</v>
      </c>
      <c r="AQ10" s="18">
        <f t="shared" si="22"/>
        <v>0</v>
      </c>
      <c r="AR10" s="18">
        <f t="shared" si="22"/>
        <v>0</v>
      </c>
      <c r="AS10" s="18">
        <f t="shared" si="22"/>
        <v>0</v>
      </c>
      <c r="AT10" s="18">
        <f t="shared" si="22"/>
        <v>0</v>
      </c>
      <c r="AU10" s="18">
        <f t="shared" si="22"/>
        <v>0</v>
      </c>
      <c r="AV10" s="18">
        <f>SUM(AN10:AU10)</f>
        <v>0</v>
      </c>
      <c r="AW10" s="18"/>
      <c r="AX10" s="17">
        <f>B13</f>
        <v>0</v>
      </c>
      <c r="AY10" s="26" t="str">
        <f t="shared" si="19"/>
        <v>DGTCP</v>
      </c>
      <c r="AZ10" s="18">
        <f t="shared" ca="1" si="23"/>
        <v>0</v>
      </c>
      <c r="BA10" s="18">
        <f t="shared" ca="1" si="23"/>
        <v>0</v>
      </c>
      <c r="BB10" s="18">
        <f t="shared" ca="1" si="23"/>
        <v>0</v>
      </c>
      <c r="BC10" s="18">
        <f t="shared" ca="1" si="23"/>
        <v>0</v>
      </c>
      <c r="BD10" s="18">
        <f t="shared" ca="1" si="23"/>
        <v>0</v>
      </c>
      <c r="BE10" s="18">
        <f t="shared" ca="1" si="23"/>
        <v>0</v>
      </c>
      <c r="BF10" s="18">
        <f t="shared" ca="1" si="23"/>
        <v>0</v>
      </c>
      <c r="BG10" s="18">
        <f t="shared" ca="1" si="23"/>
        <v>0</v>
      </c>
      <c r="BH10" s="18">
        <f t="shared" ca="1" si="23"/>
        <v>0</v>
      </c>
      <c r="BI10" s="18">
        <f t="shared" ca="1" si="23"/>
        <v>0</v>
      </c>
      <c r="BJ10" s="18">
        <f t="shared" ca="1" si="23"/>
        <v>0</v>
      </c>
      <c r="BK10" s="18">
        <f t="shared" ca="1" si="23"/>
        <v>0</v>
      </c>
    </row>
    <row r="11" spans="1:63">
      <c r="A11" s="80">
        <f t="shared" ref="A11:A79" si="27">B11</f>
        <v>2</v>
      </c>
      <c r="B11" s="53">
        <f>+'Taxes RCA 2022'!A4</f>
        <v>2</v>
      </c>
      <c r="C11" s="18" t="str">
        <f>+'Taxes RCA 2022'!B4</f>
        <v>Droit de sortie (DS)</v>
      </c>
      <c r="E11" s="114">
        <v>106796326</v>
      </c>
      <c r="F11" s="114">
        <f>SUMIF($A$84:$A$752,B11&amp;"- "&amp;C11,$G$84:$G$752)</f>
        <v>0</v>
      </c>
      <c r="G11" s="114">
        <f>E11+F11</f>
        <v>106796326</v>
      </c>
      <c r="H11" s="114"/>
      <c r="I11" s="114">
        <v>106796325.98999999</v>
      </c>
      <c r="J11" s="114">
        <f>SUMIF($J$83:$J$1048576,C11,$Q$83:$Q$1048576)</f>
        <v>0</v>
      </c>
      <c r="K11" s="114">
        <f>I11+J11</f>
        <v>106796325.98999999</v>
      </c>
      <c r="L11" s="114"/>
      <c r="M11" s="114">
        <f>+G11-K11</f>
        <v>1.000000536441803E-2</v>
      </c>
      <c r="N11" s="18" t="s">
        <v>229</v>
      </c>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5"/>
        <v>Dividendes sur participation de l'Etat (+)</v>
      </c>
      <c r="AA11" s="16">
        <f t="shared" si="21"/>
        <v>0</v>
      </c>
      <c r="AB11" s="16">
        <f t="shared" si="21"/>
        <v>0</v>
      </c>
      <c r="AC11" s="16">
        <f t="shared" si="21"/>
        <v>0</v>
      </c>
      <c r="AD11" s="16">
        <f t="shared" si="21"/>
        <v>0</v>
      </c>
      <c r="AE11" s="16">
        <f t="shared" si="21"/>
        <v>0</v>
      </c>
      <c r="AF11" s="16">
        <f t="shared" si="21"/>
        <v>0</v>
      </c>
      <c r="AG11" s="16">
        <f t="shared" si="21"/>
        <v>0</v>
      </c>
      <c r="AH11" s="16">
        <f t="shared" si="21"/>
        <v>0</v>
      </c>
      <c r="AI11" s="16">
        <f t="shared" si="21"/>
        <v>0</v>
      </c>
      <c r="AJ11" s="16">
        <f>SUM(AA11:AI11)</f>
        <v>0</v>
      </c>
      <c r="AL11" s="17">
        <f>+B14</f>
        <v>4</v>
      </c>
      <c r="AM11" s="26" t="str">
        <f t="shared" si="17"/>
        <v>Dividendes sur participation de l'Etat (+)</v>
      </c>
      <c r="AN11" s="18">
        <f t="shared" si="22"/>
        <v>0</v>
      </c>
      <c r="AO11" s="18">
        <f t="shared" si="22"/>
        <v>0</v>
      </c>
      <c r="AP11" s="18">
        <f t="shared" si="22"/>
        <v>0</v>
      </c>
      <c r="AQ11" s="18">
        <f t="shared" si="22"/>
        <v>0</v>
      </c>
      <c r="AR11" s="18">
        <f t="shared" si="22"/>
        <v>0</v>
      </c>
      <c r="AS11" s="18">
        <f t="shared" si="22"/>
        <v>0</v>
      </c>
      <c r="AT11" s="18">
        <f t="shared" si="22"/>
        <v>0</v>
      </c>
      <c r="AU11" s="18">
        <f t="shared" si="22"/>
        <v>0</v>
      </c>
      <c r="AV11" s="18">
        <f>SUM(AN11:AU11)</f>
        <v>0</v>
      </c>
      <c r="AW11" s="18"/>
      <c r="AX11" s="17">
        <f>B14</f>
        <v>4</v>
      </c>
      <c r="AY11" s="26" t="str">
        <f t="shared" si="19"/>
        <v>Dividendes sur participation de l'Etat (+)</v>
      </c>
      <c r="AZ11" s="18">
        <f t="shared" ca="1" si="23"/>
        <v>0</v>
      </c>
      <c r="BA11" s="18">
        <f t="shared" ca="1" si="23"/>
        <v>0</v>
      </c>
      <c r="BB11" s="18">
        <f t="shared" ca="1" si="23"/>
        <v>0</v>
      </c>
      <c r="BC11" s="18">
        <f t="shared" ca="1" si="23"/>
        <v>0</v>
      </c>
      <c r="BD11" s="18">
        <f t="shared" ca="1" si="23"/>
        <v>0</v>
      </c>
      <c r="BE11" s="18">
        <f t="shared" ca="1" si="23"/>
        <v>0</v>
      </c>
      <c r="BF11" s="18">
        <f t="shared" ca="1" si="23"/>
        <v>0</v>
      </c>
      <c r="BG11" s="18">
        <f t="shared" ca="1" si="23"/>
        <v>0</v>
      </c>
      <c r="BH11" s="18">
        <f t="shared" ca="1" si="23"/>
        <v>0</v>
      </c>
      <c r="BI11" s="18">
        <f t="shared" ca="1" si="23"/>
        <v>0</v>
      </c>
      <c r="BJ11" s="18">
        <f t="shared" ca="1" si="23"/>
        <v>0</v>
      </c>
      <c r="BK11" s="18">
        <f t="shared" ca="1" si="23"/>
        <v>0</v>
      </c>
    </row>
    <row r="12" spans="1:63">
      <c r="A12" s="80">
        <f t="shared" si="27"/>
        <v>3</v>
      </c>
      <c r="B12" s="64">
        <f>+'Taxes RCA 2022'!A5</f>
        <v>3</v>
      </c>
      <c r="C12" s="68" t="str">
        <f>+'Taxes RCA 2022'!B5</f>
        <v>Amendes et pénalités payées à la DGDDI (+)</v>
      </c>
      <c r="E12" s="165"/>
      <c r="F12" s="165">
        <f>SUMIF($A$84:$A$752,B12&amp;"- "&amp;C12,$G$84:$G$752)</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5"/>
        <v>DGTCP (FDM)</v>
      </c>
      <c r="AA12" s="29">
        <f t="shared" ref="AA12:AJ12" si="28">SUM(AA13:AA21)</f>
        <v>0</v>
      </c>
      <c r="AB12" s="29">
        <f t="shared" si="28"/>
        <v>0</v>
      </c>
      <c r="AC12" s="29">
        <f t="shared" si="28"/>
        <v>0</v>
      </c>
      <c r="AD12" s="29">
        <f t="shared" si="28"/>
        <v>0</v>
      </c>
      <c r="AE12" s="29">
        <f t="shared" si="28"/>
        <v>0</v>
      </c>
      <c r="AF12" s="29">
        <f t="shared" si="28"/>
        <v>0</v>
      </c>
      <c r="AG12" s="29">
        <f t="shared" si="28"/>
        <v>0</v>
      </c>
      <c r="AH12" s="29">
        <f t="shared" si="28"/>
        <v>0</v>
      </c>
      <c r="AI12" s="29">
        <f t="shared" si="28"/>
        <v>0</v>
      </c>
      <c r="AJ12" s="29">
        <f t="shared" si="28"/>
        <v>0</v>
      </c>
      <c r="AL12" s="28"/>
      <c r="AM12" s="28" t="str">
        <f t="shared" si="17"/>
        <v>DGTCP (FDM)</v>
      </c>
      <c r="AN12" s="29">
        <f t="shared" ref="AN12:AV12" si="29">SUM(AN13:AN21)</f>
        <v>0</v>
      </c>
      <c r="AO12" s="29">
        <f t="shared" si="29"/>
        <v>0</v>
      </c>
      <c r="AP12" s="29">
        <f t="shared" si="29"/>
        <v>0</v>
      </c>
      <c r="AQ12" s="29">
        <f t="shared" si="29"/>
        <v>0</v>
      </c>
      <c r="AR12" s="29">
        <f t="shared" si="29"/>
        <v>0</v>
      </c>
      <c r="AS12" s="29">
        <f t="shared" si="29"/>
        <v>0</v>
      </c>
      <c r="AT12" s="29">
        <f t="shared" si="29"/>
        <v>0</v>
      </c>
      <c r="AU12" s="29">
        <f t="shared" si="29"/>
        <v>0</v>
      </c>
      <c r="AV12" s="29">
        <f t="shared" si="29"/>
        <v>0</v>
      </c>
      <c r="AW12" s="38"/>
      <c r="AX12" s="28"/>
      <c r="AY12" s="28" t="str">
        <f t="shared" si="19"/>
        <v>DGTCP (FDM)</v>
      </c>
      <c r="AZ12" s="29">
        <f t="shared" ref="AZ12:BK12" ca="1" si="30">SUM(AZ13:AZ21)</f>
        <v>0</v>
      </c>
      <c r="BA12" s="29">
        <f t="shared" ca="1" si="30"/>
        <v>0</v>
      </c>
      <c r="BB12" s="29">
        <f t="shared" ca="1" si="30"/>
        <v>0</v>
      </c>
      <c r="BC12" s="29">
        <f t="shared" ca="1" si="30"/>
        <v>0</v>
      </c>
      <c r="BD12" s="29">
        <f t="shared" ca="1" si="30"/>
        <v>0</v>
      </c>
      <c r="BE12" s="29">
        <f t="shared" ca="1" si="30"/>
        <v>0</v>
      </c>
      <c r="BF12" s="29">
        <f t="shared" ca="1" si="30"/>
        <v>0</v>
      </c>
      <c r="BG12" s="29">
        <f t="shared" ca="1" si="30"/>
        <v>0</v>
      </c>
      <c r="BH12" s="29">
        <f t="shared" ca="1" si="30"/>
        <v>0</v>
      </c>
      <c r="BI12" s="29">
        <f t="shared" ca="1" si="30"/>
        <v>0</v>
      </c>
      <c r="BJ12" s="29">
        <f t="shared" ca="1" si="30"/>
        <v>0</v>
      </c>
      <c r="BK12" s="29">
        <f t="shared" ca="1" si="30"/>
        <v>815452</v>
      </c>
    </row>
    <row r="13" spans="1:63">
      <c r="A13" s="80">
        <f t="shared" si="27"/>
        <v>0</v>
      </c>
      <c r="B13" s="163"/>
      <c r="C13" s="58" t="str">
        <f>+'Taxes RCA 2022'!B6</f>
        <v>DGTCP</v>
      </c>
      <c r="E13" s="166">
        <f>+E14</f>
        <v>0</v>
      </c>
      <c r="F13" s="166">
        <f t="shared" ref="F13:G13" si="31">+F14</f>
        <v>0</v>
      </c>
      <c r="G13" s="166">
        <f t="shared" si="31"/>
        <v>0</v>
      </c>
      <c r="H13" s="114"/>
      <c r="I13" s="166">
        <f>+I14</f>
        <v>0</v>
      </c>
      <c r="J13" s="166">
        <f t="shared" ref="J13:K13" ca="1" si="32">+J14</f>
        <v>0</v>
      </c>
      <c r="K13" s="166">
        <f t="shared" ca="1" si="32"/>
        <v>0</v>
      </c>
      <c r="L13" s="114"/>
      <c r="M13" s="166">
        <f t="shared" ref="M13" ca="1" si="33">+M14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5"/>
        <v>Bonus de signature versés par les investisseurs miniers (+) (DGTCP (FDM))</v>
      </c>
      <c r="AA13" s="16">
        <f t="shared" ref="AA13:AI21" si="34">SUMPRODUCT(($A$84:$A$752=$Y13&amp;"- "&amp;$Z13)*($C$84:$C$752=AA$1)*($G$84:$G$752))</f>
        <v>0</v>
      </c>
      <c r="AB13" s="16">
        <f t="shared" si="34"/>
        <v>0</v>
      </c>
      <c r="AC13" s="16">
        <f t="shared" si="34"/>
        <v>0</v>
      </c>
      <c r="AD13" s="16">
        <f t="shared" si="34"/>
        <v>0</v>
      </c>
      <c r="AE13" s="16">
        <f t="shared" si="34"/>
        <v>0</v>
      </c>
      <c r="AF13" s="16">
        <f t="shared" si="34"/>
        <v>0</v>
      </c>
      <c r="AG13" s="16">
        <f t="shared" si="34"/>
        <v>0</v>
      </c>
      <c r="AH13" s="16">
        <f t="shared" si="34"/>
        <v>0</v>
      </c>
      <c r="AI13" s="16">
        <f t="shared" si="34"/>
        <v>0</v>
      </c>
      <c r="AJ13" s="16">
        <f t="shared" ref="AJ13:AJ21" si="35">SUM(AA13:AI13)</f>
        <v>0</v>
      </c>
      <c r="AL13" s="17">
        <f>+B16</f>
        <v>5</v>
      </c>
      <c r="AM13" s="26" t="str">
        <f t="shared" si="17"/>
        <v>Bonus de signature versés par les investisseurs miniers (+) (DGTCP (FDM))</v>
      </c>
      <c r="AN13" s="18">
        <f t="shared" ref="AN13:AU21" si="36">SUMPRODUCT(($J$84:$M$748=$AL13&amp;"- "&amp;$AM13)*($N$84:$N$748=AN$1)*($Q$84:$Q$748))</f>
        <v>0</v>
      </c>
      <c r="AO13" s="18">
        <f t="shared" si="36"/>
        <v>0</v>
      </c>
      <c r="AP13" s="18">
        <f t="shared" si="36"/>
        <v>0</v>
      </c>
      <c r="AQ13" s="18">
        <f t="shared" si="36"/>
        <v>0</v>
      </c>
      <c r="AR13" s="18">
        <f t="shared" si="36"/>
        <v>0</v>
      </c>
      <c r="AS13" s="18">
        <f t="shared" si="36"/>
        <v>0</v>
      </c>
      <c r="AT13" s="18">
        <f t="shared" si="36"/>
        <v>0</v>
      </c>
      <c r="AU13" s="18">
        <f t="shared" si="36"/>
        <v>0</v>
      </c>
      <c r="AV13" s="18">
        <f t="shared" ref="AV13:AV21" si="37">SUM(AN13:AU13)</f>
        <v>0</v>
      </c>
      <c r="AW13" s="18"/>
      <c r="AX13" s="17">
        <f>B16</f>
        <v>5</v>
      </c>
      <c r="AY13" s="26" t="str">
        <f t="shared" si="19"/>
        <v>Bonus de signature versés par les investisseurs miniers (+) (DGTCP (FDM))</v>
      </c>
      <c r="AZ13" s="18">
        <f t="shared" ref="AZ13:BK21" ca="1" si="38">SUMPRODUCT(($C$10:$C$75=$AY13)*($N$10:$N$75=AZ$1)*($M$10:$M$75))</f>
        <v>0</v>
      </c>
      <c r="BA13" s="18">
        <f t="shared" ca="1" si="38"/>
        <v>0</v>
      </c>
      <c r="BB13" s="18">
        <f t="shared" ca="1" si="38"/>
        <v>0</v>
      </c>
      <c r="BC13" s="18">
        <f t="shared" ca="1" si="38"/>
        <v>0</v>
      </c>
      <c r="BD13" s="18">
        <f t="shared" ca="1" si="38"/>
        <v>0</v>
      </c>
      <c r="BE13" s="18">
        <f t="shared" ca="1" si="38"/>
        <v>0</v>
      </c>
      <c r="BF13" s="18">
        <f t="shared" ca="1" si="38"/>
        <v>0</v>
      </c>
      <c r="BG13" s="18">
        <f t="shared" ca="1" si="38"/>
        <v>0</v>
      </c>
      <c r="BH13" s="18">
        <f t="shared" ca="1" si="38"/>
        <v>0</v>
      </c>
      <c r="BI13" s="18">
        <f t="shared" ca="1" si="38"/>
        <v>0</v>
      </c>
      <c r="BJ13" s="18">
        <f t="shared" ca="1" si="38"/>
        <v>0</v>
      </c>
      <c r="BK13" s="18">
        <f t="shared" ca="1" si="38"/>
        <v>0</v>
      </c>
    </row>
    <row r="14" spans="1:63">
      <c r="A14" s="80">
        <f t="shared" si="27"/>
        <v>4</v>
      </c>
      <c r="B14" s="53">
        <f>+'Taxes RCA 2022'!A7</f>
        <v>4</v>
      </c>
      <c r="C14" s="18" t="str">
        <f>+'Taxes RCA 2022'!B7</f>
        <v>Dividendes sur participation de l'Etat (+)</v>
      </c>
      <c r="E14" s="114"/>
      <c r="F14" s="114">
        <f>SUMIF($A$84:$A$752,B14&amp;"- "&amp;C14,$G$84:$G$752)</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ca="1" si="4"/>
        <v>815450.68500000983</v>
      </c>
      <c r="Y14" s="15">
        <f>B17</f>
        <v>0</v>
      </c>
      <c r="Z14" s="25" t="str">
        <f t="shared" si="15"/>
        <v>DGID</v>
      </c>
      <c r="AA14" s="16">
        <f t="shared" si="34"/>
        <v>0</v>
      </c>
      <c r="AB14" s="16">
        <f t="shared" si="34"/>
        <v>0</v>
      </c>
      <c r="AC14" s="16">
        <f t="shared" si="34"/>
        <v>0</v>
      </c>
      <c r="AD14" s="16">
        <f t="shared" si="34"/>
        <v>0</v>
      </c>
      <c r="AE14" s="16">
        <f t="shared" si="34"/>
        <v>0</v>
      </c>
      <c r="AF14" s="16">
        <f t="shared" si="34"/>
        <v>0</v>
      </c>
      <c r="AG14" s="16">
        <f t="shared" si="34"/>
        <v>0</v>
      </c>
      <c r="AH14" s="16">
        <f t="shared" si="34"/>
        <v>0</v>
      </c>
      <c r="AI14" s="16">
        <f t="shared" si="34"/>
        <v>0</v>
      </c>
      <c r="AJ14" s="16">
        <f t="shared" si="35"/>
        <v>0</v>
      </c>
      <c r="AL14" s="17">
        <f>+B17</f>
        <v>0</v>
      </c>
      <c r="AM14" s="26" t="str">
        <f t="shared" si="17"/>
        <v>DGID</v>
      </c>
      <c r="AN14" s="18">
        <f t="shared" si="36"/>
        <v>0</v>
      </c>
      <c r="AO14" s="18">
        <f t="shared" si="36"/>
        <v>0</v>
      </c>
      <c r="AP14" s="18">
        <f t="shared" si="36"/>
        <v>0</v>
      </c>
      <c r="AQ14" s="18">
        <f t="shared" si="36"/>
        <v>0</v>
      </c>
      <c r="AR14" s="18">
        <f t="shared" si="36"/>
        <v>0</v>
      </c>
      <c r="AS14" s="18">
        <f t="shared" si="36"/>
        <v>0</v>
      </c>
      <c r="AT14" s="18">
        <f t="shared" si="36"/>
        <v>0</v>
      </c>
      <c r="AU14" s="18">
        <f t="shared" si="36"/>
        <v>0</v>
      </c>
      <c r="AV14" s="18">
        <f t="shared" si="37"/>
        <v>0</v>
      </c>
      <c r="AW14" s="18"/>
      <c r="AX14" s="17">
        <f>B17</f>
        <v>0</v>
      </c>
      <c r="AY14" s="26" t="str">
        <f t="shared" si="19"/>
        <v>DGID</v>
      </c>
      <c r="AZ14" s="18">
        <f t="shared" ca="1" si="38"/>
        <v>0</v>
      </c>
      <c r="BA14" s="18">
        <f t="shared" ca="1" si="38"/>
        <v>0</v>
      </c>
      <c r="BB14" s="18">
        <f t="shared" ca="1" si="38"/>
        <v>0</v>
      </c>
      <c r="BC14" s="18">
        <f t="shared" ca="1" si="38"/>
        <v>0</v>
      </c>
      <c r="BD14" s="18">
        <f t="shared" ca="1" si="38"/>
        <v>0</v>
      </c>
      <c r="BE14" s="18">
        <f t="shared" ca="1" si="38"/>
        <v>0</v>
      </c>
      <c r="BF14" s="18">
        <f t="shared" ca="1" si="38"/>
        <v>0</v>
      </c>
      <c r="BG14" s="18">
        <f t="shared" ca="1" si="38"/>
        <v>0</v>
      </c>
      <c r="BH14" s="18">
        <f t="shared" ca="1" si="38"/>
        <v>0</v>
      </c>
      <c r="BI14" s="18">
        <f t="shared" ca="1" si="38"/>
        <v>0</v>
      </c>
      <c r="BJ14" s="18">
        <f t="shared" ca="1" si="38"/>
        <v>0</v>
      </c>
      <c r="BK14" s="18">
        <f t="shared" ca="1" si="38"/>
        <v>0</v>
      </c>
    </row>
    <row r="15" spans="1:63">
      <c r="A15" s="80">
        <f t="shared" si="27"/>
        <v>0</v>
      </c>
      <c r="B15" s="163"/>
      <c r="C15" s="58" t="str">
        <f>+'Taxes RCA 2022'!B8</f>
        <v>DGTCP (FDM)</v>
      </c>
      <c r="E15" s="166">
        <f>+E16</f>
        <v>0</v>
      </c>
      <c r="F15" s="166">
        <f t="shared" ref="F15:G15" si="39">+F16</f>
        <v>0</v>
      </c>
      <c r="G15" s="166">
        <f t="shared" si="39"/>
        <v>0</v>
      </c>
      <c r="H15" s="114"/>
      <c r="I15" s="166">
        <f>+I16</f>
        <v>0</v>
      </c>
      <c r="J15" s="166">
        <f t="shared" ref="J15:K15" ca="1" si="40">+J16</f>
        <v>0</v>
      </c>
      <c r="K15" s="166">
        <f t="shared" ca="1" si="40"/>
        <v>0</v>
      </c>
      <c r="L15" s="114"/>
      <c r="M15" s="166">
        <f t="shared" ref="M15" ca="1" si="41">+M16</f>
        <v>0</v>
      </c>
      <c r="N15" s="58"/>
      <c r="O15" s="38"/>
      <c r="P15" s="39"/>
      <c r="Q15" s="35"/>
      <c r="U15" s="40" t="s">
        <v>9</v>
      </c>
      <c r="V15" s="22">
        <f ca="1">SUM(V3:V14)</f>
        <v>-421395.31499999017</v>
      </c>
      <c r="Y15" s="15">
        <f>B18</f>
        <v>6</v>
      </c>
      <c r="Z15" s="25" t="str">
        <f>C18</f>
        <v>Redevance à la production (+)</v>
      </c>
      <c r="AA15" s="16">
        <f t="shared" si="34"/>
        <v>0</v>
      </c>
      <c r="AB15" s="16">
        <f t="shared" si="34"/>
        <v>0</v>
      </c>
      <c r="AC15" s="16">
        <f t="shared" si="34"/>
        <v>0</v>
      </c>
      <c r="AD15" s="16">
        <f t="shared" si="34"/>
        <v>0</v>
      </c>
      <c r="AE15" s="16">
        <f t="shared" si="34"/>
        <v>0</v>
      </c>
      <c r="AF15" s="16">
        <f t="shared" si="34"/>
        <v>0</v>
      </c>
      <c r="AG15" s="16">
        <f t="shared" si="34"/>
        <v>0</v>
      </c>
      <c r="AH15" s="16">
        <f t="shared" si="34"/>
        <v>0</v>
      </c>
      <c r="AI15" s="16">
        <f t="shared" si="34"/>
        <v>0</v>
      </c>
      <c r="AJ15" s="16">
        <f>SUM(AA15:AI15)</f>
        <v>0</v>
      </c>
      <c r="AL15" s="17">
        <f>+B18</f>
        <v>6</v>
      </c>
      <c r="AM15" s="26" t="str">
        <f>+C18</f>
        <v>Redevance à la production (+)</v>
      </c>
      <c r="AN15" s="18">
        <f t="shared" si="36"/>
        <v>0</v>
      </c>
      <c r="AO15" s="18">
        <f t="shared" si="36"/>
        <v>0</v>
      </c>
      <c r="AP15" s="18">
        <f t="shared" si="36"/>
        <v>0</v>
      </c>
      <c r="AQ15" s="18">
        <f t="shared" si="36"/>
        <v>0</v>
      </c>
      <c r="AR15" s="18">
        <f t="shared" si="36"/>
        <v>0</v>
      </c>
      <c r="AS15" s="18">
        <f t="shared" si="36"/>
        <v>0</v>
      </c>
      <c r="AT15" s="18">
        <f t="shared" si="36"/>
        <v>0</v>
      </c>
      <c r="AU15" s="18">
        <f t="shared" si="36"/>
        <v>0</v>
      </c>
      <c r="AV15" s="18">
        <f>SUM(AN15:AU15)</f>
        <v>0</v>
      </c>
      <c r="AW15" s="18"/>
      <c r="AX15" s="17">
        <f>B18</f>
        <v>6</v>
      </c>
      <c r="AY15" s="26" t="str">
        <f>C18</f>
        <v>Redevance à la production (+)</v>
      </c>
      <c r="AZ15" s="18">
        <f t="shared" ca="1" si="38"/>
        <v>0</v>
      </c>
      <c r="BA15" s="18">
        <f t="shared" ca="1" si="38"/>
        <v>0</v>
      </c>
      <c r="BB15" s="18">
        <f t="shared" ca="1" si="38"/>
        <v>0</v>
      </c>
      <c r="BC15" s="18">
        <f t="shared" ca="1" si="38"/>
        <v>0</v>
      </c>
      <c r="BD15" s="18">
        <f t="shared" ca="1" si="38"/>
        <v>0</v>
      </c>
      <c r="BE15" s="18">
        <f t="shared" ca="1" si="38"/>
        <v>0</v>
      </c>
      <c r="BF15" s="18">
        <f t="shared" ca="1" si="38"/>
        <v>0</v>
      </c>
      <c r="BG15" s="18">
        <f t="shared" ca="1" si="38"/>
        <v>0</v>
      </c>
      <c r="BH15" s="18">
        <f t="shared" ca="1" si="38"/>
        <v>0</v>
      </c>
      <c r="BI15" s="18">
        <f t="shared" ca="1" si="38"/>
        <v>0</v>
      </c>
      <c r="BJ15" s="18">
        <f t="shared" ca="1" si="38"/>
        <v>0</v>
      </c>
      <c r="BK15" s="18">
        <f t="shared" ca="1" si="38"/>
        <v>0</v>
      </c>
    </row>
    <row r="16" spans="1:63">
      <c r="A16" s="80">
        <f t="shared" si="27"/>
        <v>5</v>
      </c>
      <c r="B16" s="64">
        <f>+'Taxes RCA 2022'!A9</f>
        <v>5</v>
      </c>
      <c r="C16" s="189" t="str">
        <f>+'Taxes RCA 2022'!B9</f>
        <v>Bonus de signature versés par les investisseurs miniers (+) (DGTCP (FDM))</v>
      </c>
      <c r="E16" s="165"/>
      <c r="F16" s="165">
        <f>SUMIF($A$84:$A$752,B16&amp;"- "&amp;C16,$G$84:$G$752)</f>
        <v>0</v>
      </c>
      <c r="G16" s="165">
        <f>E16+F16</f>
        <v>0</v>
      </c>
      <c r="H16" s="114"/>
      <c r="I16" s="165"/>
      <c r="J16" s="165">
        <f ca="1">SUMIF($J$84:$M$749,B16&amp;"- "&amp;C16,$Q$84:$Q$749)</f>
        <v>0</v>
      </c>
      <c r="K16" s="165">
        <f ca="1">I16+J16</f>
        <v>0</v>
      </c>
      <c r="L16" s="114"/>
      <c r="M16" s="165">
        <f ca="1">+G16-K16</f>
        <v>0</v>
      </c>
      <c r="N16" s="68"/>
      <c r="O16" s="38" t="str">
        <f t="shared" ref="O16:O71" ca="1" si="42">IF(M16=0,"",IF(N16=0,"ERROR",""))</f>
        <v/>
      </c>
      <c r="P16" s="39" t="str">
        <f t="shared" ref="P16:P35" ca="1" si="43">IF(O16="ERROR","Please insert comment","")</f>
        <v/>
      </c>
      <c r="Q16" s="35"/>
      <c r="U16" s="40"/>
      <c r="V16" s="22"/>
      <c r="Y16" s="15">
        <f t="shared" ref="Y16:Z31" si="44">B19</f>
        <v>7</v>
      </c>
      <c r="Z16" s="25" t="str">
        <f t="shared" si="44"/>
        <v>Contribution au développement social (CDS)</v>
      </c>
      <c r="AA16" s="16">
        <f t="shared" si="34"/>
        <v>0</v>
      </c>
      <c r="AB16" s="16">
        <f t="shared" si="34"/>
        <v>0</v>
      </c>
      <c r="AC16" s="16">
        <f t="shared" si="34"/>
        <v>0</v>
      </c>
      <c r="AD16" s="16">
        <f t="shared" si="34"/>
        <v>0</v>
      </c>
      <c r="AE16" s="16">
        <f t="shared" si="34"/>
        <v>0</v>
      </c>
      <c r="AF16" s="16">
        <f t="shared" si="34"/>
        <v>0</v>
      </c>
      <c r="AG16" s="16">
        <f t="shared" si="34"/>
        <v>0</v>
      </c>
      <c r="AH16" s="16">
        <f t="shared" si="34"/>
        <v>0</v>
      </c>
      <c r="AI16" s="16">
        <f t="shared" si="34"/>
        <v>0</v>
      </c>
      <c r="AJ16" s="16">
        <f t="shared" si="35"/>
        <v>0</v>
      </c>
      <c r="AL16" s="17">
        <f t="shared" ref="AL16:AM31" si="45">+B19</f>
        <v>7</v>
      </c>
      <c r="AM16" s="26" t="str">
        <f t="shared" si="45"/>
        <v>Contribution au développement social (CDS)</v>
      </c>
      <c r="AN16" s="18">
        <f t="shared" si="36"/>
        <v>0</v>
      </c>
      <c r="AO16" s="18">
        <f t="shared" si="36"/>
        <v>0</v>
      </c>
      <c r="AP16" s="18">
        <f t="shared" si="36"/>
        <v>0</v>
      </c>
      <c r="AQ16" s="18">
        <f t="shared" si="36"/>
        <v>0</v>
      </c>
      <c r="AR16" s="18">
        <f t="shared" si="36"/>
        <v>0</v>
      </c>
      <c r="AS16" s="18">
        <f t="shared" si="36"/>
        <v>0</v>
      </c>
      <c r="AT16" s="18">
        <f t="shared" si="36"/>
        <v>0</v>
      </c>
      <c r="AU16" s="18">
        <f t="shared" si="36"/>
        <v>0</v>
      </c>
      <c r="AV16" s="18">
        <f t="shared" si="37"/>
        <v>0</v>
      </c>
      <c r="AW16" s="18"/>
      <c r="AX16" s="17">
        <f t="shared" ref="AX16:AY31" si="46">B19</f>
        <v>7</v>
      </c>
      <c r="AY16" s="26" t="str">
        <f t="shared" si="46"/>
        <v>Contribution au développement social (CDS)</v>
      </c>
      <c r="AZ16" s="18">
        <f t="shared" ca="1" si="38"/>
        <v>0</v>
      </c>
      <c r="BA16" s="18">
        <f t="shared" ca="1" si="38"/>
        <v>0</v>
      </c>
      <c r="BB16" s="18">
        <f t="shared" ca="1" si="38"/>
        <v>0</v>
      </c>
      <c r="BC16" s="18">
        <f t="shared" ca="1" si="38"/>
        <v>0</v>
      </c>
      <c r="BD16" s="18">
        <f t="shared" ca="1" si="38"/>
        <v>0</v>
      </c>
      <c r="BE16" s="18">
        <f t="shared" ca="1" si="38"/>
        <v>0</v>
      </c>
      <c r="BF16" s="18">
        <f t="shared" ca="1" si="38"/>
        <v>0</v>
      </c>
      <c r="BG16" s="18">
        <f t="shared" ca="1" si="38"/>
        <v>0</v>
      </c>
      <c r="BH16" s="18">
        <f t="shared" ca="1" si="38"/>
        <v>0</v>
      </c>
      <c r="BI16" s="18">
        <f t="shared" ca="1" si="38"/>
        <v>0</v>
      </c>
      <c r="BJ16" s="18">
        <f t="shared" ca="1" si="38"/>
        <v>0</v>
      </c>
      <c r="BK16" s="18">
        <f t="shared" ca="1" si="38"/>
        <v>815452</v>
      </c>
    </row>
    <row r="17" spans="1:63">
      <c r="A17" s="80">
        <f t="shared" si="27"/>
        <v>0</v>
      </c>
      <c r="B17" s="163"/>
      <c r="C17" s="58" t="str">
        <f>+'Taxes RCA 2022'!B10</f>
        <v>DGID</v>
      </c>
      <c r="E17" s="166">
        <f>SUM(E18:E39)</f>
        <v>138488388</v>
      </c>
      <c r="F17" s="166">
        <f t="shared" ref="F17:G17" si="47">SUM(F18:F39)</f>
        <v>0</v>
      </c>
      <c r="G17" s="166">
        <f t="shared" si="47"/>
        <v>138488388</v>
      </c>
      <c r="H17" s="114"/>
      <c r="I17" s="166">
        <f>SUM(I18:I39)</f>
        <v>126909783</v>
      </c>
      <c r="J17" s="166">
        <f t="shared" ref="J17:K17" ca="1" si="48">SUM(J18:J39)</f>
        <v>12000000</v>
      </c>
      <c r="K17" s="166">
        <f t="shared" ca="1" si="48"/>
        <v>138909783</v>
      </c>
      <c r="L17" s="114"/>
      <c r="M17" s="166">
        <f t="shared" ref="M17" ca="1" si="49">SUM(M18:M39)</f>
        <v>-421395</v>
      </c>
      <c r="N17" s="58"/>
      <c r="O17" s="38" t="str">
        <f t="shared" ca="1" si="42"/>
        <v>ERROR</v>
      </c>
      <c r="P17" s="39" t="str">
        <f t="shared" ca="1" si="43"/>
        <v>Please insert comment</v>
      </c>
      <c r="Q17" s="35"/>
      <c r="T17" s="41" t="str">
        <f>IF(F8=S12,"","ERROR")</f>
        <v/>
      </c>
      <c r="W17" s="42"/>
      <c r="Y17" s="15">
        <f t="shared" si="44"/>
        <v>8</v>
      </c>
      <c r="Z17" s="25" t="str">
        <f t="shared" si="44"/>
        <v>Droit d'enregistrement (DE)</v>
      </c>
      <c r="AA17" s="16">
        <f t="shared" si="34"/>
        <v>0</v>
      </c>
      <c r="AB17" s="16">
        <f t="shared" si="34"/>
        <v>0</v>
      </c>
      <c r="AC17" s="16">
        <f t="shared" si="34"/>
        <v>0</v>
      </c>
      <c r="AD17" s="16">
        <f t="shared" si="34"/>
        <v>0</v>
      </c>
      <c r="AE17" s="16">
        <f t="shared" si="34"/>
        <v>0</v>
      </c>
      <c r="AF17" s="16">
        <f t="shared" si="34"/>
        <v>0</v>
      </c>
      <c r="AG17" s="16">
        <f t="shared" si="34"/>
        <v>0</v>
      </c>
      <c r="AH17" s="16">
        <f t="shared" si="34"/>
        <v>0</v>
      </c>
      <c r="AI17" s="16">
        <f t="shared" si="34"/>
        <v>0</v>
      </c>
      <c r="AJ17" s="16">
        <f t="shared" si="35"/>
        <v>0</v>
      </c>
      <c r="AL17" s="17">
        <f t="shared" si="45"/>
        <v>8</v>
      </c>
      <c r="AM17" s="26" t="str">
        <f t="shared" si="45"/>
        <v>Droit d'enregistrement (DE)</v>
      </c>
      <c r="AN17" s="18">
        <f t="shared" si="36"/>
        <v>0</v>
      </c>
      <c r="AO17" s="18">
        <f t="shared" si="36"/>
        <v>0</v>
      </c>
      <c r="AP17" s="18">
        <f t="shared" si="36"/>
        <v>0</v>
      </c>
      <c r="AQ17" s="18">
        <f t="shared" si="36"/>
        <v>0</v>
      </c>
      <c r="AR17" s="18">
        <f t="shared" si="36"/>
        <v>0</v>
      </c>
      <c r="AS17" s="18">
        <f t="shared" si="36"/>
        <v>0</v>
      </c>
      <c r="AT17" s="18">
        <f t="shared" si="36"/>
        <v>0</v>
      </c>
      <c r="AU17" s="18">
        <f t="shared" si="36"/>
        <v>0</v>
      </c>
      <c r="AV17" s="18">
        <f t="shared" si="37"/>
        <v>0</v>
      </c>
      <c r="AW17" s="18"/>
      <c r="AX17" s="17">
        <f t="shared" si="46"/>
        <v>8</v>
      </c>
      <c r="AY17" s="26" t="str">
        <f t="shared" si="46"/>
        <v>Droit d'enregistrement (DE)</v>
      </c>
      <c r="AZ17" s="18">
        <f t="shared" ca="1" si="38"/>
        <v>0</v>
      </c>
      <c r="BA17" s="18">
        <f t="shared" ca="1" si="38"/>
        <v>0</v>
      </c>
      <c r="BB17" s="18">
        <f t="shared" ca="1" si="38"/>
        <v>0</v>
      </c>
      <c r="BC17" s="18">
        <f t="shared" ca="1" si="38"/>
        <v>0</v>
      </c>
      <c r="BD17" s="18">
        <f t="shared" ca="1" si="38"/>
        <v>0</v>
      </c>
      <c r="BE17" s="18">
        <f t="shared" ca="1" si="38"/>
        <v>0</v>
      </c>
      <c r="BF17" s="18">
        <f t="shared" ca="1" si="38"/>
        <v>0</v>
      </c>
      <c r="BG17" s="18">
        <f t="shared" ca="1" si="38"/>
        <v>0</v>
      </c>
      <c r="BH17" s="18">
        <f t="shared" ca="1" si="38"/>
        <v>0</v>
      </c>
      <c r="BI17" s="18">
        <f t="shared" ca="1" si="38"/>
        <v>0</v>
      </c>
      <c r="BJ17" s="18">
        <f t="shared" ca="1" si="38"/>
        <v>0</v>
      </c>
      <c r="BK17" s="18">
        <f t="shared" ca="1" si="38"/>
        <v>0</v>
      </c>
    </row>
    <row r="18" spans="1:63">
      <c r="A18" s="80"/>
      <c r="B18" s="53">
        <f>+'Taxes RCA 2022'!A11</f>
        <v>6</v>
      </c>
      <c r="C18" s="18" t="str">
        <f>+'Taxes RCA 2022'!B11</f>
        <v>Redevance à la production (+)</v>
      </c>
      <c r="E18" s="114"/>
      <c r="F18" s="114">
        <f t="shared" ref="F18:F39" si="50">SUMIF($A$84:$A$752,B18&amp;"- "&amp;C18,$G$84:$G$752)</f>
        <v>0</v>
      </c>
      <c r="G18" s="114">
        <f t="shared" ref="G18:G39" si="51">E18+F18</f>
        <v>0</v>
      </c>
      <c r="H18" s="114"/>
      <c r="I18" s="114"/>
      <c r="J18" s="114">
        <f ca="1">SUMIF($J$84:$M$749,C18,$Q$84:$Q$749)</f>
        <v>0</v>
      </c>
      <c r="K18" s="114">
        <f t="shared" ref="K18:K39" ca="1" si="52">I18+J18</f>
        <v>0</v>
      </c>
      <c r="L18" s="114"/>
      <c r="M18" s="114">
        <f t="shared" ref="M18:M39" ca="1" si="53">+G18-K18</f>
        <v>0</v>
      </c>
      <c r="N18" s="18"/>
      <c r="O18" s="38" t="str">
        <f t="shared" ca="1" si="42"/>
        <v/>
      </c>
      <c r="P18" s="39" t="str">
        <f t="shared" ca="1" si="43"/>
        <v/>
      </c>
      <c r="Q18" s="35"/>
      <c r="Y18" s="15">
        <f t="shared" si="44"/>
        <v>9</v>
      </c>
      <c r="Z18" s="25" t="str">
        <f t="shared" si="44"/>
        <v>Impôt sur les revenus des personnes physiques (IRPP)</v>
      </c>
      <c r="AA18" s="16">
        <f t="shared" si="34"/>
        <v>0</v>
      </c>
      <c r="AB18" s="16">
        <f t="shared" si="34"/>
        <v>0</v>
      </c>
      <c r="AC18" s="16">
        <f t="shared" si="34"/>
        <v>0</v>
      </c>
      <c r="AD18" s="16">
        <f t="shared" si="34"/>
        <v>0</v>
      </c>
      <c r="AE18" s="16">
        <f t="shared" si="34"/>
        <v>0</v>
      </c>
      <c r="AF18" s="16">
        <f t="shared" si="34"/>
        <v>0</v>
      </c>
      <c r="AG18" s="16">
        <f t="shared" si="34"/>
        <v>0</v>
      </c>
      <c r="AH18" s="16">
        <f t="shared" si="34"/>
        <v>0</v>
      </c>
      <c r="AI18" s="16">
        <f t="shared" si="34"/>
        <v>0</v>
      </c>
      <c r="AJ18" s="16">
        <f t="shared" si="35"/>
        <v>0</v>
      </c>
      <c r="AL18" s="17">
        <f t="shared" si="45"/>
        <v>9</v>
      </c>
      <c r="AM18" s="26" t="str">
        <f t="shared" si="45"/>
        <v>Impôt sur les revenus des personnes physiques (IRPP)</v>
      </c>
      <c r="AN18" s="18">
        <f t="shared" si="36"/>
        <v>0</v>
      </c>
      <c r="AO18" s="18">
        <f t="shared" si="36"/>
        <v>0</v>
      </c>
      <c r="AP18" s="18">
        <f t="shared" si="36"/>
        <v>0</v>
      </c>
      <c r="AQ18" s="18">
        <f t="shared" si="36"/>
        <v>0</v>
      </c>
      <c r="AR18" s="18">
        <f t="shared" si="36"/>
        <v>0</v>
      </c>
      <c r="AS18" s="18">
        <f t="shared" si="36"/>
        <v>0</v>
      </c>
      <c r="AT18" s="18">
        <f t="shared" si="36"/>
        <v>0</v>
      </c>
      <c r="AU18" s="18">
        <f t="shared" si="36"/>
        <v>0</v>
      </c>
      <c r="AV18" s="18">
        <f t="shared" si="37"/>
        <v>0</v>
      </c>
      <c r="AW18" s="18"/>
      <c r="AX18" s="17">
        <f t="shared" si="46"/>
        <v>9</v>
      </c>
      <c r="AY18" s="26" t="str">
        <f t="shared" si="46"/>
        <v>Impôt sur les revenus des personnes physiques (IRPP)</v>
      </c>
      <c r="AZ18" s="18">
        <f t="shared" ca="1" si="38"/>
        <v>0</v>
      </c>
      <c r="BA18" s="18">
        <f t="shared" ca="1" si="38"/>
        <v>0</v>
      </c>
      <c r="BB18" s="18">
        <f t="shared" ca="1" si="38"/>
        <v>0</v>
      </c>
      <c r="BC18" s="18">
        <f t="shared" ca="1" si="38"/>
        <v>0</v>
      </c>
      <c r="BD18" s="18">
        <f t="shared" ca="1" si="38"/>
        <v>0</v>
      </c>
      <c r="BE18" s="18">
        <f t="shared" ca="1" si="38"/>
        <v>0</v>
      </c>
      <c r="BF18" s="18">
        <f t="shared" ca="1" si="38"/>
        <v>0</v>
      </c>
      <c r="BG18" s="18">
        <f t="shared" ca="1" si="38"/>
        <v>0</v>
      </c>
      <c r="BH18" s="18">
        <f t="shared" ca="1" si="38"/>
        <v>0</v>
      </c>
      <c r="BI18" s="18">
        <f t="shared" ca="1" si="38"/>
        <v>0</v>
      </c>
      <c r="BJ18" s="18">
        <f t="shared" ca="1" si="38"/>
        <v>0</v>
      </c>
      <c r="BK18" s="18">
        <f t="shared" ca="1" si="38"/>
        <v>0</v>
      </c>
    </row>
    <row r="19" spans="1:63">
      <c r="A19" s="80">
        <f t="shared" si="27"/>
        <v>7</v>
      </c>
      <c r="B19" s="64">
        <f>+'Taxes RCA 2022'!A12</f>
        <v>7</v>
      </c>
      <c r="C19" s="68" t="str">
        <f>+'Taxes RCA 2022'!B12</f>
        <v>Contribution au développement social (CDS)</v>
      </c>
      <c r="E19" s="165">
        <v>3809384</v>
      </c>
      <c r="F19" s="165">
        <f t="shared" si="50"/>
        <v>0</v>
      </c>
      <c r="G19" s="165">
        <f t="shared" si="51"/>
        <v>3809384</v>
      </c>
      <c r="H19" s="114"/>
      <c r="I19" s="165">
        <v>2993932</v>
      </c>
      <c r="J19" s="165">
        <f ca="1">SUMIF($J$84:$M$749,C19,$Q$84:$Q$749)</f>
        <v>0</v>
      </c>
      <c r="K19" s="165">
        <f t="shared" ca="1" si="52"/>
        <v>2993932</v>
      </c>
      <c r="L19" s="114"/>
      <c r="M19" s="165">
        <f t="shared" ca="1" si="53"/>
        <v>815452</v>
      </c>
      <c r="N19" s="68" t="s">
        <v>229</v>
      </c>
      <c r="O19" s="38" t="str">
        <f t="shared" ca="1" si="42"/>
        <v/>
      </c>
      <c r="P19" s="39" t="str">
        <f t="shared" ca="1" si="43"/>
        <v/>
      </c>
      <c r="Q19" s="35"/>
      <c r="W19" s="41" t="str">
        <f ca="1">IF(M8=V15,"","ERROR")</f>
        <v/>
      </c>
      <c r="Y19" s="15">
        <f t="shared" si="44"/>
        <v>10</v>
      </c>
      <c r="Z19" s="25" t="str">
        <f t="shared" si="44"/>
        <v>Impôt sur les sociétés (IS)</v>
      </c>
      <c r="AA19" s="16">
        <f t="shared" si="34"/>
        <v>0</v>
      </c>
      <c r="AB19" s="16">
        <f t="shared" si="34"/>
        <v>0</v>
      </c>
      <c r="AC19" s="16">
        <f t="shared" si="34"/>
        <v>0</v>
      </c>
      <c r="AD19" s="16">
        <f t="shared" si="34"/>
        <v>0</v>
      </c>
      <c r="AE19" s="16">
        <f t="shared" si="34"/>
        <v>0</v>
      </c>
      <c r="AF19" s="16">
        <f t="shared" si="34"/>
        <v>0</v>
      </c>
      <c r="AG19" s="16">
        <f t="shared" si="34"/>
        <v>0</v>
      </c>
      <c r="AH19" s="16">
        <f t="shared" si="34"/>
        <v>0</v>
      </c>
      <c r="AI19" s="16">
        <f t="shared" si="34"/>
        <v>0</v>
      </c>
      <c r="AJ19" s="16">
        <f t="shared" si="35"/>
        <v>0</v>
      </c>
      <c r="AL19" s="17">
        <f t="shared" si="45"/>
        <v>10</v>
      </c>
      <c r="AM19" s="26" t="str">
        <f t="shared" si="45"/>
        <v>Impôt sur les sociétés (IS)</v>
      </c>
      <c r="AN19" s="18">
        <f t="shared" si="36"/>
        <v>0</v>
      </c>
      <c r="AO19" s="18">
        <f t="shared" si="36"/>
        <v>0</v>
      </c>
      <c r="AP19" s="18">
        <f t="shared" si="36"/>
        <v>0</v>
      </c>
      <c r="AQ19" s="18">
        <f t="shared" si="36"/>
        <v>0</v>
      </c>
      <c r="AR19" s="18">
        <f t="shared" si="36"/>
        <v>0</v>
      </c>
      <c r="AS19" s="18">
        <f t="shared" si="36"/>
        <v>0</v>
      </c>
      <c r="AT19" s="18">
        <f t="shared" si="36"/>
        <v>0</v>
      </c>
      <c r="AU19" s="18">
        <f t="shared" si="36"/>
        <v>0</v>
      </c>
      <c r="AV19" s="18">
        <f t="shared" si="37"/>
        <v>0</v>
      </c>
      <c r="AW19" s="18"/>
      <c r="AX19" s="17">
        <f t="shared" si="46"/>
        <v>10</v>
      </c>
      <c r="AY19" s="26" t="str">
        <f t="shared" si="46"/>
        <v>Impôt sur les sociétés (IS)</v>
      </c>
      <c r="AZ19" s="18">
        <f t="shared" ca="1" si="38"/>
        <v>0</v>
      </c>
      <c r="BA19" s="18">
        <f t="shared" ca="1" si="38"/>
        <v>0</v>
      </c>
      <c r="BB19" s="18">
        <f t="shared" ca="1" si="38"/>
        <v>0</v>
      </c>
      <c r="BC19" s="18">
        <f t="shared" ca="1" si="38"/>
        <v>0</v>
      </c>
      <c r="BD19" s="18">
        <f t="shared" ca="1" si="38"/>
        <v>0</v>
      </c>
      <c r="BE19" s="18">
        <f t="shared" ca="1" si="38"/>
        <v>0</v>
      </c>
      <c r="BF19" s="18">
        <f t="shared" ca="1" si="38"/>
        <v>0</v>
      </c>
      <c r="BG19" s="18">
        <f t="shared" ca="1" si="38"/>
        <v>0</v>
      </c>
      <c r="BH19" s="18">
        <f t="shared" ca="1" si="38"/>
        <v>0</v>
      </c>
      <c r="BI19" s="18">
        <f t="shared" ca="1" si="38"/>
        <v>0</v>
      </c>
      <c r="BJ19" s="18">
        <f t="shared" ca="1" si="38"/>
        <v>0</v>
      </c>
      <c r="BK19" s="18">
        <f t="shared" ca="1" si="38"/>
        <v>0</v>
      </c>
    </row>
    <row r="20" spans="1:63">
      <c r="A20" s="80">
        <f t="shared" si="27"/>
        <v>8</v>
      </c>
      <c r="B20" s="53">
        <f>+'Taxes RCA 2022'!A13</f>
        <v>8</v>
      </c>
      <c r="C20" s="18" t="str">
        <f>+'Taxes RCA 2022'!B13</f>
        <v>Droit d'enregistrement (DE)</v>
      </c>
      <c r="E20" s="114">
        <v>1440000</v>
      </c>
      <c r="F20" s="114">
        <f t="shared" si="50"/>
        <v>0</v>
      </c>
      <c r="G20" s="114">
        <f t="shared" si="51"/>
        <v>1440000</v>
      </c>
      <c r="H20" s="114"/>
      <c r="I20" s="114">
        <v>1440000</v>
      </c>
      <c r="J20" s="114">
        <f ca="1">SUMIF($J$84:$M$749,C20,$Q$84:$Q$749)</f>
        <v>0</v>
      </c>
      <c r="K20" s="114">
        <f t="shared" ca="1" si="52"/>
        <v>1440000</v>
      </c>
      <c r="L20" s="114"/>
      <c r="M20" s="114">
        <f t="shared" ca="1" si="53"/>
        <v>0</v>
      </c>
      <c r="N20" s="18"/>
      <c r="O20" s="38" t="str">
        <f t="shared" ca="1" si="42"/>
        <v/>
      </c>
      <c r="P20" s="39" t="str">
        <f t="shared" ca="1" si="43"/>
        <v/>
      </c>
      <c r="Q20" s="35"/>
      <c r="S20" s="18"/>
      <c r="Y20" s="15">
        <f t="shared" si="44"/>
        <v>11</v>
      </c>
      <c r="Z20" s="25" t="str">
        <f t="shared" si="44"/>
        <v>Loyer annuel</v>
      </c>
      <c r="AA20" s="16">
        <f t="shared" si="34"/>
        <v>0</v>
      </c>
      <c r="AB20" s="16">
        <f t="shared" si="34"/>
        <v>0</v>
      </c>
      <c r="AC20" s="16">
        <f t="shared" si="34"/>
        <v>0</v>
      </c>
      <c r="AD20" s="16">
        <f t="shared" si="34"/>
        <v>0</v>
      </c>
      <c r="AE20" s="16">
        <f t="shared" si="34"/>
        <v>0</v>
      </c>
      <c r="AF20" s="16">
        <f t="shared" si="34"/>
        <v>0</v>
      </c>
      <c r="AG20" s="16">
        <f t="shared" si="34"/>
        <v>0</v>
      </c>
      <c r="AH20" s="16">
        <f t="shared" si="34"/>
        <v>0</v>
      </c>
      <c r="AI20" s="16">
        <f t="shared" si="34"/>
        <v>0</v>
      </c>
      <c r="AJ20" s="16">
        <f t="shared" si="35"/>
        <v>0</v>
      </c>
      <c r="AL20" s="17">
        <f t="shared" si="45"/>
        <v>11</v>
      </c>
      <c r="AM20" s="26" t="str">
        <f t="shared" si="45"/>
        <v>Loyer annuel</v>
      </c>
      <c r="AN20" s="18">
        <f t="shared" si="36"/>
        <v>0</v>
      </c>
      <c r="AO20" s="18">
        <f t="shared" si="36"/>
        <v>0</v>
      </c>
      <c r="AP20" s="18">
        <f t="shared" si="36"/>
        <v>0</v>
      </c>
      <c r="AQ20" s="18">
        <f t="shared" si="36"/>
        <v>0</v>
      </c>
      <c r="AR20" s="18">
        <f t="shared" si="36"/>
        <v>0</v>
      </c>
      <c r="AS20" s="18">
        <f t="shared" si="36"/>
        <v>0</v>
      </c>
      <c r="AT20" s="18">
        <f t="shared" si="36"/>
        <v>0</v>
      </c>
      <c r="AU20" s="18">
        <f t="shared" si="36"/>
        <v>0</v>
      </c>
      <c r="AV20" s="18">
        <f t="shared" si="37"/>
        <v>0</v>
      </c>
      <c r="AW20" s="18"/>
      <c r="AX20" s="17">
        <f t="shared" si="46"/>
        <v>11</v>
      </c>
      <c r="AY20" s="26" t="str">
        <f t="shared" si="46"/>
        <v>Loyer annuel</v>
      </c>
      <c r="AZ20" s="18">
        <f t="shared" ca="1" si="38"/>
        <v>0</v>
      </c>
      <c r="BA20" s="18">
        <f t="shared" ca="1" si="38"/>
        <v>0</v>
      </c>
      <c r="BB20" s="18">
        <f t="shared" ca="1" si="38"/>
        <v>0</v>
      </c>
      <c r="BC20" s="18">
        <f t="shared" ca="1" si="38"/>
        <v>0</v>
      </c>
      <c r="BD20" s="18">
        <f t="shared" ca="1" si="38"/>
        <v>0</v>
      </c>
      <c r="BE20" s="18">
        <f t="shared" ca="1" si="38"/>
        <v>0</v>
      </c>
      <c r="BF20" s="18">
        <f t="shared" ca="1" si="38"/>
        <v>0</v>
      </c>
      <c r="BG20" s="18">
        <f t="shared" ca="1" si="38"/>
        <v>0</v>
      </c>
      <c r="BH20" s="18">
        <f t="shared" ca="1" si="38"/>
        <v>0</v>
      </c>
      <c r="BI20" s="18">
        <f t="shared" ca="1" si="38"/>
        <v>0</v>
      </c>
      <c r="BJ20" s="18">
        <f t="shared" ca="1" si="38"/>
        <v>0</v>
      </c>
      <c r="BK20" s="18">
        <f t="shared" ca="1" si="38"/>
        <v>0</v>
      </c>
    </row>
    <row r="21" spans="1:63">
      <c r="A21" s="80">
        <f t="shared" si="27"/>
        <v>9</v>
      </c>
      <c r="B21" s="64">
        <f>+'Taxes RCA 2022'!A14</f>
        <v>9</v>
      </c>
      <c r="C21" s="68" t="str">
        <f>+'Taxes RCA 2022'!B14</f>
        <v>Impôt sur les revenus des personnes physiques (IRPP)</v>
      </c>
      <c r="E21" s="165">
        <v>3987816</v>
      </c>
      <c r="F21" s="165">
        <f t="shared" si="50"/>
        <v>0</v>
      </c>
      <c r="G21" s="165">
        <f t="shared" si="51"/>
        <v>3987816</v>
      </c>
      <c r="H21" s="114"/>
      <c r="I21" s="165">
        <v>3987816</v>
      </c>
      <c r="J21" s="165">
        <f ca="1">SUMIF($J$84:$M$749,B21&amp;"- "&amp;C21,$Q$84:$Q$749)</f>
        <v>0</v>
      </c>
      <c r="K21" s="165">
        <f t="shared" ca="1" si="52"/>
        <v>3987816</v>
      </c>
      <c r="L21" s="114"/>
      <c r="M21" s="165">
        <f t="shared" ca="1" si="53"/>
        <v>0</v>
      </c>
      <c r="N21" s="68"/>
      <c r="O21" s="38" t="str">
        <f t="shared" ca="1" si="42"/>
        <v/>
      </c>
      <c r="P21" s="39" t="str">
        <f t="shared" ca="1" si="43"/>
        <v/>
      </c>
      <c r="Q21" s="35"/>
      <c r="V21" s="18"/>
      <c r="Y21" s="15">
        <f t="shared" si="44"/>
        <v>12</v>
      </c>
      <c r="Z21" s="25" t="str">
        <f t="shared" si="44"/>
        <v>Patente</v>
      </c>
      <c r="AA21" s="16">
        <f t="shared" si="34"/>
        <v>0</v>
      </c>
      <c r="AB21" s="16">
        <f t="shared" si="34"/>
        <v>0</v>
      </c>
      <c r="AC21" s="16">
        <f t="shared" si="34"/>
        <v>0</v>
      </c>
      <c r="AD21" s="16">
        <f t="shared" si="34"/>
        <v>0</v>
      </c>
      <c r="AE21" s="16">
        <f t="shared" si="34"/>
        <v>0</v>
      </c>
      <c r="AF21" s="16">
        <f t="shared" si="34"/>
        <v>0</v>
      </c>
      <c r="AG21" s="16">
        <f t="shared" si="34"/>
        <v>0</v>
      </c>
      <c r="AH21" s="16">
        <f t="shared" si="34"/>
        <v>0</v>
      </c>
      <c r="AI21" s="16">
        <f t="shared" si="34"/>
        <v>0</v>
      </c>
      <c r="AJ21" s="16">
        <f t="shared" si="35"/>
        <v>0</v>
      </c>
      <c r="AL21" s="17">
        <f t="shared" si="45"/>
        <v>12</v>
      </c>
      <c r="AM21" s="26" t="str">
        <f t="shared" si="45"/>
        <v>Patente</v>
      </c>
      <c r="AN21" s="18">
        <f t="shared" si="36"/>
        <v>0</v>
      </c>
      <c r="AO21" s="18">
        <f t="shared" si="36"/>
        <v>0</v>
      </c>
      <c r="AP21" s="18">
        <f t="shared" si="36"/>
        <v>0</v>
      </c>
      <c r="AQ21" s="18">
        <f t="shared" si="36"/>
        <v>0</v>
      </c>
      <c r="AR21" s="18">
        <f t="shared" si="36"/>
        <v>0</v>
      </c>
      <c r="AS21" s="18">
        <f t="shared" si="36"/>
        <v>0</v>
      </c>
      <c r="AT21" s="18">
        <f t="shared" si="36"/>
        <v>0</v>
      </c>
      <c r="AU21" s="18">
        <f t="shared" si="36"/>
        <v>0</v>
      </c>
      <c r="AV21" s="18">
        <f t="shared" si="37"/>
        <v>0</v>
      </c>
      <c r="AW21" s="18"/>
      <c r="AX21" s="17">
        <f t="shared" si="46"/>
        <v>12</v>
      </c>
      <c r="AY21" s="26" t="str">
        <f t="shared" si="46"/>
        <v>Patente</v>
      </c>
      <c r="AZ21" s="18">
        <f t="shared" ca="1" si="38"/>
        <v>0</v>
      </c>
      <c r="BA21" s="18">
        <f t="shared" ca="1" si="38"/>
        <v>0</v>
      </c>
      <c r="BB21" s="18">
        <f t="shared" ca="1" si="38"/>
        <v>0</v>
      </c>
      <c r="BC21" s="18">
        <f t="shared" ca="1" si="38"/>
        <v>0</v>
      </c>
      <c r="BD21" s="18">
        <f t="shared" ca="1" si="38"/>
        <v>0</v>
      </c>
      <c r="BE21" s="18">
        <f t="shared" ca="1" si="38"/>
        <v>0</v>
      </c>
      <c r="BF21" s="18">
        <f t="shared" ca="1" si="38"/>
        <v>0</v>
      </c>
      <c r="BG21" s="18">
        <f t="shared" ca="1" si="38"/>
        <v>0</v>
      </c>
      <c r="BH21" s="18">
        <f t="shared" ca="1" si="38"/>
        <v>0</v>
      </c>
      <c r="BI21" s="18">
        <f t="shared" ca="1" si="38"/>
        <v>0</v>
      </c>
      <c r="BJ21" s="18">
        <f t="shared" ca="1" si="38"/>
        <v>0</v>
      </c>
      <c r="BK21" s="18">
        <f t="shared" ca="1" si="38"/>
        <v>0</v>
      </c>
    </row>
    <row r="22" spans="1:63">
      <c r="A22" s="80">
        <f t="shared" si="27"/>
        <v>10</v>
      </c>
      <c r="B22" s="53">
        <f>+'Taxes RCA 2022'!A15</f>
        <v>10</v>
      </c>
      <c r="C22" s="18" t="str">
        <f>+'Taxes RCA 2022'!B15</f>
        <v>Impôt sur les sociétés (IS)</v>
      </c>
      <c r="E22" s="114"/>
      <c r="F22" s="114">
        <f t="shared" si="50"/>
        <v>0</v>
      </c>
      <c r="G22" s="114">
        <f t="shared" si="51"/>
        <v>0</v>
      </c>
      <c r="H22" s="114"/>
      <c r="I22" s="114"/>
      <c r="J22" s="114">
        <f ca="1">SUMIF($J$84:$M$749,B22&amp;"- "&amp;C22,$Q$84:$Q$749)</f>
        <v>0</v>
      </c>
      <c r="K22" s="114">
        <f t="shared" ca="1" si="52"/>
        <v>0</v>
      </c>
      <c r="L22" s="114"/>
      <c r="M22" s="114">
        <f t="shared" ca="1" si="53"/>
        <v>0</v>
      </c>
      <c r="N22" s="18"/>
      <c r="O22" s="38" t="str">
        <f t="shared" ca="1" si="42"/>
        <v/>
      </c>
      <c r="P22" s="39" t="str">
        <f t="shared" ca="1" si="43"/>
        <v/>
      </c>
      <c r="Q22" s="35"/>
      <c r="Y22" s="28"/>
      <c r="Z22" s="28" t="str">
        <f t="shared" si="44"/>
        <v xml:space="preserve">Taxe d'abattage  </v>
      </c>
      <c r="AA22" s="29">
        <f>SUM(AA23:AA32)</f>
        <v>0</v>
      </c>
      <c r="AB22" s="29">
        <f t="shared" ref="AB22:AJ22" si="54">SUM(AB23:AB32)</f>
        <v>0</v>
      </c>
      <c r="AC22" s="29">
        <f t="shared" si="54"/>
        <v>0</v>
      </c>
      <c r="AD22" s="29">
        <f t="shared" si="54"/>
        <v>0</v>
      </c>
      <c r="AE22" s="29">
        <f t="shared" si="54"/>
        <v>0</v>
      </c>
      <c r="AF22" s="29">
        <f t="shared" si="54"/>
        <v>0</v>
      </c>
      <c r="AG22" s="29">
        <f t="shared" si="54"/>
        <v>0</v>
      </c>
      <c r="AH22" s="29">
        <f t="shared" si="54"/>
        <v>0</v>
      </c>
      <c r="AI22" s="29">
        <f t="shared" si="54"/>
        <v>0</v>
      </c>
      <c r="AJ22" s="29">
        <f t="shared" si="54"/>
        <v>0</v>
      </c>
      <c r="AL22" s="28"/>
      <c r="AM22" s="28" t="str">
        <f t="shared" si="45"/>
        <v xml:space="preserve">Taxe d'abattage  </v>
      </c>
      <c r="AN22" s="29">
        <f>SUM(AN23:AN32)</f>
        <v>0</v>
      </c>
      <c r="AO22" s="29">
        <f t="shared" ref="AO22:AV22" si="55">SUM(AO23:AO32)</f>
        <v>0</v>
      </c>
      <c r="AP22" s="29">
        <f t="shared" si="55"/>
        <v>0</v>
      </c>
      <c r="AQ22" s="29">
        <f t="shared" si="55"/>
        <v>0</v>
      </c>
      <c r="AR22" s="29">
        <f t="shared" si="55"/>
        <v>0</v>
      </c>
      <c r="AS22" s="29">
        <f t="shared" si="55"/>
        <v>0</v>
      </c>
      <c r="AT22" s="29">
        <f t="shared" si="55"/>
        <v>0</v>
      </c>
      <c r="AU22" s="29">
        <f t="shared" si="55"/>
        <v>0</v>
      </c>
      <c r="AV22" s="29">
        <f t="shared" si="55"/>
        <v>0</v>
      </c>
      <c r="AW22" s="38"/>
      <c r="AX22" s="28"/>
      <c r="AY22" s="28" t="str">
        <f t="shared" si="46"/>
        <v xml:space="preserve">Taxe d'abattage  </v>
      </c>
      <c r="AZ22" s="29">
        <f t="shared" ref="AZ22:BK22" ca="1" si="56">SUM(AZ23:AZ32)</f>
        <v>0</v>
      </c>
      <c r="BA22" s="29">
        <f t="shared" ca="1" si="56"/>
        <v>0</v>
      </c>
      <c r="BB22" s="29">
        <f t="shared" ca="1" si="56"/>
        <v>0</v>
      </c>
      <c r="BC22" s="29">
        <f t="shared" ca="1" si="56"/>
        <v>0</v>
      </c>
      <c r="BD22" s="29">
        <f t="shared" ca="1" si="56"/>
        <v>-1236846</v>
      </c>
      <c r="BE22" s="29">
        <f t="shared" ca="1" si="56"/>
        <v>0</v>
      </c>
      <c r="BF22" s="29">
        <f t="shared" ca="1" si="56"/>
        <v>0</v>
      </c>
      <c r="BG22" s="29">
        <f t="shared" ca="1" si="56"/>
        <v>0</v>
      </c>
      <c r="BH22" s="29">
        <f t="shared" ca="1" si="56"/>
        <v>0</v>
      </c>
      <c r="BI22" s="29">
        <f t="shared" ca="1" si="56"/>
        <v>0</v>
      </c>
      <c r="BJ22" s="29">
        <f t="shared" ca="1" si="56"/>
        <v>0</v>
      </c>
      <c r="BK22" s="29">
        <f t="shared" ca="1" si="56"/>
        <v>-1</v>
      </c>
    </row>
    <row r="23" spans="1:63">
      <c r="A23" s="80">
        <f t="shared" si="27"/>
        <v>11</v>
      </c>
      <c r="B23" s="64">
        <f>+'Taxes RCA 2022'!A16</f>
        <v>11</v>
      </c>
      <c r="C23" s="68" t="str">
        <f>+'Taxes RCA 2022'!B16</f>
        <v>Loyer annuel</v>
      </c>
      <c r="E23" s="165">
        <v>12000000</v>
      </c>
      <c r="F23" s="165">
        <f t="shared" si="50"/>
        <v>0</v>
      </c>
      <c r="G23" s="165">
        <f t="shared" si="51"/>
        <v>12000000</v>
      </c>
      <c r="H23" s="114"/>
      <c r="I23" s="165"/>
      <c r="J23" s="165">
        <f ca="1">SUMIF($J$84:$M$749,C23,$Q$84:$Q$749)</f>
        <v>12000000</v>
      </c>
      <c r="K23" s="165">
        <f t="shared" ca="1" si="52"/>
        <v>12000000</v>
      </c>
      <c r="L23" s="114"/>
      <c r="M23" s="165">
        <f t="shared" ca="1" si="53"/>
        <v>0</v>
      </c>
      <c r="N23" s="68"/>
      <c r="O23" s="38" t="str">
        <f t="shared" ca="1" si="42"/>
        <v/>
      </c>
      <c r="P23" s="39" t="str">
        <f t="shared" ca="1" si="43"/>
        <v/>
      </c>
      <c r="Q23" s="35"/>
      <c r="Y23" s="15">
        <f t="shared" ref="Y23:Z38" si="57">B26</f>
        <v>14</v>
      </c>
      <c r="Z23" s="25" t="str">
        <f t="shared" si="44"/>
        <v xml:space="preserve">Taxe de reboisement  </v>
      </c>
      <c r="AA23" s="16">
        <f t="shared" ref="AA23:AI32" si="58">SUMPRODUCT(($A$84:$A$752=$Y23&amp;"- "&amp;$Z23)*($C$84:$C$752=AA$1)*($G$84:$G$752))</f>
        <v>0</v>
      </c>
      <c r="AB23" s="16">
        <f t="shared" si="58"/>
        <v>0</v>
      </c>
      <c r="AC23" s="16">
        <f t="shared" si="58"/>
        <v>0</v>
      </c>
      <c r="AD23" s="16">
        <f t="shared" si="58"/>
        <v>0</v>
      </c>
      <c r="AE23" s="16">
        <f t="shared" si="58"/>
        <v>0</v>
      </c>
      <c r="AF23" s="16">
        <f t="shared" si="58"/>
        <v>0</v>
      </c>
      <c r="AG23" s="16">
        <f t="shared" si="58"/>
        <v>0</v>
      </c>
      <c r="AH23" s="16">
        <f t="shared" si="58"/>
        <v>0</v>
      </c>
      <c r="AI23" s="16">
        <f t="shared" si="58"/>
        <v>0</v>
      </c>
      <c r="AJ23" s="16">
        <f t="shared" ref="AJ23:AJ28" si="59">SUM(AA23:AI23)</f>
        <v>0</v>
      </c>
      <c r="AL23" s="17">
        <f t="shared" ref="AL23:AM38" si="60">+B26</f>
        <v>14</v>
      </c>
      <c r="AM23" s="26" t="str">
        <f t="shared" si="45"/>
        <v xml:space="preserve">Taxe de reboisement  </v>
      </c>
      <c r="AN23" s="18">
        <f t="shared" ref="AN23:AU32" si="61">SUMPRODUCT(($J$84:$M$748=$AL23&amp;"- "&amp;$AM23)*($N$84:$N$748=AN$1)*($Q$84:$Q$748))</f>
        <v>0</v>
      </c>
      <c r="AO23" s="18">
        <f t="shared" si="61"/>
        <v>0</v>
      </c>
      <c r="AP23" s="18">
        <f t="shared" si="61"/>
        <v>0</v>
      </c>
      <c r="AQ23" s="18">
        <f t="shared" si="61"/>
        <v>0</v>
      </c>
      <c r="AR23" s="18">
        <f t="shared" si="61"/>
        <v>0</v>
      </c>
      <c r="AS23" s="18">
        <f t="shared" si="61"/>
        <v>0</v>
      </c>
      <c r="AT23" s="18">
        <f t="shared" si="61"/>
        <v>0</v>
      </c>
      <c r="AU23" s="18">
        <f t="shared" si="61"/>
        <v>0</v>
      </c>
      <c r="AV23" s="18">
        <f t="shared" ref="AV23:AV28" si="62">SUM(AN23:AU23)</f>
        <v>0</v>
      </c>
      <c r="AW23" s="18"/>
      <c r="AX23" s="17">
        <f t="shared" ref="AX23:AY38" si="63">B26</f>
        <v>14</v>
      </c>
      <c r="AY23" s="26" t="str">
        <f t="shared" si="46"/>
        <v xml:space="preserve">Taxe de reboisement  </v>
      </c>
      <c r="AZ23" s="18">
        <f t="shared" ref="AZ23:BK32" ca="1" si="64">SUMPRODUCT(($C$10:$C$75=$AY23)*($N$10:$N$75=AZ$1)*($M$10:$M$75))</f>
        <v>0</v>
      </c>
      <c r="BA23" s="18">
        <f t="shared" ca="1" si="64"/>
        <v>0</v>
      </c>
      <c r="BB23" s="18">
        <f t="shared" ca="1" si="64"/>
        <v>0</v>
      </c>
      <c r="BC23" s="18">
        <f t="shared" ca="1" si="64"/>
        <v>0</v>
      </c>
      <c r="BD23" s="18">
        <f t="shared" ca="1" si="64"/>
        <v>0</v>
      </c>
      <c r="BE23" s="18">
        <f t="shared" ca="1" si="64"/>
        <v>0</v>
      </c>
      <c r="BF23" s="18">
        <f t="shared" ca="1" si="64"/>
        <v>0</v>
      </c>
      <c r="BG23" s="18">
        <f t="shared" ca="1" si="64"/>
        <v>0</v>
      </c>
      <c r="BH23" s="18">
        <f t="shared" ca="1" si="64"/>
        <v>0</v>
      </c>
      <c r="BI23" s="18">
        <f t="shared" ca="1" si="64"/>
        <v>0</v>
      </c>
      <c r="BJ23" s="18">
        <f t="shared" ca="1" si="64"/>
        <v>0</v>
      </c>
      <c r="BK23" s="18">
        <f t="shared" ca="1" si="64"/>
        <v>0</v>
      </c>
    </row>
    <row r="24" spans="1:63">
      <c r="A24" s="80">
        <f t="shared" si="27"/>
        <v>12</v>
      </c>
      <c r="B24" s="53">
        <f>+'Taxes RCA 2022'!A17</f>
        <v>12</v>
      </c>
      <c r="C24" s="18" t="str">
        <f>+'Taxes RCA 2022'!B17</f>
        <v>Patente</v>
      </c>
      <c r="E24" s="114">
        <v>25861360</v>
      </c>
      <c r="F24" s="114">
        <f t="shared" si="50"/>
        <v>0</v>
      </c>
      <c r="G24" s="114">
        <f t="shared" si="51"/>
        <v>25861360</v>
      </c>
      <c r="H24" s="114"/>
      <c r="I24" s="114">
        <v>25861360</v>
      </c>
      <c r="J24" s="114">
        <f ca="1">SUMIF($J$84:$M$749,B24&amp;"- "&amp;C24,$Q$84:$Q$749)</f>
        <v>0</v>
      </c>
      <c r="K24" s="114">
        <f t="shared" ca="1" si="52"/>
        <v>25861360</v>
      </c>
      <c r="L24" s="114"/>
      <c r="M24" s="114">
        <f t="shared" ca="1" si="53"/>
        <v>0</v>
      </c>
      <c r="N24" s="18"/>
      <c r="O24" s="38" t="str">
        <f t="shared" ca="1" si="42"/>
        <v/>
      </c>
      <c r="P24" s="39" t="str">
        <f t="shared" ca="1" si="43"/>
        <v/>
      </c>
      <c r="Q24" s="35"/>
      <c r="R24" s="36" t="s">
        <v>17</v>
      </c>
      <c r="S24" s="37" t="s">
        <v>4</v>
      </c>
      <c r="Y24" s="15">
        <f t="shared" si="57"/>
        <v>15</v>
      </c>
      <c r="Z24" s="25" t="str">
        <f t="shared" si="44"/>
        <v>Impôt sur les fonciers bâtis (IFB)</v>
      </c>
      <c r="AA24" s="16">
        <f t="shared" si="58"/>
        <v>0</v>
      </c>
      <c r="AB24" s="16">
        <f t="shared" si="58"/>
        <v>0</v>
      </c>
      <c r="AC24" s="16">
        <f t="shared" si="58"/>
        <v>0</v>
      </c>
      <c r="AD24" s="16">
        <f t="shared" si="58"/>
        <v>0</v>
      </c>
      <c r="AE24" s="16">
        <f t="shared" si="58"/>
        <v>0</v>
      </c>
      <c r="AF24" s="16">
        <f t="shared" si="58"/>
        <v>0</v>
      </c>
      <c r="AG24" s="16">
        <f t="shared" si="58"/>
        <v>0</v>
      </c>
      <c r="AH24" s="16">
        <f t="shared" si="58"/>
        <v>0</v>
      </c>
      <c r="AI24" s="16">
        <f t="shared" si="58"/>
        <v>0</v>
      </c>
      <c r="AJ24" s="16">
        <f t="shared" si="59"/>
        <v>0</v>
      </c>
      <c r="AL24" s="17">
        <f t="shared" si="60"/>
        <v>15</v>
      </c>
      <c r="AM24" s="26" t="str">
        <f t="shared" si="45"/>
        <v>Impôt sur les fonciers bâtis (IFB)</v>
      </c>
      <c r="AN24" s="18">
        <f t="shared" si="61"/>
        <v>0</v>
      </c>
      <c r="AO24" s="18">
        <f t="shared" si="61"/>
        <v>0</v>
      </c>
      <c r="AP24" s="18">
        <f t="shared" si="61"/>
        <v>0</v>
      </c>
      <c r="AQ24" s="18">
        <f t="shared" si="61"/>
        <v>0</v>
      </c>
      <c r="AR24" s="18">
        <f t="shared" si="61"/>
        <v>0</v>
      </c>
      <c r="AS24" s="18">
        <f t="shared" si="61"/>
        <v>0</v>
      </c>
      <c r="AT24" s="18">
        <f t="shared" si="61"/>
        <v>0</v>
      </c>
      <c r="AU24" s="18">
        <f t="shared" si="61"/>
        <v>0</v>
      </c>
      <c r="AV24" s="18">
        <f t="shared" si="62"/>
        <v>0</v>
      </c>
      <c r="AW24" s="18"/>
      <c r="AX24" s="17">
        <f t="shared" si="63"/>
        <v>15</v>
      </c>
      <c r="AY24" s="26" t="str">
        <f t="shared" si="46"/>
        <v>Impôt sur les fonciers bâtis (IFB)</v>
      </c>
      <c r="AZ24" s="18">
        <f t="shared" ca="1" si="64"/>
        <v>0</v>
      </c>
      <c r="BA24" s="18">
        <f t="shared" ca="1" si="64"/>
        <v>0</v>
      </c>
      <c r="BB24" s="18">
        <f t="shared" ca="1" si="64"/>
        <v>0</v>
      </c>
      <c r="BC24" s="18">
        <f t="shared" ca="1" si="64"/>
        <v>0</v>
      </c>
      <c r="BD24" s="18">
        <f t="shared" ca="1" si="64"/>
        <v>0</v>
      </c>
      <c r="BE24" s="18">
        <f t="shared" ca="1" si="64"/>
        <v>0</v>
      </c>
      <c r="BF24" s="18">
        <f t="shared" ca="1" si="64"/>
        <v>0</v>
      </c>
      <c r="BG24" s="18">
        <f t="shared" ca="1" si="64"/>
        <v>0</v>
      </c>
      <c r="BH24" s="18">
        <f t="shared" ca="1" si="64"/>
        <v>0</v>
      </c>
      <c r="BI24" s="18">
        <f t="shared" ca="1" si="64"/>
        <v>0</v>
      </c>
      <c r="BJ24" s="18">
        <f t="shared" ca="1" si="64"/>
        <v>0</v>
      </c>
      <c r="BK24" s="18">
        <f t="shared" ca="1" si="64"/>
        <v>0</v>
      </c>
    </row>
    <row r="25" spans="1:63">
      <c r="A25" s="80">
        <f t="shared" si="27"/>
        <v>13</v>
      </c>
      <c r="B25" s="64">
        <f>+'Taxes RCA 2022'!A18</f>
        <v>13</v>
      </c>
      <c r="C25" s="68" t="str">
        <f>+'Taxes RCA 2022'!B18</f>
        <v xml:space="preserve">Taxe d'abattage  </v>
      </c>
      <c r="E25" s="165"/>
      <c r="F25" s="165">
        <f t="shared" si="50"/>
        <v>0</v>
      </c>
      <c r="G25" s="165">
        <f t="shared" si="51"/>
        <v>0</v>
      </c>
      <c r="H25" s="114"/>
      <c r="I25" s="165"/>
      <c r="J25" s="165">
        <f ca="1">SUMIF($J$84:$M$749,C25,$Q$84:$Q$749)</f>
        <v>0</v>
      </c>
      <c r="K25" s="165">
        <f t="shared" ca="1" si="52"/>
        <v>0</v>
      </c>
      <c r="L25" s="114"/>
      <c r="M25" s="165">
        <f t="shared" ca="1" si="53"/>
        <v>0</v>
      </c>
      <c r="N25" s="68"/>
      <c r="O25" s="38" t="str">
        <f t="shared" ca="1" si="42"/>
        <v/>
      </c>
      <c r="P25" s="39" t="str">
        <f t="shared" ca="1" si="43"/>
        <v/>
      </c>
      <c r="Q25" s="35"/>
      <c r="R25" s="21" t="str">
        <f>Lists!A80</f>
        <v>Taxes perçues non reportées par l'Etat</v>
      </c>
      <c r="S25" s="18">
        <f t="shared" ref="S25:S32" si="65">SUMIF($N$84:$N$749,R25,$Q$84:$Q$749)</f>
        <v>0</v>
      </c>
      <c r="Y25" s="15">
        <f t="shared" si="57"/>
        <v>16</v>
      </c>
      <c r="Z25" s="25" t="str">
        <f t="shared" si="44"/>
        <v>Minimum impôt sur les sociétés (MIS)</v>
      </c>
      <c r="AA25" s="16">
        <f t="shared" si="58"/>
        <v>0</v>
      </c>
      <c r="AB25" s="16">
        <f t="shared" si="58"/>
        <v>0</v>
      </c>
      <c r="AC25" s="16">
        <f t="shared" si="58"/>
        <v>0</v>
      </c>
      <c r="AD25" s="16">
        <f t="shared" si="58"/>
        <v>0</v>
      </c>
      <c r="AE25" s="16">
        <f t="shared" si="58"/>
        <v>0</v>
      </c>
      <c r="AF25" s="16">
        <f t="shared" si="58"/>
        <v>0</v>
      </c>
      <c r="AG25" s="16">
        <f t="shared" si="58"/>
        <v>0</v>
      </c>
      <c r="AH25" s="16">
        <f t="shared" si="58"/>
        <v>0</v>
      </c>
      <c r="AI25" s="16">
        <f t="shared" si="58"/>
        <v>0</v>
      </c>
      <c r="AJ25" s="16">
        <f t="shared" si="59"/>
        <v>0</v>
      </c>
      <c r="AL25" s="17">
        <f t="shared" si="60"/>
        <v>16</v>
      </c>
      <c r="AM25" s="26" t="str">
        <f t="shared" si="45"/>
        <v>Minimum impôt sur les sociétés (MIS)</v>
      </c>
      <c r="AN25" s="18">
        <f t="shared" si="61"/>
        <v>0</v>
      </c>
      <c r="AO25" s="18">
        <f t="shared" si="61"/>
        <v>0</v>
      </c>
      <c r="AP25" s="18">
        <f t="shared" si="61"/>
        <v>0</v>
      </c>
      <c r="AQ25" s="18">
        <f t="shared" si="61"/>
        <v>0</v>
      </c>
      <c r="AR25" s="18">
        <f t="shared" si="61"/>
        <v>0</v>
      </c>
      <c r="AS25" s="18">
        <f t="shared" si="61"/>
        <v>0</v>
      </c>
      <c r="AT25" s="18">
        <f t="shared" si="61"/>
        <v>0</v>
      </c>
      <c r="AU25" s="18">
        <f t="shared" si="61"/>
        <v>0</v>
      </c>
      <c r="AV25" s="18">
        <f t="shared" si="62"/>
        <v>0</v>
      </c>
      <c r="AW25" s="18"/>
      <c r="AX25" s="17">
        <f t="shared" si="63"/>
        <v>16</v>
      </c>
      <c r="AY25" s="26" t="str">
        <f t="shared" si="46"/>
        <v>Minimum impôt sur les sociétés (MIS)</v>
      </c>
      <c r="AZ25" s="18">
        <f t="shared" ca="1" si="64"/>
        <v>0</v>
      </c>
      <c r="BA25" s="18">
        <f t="shared" ca="1" si="64"/>
        <v>0</v>
      </c>
      <c r="BB25" s="18">
        <f t="shared" ca="1" si="64"/>
        <v>0</v>
      </c>
      <c r="BC25" s="18">
        <f t="shared" ca="1" si="64"/>
        <v>0</v>
      </c>
      <c r="BD25" s="18">
        <f t="shared" ca="1" si="64"/>
        <v>0</v>
      </c>
      <c r="BE25" s="18">
        <f t="shared" ca="1" si="64"/>
        <v>0</v>
      </c>
      <c r="BF25" s="18">
        <f t="shared" ca="1" si="64"/>
        <v>0</v>
      </c>
      <c r="BG25" s="18">
        <f t="shared" ca="1" si="64"/>
        <v>0</v>
      </c>
      <c r="BH25" s="18">
        <f t="shared" ca="1" si="64"/>
        <v>0</v>
      </c>
      <c r="BI25" s="18">
        <f t="shared" ca="1" si="64"/>
        <v>0</v>
      </c>
      <c r="BJ25" s="18">
        <f t="shared" ca="1" si="64"/>
        <v>0</v>
      </c>
      <c r="BK25" s="18">
        <f t="shared" ca="1" si="64"/>
        <v>0</v>
      </c>
    </row>
    <row r="26" spans="1:63">
      <c r="A26" s="80">
        <f t="shared" si="27"/>
        <v>14</v>
      </c>
      <c r="B26" s="53">
        <f>+'Taxes RCA 2022'!A19</f>
        <v>14</v>
      </c>
      <c r="C26" s="18" t="str">
        <f>+'Taxes RCA 2022'!B19</f>
        <v xml:space="preserve">Taxe de reboisement  </v>
      </c>
      <c r="E26" s="114"/>
      <c r="F26" s="114">
        <f t="shared" si="50"/>
        <v>0</v>
      </c>
      <c r="G26" s="114">
        <f t="shared" si="51"/>
        <v>0</v>
      </c>
      <c r="H26" s="114"/>
      <c r="I26" s="114"/>
      <c r="J26" s="114">
        <f ca="1">SUMIF($J$84:$M$749,C26,$Q$84:$Q$749)</f>
        <v>0</v>
      </c>
      <c r="K26" s="114">
        <f t="shared" ca="1" si="52"/>
        <v>0</v>
      </c>
      <c r="L26" s="114"/>
      <c r="M26" s="114">
        <f t="shared" ca="1" si="53"/>
        <v>0</v>
      </c>
      <c r="N26" s="18"/>
      <c r="O26" s="38" t="str">
        <f t="shared" ca="1" si="42"/>
        <v/>
      </c>
      <c r="P26" s="39" t="str">
        <f t="shared" ca="1" si="43"/>
        <v/>
      </c>
      <c r="Q26" s="35"/>
      <c r="R26" s="21" t="str">
        <f>Lists!A81</f>
        <v>Montant doublement déclaré</v>
      </c>
      <c r="S26" s="18">
        <f t="shared" si="65"/>
        <v>0</v>
      </c>
      <c r="Y26" s="15">
        <f t="shared" si="57"/>
        <v>17</v>
      </c>
      <c r="Z26" s="25" t="str">
        <f t="shared" si="44"/>
        <v xml:space="preserve">Impôt minimum forfaitaire (IMF) </v>
      </c>
      <c r="AA26" s="16">
        <f t="shared" si="58"/>
        <v>0</v>
      </c>
      <c r="AB26" s="16">
        <f t="shared" si="58"/>
        <v>0</v>
      </c>
      <c r="AC26" s="16">
        <f t="shared" si="58"/>
        <v>0</v>
      </c>
      <c r="AD26" s="16">
        <f t="shared" si="58"/>
        <v>0</v>
      </c>
      <c r="AE26" s="16">
        <f t="shared" si="58"/>
        <v>0</v>
      </c>
      <c r="AF26" s="16">
        <f t="shared" si="58"/>
        <v>0</v>
      </c>
      <c r="AG26" s="16">
        <f t="shared" si="58"/>
        <v>0</v>
      </c>
      <c r="AH26" s="16">
        <f t="shared" si="58"/>
        <v>0</v>
      </c>
      <c r="AI26" s="16">
        <f t="shared" si="58"/>
        <v>0</v>
      </c>
      <c r="AJ26" s="16">
        <f t="shared" si="59"/>
        <v>0</v>
      </c>
      <c r="AL26" s="17">
        <f t="shared" si="60"/>
        <v>17</v>
      </c>
      <c r="AM26" s="26" t="str">
        <f t="shared" si="45"/>
        <v xml:space="preserve">Impôt minimum forfaitaire (IMF) </v>
      </c>
      <c r="AN26" s="18">
        <f t="shared" si="61"/>
        <v>0</v>
      </c>
      <c r="AO26" s="18">
        <f t="shared" si="61"/>
        <v>0</v>
      </c>
      <c r="AP26" s="18">
        <f t="shared" si="61"/>
        <v>0</v>
      </c>
      <c r="AQ26" s="18">
        <f t="shared" si="61"/>
        <v>0</v>
      </c>
      <c r="AR26" s="18">
        <f t="shared" si="61"/>
        <v>0</v>
      </c>
      <c r="AS26" s="18">
        <f t="shared" si="61"/>
        <v>0</v>
      </c>
      <c r="AT26" s="18">
        <f t="shared" si="61"/>
        <v>0</v>
      </c>
      <c r="AU26" s="18">
        <f t="shared" si="61"/>
        <v>0</v>
      </c>
      <c r="AV26" s="18">
        <f t="shared" si="62"/>
        <v>0</v>
      </c>
      <c r="AW26" s="18"/>
      <c r="AX26" s="17">
        <f t="shared" si="63"/>
        <v>17</v>
      </c>
      <c r="AY26" s="26" t="str">
        <f t="shared" si="46"/>
        <v xml:space="preserve">Impôt minimum forfaitaire (IMF) </v>
      </c>
      <c r="AZ26" s="18">
        <f t="shared" ca="1" si="64"/>
        <v>0</v>
      </c>
      <c r="BA26" s="18">
        <f t="shared" ca="1" si="64"/>
        <v>0</v>
      </c>
      <c r="BB26" s="18">
        <f t="shared" ca="1" si="64"/>
        <v>0</v>
      </c>
      <c r="BC26" s="18">
        <f t="shared" ca="1" si="64"/>
        <v>0</v>
      </c>
      <c r="BD26" s="18">
        <f t="shared" ca="1" si="64"/>
        <v>0</v>
      </c>
      <c r="BE26" s="18">
        <f t="shared" ca="1" si="64"/>
        <v>0</v>
      </c>
      <c r="BF26" s="18">
        <f t="shared" ca="1" si="64"/>
        <v>0</v>
      </c>
      <c r="BG26" s="18">
        <f t="shared" ca="1" si="64"/>
        <v>0</v>
      </c>
      <c r="BH26" s="18">
        <f t="shared" ca="1" si="64"/>
        <v>0</v>
      </c>
      <c r="BI26" s="18">
        <f t="shared" ca="1" si="64"/>
        <v>0</v>
      </c>
      <c r="BJ26" s="18">
        <f t="shared" ca="1" si="64"/>
        <v>0</v>
      </c>
      <c r="BK26" s="18">
        <f t="shared" ca="1" si="64"/>
        <v>-1</v>
      </c>
    </row>
    <row r="27" spans="1:63">
      <c r="A27" s="80">
        <f t="shared" si="27"/>
        <v>15</v>
      </c>
      <c r="B27" s="64">
        <f>+'Taxes RCA 2022'!A20</f>
        <v>15</v>
      </c>
      <c r="C27" s="68" t="str">
        <f>+'Taxes RCA 2022'!B20</f>
        <v>Impôt sur les fonciers bâtis (IFB)</v>
      </c>
      <c r="E27" s="165"/>
      <c r="F27" s="165">
        <f t="shared" si="50"/>
        <v>0</v>
      </c>
      <c r="G27" s="165">
        <f t="shared" si="51"/>
        <v>0</v>
      </c>
      <c r="H27" s="114"/>
      <c r="I27" s="165"/>
      <c r="J27" s="165">
        <f ca="1">SUMIF($J$84:$M$749,B27&amp;"- "&amp;C27,$Q$84:$Q$749)</f>
        <v>0</v>
      </c>
      <c r="K27" s="165">
        <f t="shared" ca="1" si="52"/>
        <v>0</v>
      </c>
      <c r="L27" s="114"/>
      <c r="M27" s="165">
        <f t="shared" ca="1" si="53"/>
        <v>0</v>
      </c>
      <c r="N27" s="68"/>
      <c r="O27" s="38" t="str">
        <f t="shared" ca="1" si="42"/>
        <v/>
      </c>
      <c r="P27" s="39" t="str">
        <f t="shared" ca="1" si="43"/>
        <v/>
      </c>
      <c r="Q27" s="35"/>
      <c r="R27" s="21" t="str">
        <f>Lists!A82</f>
        <v>Taxes perçues hors de la période de réconciliation</v>
      </c>
      <c r="S27" s="18">
        <f t="shared" si="65"/>
        <v>0</v>
      </c>
      <c r="Y27" s="15">
        <f t="shared" si="57"/>
        <v>18</v>
      </c>
      <c r="Z27" s="25" t="str">
        <f t="shared" si="44"/>
        <v>Précompte</v>
      </c>
      <c r="AA27" s="16">
        <f t="shared" si="58"/>
        <v>0</v>
      </c>
      <c r="AB27" s="16">
        <f t="shared" si="58"/>
        <v>0</v>
      </c>
      <c r="AC27" s="16">
        <f t="shared" si="58"/>
        <v>0</v>
      </c>
      <c r="AD27" s="16">
        <f t="shared" si="58"/>
        <v>0</v>
      </c>
      <c r="AE27" s="16">
        <f t="shared" si="58"/>
        <v>0</v>
      </c>
      <c r="AF27" s="16">
        <f t="shared" si="58"/>
        <v>0</v>
      </c>
      <c r="AG27" s="16">
        <f t="shared" si="58"/>
        <v>0</v>
      </c>
      <c r="AH27" s="16">
        <f t="shared" si="58"/>
        <v>0</v>
      </c>
      <c r="AI27" s="16">
        <f t="shared" si="58"/>
        <v>0</v>
      </c>
      <c r="AJ27" s="16">
        <f t="shared" si="59"/>
        <v>0</v>
      </c>
      <c r="AL27" s="17">
        <f t="shared" si="60"/>
        <v>18</v>
      </c>
      <c r="AM27" s="26" t="str">
        <f t="shared" si="45"/>
        <v>Précompte</v>
      </c>
      <c r="AN27" s="18">
        <f t="shared" si="61"/>
        <v>0</v>
      </c>
      <c r="AO27" s="18">
        <f t="shared" si="61"/>
        <v>0</v>
      </c>
      <c r="AP27" s="18">
        <f t="shared" si="61"/>
        <v>0</v>
      </c>
      <c r="AQ27" s="18">
        <f t="shared" si="61"/>
        <v>0</v>
      </c>
      <c r="AR27" s="18">
        <f t="shared" si="61"/>
        <v>0</v>
      </c>
      <c r="AS27" s="18">
        <f t="shared" si="61"/>
        <v>0</v>
      </c>
      <c r="AT27" s="18">
        <f t="shared" si="61"/>
        <v>0</v>
      </c>
      <c r="AU27" s="18">
        <f t="shared" si="61"/>
        <v>0</v>
      </c>
      <c r="AV27" s="18">
        <f t="shared" si="62"/>
        <v>0</v>
      </c>
      <c r="AW27" s="18"/>
      <c r="AX27" s="17">
        <f t="shared" si="63"/>
        <v>18</v>
      </c>
      <c r="AY27" s="26" t="str">
        <f t="shared" si="46"/>
        <v>Précompte</v>
      </c>
      <c r="AZ27" s="18">
        <f t="shared" ca="1" si="64"/>
        <v>0</v>
      </c>
      <c r="BA27" s="18">
        <f t="shared" ca="1" si="64"/>
        <v>0</v>
      </c>
      <c r="BB27" s="18">
        <f t="shared" ca="1" si="64"/>
        <v>0</v>
      </c>
      <c r="BC27" s="18">
        <f t="shared" ca="1" si="64"/>
        <v>0</v>
      </c>
      <c r="BD27" s="18">
        <f t="shared" ca="1" si="64"/>
        <v>-1236846</v>
      </c>
      <c r="BE27" s="18">
        <f t="shared" ca="1" si="64"/>
        <v>0</v>
      </c>
      <c r="BF27" s="18">
        <f t="shared" ca="1" si="64"/>
        <v>0</v>
      </c>
      <c r="BG27" s="18">
        <f t="shared" ca="1" si="64"/>
        <v>0</v>
      </c>
      <c r="BH27" s="18">
        <f t="shared" ca="1" si="64"/>
        <v>0</v>
      </c>
      <c r="BI27" s="18">
        <f t="shared" ca="1" si="64"/>
        <v>0</v>
      </c>
      <c r="BJ27" s="18">
        <f t="shared" ca="1" si="64"/>
        <v>0</v>
      </c>
      <c r="BK27" s="18">
        <f t="shared" ca="1" si="64"/>
        <v>0</v>
      </c>
    </row>
    <row r="28" spans="1:63">
      <c r="A28" s="80">
        <f t="shared" si="27"/>
        <v>16</v>
      </c>
      <c r="B28" s="53">
        <f>+'Taxes RCA 2022'!A21</f>
        <v>16</v>
      </c>
      <c r="C28" s="18" t="str">
        <f>+'Taxes RCA 2022'!B21</f>
        <v>Minimum impôt sur les sociétés (MIS)</v>
      </c>
      <c r="E28" s="114"/>
      <c r="F28" s="114">
        <f t="shared" si="50"/>
        <v>0</v>
      </c>
      <c r="G28" s="114">
        <f t="shared" si="51"/>
        <v>0</v>
      </c>
      <c r="H28" s="114"/>
      <c r="I28" s="114">
        <v>11314605</v>
      </c>
      <c r="J28" s="114">
        <f>+Q85</f>
        <v>-11314605</v>
      </c>
      <c r="K28" s="114">
        <f t="shared" si="52"/>
        <v>0</v>
      </c>
      <c r="L28" s="114"/>
      <c r="M28" s="114">
        <f t="shared" si="53"/>
        <v>0</v>
      </c>
      <c r="N28" s="18"/>
      <c r="O28" s="38" t="str">
        <f t="shared" si="42"/>
        <v/>
      </c>
      <c r="P28" s="39" t="str">
        <f t="shared" si="43"/>
        <v/>
      </c>
      <c r="Q28" s="35"/>
      <c r="R28" s="21" t="str">
        <f>Lists!A83</f>
        <v>Erreur de reporting (montant et détail)</v>
      </c>
      <c r="S28" s="18">
        <f t="shared" si="65"/>
        <v>0</v>
      </c>
      <c r="Y28" s="15">
        <f t="shared" si="57"/>
        <v>19</v>
      </c>
      <c r="Z28" s="25" t="str">
        <f t="shared" si="44"/>
        <v>Taxe sur la valeur ajoutée (TVA)</v>
      </c>
      <c r="AA28" s="16">
        <f t="shared" si="58"/>
        <v>0</v>
      </c>
      <c r="AB28" s="16">
        <f t="shared" si="58"/>
        <v>0</v>
      </c>
      <c r="AC28" s="16">
        <f t="shared" si="58"/>
        <v>0</v>
      </c>
      <c r="AD28" s="16">
        <f t="shared" si="58"/>
        <v>0</v>
      </c>
      <c r="AE28" s="16">
        <f t="shared" si="58"/>
        <v>0</v>
      </c>
      <c r="AF28" s="16">
        <f t="shared" si="58"/>
        <v>0</v>
      </c>
      <c r="AG28" s="16">
        <f t="shared" si="58"/>
        <v>0</v>
      </c>
      <c r="AH28" s="16">
        <f t="shared" si="58"/>
        <v>0</v>
      </c>
      <c r="AI28" s="16">
        <f t="shared" si="58"/>
        <v>0</v>
      </c>
      <c r="AJ28" s="16">
        <f t="shared" si="59"/>
        <v>0</v>
      </c>
      <c r="AL28" s="17">
        <f t="shared" si="60"/>
        <v>19</v>
      </c>
      <c r="AM28" s="26" t="str">
        <f t="shared" si="45"/>
        <v>Taxe sur la valeur ajoutée (TVA)</v>
      </c>
      <c r="AN28" s="18">
        <f t="shared" si="61"/>
        <v>0</v>
      </c>
      <c r="AO28" s="18">
        <f t="shared" si="61"/>
        <v>0</v>
      </c>
      <c r="AP28" s="18">
        <f t="shared" si="61"/>
        <v>0</v>
      </c>
      <c r="AQ28" s="18">
        <f t="shared" si="61"/>
        <v>0</v>
      </c>
      <c r="AR28" s="18">
        <f t="shared" si="61"/>
        <v>0</v>
      </c>
      <c r="AS28" s="18">
        <f t="shared" si="61"/>
        <v>0</v>
      </c>
      <c r="AT28" s="18">
        <f t="shared" si="61"/>
        <v>0</v>
      </c>
      <c r="AU28" s="18">
        <f t="shared" si="61"/>
        <v>0</v>
      </c>
      <c r="AV28" s="18">
        <f t="shared" si="62"/>
        <v>0</v>
      </c>
      <c r="AW28" s="18"/>
      <c r="AX28" s="17">
        <f t="shared" si="63"/>
        <v>19</v>
      </c>
      <c r="AY28" s="26" t="str">
        <f t="shared" si="46"/>
        <v>Taxe sur la valeur ajoutée (TVA)</v>
      </c>
      <c r="AZ28" s="18">
        <f t="shared" ca="1" si="64"/>
        <v>0</v>
      </c>
      <c r="BA28" s="18">
        <f t="shared" ca="1" si="64"/>
        <v>0</v>
      </c>
      <c r="BB28" s="18">
        <f t="shared" ca="1" si="64"/>
        <v>0</v>
      </c>
      <c r="BC28" s="18">
        <f t="shared" ca="1" si="64"/>
        <v>0</v>
      </c>
      <c r="BD28" s="18">
        <f t="shared" ca="1" si="64"/>
        <v>0</v>
      </c>
      <c r="BE28" s="18">
        <f t="shared" ca="1" si="64"/>
        <v>0</v>
      </c>
      <c r="BF28" s="18">
        <f t="shared" ca="1" si="64"/>
        <v>0</v>
      </c>
      <c r="BG28" s="18">
        <f t="shared" ca="1" si="64"/>
        <v>0</v>
      </c>
      <c r="BH28" s="18">
        <f t="shared" ca="1" si="64"/>
        <v>0</v>
      </c>
      <c r="BI28" s="18">
        <f t="shared" ca="1" si="64"/>
        <v>0</v>
      </c>
      <c r="BJ28" s="18">
        <f t="shared" ca="1" si="64"/>
        <v>0</v>
      </c>
      <c r="BK28" s="18">
        <f t="shared" ca="1" si="64"/>
        <v>0</v>
      </c>
    </row>
    <row r="29" spans="1:63">
      <c r="A29" s="80">
        <f t="shared" si="27"/>
        <v>17</v>
      </c>
      <c r="B29" s="64">
        <f>+'Taxes RCA 2022'!A22</f>
        <v>17</v>
      </c>
      <c r="C29" s="68" t="str">
        <f>+'Taxes RCA 2022'!B22</f>
        <v xml:space="preserve">Impôt minimum forfaitaire (IMF) </v>
      </c>
      <c r="E29" s="165">
        <v>88996938</v>
      </c>
      <c r="F29" s="165">
        <f t="shared" si="50"/>
        <v>0</v>
      </c>
      <c r="G29" s="165">
        <f t="shared" si="51"/>
        <v>88996938</v>
      </c>
      <c r="H29" s="114"/>
      <c r="I29" s="165">
        <v>77682334</v>
      </c>
      <c r="J29" s="165">
        <f>+Q84</f>
        <v>11314605</v>
      </c>
      <c r="K29" s="165">
        <f t="shared" si="52"/>
        <v>88996939</v>
      </c>
      <c r="L29" s="114"/>
      <c r="M29" s="165">
        <f t="shared" si="53"/>
        <v>-1</v>
      </c>
      <c r="N29" s="68" t="s">
        <v>229</v>
      </c>
      <c r="O29" s="38" t="str">
        <f t="shared" si="42"/>
        <v/>
      </c>
      <c r="P29" s="39" t="str">
        <f t="shared" si="43"/>
        <v/>
      </c>
      <c r="Q29" s="35"/>
      <c r="R29" s="21" t="str">
        <f>Lists!A84</f>
        <v>Taxe reportée par l'Etat non réellement encaissée</v>
      </c>
      <c r="S29" s="18">
        <f t="shared" si="65"/>
        <v>0</v>
      </c>
      <c r="Y29" s="15">
        <f t="shared" si="57"/>
        <v>20</v>
      </c>
      <c r="Z29" s="25" t="str">
        <f t="shared" si="44"/>
        <v>Impôt sur les revenus des loyers (IRL)</v>
      </c>
      <c r="AA29" s="16">
        <f t="shared" si="58"/>
        <v>0</v>
      </c>
      <c r="AB29" s="16">
        <f t="shared" si="58"/>
        <v>0</v>
      </c>
      <c r="AC29" s="16">
        <f t="shared" si="58"/>
        <v>0</v>
      </c>
      <c r="AD29" s="16">
        <f t="shared" si="58"/>
        <v>0</v>
      </c>
      <c r="AE29" s="16">
        <f t="shared" si="58"/>
        <v>0</v>
      </c>
      <c r="AF29" s="16">
        <f t="shared" si="58"/>
        <v>0</v>
      </c>
      <c r="AG29" s="16">
        <f t="shared" si="58"/>
        <v>0</v>
      </c>
      <c r="AH29" s="16">
        <f t="shared" si="58"/>
        <v>0</v>
      </c>
      <c r="AI29" s="16">
        <f t="shared" si="58"/>
        <v>0</v>
      </c>
      <c r="AJ29" s="16">
        <f>SUM(AA29:AI29)</f>
        <v>0</v>
      </c>
      <c r="AL29" s="17">
        <f t="shared" si="60"/>
        <v>20</v>
      </c>
      <c r="AM29" s="26" t="str">
        <f t="shared" si="45"/>
        <v>Impôt sur les revenus des loyers (IRL)</v>
      </c>
      <c r="AN29" s="18">
        <f t="shared" si="61"/>
        <v>0</v>
      </c>
      <c r="AO29" s="18">
        <f t="shared" si="61"/>
        <v>0</v>
      </c>
      <c r="AP29" s="18">
        <f t="shared" si="61"/>
        <v>0</v>
      </c>
      <c r="AQ29" s="18">
        <f t="shared" si="61"/>
        <v>0</v>
      </c>
      <c r="AR29" s="18">
        <f t="shared" si="61"/>
        <v>0</v>
      </c>
      <c r="AS29" s="18">
        <f t="shared" si="61"/>
        <v>0</v>
      </c>
      <c r="AT29" s="18">
        <f t="shared" si="61"/>
        <v>0</v>
      </c>
      <c r="AU29" s="18">
        <f t="shared" si="61"/>
        <v>0</v>
      </c>
      <c r="AV29" s="18">
        <f>SUM(AN29:AU29)</f>
        <v>0</v>
      </c>
      <c r="AW29" s="18"/>
      <c r="AX29" s="17">
        <f t="shared" si="63"/>
        <v>20</v>
      </c>
      <c r="AY29" s="26" t="str">
        <f t="shared" si="46"/>
        <v>Impôt sur les revenus des loyers (IRL)</v>
      </c>
      <c r="AZ29" s="18">
        <f t="shared" ca="1" si="64"/>
        <v>0</v>
      </c>
      <c r="BA29" s="18">
        <f t="shared" ca="1" si="64"/>
        <v>0</v>
      </c>
      <c r="BB29" s="18">
        <f t="shared" ca="1" si="64"/>
        <v>0</v>
      </c>
      <c r="BC29" s="18">
        <f t="shared" ca="1" si="64"/>
        <v>0</v>
      </c>
      <c r="BD29" s="18">
        <f t="shared" ca="1" si="64"/>
        <v>0</v>
      </c>
      <c r="BE29" s="18">
        <f t="shared" ca="1" si="64"/>
        <v>0</v>
      </c>
      <c r="BF29" s="18">
        <f t="shared" ca="1" si="64"/>
        <v>0</v>
      </c>
      <c r="BG29" s="18">
        <f t="shared" ca="1" si="64"/>
        <v>0</v>
      </c>
      <c r="BH29" s="18">
        <f t="shared" ca="1" si="64"/>
        <v>0</v>
      </c>
      <c r="BI29" s="18">
        <f t="shared" ca="1" si="64"/>
        <v>0</v>
      </c>
      <c r="BJ29" s="18">
        <f t="shared" ca="1" si="64"/>
        <v>0</v>
      </c>
      <c r="BK29" s="18">
        <f t="shared" ca="1" si="64"/>
        <v>0</v>
      </c>
    </row>
    <row r="30" spans="1:63">
      <c r="A30" s="80">
        <f t="shared" si="27"/>
        <v>18</v>
      </c>
      <c r="B30" s="53">
        <f>+'Taxes RCA 2022'!A23</f>
        <v>18</v>
      </c>
      <c r="C30" s="18" t="str">
        <f>+'Taxes RCA 2022'!B23</f>
        <v>Précompte</v>
      </c>
      <c r="E30" s="114">
        <v>2032890</v>
      </c>
      <c r="F30" s="114">
        <f t="shared" si="50"/>
        <v>0</v>
      </c>
      <c r="G30" s="114">
        <f t="shared" si="51"/>
        <v>2032890</v>
      </c>
      <c r="H30" s="114"/>
      <c r="I30" s="114">
        <v>3269736</v>
      </c>
      <c r="J30" s="114">
        <f t="shared" ref="J30:J37" ca="1" si="66">SUMIF($J$84:$M$749,B30&amp;"- "&amp;C30,$Q$84:$Q$749)</f>
        <v>0</v>
      </c>
      <c r="K30" s="114">
        <f t="shared" ca="1" si="52"/>
        <v>3269736</v>
      </c>
      <c r="L30" s="114"/>
      <c r="M30" s="114">
        <f t="shared" ca="1" si="53"/>
        <v>-1236846</v>
      </c>
      <c r="N30" s="18" t="s">
        <v>85</v>
      </c>
      <c r="O30" s="38" t="str">
        <f t="shared" ca="1" si="42"/>
        <v/>
      </c>
      <c r="P30" s="39" t="str">
        <f t="shared" ca="1" si="43"/>
        <v/>
      </c>
      <c r="Q30" s="35"/>
      <c r="R30" s="21" t="str">
        <f>Lists!A85</f>
        <v>Erreur de classification</v>
      </c>
      <c r="S30" s="18">
        <f t="shared" si="65"/>
        <v>0</v>
      </c>
      <c r="Y30" s="15">
        <f t="shared" si="57"/>
        <v>21</v>
      </c>
      <c r="Z30" s="25" t="str">
        <f t="shared" si="44"/>
        <v>Droits fixes (sur l'octroi, renouvellement, transfert) (+)</v>
      </c>
      <c r="AA30" s="16">
        <f t="shared" si="58"/>
        <v>0</v>
      </c>
      <c r="AB30" s="16">
        <f t="shared" si="58"/>
        <v>0</v>
      </c>
      <c r="AC30" s="16">
        <f t="shared" si="58"/>
        <v>0</v>
      </c>
      <c r="AD30" s="16">
        <f t="shared" si="58"/>
        <v>0</v>
      </c>
      <c r="AE30" s="16">
        <f t="shared" si="58"/>
        <v>0</v>
      </c>
      <c r="AF30" s="16">
        <f t="shared" si="58"/>
        <v>0</v>
      </c>
      <c r="AG30" s="16">
        <f t="shared" si="58"/>
        <v>0</v>
      </c>
      <c r="AH30" s="16">
        <f t="shared" si="58"/>
        <v>0</v>
      </c>
      <c r="AI30" s="16">
        <f t="shared" si="58"/>
        <v>0</v>
      </c>
      <c r="AJ30" s="16">
        <f>SUM(AA30:AI30)</f>
        <v>0</v>
      </c>
      <c r="AL30" s="17">
        <f t="shared" si="60"/>
        <v>21</v>
      </c>
      <c r="AM30" s="26" t="str">
        <f t="shared" si="45"/>
        <v>Droits fixes (sur l'octroi, renouvellement, transfert) (+)</v>
      </c>
      <c r="AN30" s="18">
        <f t="shared" si="61"/>
        <v>0</v>
      </c>
      <c r="AO30" s="18">
        <f t="shared" si="61"/>
        <v>0</v>
      </c>
      <c r="AP30" s="18">
        <f t="shared" si="61"/>
        <v>0</v>
      </c>
      <c r="AQ30" s="18">
        <f t="shared" si="61"/>
        <v>0</v>
      </c>
      <c r="AR30" s="18">
        <f t="shared" si="61"/>
        <v>0</v>
      </c>
      <c r="AS30" s="18">
        <f t="shared" si="61"/>
        <v>0</v>
      </c>
      <c r="AT30" s="18">
        <f t="shared" si="61"/>
        <v>0</v>
      </c>
      <c r="AU30" s="18">
        <f t="shared" si="61"/>
        <v>0</v>
      </c>
      <c r="AV30" s="18">
        <f>SUM(AN30:AU30)</f>
        <v>0</v>
      </c>
      <c r="AW30" s="18"/>
      <c r="AX30" s="17">
        <f t="shared" si="63"/>
        <v>21</v>
      </c>
      <c r="AY30" s="26" t="str">
        <f t="shared" si="46"/>
        <v>Droits fixes (sur l'octroi, renouvellement, transfert) (+)</v>
      </c>
      <c r="AZ30" s="18">
        <f t="shared" ca="1" si="64"/>
        <v>0</v>
      </c>
      <c r="BA30" s="18">
        <f t="shared" ca="1" si="64"/>
        <v>0</v>
      </c>
      <c r="BB30" s="18">
        <f t="shared" ca="1" si="64"/>
        <v>0</v>
      </c>
      <c r="BC30" s="18">
        <f t="shared" ca="1" si="64"/>
        <v>0</v>
      </c>
      <c r="BD30" s="18">
        <f t="shared" ca="1" si="64"/>
        <v>0</v>
      </c>
      <c r="BE30" s="18">
        <f t="shared" ca="1" si="64"/>
        <v>0</v>
      </c>
      <c r="BF30" s="18">
        <f t="shared" ca="1" si="64"/>
        <v>0</v>
      </c>
      <c r="BG30" s="18">
        <f t="shared" ca="1" si="64"/>
        <v>0</v>
      </c>
      <c r="BH30" s="18">
        <f t="shared" ca="1" si="64"/>
        <v>0</v>
      </c>
      <c r="BI30" s="18">
        <f t="shared" ca="1" si="64"/>
        <v>0</v>
      </c>
      <c r="BJ30" s="18">
        <f t="shared" ca="1" si="64"/>
        <v>0</v>
      </c>
      <c r="BK30" s="18">
        <f t="shared" ca="1" si="64"/>
        <v>0</v>
      </c>
    </row>
    <row r="31" spans="1:63">
      <c r="A31" s="80">
        <f t="shared" si="27"/>
        <v>19</v>
      </c>
      <c r="B31" s="64">
        <f>+'Taxes RCA 2022'!A24</f>
        <v>19</v>
      </c>
      <c r="C31" s="68" t="str">
        <f>+'Taxes RCA 2022'!B24</f>
        <v>Taxe sur la valeur ajoutée (TVA)</v>
      </c>
      <c r="E31" s="165"/>
      <c r="F31" s="165">
        <f t="shared" si="50"/>
        <v>0</v>
      </c>
      <c r="G31" s="165">
        <f t="shared" si="51"/>
        <v>0</v>
      </c>
      <c r="H31" s="114"/>
      <c r="I31" s="165"/>
      <c r="J31" s="165">
        <f t="shared" ca="1" si="66"/>
        <v>0</v>
      </c>
      <c r="K31" s="165">
        <f t="shared" ca="1" si="52"/>
        <v>0</v>
      </c>
      <c r="L31" s="114"/>
      <c r="M31" s="165">
        <f t="shared" ca="1" si="53"/>
        <v>0</v>
      </c>
      <c r="N31" s="68"/>
      <c r="O31" s="38" t="str">
        <f t="shared" ca="1" si="42"/>
        <v/>
      </c>
      <c r="P31" s="39" t="str">
        <f t="shared" ca="1" si="43"/>
        <v/>
      </c>
      <c r="Q31" s="35"/>
      <c r="R31" s="21" t="str">
        <f>Lists!A86</f>
        <v>Taxes payées par la Ste sur un autre NINEA non reporté par l'Etat</v>
      </c>
      <c r="S31" s="18">
        <f t="shared" si="65"/>
        <v>0</v>
      </c>
      <c r="Y31" s="15">
        <f t="shared" si="57"/>
        <v>22</v>
      </c>
      <c r="Z31" s="25" t="str">
        <f t="shared" si="44"/>
        <v>Les redevances proportionnelles ou royalties sur les autorisations d'exploitation de carrière et les exploitations des mines (+)</v>
      </c>
      <c r="AA31" s="16">
        <f t="shared" si="58"/>
        <v>0</v>
      </c>
      <c r="AB31" s="16">
        <f t="shared" si="58"/>
        <v>0</v>
      </c>
      <c r="AC31" s="16">
        <f t="shared" si="58"/>
        <v>0</v>
      </c>
      <c r="AD31" s="16">
        <f t="shared" si="58"/>
        <v>0</v>
      </c>
      <c r="AE31" s="16">
        <f t="shared" si="58"/>
        <v>0</v>
      </c>
      <c r="AF31" s="16">
        <f t="shared" si="58"/>
        <v>0</v>
      </c>
      <c r="AG31" s="16">
        <f t="shared" si="58"/>
        <v>0</v>
      </c>
      <c r="AH31" s="16">
        <f t="shared" si="58"/>
        <v>0</v>
      </c>
      <c r="AI31" s="16">
        <f t="shared" si="58"/>
        <v>0</v>
      </c>
      <c r="AJ31" s="16">
        <f>SUM(AA31:AI31)</f>
        <v>0</v>
      </c>
      <c r="AL31" s="17">
        <f t="shared" si="60"/>
        <v>22</v>
      </c>
      <c r="AM31" s="26" t="str">
        <f t="shared" si="45"/>
        <v>Les redevances proportionnelles ou royalties sur les autorisations d'exploitation de carrière et les exploitations des mines (+)</v>
      </c>
      <c r="AN31" s="18">
        <f t="shared" si="61"/>
        <v>0</v>
      </c>
      <c r="AO31" s="18">
        <f t="shared" si="61"/>
        <v>0</v>
      </c>
      <c r="AP31" s="18">
        <f t="shared" si="61"/>
        <v>0</v>
      </c>
      <c r="AQ31" s="18">
        <f t="shared" si="61"/>
        <v>0</v>
      </c>
      <c r="AR31" s="18">
        <f t="shared" si="61"/>
        <v>0</v>
      </c>
      <c r="AS31" s="18">
        <f t="shared" si="61"/>
        <v>0</v>
      </c>
      <c r="AT31" s="18">
        <f t="shared" si="61"/>
        <v>0</v>
      </c>
      <c r="AU31" s="18">
        <f t="shared" si="61"/>
        <v>0</v>
      </c>
      <c r="AV31" s="18">
        <f>SUM(AN31:AU31)</f>
        <v>0</v>
      </c>
      <c r="AW31" s="18"/>
      <c r="AX31" s="17">
        <f t="shared" si="63"/>
        <v>22</v>
      </c>
      <c r="AY31" s="26" t="str">
        <f t="shared" si="46"/>
        <v>Les redevances proportionnelles ou royalties sur les autorisations d'exploitation de carrière et les exploitations des mines (+)</v>
      </c>
      <c r="AZ31" s="18">
        <f t="shared" ca="1" si="64"/>
        <v>0</v>
      </c>
      <c r="BA31" s="18">
        <f t="shared" ca="1" si="64"/>
        <v>0</v>
      </c>
      <c r="BB31" s="18">
        <f t="shared" ca="1" si="64"/>
        <v>0</v>
      </c>
      <c r="BC31" s="18">
        <f t="shared" ca="1" si="64"/>
        <v>0</v>
      </c>
      <c r="BD31" s="18">
        <f t="shared" ca="1" si="64"/>
        <v>0</v>
      </c>
      <c r="BE31" s="18">
        <f t="shared" ca="1" si="64"/>
        <v>0</v>
      </c>
      <c r="BF31" s="18">
        <f t="shared" ca="1" si="64"/>
        <v>0</v>
      </c>
      <c r="BG31" s="18">
        <f t="shared" ca="1" si="64"/>
        <v>0</v>
      </c>
      <c r="BH31" s="18">
        <f t="shared" ca="1" si="64"/>
        <v>0</v>
      </c>
      <c r="BI31" s="18">
        <f t="shared" ca="1" si="64"/>
        <v>0</v>
      </c>
      <c r="BJ31" s="18">
        <f t="shared" ca="1" si="64"/>
        <v>0</v>
      </c>
      <c r="BK31" s="18">
        <f t="shared" ca="1" si="64"/>
        <v>0</v>
      </c>
    </row>
    <row r="32" spans="1:63">
      <c r="A32" s="80">
        <f t="shared" si="27"/>
        <v>20</v>
      </c>
      <c r="B32" s="53">
        <f>+'Taxes RCA 2022'!A25</f>
        <v>20</v>
      </c>
      <c r="C32" s="18" t="str">
        <f>+'Taxes RCA 2022'!B25</f>
        <v>Impôt sur les revenus des loyers (IRL)</v>
      </c>
      <c r="E32" s="114">
        <v>360000</v>
      </c>
      <c r="F32" s="114">
        <f t="shared" si="50"/>
        <v>0</v>
      </c>
      <c r="G32" s="114">
        <f t="shared" si="51"/>
        <v>360000</v>
      </c>
      <c r="H32" s="114"/>
      <c r="I32" s="114">
        <v>360000</v>
      </c>
      <c r="J32" s="114">
        <f t="shared" ca="1" si="66"/>
        <v>0</v>
      </c>
      <c r="K32" s="114">
        <f t="shared" ca="1" si="52"/>
        <v>360000</v>
      </c>
      <c r="L32" s="114"/>
      <c r="M32" s="114">
        <f t="shared" ca="1" si="53"/>
        <v>0</v>
      </c>
      <c r="N32" s="18"/>
      <c r="O32" s="38" t="str">
        <f t="shared" ca="1" si="42"/>
        <v/>
      </c>
      <c r="P32" s="39" t="str">
        <f t="shared" ca="1" si="43"/>
        <v/>
      </c>
      <c r="Q32" s="35"/>
      <c r="R32" s="21" t="str">
        <f>Lists!A87</f>
        <v>Taxes hors périmètre de réconciliation</v>
      </c>
      <c r="S32" s="18">
        <f t="shared" si="65"/>
        <v>0</v>
      </c>
      <c r="Y32" s="15">
        <f t="shared" si="57"/>
        <v>23</v>
      </c>
      <c r="Z32" s="25" t="str">
        <f t="shared" si="57"/>
        <v>Impôt sur les revenus des capitaux mobiliers (RCM) (+)</v>
      </c>
      <c r="AA32" s="16">
        <f t="shared" si="58"/>
        <v>0</v>
      </c>
      <c r="AB32" s="16">
        <f t="shared" si="58"/>
        <v>0</v>
      </c>
      <c r="AC32" s="16">
        <f t="shared" si="58"/>
        <v>0</v>
      </c>
      <c r="AD32" s="16">
        <f t="shared" si="58"/>
        <v>0</v>
      </c>
      <c r="AE32" s="16">
        <f t="shared" si="58"/>
        <v>0</v>
      </c>
      <c r="AF32" s="16">
        <f t="shared" si="58"/>
        <v>0</v>
      </c>
      <c r="AG32" s="16">
        <f t="shared" si="58"/>
        <v>0</v>
      </c>
      <c r="AH32" s="16">
        <f t="shared" si="58"/>
        <v>0</v>
      </c>
      <c r="AI32" s="16">
        <f t="shared" si="58"/>
        <v>0</v>
      </c>
      <c r="AJ32" s="16">
        <f>SUM(AA32:AI32)</f>
        <v>0</v>
      </c>
      <c r="AL32" s="17">
        <f t="shared" si="60"/>
        <v>23</v>
      </c>
      <c r="AM32" s="26" t="str">
        <f t="shared" si="60"/>
        <v>Impôt sur les revenus des capitaux mobiliers (RCM) (+)</v>
      </c>
      <c r="AN32" s="18">
        <f t="shared" si="61"/>
        <v>0</v>
      </c>
      <c r="AO32" s="18">
        <f t="shared" si="61"/>
        <v>0</v>
      </c>
      <c r="AP32" s="18">
        <f t="shared" si="61"/>
        <v>0</v>
      </c>
      <c r="AQ32" s="18">
        <f t="shared" si="61"/>
        <v>0</v>
      </c>
      <c r="AR32" s="18">
        <f t="shared" si="61"/>
        <v>0</v>
      </c>
      <c r="AS32" s="18">
        <f t="shared" si="61"/>
        <v>0</v>
      </c>
      <c r="AT32" s="18">
        <f t="shared" si="61"/>
        <v>0</v>
      </c>
      <c r="AU32" s="18">
        <f t="shared" si="61"/>
        <v>0</v>
      </c>
      <c r="AV32" s="18">
        <f>SUM(AN32:AU32)</f>
        <v>0</v>
      </c>
      <c r="AW32" s="38"/>
      <c r="AX32" s="17">
        <f t="shared" si="63"/>
        <v>23</v>
      </c>
      <c r="AY32" s="26" t="str">
        <f t="shared" si="63"/>
        <v>Impôt sur les revenus des capitaux mobiliers (RCM) (+)</v>
      </c>
      <c r="AZ32" s="18">
        <f t="shared" ca="1" si="64"/>
        <v>0</v>
      </c>
      <c r="BA32" s="18">
        <f t="shared" ca="1" si="64"/>
        <v>0</v>
      </c>
      <c r="BB32" s="18">
        <f t="shared" ca="1" si="64"/>
        <v>0</v>
      </c>
      <c r="BC32" s="18">
        <f t="shared" ca="1" si="64"/>
        <v>0</v>
      </c>
      <c r="BD32" s="18">
        <f t="shared" ca="1" si="64"/>
        <v>0</v>
      </c>
      <c r="BE32" s="18">
        <f t="shared" ca="1" si="64"/>
        <v>0</v>
      </c>
      <c r="BF32" s="18">
        <f t="shared" ca="1" si="64"/>
        <v>0</v>
      </c>
      <c r="BG32" s="18">
        <f t="shared" ca="1" si="64"/>
        <v>0</v>
      </c>
      <c r="BH32" s="18">
        <f t="shared" ca="1" si="64"/>
        <v>0</v>
      </c>
      <c r="BI32" s="18">
        <f t="shared" ca="1" si="64"/>
        <v>0</v>
      </c>
      <c r="BJ32" s="18">
        <f t="shared" ca="1" si="64"/>
        <v>0</v>
      </c>
      <c r="BK32" s="18">
        <f t="shared" ca="1" si="64"/>
        <v>0</v>
      </c>
    </row>
    <row r="33" spans="1:63">
      <c r="A33" s="80">
        <f t="shared" si="27"/>
        <v>21</v>
      </c>
      <c r="B33" s="64">
        <f>+'Taxes RCA 2022'!A26</f>
        <v>21</v>
      </c>
      <c r="C33" s="68" t="str">
        <f>+'Taxes RCA 2022'!B26</f>
        <v>Droits fixes (sur l'octroi, renouvellement, transfert) (+)</v>
      </c>
      <c r="E33" s="165"/>
      <c r="F33" s="165">
        <f t="shared" si="50"/>
        <v>0</v>
      </c>
      <c r="G33" s="165">
        <f t="shared" si="51"/>
        <v>0</v>
      </c>
      <c r="H33" s="114"/>
      <c r="I33" s="165"/>
      <c r="J33" s="165">
        <f t="shared" ca="1" si="66"/>
        <v>0</v>
      </c>
      <c r="K33" s="165">
        <f t="shared" ca="1" si="52"/>
        <v>0</v>
      </c>
      <c r="L33" s="114"/>
      <c r="M33" s="165">
        <f t="shared" ca="1" si="53"/>
        <v>0</v>
      </c>
      <c r="N33" s="68"/>
      <c r="O33" s="38" t="str">
        <f t="shared" ca="1" si="42"/>
        <v/>
      </c>
      <c r="P33" s="39" t="str">
        <f t="shared" ca="1" si="43"/>
        <v/>
      </c>
      <c r="Q33" s="35"/>
      <c r="R33" s="40" t="s">
        <v>18</v>
      </c>
      <c r="S33" s="22">
        <f>SUM(S25:S32)</f>
        <v>0</v>
      </c>
      <c r="Y33" s="28"/>
      <c r="Z33" s="28" t="str">
        <f t="shared" si="57"/>
        <v>Taxe de Développement Artisanal (TDA) (+)</v>
      </c>
      <c r="AA33" s="29">
        <f t="shared" ref="AA33:AJ33" si="67">SUM(AA34:AA49)</f>
        <v>0</v>
      </c>
      <c r="AB33" s="29">
        <f t="shared" si="67"/>
        <v>0</v>
      </c>
      <c r="AC33" s="29">
        <f t="shared" si="67"/>
        <v>0</v>
      </c>
      <c r="AD33" s="29">
        <f t="shared" si="67"/>
        <v>0</v>
      </c>
      <c r="AE33" s="29">
        <f t="shared" si="67"/>
        <v>0</v>
      </c>
      <c r="AF33" s="29">
        <f t="shared" si="67"/>
        <v>0</v>
      </c>
      <c r="AG33" s="29">
        <f t="shared" si="67"/>
        <v>0</v>
      </c>
      <c r="AH33" s="29">
        <f t="shared" si="67"/>
        <v>0</v>
      </c>
      <c r="AI33" s="29">
        <f t="shared" si="67"/>
        <v>0</v>
      </c>
      <c r="AJ33" s="29">
        <f t="shared" si="67"/>
        <v>0</v>
      </c>
      <c r="AL33" s="28"/>
      <c r="AM33" s="28" t="str">
        <f t="shared" si="60"/>
        <v>Taxe de Développement Artisanal (TDA) (+)</v>
      </c>
      <c r="AN33" s="29">
        <f t="shared" ref="AN33:AV33" si="68">SUM(AN34:AN49)</f>
        <v>0</v>
      </c>
      <c r="AO33" s="29">
        <f t="shared" si="68"/>
        <v>0</v>
      </c>
      <c r="AP33" s="29">
        <f t="shared" si="68"/>
        <v>0</v>
      </c>
      <c r="AQ33" s="29">
        <f t="shared" si="68"/>
        <v>0</v>
      </c>
      <c r="AR33" s="29">
        <f t="shared" si="68"/>
        <v>0</v>
      </c>
      <c r="AS33" s="29">
        <f t="shared" si="68"/>
        <v>0</v>
      </c>
      <c r="AT33" s="29">
        <f t="shared" si="68"/>
        <v>0</v>
      </c>
      <c r="AU33" s="29">
        <f t="shared" si="68"/>
        <v>0</v>
      </c>
      <c r="AV33" s="29">
        <f t="shared" si="68"/>
        <v>0</v>
      </c>
      <c r="AW33" s="18"/>
      <c r="AX33" s="28"/>
      <c r="AY33" s="28" t="str">
        <f t="shared" si="63"/>
        <v>Taxe de Développement Artisanal (TDA) (+)</v>
      </c>
      <c r="AZ33" s="29">
        <f t="shared" ref="AZ33:BK33" ca="1" si="69">SUM(AZ34:AZ49)</f>
        <v>0</v>
      </c>
      <c r="BA33" s="29">
        <f t="shared" ca="1" si="69"/>
        <v>0</v>
      </c>
      <c r="BB33" s="29">
        <f t="shared" ca="1" si="69"/>
        <v>0</v>
      </c>
      <c r="BC33" s="29">
        <f t="shared" ca="1" si="69"/>
        <v>0</v>
      </c>
      <c r="BD33" s="29">
        <f t="shared" ca="1" si="69"/>
        <v>0</v>
      </c>
      <c r="BE33" s="29">
        <f t="shared" ca="1" si="69"/>
        <v>0</v>
      </c>
      <c r="BF33" s="29">
        <f t="shared" ca="1" si="69"/>
        <v>0</v>
      </c>
      <c r="BG33" s="29">
        <f t="shared" ca="1" si="69"/>
        <v>0</v>
      </c>
      <c r="BH33" s="29">
        <f t="shared" ca="1" si="69"/>
        <v>0</v>
      </c>
      <c r="BI33" s="29">
        <f t="shared" ca="1" si="69"/>
        <v>0</v>
      </c>
      <c r="BJ33" s="29">
        <f t="shared" ca="1" si="69"/>
        <v>0</v>
      </c>
      <c r="BK33" s="29">
        <f t="shared" ca="1" si="69"/>
        <v>-0.65999999642372131</v>
      </c>
    </row>
    <row r="34" spans="1:63" s="20" customFormat="1" ht="24">
      <c r="A34" s="80">
        <f t="shared" si="27"/>
        <v>22</v>
      </c>
      <c r="B34" s="53">
        <f>+'Taxes RCA 2022'!A27</f>
        <v>22</v>
      </c>
      <c r="C34" s="171" t="str">
        <f>+'Taxes RCA 2022'!B27</f>
        <v>Les redevances proportionnelles ou royalties sur les autorisations d'exploitation de carrière et les exploitations des mines (+)</v>
      </c>
      <c r="D34" s="21"/>
      <c r="E34" s="114"/>
      <c r="F34" s="114">
        <f t="shared" si="50"/>
        <v>0</v>
      </c>
      <c r="G34" s="114">
        <f t="shared" si="51"/>
        <v>0</v>
      </c>
      <c r="H34" s="114"/>
      <c r="I34" s="114"/>
      <c r="J34" s="114">
        <f t="shared" ca="1" si="66"/>
        <v>0</v>
      </c>
      <c r="K34" s="114">
        <f t="shared" ca="1" si="52"/>
        <v>0</v>
      </c>
      <c r="L34" s="114"/>
      <c r="M34" s="114">
        <f t="shared" ca="1" si="53"/>
        <v>0</v>
      </c>
      <c r="N34" s="18"/>
      <c r="O34" s="38" t="str">
        <f t="shared" ca="1" si="42"/>
        <v/>
      </c>
      <c r="P34" s="39" t="str">
        <f t="shared" ca="1" si="43"/>
        <v/>
      </c>
      <c r="Q34" s="35"/>
      <c r="R34" s="43"/>
      <c r="S34" s="27"/>
      <c r="Y34" s="15">
        <f t="shared" ref="Y34:Z49" si="70">B37</f>
        <v>25</v>
      </c>
      <c r="Z34" s="25" t="str">
        <f t="shared" si="57"/>
        <v>Amendes et pénalités payées à la DGID (+)</v>
      </c>
      <c r="AA34" s="16">
        <f t="shared" ref="AA34:AI46" si="71">SUMPRODUCT(($A$84:$A$752=$Y34&amp;"- "&amp;$Z34)*($C$84:$C$752=AA$1)*($G$84:$G$752))</f>
        <v>0</v>
      </c>
      <c r="AB34" s="16">
        <f t="shared" si="71"/>
        <v>0</v>
      </c>
      <c r="AC34" s="16">
        <f t="shared" si="71"/>
        <v>0</v>
      </c>
      <c r="AD34" s="16">
        <f t="shared" si="71"/>
        <v>0</v>
      </c>
      <c r="AE34" s="16">
        <f t="shared" si="71"/>
        <v>0</v>
      </c>
      <c r="AF34" s="16">
        <f t="shared" si="71"/>
        <v>0</v>
      </c>
      <c r="AG34" s="16">
        <f t="shared" si="71"/>
        <v>0</v>
      </c>
      <c r="AH34" s="16">
        <f t="shared" si="71"/>
        <v>0</v>
      </c>
      <c r="AI34" s="16">
        <f t="shared" si="71"/>
        <v>0</v>
      </c>
      <c r="AJ34" s="16">
        <f t="shared" ref="AJ34:AJ48" si="72">SUM(AA34:AI34)</f>
        <v>0</v>
      </c>
      <c r="AK34" s="21"/>
      <c r="AL34" s="17">
        <f t="shared" ref="AL34:AM49" si="73">+B37</f>
        <v>25</v>
      </c>
      <c r="AM34" s="26" t="str">
        <f t="shared" si="60"/>
        <v>Amendes et pénalités payées à la DGID (+)</v>
      </c>
      <c r="AN34" s="18">
        <f t="shared" ref="AN34:AU46" si="74">SUMPRODUCT(($J$84:$M$748=$AL34&amp;"- "&amp;$AM34)*($N$84:$N$748=AN$1)*($Q$84:$Q$748))</f>
        <v>0</v>
      </c>
      <c r="AO34" s="18">
        <f t="shared" si="74"/>
        <v>0</v>
      </c>
      <c r="AP34" s="18">
        <f t="shared" si="74"/>
        <v>0</v>
      </c>
      <c r="AQ34" s="18">
        <f t="shared" si="74"/>
        <v>0</v>
      </c>
      <c r="AR34" s="18">
        <f t="shared" si="74"/>
        <v>0</v>
      </c>
      <c r="AS34" s="18">
        <f t="shared" si="74"/>
        <v>0</v>
      </c>
      <c r="AT34" s="18">
        <f t="shared" si="74"/>
        <v>0</v>
      </c>
      <c r="AU34" s="18">
        <f t="shared" si="74"/>
        <v>0</v>
      </c>
      <c r="AV34" s="18">
        <f t="shared" ref="AV34:AV48" si="75">SUM(AN34:AU34)</f>
        <v>0</v>
      </c>
      <c r="AW34" s="18"/>
      <c r="AX34" s="17">
        <f t="shared" ref="AX34:AY49" si="76">B37</f>
        <v>25</v>
      </c>
      <c r="AY34" s="26" t="str">
        <f t="shared" si="63"/>
        <v>Amendes et pénalités payées à la DGID (+)</v>
      </c>
      <c r="AZ34" s="18">
        <f t="shared" ref="AZ34:BK46" ca="1" si="77">SUMPRODUCT(($C$10:$C$75=$AY34)*($N$10:$N$75=AZ$1)*($M$10:$M$75))</f>
        <v>0</v>
      </c>
      <c r="BA34" s="18">
        <f t="shared" ca="1" si="77"/>
        <v>0</v>
      </c>
      <c r="BB34" s="18">
        <f t="shared" ca="1" si="77"/>
        <v>0</v>
      </c>
      <c r="BC34" s="18">
        <f t="shared" ca="1" si="77"/>
        <v>0</v>
      </c>
      <c r="BD34" s="18">
        <f t="shared" ca="1" si="77"/>
        <v>0</v>
      </c>
      <c r="BE34" s="18">
        <f t="shared" ca="1" si="77"/>
        <v>0</v>
      </c>
      <c r="BF34" s="18">
        <f t="shared" ca="1" si="77"/>
        <v>0</v>
      </c>
      <c r="BG34" s="18">
        <f t="shared" ca="1" si="77"/>
        <v>0</v>
      </c>
      <c r="BH34" s="18">
        <f t="shared" ca="1" si="77"/>
        <v>0</v>
      </c>
      <c r="BI34" s="18">
        <f t="shared" ca="1" si="77"/>
        <v>0</v>
      </c>
      <c r="BJ34" s="18">
        <f t="shared" ca="1" si="77"/>
        <v>0</v>
      </c>
      <c r="BK34" s="18">
        <f t="shared" ca="1" si="77"/>
        <v>0</v>
      </c>
    </row>
    <row r="35" spans="1:63">
      <c r="A35" s="80">
        <f t="shared" si="27"/>
        <v>23</v>
      </c>
      <c r="B35" s="64">
        <f>+'Taxes RCA 2022'!A28</f>
        <v>23</v>
      </c>
      <c r="C35" s="68" t="str">
        <f>+'Taxes RCA 2022'!B28</f>
        <v>Impôt sur les revenus des capitaux mobiliers (RCM) (+)</v>
      </c>
      <c r="E35" s="165"/>
      <c r="F35" s="165">
        <f t="shared" si="50"/>
        <v>0</v>
      </c>
      <c r="G35" s="165">
        <f t="shared" si="51"/>
        <v>0</v>
      </c>
      <c r="H35" s="114"/>
      <c r="I35" s="165"/>
      <c r="J35" s="165">
        <f t="shared" ca="1" si="66"/>
        <v>0</v>
      </c>
      <c r="K35" s="165">
        <f t="shared" ca="1" si="52"/>
        <v>0</v>
      </c>
      <c r="L35" s="114"/>
      <c r="M35" s="165">
        <f t="shared" ca="1" si="53"/>
        <v>0</v>
      </c>
      <c r="N35" s="68"/>
      <c r="O35" s="71" t="str">
        <f t="shared" ca="1" si="42"/>
        <v/>
      </c>
      <c r="P35" s="72" t="str">
        <f t="shared" ca="1" si="43"/>
        <v/>
      </c>
      <c r="Q35" s="73"/>
      <c r="Y35" s="15">
        <f t="shared" si="70"/>
        <v>26</v>
      </c>
      <c r="Z35" s="25" t="str">
        <f t="shared" si="57"/>
        <v>Redevance de déboisement (+)</v>
      </c>
      <c r="AA35" s="16">
        <f t="shared" si="71"/>
        <v>0</v>
      </c>
      <c r="AB35" s="16">
        <f t="shared" si="71"/>
        <v>0</v>
      </c>
      <c r="AC35" s="16">
        <f t="shared" si="71"/>
        <v>0</v>
      </c>
      <c r="AD35" s="16">
        <f t="shared" si="71"/>
        <v>0</v>
      </c>
      <c r="AE35" s="16">
        <f t="shared" si="71"/>
        <v>0</v>
      </c>
      <c r="AF35" s="16">
        <f t="shared" si="71"/>
        <v>0</v>
      </c>
      <c r="AG35" s="16">
        <f t="shared" si="71"/>
        <v>0</v>
      </c>
      <c r="AH35" s="16">
        <f t="shared" si="71"/>
        <v>0</v>
      </c>
      <c r="AI35" s="16">
        <f t="shared" si="71"/>
        <v>0</v>
      </c>
      <c r="AJ35" s="16">
        <f t="shared" si="72"/>
        <v>0</v>
      </c>
      <c r="AK35" s="20"/>
      <c r="AL35" s="17">
        <f t="shared" si="73"/>
        <v>26</v>
      </c>
      <c r="AM35" s="26" t="str">
        <f t="shared" si="60"/>
        <v>Redevance de déboisement (+)</v>
      </c>
      <c r="AN35" s="18">
        <f t="shared" si="74"/>
        <v>0</v>
      </c>
      <c r="AO35" s="18">
        <f t="shared" si="74"/>
        <v>0</v>
      </c>
      <c r="AP35" s="18">
        <f t="shared" si="74"/>
        <v>0</v>
      </c>
      <c r="AQ35" s="18">
        <f t="shared" si="74"/>
        <v>0</v>
      </c>
      <c r="AR35" s="18">
        <f t="shared" si="74"/>
        <v>0</v>
      </c>
      <c r="AS35" s="18">
        <f t="shared" si="74"/>
        <v>0</v>
      </c>
      <c r="AT35" s="18">
        <f t="shared" si="74"/>
        <v>0</v>
      </c>
      <c r="AU35" s="18">
        <f t="shared" si="74"/>
        <v>0</v>
      </c>
      <c r="AV35" s="18">
        <f t="shared" si="75"/>
        <v>0</v>
      </c>
      <c r="AW35" s="18"/>
      <c r="AX35" s="17">
        <f t="shared" si="76"/>
        <v>26</v>
      </c>
      <c r="AY35" s="26" t="str">
        <f t="shared" si="63"/>
        <v>Redevance de déboisement (+)</v>
      </c>
      <c r="AZ35" s="18">
        <f t="shared" ca="1" si="77"/>
        <v>0</v>
      </c>
      <c r="BA35" s="18">
        <f t="shared" ca="1" si="77"/>
        <v>0</v>
      </c>
      <c r="BB35" s="18">
        <f t="shared" ca="1" si="77"/>
        <v>0</v>
      </c>
      <c r="BC35" s="18">
        <f t="shared" ca="1" si="77"/>
        <v>0</v>
      </c>
      <c r="BD35" s="18">
        <f t="shared" ca="1" si="77"/>
        <v>0</v>
      </c>
      <c r="BE35" s="18">
        <f t="shared" ca="1" si="77"/>
        <v>0</v>
      </c>
      <c r="BF35" s="18">
        <f t="shared" ca="1" si="77"/>
        <v>0</v>
      </c>
      <c r="BG35" s="18">
        <f t="shared" ca="1" si="77"/>
        <v>0</v>
      </c>
      <c r="BH35" s="18">
        <f t="shared" ca="1" si="77"/>
        <v>0</v>
      </c>
      <c r="BI35" s="18">
        <f t="shared" ca="1" si="77"/>
        <v>0</v>
      </c>
      <c r="BJ35" s="18">
        <f t="shared" ca="1" si="77"/>
        <v>0</v>
      </c>
      <c r="BK35" s="18">
        <f t="shared" ca="1" si="77"/>
        <v>0</v>
      </c>
    </row>
    <row r="36" spans="1:63">
      <c r="A36" s="80">
        <f t="shared" si="27"/>
        <v>24</v>
      </c>
      <c r="B36" s="53">
        <f>+'Taxes RCA 2022'!A29</f>
        <v>24</v>
      </c>
      <c r="C36" s="18" t="str">
        <f>+'Taxes RCA 2022'!B29</f>
        <v>Taxe de Développement Artisanal (TDA) (+)</v>
      </c>
      <c r="E36" s="114"/>
      <c r="F36" s="114">
        <f t="shared" si="50"/>
        <v>0</v>
      </c>
      <c r="G36" s="114">
        <f t="shared" si="51"/>
        <v>0</v>
      </c>
      <c r="H36" s="114"/>
      <c r="I36" s="114"/>
      <c r="J36" s="114">
        <f t="shared" ca="1" si="66"/>
        <v>0</v>
      </c>
      <c r="K36" s="114">
        <f t="shared" ca="1" si="52"/>
        <v>0</v>
      </c>
      <c r="L36" s="114"/>
      <c r="M36" s="114">
        <f t="shared" ca="1" si="53"/>
        <v>0</v>
      </c>
      <c r="N36" s="18"/>
      <c r="O36" s="38"/>
      <c r="P36" s="39"/>
      <c r="Q36" s="35"/>
      <c r="S36" s="18"/>
      <c r="Y36" s="15">
        <f t="shared" si="70"/>
        <v>27</v>
      </c>
      <c r="Z36" s="25" t="str">
        <f t="shared" si="57"/>
        <v>Redevance de pré reconnaissance (+)</v>
      </c>
      <c r="AA36" s="16">
        <f t="shared" si="71"/>
        <v>0</v>
      </c>
      <c r="AB36" s="16">
        <f t="shared" si="71"/>
        <v>0</v>
      </c>
      <c r="AC36" s="16">
        <f t="shared" si="71"/>
        <v>0</v>
      </c>
      <c r="AD36" s="16">
        <f t="shared" si="71"/>
        <v>0</v>
      </c>
      <c r="AE36" s="16">
        <f t="shared" si="71"/>
        <v>0</v>
      </c>
      <c r="AF36" s="16">
        <f t="shared" si="71"/>
        <v>0</v>
      </c>
      <c r="AG36" s="16">
        <f t="shared" si="71"/>
        <v>0</v>
      </c>
      <c r="AH36" s="16">
        <f t="shared" si="71"/>
        <v>0</v>
      </c>
      <c r="AI36" s="16">
        <f t="shared" si="71"/>
        <v>0</v>
      </c>
      <c r="AJ36" s="16">
        <f t="shared" si="72"/>
        <v>0</v>
      </c>
      <c r="AL36" s="17">
        <f t="shared" si="73"/>
        <v>27</v>
      </c>
      <c r="AM36" s="26" t="str">
        <f t="shared" si="60"/>
        <v>Redevance de pré reconnaissance (+)</v>
      </c>
      <c r="AN36" s="18">
        <f t="shared" si="74"/>
        <v>0</v>
      </c>
      <c r="AO36" s="18">
        <f t="shared" si="74"/>
        <v>0</v>
      </c>
      <c r="AP36" s="18">
        <f t="shared" si="74"/>
        <v>0</v>
      </c>
      <c r="AQ36" s="18">
        <f t="shared" si="74"/>
        <v>0</v>
      </c>
      <c r="AR36" s="18">
        <f t="shared" si="74"/>
        <v>0</v>
      </c>
      <c r="AS36" s="18">
        <f t="shared" si="74"/>
        <v>0</v>
      </c>
      <c r="AT36" s="18">
        <f t="shared" si="74"/>
        <v>0</v>
      </c>
      <c r="AU36" s="18">
        <f t="shared" si="74"/>
        <v>0</v>
      </c>
      <c r="AV36" s="18">
        <f t="shared" si="75"/>
        <v>0</v>
      </c>
      <c r="AW36" s="18"/>
      <c r="AX36" s="17">
        <f t="shared" si="76"/>
        <v>27</v>
      </c>
      <c r="AY36" s="26" t="str">
        <f t="shared" si="63"/>
        <v>Redevance de pré reconnaissance (+)</v>
      </c>
      <c r="AZ36" s="18">
        <f t="shared" ca="1" si="77"/>
        <v>0</v>
      </c>
      <c r="BA36" s="18">
        <f t="shared" ca="1" si="77"/>
        <v>0</v>
      </c>
      <c r="BB36" s="18">
        <f t="shared" ca="1" si="77"/>
        <v>0</v>
      </c>
      <c r="BC36" s="18">
        <f t="shared" ca="1" si="77"/>
        <v>0</v>
      </c>
      <c r="BD36" s="18">
        <f t="shared" ca="1" si="77"/>
        <v>0</v>
      </c>
      <c r="BE36" s="18">
        <f t="shared" ca="1" si="77"/>
        <v>0</v>
      </c>
      <c r="BF36" s="18">
        <f t="shared" ca="1" si="77"/>
        <v>0</v>
      </c>
      <c r="BG36" s="18">
        <f t="shared" ca="1" si="77"/>
        <v>0</v>
      </c>
      <c r="BH36" s="18">
        <f t="shared" ca="1" si="77"/>
        <v>0</v>
      </c>
      <c r="BI36" s="18">
        <f t="shared" ca="1" si="77"/>
        <v>0</v>
      </c>
      <c r="BJ36" s="18">
        <f t="shared" ca="1" si="77"/>
        <v>0</v>
      </c>
      <c r="BK36" s="18">
        <f t="shared" ca="1" si="77"/>
        <v>0</v>
      </c>
    </row>
    <row r="37" spans="1:63">
      <c r="A37" s="80">
        <f t="shared" si="27"/>
        <v>25</v>
      </c>
      <c r="B37" s="64">
        <f>+'Taxes RCA 2022'!A30</f>
        <v>25</v>
      </c>
      <c r="C37" s="68" t="str">
        <f>+'Taxes RCA 2022'!B30</f>
        <v>Amendes et pénalités payées à la DGID (+)</v>
      </c>
      <c r="E37" s="165"/>
      <c r="F37" s="165">
        <f t="shared" si="50"/>
        <v>0</v>
      </c>
      <c r="G37" s="165">
        <f t="shared" si="51"/>
        <v>0</v>
      </c>
      <c r="H37" s="114"/>
      <c r="I37" s="165"/>
      <c r="J37" s="165">
        <f t="shared" ca="1" si="66"/>
        <v>0</v>
      </c>
      <c r="K37" s="165">
        <f t="shared" ca="1" si="52"/>
        <v>0</v>
      </c>
      <c r="L37" s="114"/>
      <c r="M37" s="165">
        <f t="shared" ca="1" si="53"/>
        <v>0</v>
      </c>
      <c r="N37" s="68"/>
      <c r="O37" s="38" t="str">
        <f t="shared" ca="1" si="42"/>
        <v/>
      </c>
      <c r="P37" s="39" t="str">
        <f t="shared" ref="P37:P51" ca="1" si="78">IF(O37="ERROR","Please insert comment","")</f>
        <v/>
      </c>
      <c r="Q37" s="35"/>
      <c r="Y37" s="15">
        <f t="shared" si="70"/>
        <v>0</v>
      </c>
      <c r="Z37" s="25" t="str">
        <f t="shared" si="57"/>
        <v>DGTCP (MMG)</v>
      </c>
      <c r="AA37" s="16">
        <f t="shared" si="71"/>
        <v>0</v>
      </c>
      <c r="AB37" s="16">
        <f t="shared" si="71"/>
        <v>0</v>
      </c>
      <c r="AC37" s="16">
        <f t="shared" si="71"/>
        <v>0</v>
      </c>
      <c r="AD37" s="16">
        <f t="shared" si="71"/>
        <v>0</v>
      </c>
      <c r="AE37" s="16">
        <f t="shared" si="71"/>
        <v>0</v>
      </c>
      <c r="AF37" s="16">
        <f t="shared" si="71"/>
        <v>0</v>
      </c>
      <c r="AG37" s="16">
        <f t="shared" si="71"/>
        <v>0</v>
      </c>
      <c r="AH37" s="16">
        <f t="shared" si="71"/>
        <v>0</v>
      </c>
      <c r="AI37" s="16">
        <f t="shared" si="71"/>
        <v>0</v>
      </c>
      <c r="AJ37" s="16">
        <f t="shared" si="72"/>
        <v>0</v>
      </c>
      <c r="AL37" s="17">
        <f t="shared" si="73"/>
        <v>0</v>
      </c>
      <c r="AM37" s="26" t="str">
        <f t="shared" si="60"/>
        <v>DGTCP (MMG)</v>
      </c>
      <c r="AN37" s="18">
        <f t="shared" si="74"/>
        <v>0</v>
      </c>
      <c r="AO37" s="18">
        <f t="shared" si="74"/>
        <v>0</v>
      </c>
      <c r="AP37" s="18">
        <f t="shared" si="74"/>
        <v>0</v>
      </c>
      <c r="AQ37" s="18">
        <f t="shared" si="74"/>
        <v>0</v>
      </c>
      <c r="AR37" s="18">
        <f t="shared" si="74"/>
        <v>0</v>
      </c>
      <c r="AS37" s="18">
        <f t="shared" si="74"/>
        <v>0</v>
      </c>
      <c r="AT37" s="18">
        <f t="shared" si="74"/>
        <v>0</v>
      </c>
      <c r="AU37" s="18">
        <f t="shared" si="74"/>
        <v>0</v>
      </c>
      <c r="AV37" s="18">
        <f t="shared" si="75"/>
        <v>0</v>
      </c>
      <c r="AW37" s="18"/>
      <c r="AX37" s="17">
        <f t="shared" si="76"/>
        <v>0</v>
      </c>
      <c r="AY37" s="26" t="str">
        <f t="shared" si="63"/>
        <v>DGTCP (MMG)</v>
      </c>
      <c r="AZ37" s="18">
        <f t="shared" ca="1" si="77"/>
        <v>0</v>
      </c>
      <c r="BA37" s="18">
        <f t="shared" ca="1" si="77"/>
        <v>0</v>
      </c>
      <c r="BB37" s="18">
        <f t="shared" ca="1" si="77"/>
        <v>0</v>
      </c>
      <c r="BC37" s="18">
        <f t="shared" ca="1" si="77"/>
        <v>0</v>
      </c>
      <c r="BD37" s="18">
        <f t="shared" ca="1" si="77"/>
        <v>0</v>
      </c>
      <c r="BE37" s="18">
        <f t="shared" ca="1" si="77"/>
        <v>0</v>
      </c>
      <c r="BF37" s="18">
        <f t="shared" ca="1" si="77"/>
        <v>0</v>
      </c>
      <c r="BG37" s="18">
        <f t="shared" ca="1" si="77"/>
        <v>0</v>
      </c>
      <c r="BH37" s="18">
        <f t="shared" ca="1" si="77"/>
        <v>0</v>
      </c>
      <c r="BI37" s="18">
        <f t="shared" ca="1" si="77"/>
        <v>0</v>
      </c>
      <c r="BJ37" s="18">
        <f t="shared" ca="1" si="77"/>
        <v>0</v>
      </c>
      <c r="BK37" s="18">
        <f t="shared" ca="1" si="77"/>
        <v>-0.32999999821186066</v>
      </c>
    </row>
    <row r="38" spans="1:63">
      <c r="A38" s="80">
        <f t="shared" si="27"/>
        <v>26</v>
      </c>
      <c r="B38" s="53">
        <f>+'Taxes RCA 2022'!A31</f>
        <v>26</v>
      </c>
      <c r="C38" s="18" t="str">
        <f>+'Taxes RCA 2022'!B31</f>
        <v>Redevance de déboisement (+)</v>
      </c>
      <c r="E38" s="114"/>
      <c r="F38" s="114">
        <f t="shared" si="50"/>
        <v>0</v>
      </c>
      <c r="G38" s="114">
        <f t="shared" si="51"/>
        <v>0</v>
      </c>
      <c r="H38" s="114"/>
      <c r="I38" s="114"/>
      <c r="J38" s="114">
        <f ca="1">SUMIF($J$84:$M$749,C38,$Q$84:$Q$749)</f>
        <v>0</v>
      </c>
      <c r="K38" s="114">
        <f t="shared" ca="1" si="52"/>
        <v>0</v>
      </c>
      <c r="L38" s="114"/>
      <c r="M38" s="114">
        <f t="shared" ca="1" si="53"/>
        <v>0</v>
      </c>
      <c r="N38" s="18"/>
      <c r="O38" s="38" t="str">
        <f t="shared" ca="1" si="42"/>
        <v/>
      </c>
      <c r="P38" s="39" t="str">
        <f t="shared" ca="1" si="78"/>
        <v/>
      </c>
      <c r="Q38" s="35"/>
      <c r="Y38" s="15">
        <f t="shared" si="70"/>
        <v>28</v>
      </c>
      <c r="Z38" s="25" t="str">
        <f t="shared" si="57"/>
        <v>Contribution à la formation professionnelle et à la formation des cadres de l'Administration des Mines (+)</v>
      </c>
      <c r="AA38" s="16">
        <f t="shared" si="71"/>
        <v>0</v>
      </c>
      <c r="AB38" s="16">
        <f t="shared" si="71"/>
        <v>0</v>
      </c>
      <c r="AC38" s="16">
        <f t="shared" si="71"/>
        <v>0</v>
      </c>
      <c r="AD38" s="16">
        <f t="shared" si="71"/>
        <v>0</v>
      </c>
      <c r="AE38" s="16">
        <f t="shared" si="71"/>
        <v>0</v>
      </c>
      <c r="AF38" s="16">
        <f t="shared" si="71"/>
        <v>0</v>
      </c>
      <c r="AG38" s="16">
        <f t="shared" si="71"/>
        <v>0</v>
      </c>
      <c r="AH38" s="16">
        <f t="shared" si="71"/>
        <v>0</v>
      </c>
      <c r="AI38" s="16">
        <f t="shared" si="71"/>
        <v>0</v>
      </c>
      <c r="AJ38" s="16">
        <f t="shared" si="72"/>
        <v>0</v>
      </c>
      <c r="AL38" s="17">
        <f t="shared" si="73"/>
        <v>28</v>
      </c>
      <c r="AM38" s="26" t="str">
        <f t="shared" si="60"/>
        <v>Contribution à la formation professionnelle et à la formation des cadres de l'Administration des Mines (+)</v>
      </c>
      <c r="AN38" s="18">
        <f t="shared" si="74"/>
        <v>0</v>
      </c>
      <c r="AO38" s="18">
        <f t="shared" si="74"/>
        <v>0</v>
      </c>
      <c r="AP38" s="18">
        <f t="shared" si="74"/>
        <v>0</v>
      </c>
      <c r="AQ38" s="18">
        <f t="shared" si="74"/>
        <v>0</v>
      </c>
      <c r="AR38" s="18">
        <f t="shared" si="74"/>
        <v>0</v>
      </c>
      <c r="AS38" s="18">
        <f t="shared" si="74"/>
        <v>0</v>
      </c>
      <c r="AT38" s="18">
        <f t="shared" si="74"/>
        <v>0</v>
      </c>
      <c r="AU38" s="18">
        <f t="shared" si="74"/>
        <v>0</v>
      </c>
      <c r="AV38" s="18">
        <f t="shared" si="75"/>
        <v>0</v>
      </c>
      <c r="AW38" s="18"/>
      <c r="AX38" s="17">
        <f t="shared" si="76"/>
        <v>28</v>
      </c>
      <c r="AY38" s="26" t="str">
        <f t="shared" si="63"/>
        <v>Contribution à la formation professionnelle et à la formation des cadres de l'Administration des Mines (+)</v>
      </c>
      <c r="AZ38" s="18">
        <f t="shared" ca="1" si="77"/>
        <v>0</v>
      </c>
      <c r="BA38" s="18">
        <f t="shared" ca="1" si="77"/>
        <v>0</v>
      </c>
      <c r="BB38" s="18">
        <f t="shared" ca="1" si="77"/>
        <v>0</v>
      </c>
      <c r="BC38" s="18">
        <f t="shared" ca="1" si="77"/>
        <v>0</v>
      </c>
      <c r="BD38" s="18">
        <f t="shared" ca="1" si="77"/>
        <v>0</v>
      </c>
      <c r="BE38" s="18">
        <f t="shared" ca="1" si="77"/>
        <v>0</v>
      </c>
      <c r="BF38" s="18">
        <f t="shared" ca="1" si="77"/>
        <v>0</v>
      </c>
      <c r="BG38" s="18">
        <f t="shared" ca="1" si="77"/>
        <v>0</v>
      </c>
      <c r="BH38" s="18">
        <f t="shared" ca="1" si="77"/>
        <v>0</v>
      </c>
      <c r="BI38" s="18">
        <f t="shared" ca="1" si="77"/>
        <v>0</v>
      </c>
      <c r="BJ38" s="18">
        <f t="shared" ca="1" si="77"/>
        <v>0</v>
      </c>
      <c r="BK38" s="18">
        <f t="shared" ca="1" si="77"/>
        <v>0</v>
      </c>
    </row>
    <row r="39" spans="1:63">
      <c r="A39" s="80">
        <f t="shared" si="27"/>
        <v>27</v>
      </c>
      <c r="B39" s="64">
        <f>+'Taxes RCA 2022'!A32</f>
        <v>27</v>
      </c>
      <c r="C39" s="68" t="str">
        <f>+'Taxes RCA 2022'!B32</f>
        <v>Redevance de pré reconnaissance (+)</v>
      </c>
      <c r="E39" s="165"/>
      <c r="F39" s="165">
        <f t="shared" si="50"/>
        <v>0</v>
      </c>
      <c r="G39" s="165">
        <f t="shared" si="51"/>
        <v>0</v>
      </c>
      <c r="H39" s="114"/>
      <c r="I39" s="165"/>
      <c r="J39" s="165">
        <f ca="1">SUMIF($J$84:$M$749,B39&amp;"- "&amp;C39,$Q$84:$Q$749)</f>
        <v>0</v>
      </c>
      <c r="K39" s="165">
        <f t="shared" ca="1" si="52"/>
        <v>0</v>
      </c>
      <c r="L39" s="114"/>
      <c r="M39" s="165">
        <f t="shared" ca="1" si="53"/>
        <v>0</v>
      </c>
      <c r="N39" s="68"/>
      <c r="O39" s="38" t="str">
        <f t="shared" ca="1" si="42"/>
        <v/>
      </c>
      <c r="P39" s="39" t="str">
        <f t="shared" ca="1" si="78"/>
        <v/>
      </c>
      <c r="Q39" s="35"/>
      <c r="Y39" s="15">
        <f t="shared" si="70"/>
        <v>29</v>
      </c>
      <c r="Z39" s="25" t="str">
        <f t="shared" si="70"/>
        <v>Droits d'attributions</v>
      </c>
      <c r="AA39" s="16">
        <f t="shared" si="71"/>
        <v>0</v>
      </c>
      <c r="AB39" s="16">
        <f t="shared" si="71"/>
        <v>0</v>
      </c>
      <c r="AC39" s="16">
        <f t="shared" si="71"/>
        <v>0</v>
      </c>
      <c r="AD39" s="16">
        <f t="shared" si="71"/>
        <v>0</v>
      </c>
      <c r="AE39" s="16">
        <f t="shared" si="71"/>
        <v>0</v>
      </c>
      <c r="AF39" s="16">
        <f t="shared" si="71"/>
        <v>0</v>
      </c>
      <c r="AG39" s="16">
        <f t="shared" si="71"/>
        <v>0</v>
      </c>
      <c r="AH39" s="16">
        <f t="shared" si="71"/>
        <v>0</v>
      </c>
      <c r="AI39" s="16">
        <f t="shared" si="71"/>
        <v>0</v>
      </c>
      <c r="AJ39" s="16">
        <f t="shared" si="72"/>
        <v>0</v>
      </c>
      <c r="AL39" s="17">
        <f t="shared" si="73"/>
        <v>29</v>
      </c>
      <c r="AM39" s="26" t="str">
        <f t="shared" si="73"/>
        <v>Droits d'attributions</v>
      </c>
      <c r="AN39" s="18">
        <f t="shared" si="74"/>
        <v>0</v>
      </c>
      <c r="AO39" s="18">
        <f t="shared" si="74"/>
        <v>0</v>
      </c>
      <c r="AP39" s="18">
        <f t="shared" si="74"/>
        <v>0</v>
      </c>
      <c r="AQ39" s="18">
        <f t="shared" si="74"/>
        <v>0</v>
      </c>
      <c r="AR39" s="18">
        <f t="shared" si="74"/>
        <v>0</v>
      </c>
      <c r="AS39" s="18">
        <f t="shared" si="74"/>
        <v>0</v>
      </c>
      <c r="AT39" s="18">
        <f t="shared" si="74"/>
        <v>0</v>
      </c>
      <c r="AU39" s="18">
        <f t="shared" si="74"/>
        <v>0</v>
      </c>
      <c r="AV39" s="18">
        <f t="shared" si="75"/>
        <v>0</v>
      </c>
      <c r="AW39" s="18"/>
      <c r="AX39" s="17">
        <f t="shared" si="76"/>
        <v>29</v>
      </c>
      <c r="AY39" s="26" t="str">
        <f t="shared" si="76"/>
        <v>Droits d'attributions</v>
      </c>
      <c r="AZ39" s="18">
        <f t="shared" ca="1" si="77"/>
        <v>0</v>
      </c>
      <c r="BA39" s="18">
        <f t="shared" ca="1" si="77"/>
        <v>0</v>
      </c>
      <c r="BB39" s="18">
        <f t="shared" ca="1" si="77"/>
        <v>0</v>
      </c>
      <c r="BC39" s="18">
        <f t="shared" ca="1" si="77"/>
        <v>0</v>
      </c>
      <c r="BD39" s="18">
        <f t="shared" ca="1" si="77"/>
        <v>0</v>
      </c>
      <c r="BE39" s="18">
        <f t="shared" ca="1" si="77"/>
        <v>0</v>
      </c>
      <c r="BF39" s="18">
        <f t="shared" ca="1" si="77"/>
        <v>0</v>
      </c>
      <c r="BG39" s="18">
        <f t="shared" ca="1" si="77"/>
        <v>0</v>
      </c>
      <c r="BH39" s="18">
        <f t="shared" ca="1" si="77"/>
        <v>0</v>
      </c>
      <c r="BI39" s="18">
        <f t="shared" ca="1" si="77"/>
        <v>0</v>
      </c>
      <c r="BJ39" s="18">
        <f t="shared" ca="1" si="77"/>
        <v>0</v>
      </c>
      <c r="BK39" s="18">
        <f t="shared" ca="1" si="77"/>
        <v>0</v>
      </c>
    </row>
    <row r="40" spans="1:63">
      <c r="A40" s="80">
        <f t="shared" si="27"/>
        <v>0</v>
      </c>
      <c r="B40" s="163"/>
      <c r="C40" s="58" t="str">
        <f>+'Taxes RCA 2022'!B33</f>
        <v>DGTCP (MMG)</v>
      </c>
      <c r="E40" s="166">
        <f>SUM(E41:E44)</f>
        <v>35598775</v>
      </c>
      <c r="F40" s="166">
        <f>SUM(F41:F44)</f>
        <v>0</v>
      </c>
      <c r="G40" s="166">
        <f>SUM(G41:G44)</f>
        <v>35598775</v>
      </c>
      <c r="H40" s="114"/>
      <c r="I40" s="166">
        <f>SUM(I41:I44)</f>
        <v>35598775.329999998</v>
      </c>
      <c r="J40" s="166">
        <f ca="1">SUM(J41:J44)</f>
        <v>0</v>
      </c>
      <c r="K40" s="166">
        <f ca="1">SUM(K41:K44)</f>
        <v>35598775.329999998</v>
      </c>
      <c r="L40" s="114"/>
      <c r="M40" s="166">
        <f ca="1">SUM(M41:M44)</f>
        <v>-0.32999999821186066</v>
      </c>
      <c r="N40" s="58" t="s">
        <v>229</v>
      </c>
      <c r="O40" s="38" t="str">
        <f t="shared" ca="1" si="42"/>
        <v/>
      </c>
      <c r="P40" s="39" t="str">
        <f t="shared" ca="1" si="78"/>
        <v/>
      </c>
      <c r="Q40" s="35"/>
      <c r="Y40" s="15">
        <f>B78</f>
        <v>56</v>
      </c>
      <c r="Z40" s="25" t="str">
        <f>C78</f>
        <v xml:space="preserve">Secrétariat permanent du processus de Kimberley (SPPK)  </v>
      </c>
      <c r="AA40" s="16">
        <f t="shared" si="71"/>
        <v>0</v>
      </c>
      <c r="AB40" s="16">
        <f t="shared" si="71"/>
        <v>0</v>
      </c>
      <c r="AC40" s="16">
        <f t="shared" si="71"/>
        <v>0</v>
      </c>
      <c r="AD40" s="16">
        <f t="shared" si="71"/>
        <v>0</v>
      </c>
      <c r="AE40" s="16">
        <f t="shared" si="71"/>
        <v>0</v>
      </c>
      <c r="AF40" s="16">
        <f t="shared" si="71"/>
        <v>0</v>
      </c>
      <c r="AG40" s="16">
        <f t="shared" si="71"/>
        <v>0</v>
      </c>
      <c r="AH40" s="16">
        <f t="shared" si="71"/>
        <v>0</v>
      </c>
      <c r="AI40" s="16">
        <f t="shared" si="71"/>
        <v>0</v>
      </c>
      <c r="AJ40" s="16">
        <f t="shared" si="72"/>
        <v>0</v>
      </c>
      <c r="AL40" s="17">
        <f>+B78</f>
        <v>56</v>
      </c>
      <c r="AM40" s="26" t="str">
        <f>+C78</f>
        <v xml:space="preserve">Secrétariat permanent du processus de Kimberley (SPPK)  </v>
      </c>
      <c r="AN40" s="18">
        <f t="shared" si="74"/>
        <v>0</v>
      </c>
      <c r="AO40" s="18">
        <f t="shared" si="74"/>
        <v>0</v>
      </c>
      <c r="AP40" s="18">
        <f t="shared" si="74"/>
        <v>0</v>
      </c>
      <c r="AQ40" s="18">
        <f t="shared" si="74"/>
        <v>0</v>
      </c>
      <c r="AR40" s="18">
        <f t="shared" si="74"/>
        <v>0</v>
      </c>
      <c r="AS40" s="18">
        <f t="shared" si="74"/>
        <v>0</v>
      </c>
      <c r="AT40" s="18">
        <f t="shared" si="74"/>
        <v>0</v>
      </c>
      <c r="AU40" s="18">
        <f t="shared" si="74"/>
        <v>0</v>
      </c>
      <c r="AV40" s="18">
        <f t="shared" si="75"/>
        <v>0</v>
      </c>
      <c r="AW40" s="18"/>
      <c r="AX40" s="17">
        <f>B78</f>
        <v>56</v>
      </c>
      <c r="AY40" s="26" t="str">
        <f>C78</f>
        <v xml:space="preserve">Secrétariat permanent du processus de Kimberley (SPPK)  </v>
      </c>
      <c r="AZ40" s="18">
        <f t="shared" ca="1" si="77"/>
        <v>0</v>
      </c>
      <c r="BA40" s="18">
        <f t="shared" ca="1" si="77"/>
        <v>0</v>
      </c>
      <c r="BB40" s="18">
        <f t="shared" ca="1" si="77"/>
        <v>0</v>
      </c>
      <c r="BC40" s="18">
        <f t="shared" ca="1" si="77"/>
        <v>0</v>
      </c>
      <c r="BD40" s="18">
        <f t="shared" ca="1" si="77"/>
        <v>0</v>
      </c>
      <c r="BE40" s="18">
        <f t="shared" ca="1" si="77"/>
        <v>0</v>
      </c>
      <c r="BF40" s="18">
        <f t="shared" ca="1" si="77"/>
        <v>0</v>
      </c>
      <c r="BG40" s="18">
        <f t="shared" ca="1" si="77"/>
        <v>0</v>
      </c>
      <c r="BH40" s="18">
        <f t="shared" ca="1" si="77"/>
        <v>0</v>
      </c>
      <c r="BI40" s="18">
        <f t="shared" ca="1" si="77"/>
        <v>0</v>
      </c>
      <c r="BJ40" s="18">
        <f t="shared" ca="1" si="77"/>
        <v>0</v>
      </c>
      <c r="BK40" s="18">
        <f t="shared" ca="1" si="77"/>
        <v>0</v>
      </c>
    </row>
    <row r="41" spans="1:63">
      <c r="A41" s="80">
        <f t="shared" si="27"/>
        <v>28</v>
      </c>
      <c r="B41" s="53">
        <f>+'Taxes RCA 2022'!A34</f>
        <v>28</v>
      </c>
      <c r="C41" s="18" t="str">
        <f>+'Taxes RCA 2022'!B34</f>
        <v>Contribution à la formation professionnelle et à la formation des cadres de l'Administration des Mines (+)</v>
      </c>
      <c r="E41" s="114"/>
      <c r="F41" s="114">
        <f>SUMIF($A$84:$A$752,B41&amp;"- "&amp;C41,$G$84:$G$752)</f>
        <v>0</v>
      </c>
      <c r="G41" s="114">
        <f>E41+F41</f>
        <v>0</v>
      </c>
      <c r="H41" s="114"/>
      <c r="I41" s="114"/>
      <c r="J41" s="114">
        <f ca="1">SUMIF($J$84:$M$749,B41&amp;"- "&amp;C41,$Q$84:$Q$749)</f>
        <v>0</v>
      </c>
      <c r="K41" s="114">
        <f ca="1">I41+J41</f>
        <v>0</v>
      </c>
      <c r="L41" s="114"/>
      <c r="M41" s="114">
        <f ca="1">+G41-K41</f>
        <v>0</v>
      </c>
      <c r="N41" s="18"/>
      <c r="O41" s="38" t="str">
        <f t="shared" ca="1" si="42"/>
        <v/>
      </c>
      <c r="P41" s="39" t="str">
        <f t="shared" ca="1" si="78"/>
        <v/>
      </c>
      <c r="Q41" s="35"/>
      <c r="Y41" s="15">
        <f>B43</f>
        <v>30</v>
      </c>
      <c r="Z41" s="25" t="str">
        <f>C43</f>
        <v xml:space="preserve">Redevance superficiaire   </v>
      </c>
      <c r="AA41" s="16">
        <f t="shared" si="71"/>
        <v>0</v>
      </c>
      <c r="AB41" s="16">
        <f t="shared" si="71"/>
        <v>0</v>
      </c>
      <c r="AC41" s="16">
        <f t="shared" si="71"/>
        <v>0</v>
      </c>
      <c r="AD41" s="16">
        <f t="shared" si="71"/>
        <v>0</v>
      </c>
      <c r="AE41" s="16">
        <f t="shared" si="71"/>
        <v>0</v>
      </c>
      <c r="AF41" s="16">
        <f t="shared" si="71"/>
        <v>0</v>
      </c>
      <c r="AG41" s="16">
        <f t="shared" si="71"/>
        <v>0</v>
      </c>
      <c r="AH41" s="16">
        <f t="shared" si="71"/>
        <v>0</v>
      </c>
      <c r="AI41" s="16">
        <f t="shared" si="71"/>
        <v>0</v>
      </c>
      <c r="AJ41" s="16">
        <f t="shared" si="72"/>
        <v>0</v>
      </c>
      <c r="AL41" s="17">
        <f>+B43</f>
        <v>30</v>
      </c>
      <c r="AM41" s="26" t="str">
        <f>+C43</f>
        <v xml:space="preserve">Redevance superficiaire   </v>
      </c>
      <c r="AN41" s="18">
        <f t="shared" si="74"/>
        <v>0</v>
      </c>
      <c r="AO41" s="18">
        <f t="shared" si="74"/>
        <v>0</v>
      </c>
      <c r="AP41" s="18">
        <f t="shared" si="74"/>
        <v>0</v>
      </c>
      <c r="AQ41" s="18">
        <f t="shared" si="74"/>
        <v>0</v>
      </c>
      <c r="AR41" s="18">
        <f t="shared" si="74"/>
        <v>0</v>
      </c>
      <c r="AS41" s="18">
        <f t="shared" si="74"/>
        <v>0</v>
      </c>
      <c r="AT41" s="18">
        <f t="shared" si="74"/>
        <v>0</v>
      </c>
      <c r="AU41" s="18">
        <f t="shared" si="74"/>
        <v>0</v>
      </c>
      <c r="AV41" s="18">
        <f t="shared" si="75"/>
        <v>0</v>
      </c>
      <c r="AW41" s="18"/>
      <c r="AX41" s="17">
        <f>B43</f>
        <v>30</v>
      </c>
      <c r="AY41" s="26" t="str">
        <f>C43</f>
        <v xml:space="preserve">Redevance superficiaire   </v>
      </c>
      <c r="AZ41" s="18">
        <f t="shared" ca="1" si="77"/>
        <v>0</v>
      </c>
      <c r="BA41" s="18">
        <f t="shared" ca="1" si="77"/>
        <v>0</v>
      </c>
      <c r="BB41" s="18">
        <f t="shared" ca="1" si="77"/>
        <v>0</v>
      </c>
      <c r="BC41" s="18">
        <f t="shared" ca="1" si="77"/>
        <v>0</v>
      </c>
      <c r="BD41" s="18">
        <f t="shared" ca="1" si="77"/>
        <v>0</v>
      </c>
      <c r="BE41" s="18">
        <f t="shared" ca="1" si="77"/>
        <v>0</v>
      </c>
      <c r="BF41" s="18">
        <f t="shared" ca="1" si="77"/>
        <v>0</v>
      </c>
      <c r="BG41" s="18">
        <f t="shared" ca="1" si="77"/>
        <v>0</v>
      </c>
      <c r="BH41" s="18">
        <f t="shared" ca="1" si="77"/>
        <v>0</v>
      </c>
      <c r="BI41" s="18">
        <f t="shared" ca="1" si="77"/>
        <v>0</v>
      </c>
      <c r="BJ41" s="18">
        <f t="shared" ca="1" si="77"/>
        <v>0</v>
      </c>
      <c r="BK41" s="18">
        <f t="shared" ca="1" si="77"/>
        <v>0</v>
      </c>
    </row>
    <row r="42" spans="1:63">
      <c r="A42" s="80">
        <f t="shared" si="27"/>
        <v>29</v>
      </c>
      <c r="B42" s="64">
        <f>+'Taxes RCA 2022'!A35</f>
        <v>29</v>
      </c>
      <c r="C42" s="68" t="str">
        <f>+'Taxes RCA 2022'!B35</f>
        <v>Droits d'attributions</v>
      </c>
      <c r="E42" s="165"/>
      <c r="F42" s="165">
        <f>SUMIF($A$84:$A$752,B42&amp;"- "&amp;C42,$G$84:$G$752)</f>
        <v>0</v>
      </c>
      <c r="G42" s="165">
        <f>E42+F42</f>
        <v>0</v>
      </c>
      <c r="H42" s="114"/>
      <c r="I42" s="165"/>
      <c r="J42" s="165">
        <f ca="1">SUMIF($J$84:$M$749,B42&amp;"- "&amp;C42,$Q$84:$Q$749)</f>
        <v>0</v>
      </c>
      <c r="K42" s="165">
        <f ca="1">I42+J42</f>
        <v>0</v>
      </c>
      <c r="L42" s="114"/>
      <c r="M42" s="165">
        <f ca="1">+G42-K42</f>
        <v>0</v>
      </c>
      <c r="N42" s="68"/>
      <c r="O42" s="38" t="str">
        <f t="shared" ca="1" si="42"/>
        <v/>
      </c>
      <c r="P42" s="39" t="str">
        <f t="shared" ca="1" si="78"/>
        <v/>
      </c>
      <c r="Q42" s="35"/>
      <c r="T42" s="41" t="str">
        <f ca="1">IF(J76=S33,"","ERROR")</f>
        <v/>
      </c>
      <c r="Y42" s="15">
        <f>B44</f>
        <v>31</v>
      </c>
      <c r="Z42" s="25" t="str">
        <f>C44</f>
        <v>Projet de développement du secteur minier (PDSM)</v>
      </c>
      <c r="AA42" s="16">
        <f t="shared" si="71"/>
        <v>0</v>
      </c>
      <c r="AB42" s="16">
        <f t="shared" si="71"/>
        <v>0</v>
      </c>
      <c r="AC42" s="16">
        <f t="shared" si="71"/>
        <v>0</v>
      </c>
      <c r="AD42" s="16">
        <f t="shared" si="71"/>
        <v>0</v>
      </c>
      <c r="AE42" s="16">
        <f t="shared" si="71"/>
        <v>0</v>
      </c>
      <c r="AF42" s="16">
        <f t="shared" si="71"/>
        <v>0</v>
      </c>
      <c r="AG42" s="16">
        <f t="shared" si="71"/>
        <v>0</v>
      </c>
      <c r="AH42" s="16">
        <f t="shared" si="71"/>
        <v>0</v>
      </c>
      <c r="AI42" s="16">
        <f t="shared" si="71"/>
        <v>0</v>
      </c>
      <c r="AJ42" s="16">
        <f t="shared" si="72"/>
        <v>0</v>
      </c>
      <c r="AL42" s="17">
        <f>+B44</f>
        <v>31</v>
      </c>
      <c r="AM42" s="26" t="str">
        <f>+C44</f>
        <v>Projet de développement du secteur minier (PDSM)</v>
      </c>
      <c r="AN42" s="18">
        <f t="shared" si="74"/>
        <v>0</v>
      </c>
      <c r="AO42" s="18">
        <f t="shared" si="74"/>
        <v>0</v>
      </c>
      <c r="AP42" s="18">
        <f t="shared" si="74"/>
        <v>0</v>
      </c>
      <c r="AQ42" s="18">
        <f t="shared" si="74"/>
        <v>0</v>
      </c>
      <c r="AR42" s="18">
        <f t="shared" si="74"/>
        <v>0</v>
      </c>
      <c r="AS42" s="18">
        <f t="shared" si="74"/>
        <v>0</v>
      </c>
      <c r="AT42" s="18">
        <f t="shared" si="74"/>
        <v>0</v>
      </c>
      <c r="AU42" s="18">
        <f t="shared" si="74"/>
        <v>0</v>
      </c>
      <c r="AV42" s="18">
        <f t="shared" si="75"/>
        <v>0</v>
      </c>
      <c r="AW42" s="18"/>
      <c r="AX42" s="17">
        <f>B44</f>
        <v>31</v>
      </c>
      <c r="AY42" s="26" t="str">
        <f>C44</f>
        <v>Projet de développement du secteur minier (PDSM)</v>
      </c>
      <c r="AZ42" s="18">
        <f t="shared" ca="1" si="77"/>
        <v>0</v>
      </c>
      <c r="BA42" s="18">
        <f t="shared" ca="1" si="77"/>
        <v>0</v>
      </c>
      <c r="BB42" s="18">
        <f t="shared" ca="1" si="77"/>
        <v>0</v>
      </c>
      <c r="BC42" s="18">
        <f t="shared" ca="1" si="77"/>
        <v>0</v>
      </c>
      <c r="BD42" s="18">
        <f t="shared" ca="1" si="77"/>
        <v>0</v>
      </c>
      <c r="BE42" s="18">
        <f t="shared" ca="1" si="77"/>
        <v>0</v>
      </c>
      <c r="BF42" s="18">
        <f t="shared" ca="1" si="77"/>
        <v>0</v>
      </c>
      <c r="BG42" s="18">
        <f t="shared" ca="1" si="77"/>
        <v>0</v>
      </c>
      <c r="BH42" s="18">
        <f t="shared" ca="1" si="77"/>
        <v>0</v>
      </c>
      <c r="BI42" s="18">
        <f t="shared" ca="1" si="77"/>
        <v>0</v>
      </c>
      <c r="BJ42" s="18">
        <f t="shared" ca="1" si="77"/>
        <v>0</v>
      </c>
      <c r="BK42" s="18">
        <f t="shared" ca="1" si="77"/>
        <v>-0.32999999821186066</v>
      </c>
    </row>
    <row r="43" spans="1:63">
      <c r="A43" s="80">
        <f t="shared" si="27"/>
        <v>30</v>
      </c>
      <c r="B43" s="53">
        <f>+'Taxes RCA 2022'!A36</f>
        <v>30</v>
      </c>
      <c r="C43" s="18" t="str">
        <f>+'Taxes RCA 2022'!B36</f>
        <v xml:space="preserve">Redevance superficiaire   </v>
      </c>
      <c r="E43" s="114"/>
      <c r="F43" s="114">
        <f>SUMIF($A$84:$A$752,B43&amp;"- "&amp;C43,$G$84:$G$752)</f>
        <v>0</v>
      </c>
      <c r="G43" s="114">
        <f>E43+F43</f>
        <v>0</v>
      </c>
      <c r="H43" s="114"/>
      <c r="I43" s="114"/>
      <c r="J43" s="114">
        <f ca="1">SUMIF($J$84:$M$749,B43&amp;"- "&amp;C43,$Q$84:$Q$749)</f>
        <v>0</v>
      </c>
      <c r="K43" s="114">
        <f ca="1">I43+J43</f>
        <v>0</v>
      </c>
      <c r="L43" s="114"/>
      <c r="M43" s="114">
        <f ca="1">+G43-K43</f>
        <v>0</v>
      </c>
      <c r="N43" s="18"/>
      <c r="O43" s="38" t="str">
        <f t="shared" ca="1" si="42"/>
        <v/>
      </c>
      <c r="P43" s="39" t="str">
        <f t="shared" ca="1" si="78"/>
        <v/>
      </c>
      <c r="Q43" s="35"/>
      <c r="Y43" s="15">
        <f t="shared" si="70"/>
        <v>32</v>
      </c>
      <c r="Z43" s="25" t="str">
        <f t="shared" si="70"/>
        <v>Taxes superficiaires (+)</v>
      </c>
      <c r="AA43" s="16">
        <f t="shared" si="71"/>
        <v>0</v>
      </c>
      <c r="AB43" s="16">
        <f t="shared" si="71"/>
        <v>0</v>
      </c>
      <c r="AC43" s="16">
        <f t="shared" si="71"/>
        <v>0</v>
      </c>
      <c r="AD43" s="16">
        <f t="shared" si="71"/>
        <v>0</v>
      </c>
      <c r="AE43" s="16">
        <f t="shared" si="71"/>
        <v>0</v>
      </c>
      <c r="AF43" s="16">
        <f t="shared" si="71"/>
        <v>0</v>
      </c>
      <c r="AG43" s="16">
        <f t="shared" si="71"/>
        <v>0</v>
      </c>
      <c r="AH43" s="16">
        <f t="shared" si="71"/>
        <v>0</v>
      </c>
      <c r="AI43" s="16">
        <f t="shared" si="71"/>
        <v>0</v>
      </c>
      <c r="AJ43" s="16">
        <f t="shared" si="72"/>
        <v>0</v>
      </c>
      <c r="AL43" s="17">
        <f t="shared" si="73"/>
        <v>32</v>
      </c>
      <c r="AM43" s="26" t="str">
        <f t="shared" si="73"/>
        <v>Taxes superficiaires (+)</v>
      </c>
      <c r="AN43" s="18">
        <f t="shared" si="74"/>
        <v>0</v>
      </c>
      <c r="AO43" s="18">
        <f t="shared" si="74"/>
        <v>0</v>
      </c>
      <c r="AP43" s="18">
        <f t="shared" si="74"/>
        <v>0</v>
      </c>
      <c r="AQ43" s="18">
        <f t="shared" si="74"/>
        <v>0</v>
      </c>
      <c r="AR43" s="18">
        <f t="shared" si="74"/>
        <v>0</v>
      </c>
      <c r="AS43" s="18">
        <f t="shared" si="74"/>
        <v>0</v>
      </c>
      <c r="AT43" s="18">
        <f t="shared" si="74"/>
        <v>0</v>
      </c>
      <c r="AU43" s="18">
        <f t="shared" si="74"/>
        <v>0</v>
      </c>
      <c r="AV43" s="18">
        <f t="shared" si="75"/>
        <v>0</v>
      </c>
      <c r="AW43" s="18"/>
      <c r="AX43" s="17">
        <f t="shared" si="76"/>
        <v>32</v>
      </c>
      <c r="AY43" s="26" t="str">
        <f t="shared" si="76"/>
        <v>Taxes superficiaires (+)</v>
      </c>
      <c r="AZ43" s="18">
        <f t="shared" ca="1" si="77"/>
        <v>0</v>
      </c>
      <c r="BA43" s="18">
        <f t="shared" ca="1" si="77"/>
        <v>0</v>
      </c>
      <c r="BB43" s="18">
        <f t="shared" ca="1" si="77"/>
        <v>0</v>
      </c>
      <c r="BC43" s="18">
        <f t="shared" ca="1" si="77"/>
        <v>0</v>
      </c>
      <c r="BD43" s="18">
        <f t="shared" ca="1" si="77"/>
        <v>0</v>
      </c>
      <c r="BE43" s="18">
        <f t="shared" ca="1" si="77"/>
        <v>0</v>
      </c>
      <c r="BF43" s="18">
        <f t="shared" ca="1" si="77"/>
        <v>0</v>
      </c>
      <c r="BG43" s="18">
        <f t="shared" ca="1" si="77"/>
        <v>0</v>
      </c>
      <c r="BH43" s="18">
        <f t="shared" ca="1" si="77"/>
        <v>0</v>
      </c>
      <c r="BI43" s="18">
        <f t="shared" ca="1" si="77"/>
        <v>0</v>
      </c>
      <c r="BJ43" s="18">
        <f t="shared" ca="1" si="77"/>
        <v>0</v>
      </c>
      <c r="BK43" s="18">
        <f t="shared" ca="1" si="77"/>
        <v>0</v>
      </c>
    </row>
    <row r="44" spans="1:63">
      <c r="A44" s="80">
        <f t="shared" si="27"/>
        <v>31</v>
      </c>
      <c r="B44" s="64">
        <f>+'Taxes RCA 2022'!A37</f>
        <v>31</v>
      </c>
      <c r="C44" s="68" t="str">
        <f>+'Taxes RCA 2022'!B37</f>
        <v>Projet de développement du secteur minier (PDSM)</v>
      </c>
      <c r="E44" s="165">
        <v>35598775</v>
      </c>
      <c r="F44" s="165">
        <f>SUMIF($A$84:$A$752,B44&amp;"- "&amp;C44,$G$84:$G$752)</f>
        <v>0</v>
      </c>
      <c r="G44" s="165">
        <f>E44+F44</f>
        <v>35598775</v>
      </c>
      <c r="H44" s="114"/>
      <c r="I44" s="165">
        <v>35598775.329999998</v>
      </c>
      <c r="J44" s="165">
        <f ca="1">SUMIF($J$84:$M$749,B44&amp;"- "&amp;C44,$Q$84:$Q$749)</f>
        <v>0</v>
      </c>
      <c r="K44" s="165">
        <f ca="1">I44+J44</f>
        <v>35598775.329999998</v>
      </c>
      <c r="L44" s="114"/>
      <c r="M44" s="165">
        <f ca="1">+G44-K44</f>
        <v>-0.32999999821186066</v>
      </c>
      <c r="N44" s="68" t="s">
        <v>229</v>
      </c>
      <c r="O44" s="38" t="str">
        <f t="shared" ca="1" si="42"/>
        <v/>
      </c>
      <c r="P44" s="39" t="str">
        <f t="shared" ca="1" si="78"/>
        <v/>
      </c>
      <c r="Y44" s="15">
        <f t="shared" ref="Y44:Z46" si="79">B48</f>
        <v>33</v>
      </c>
      <c r="Z44" s="25" t="str">
        <f t="shared" si="79"/>
        <v>Taxe d’abattage  (+)</v>
      </c>
      <c r="AA44" s="16">
        <f t="shared" si="71"/>
        <v>0</v>
      </c>
      <c r="AB44" s="16">
        <f t="shared" si="71"/>
        <v>0</v>
      </c>
      <c r="AC44" s="16">
        <f t="shared" si="71"/>
        <v>0</v>
      </c>
      <c r="AD44" s="16">
        <f t="shared" si="71"/>
        <v>0</v>
      </c>
      <c r="AE44" s="16">
        <f t="shared" si="71"/>
        <v>0</v>
      </c>
      <c r="AF44" s="16">
        <f t="shared" si="71"/>
        <v>0</v>
      </c>
      <c r="AG44" s="16">
        <f t="shared" si="71"/>
        <v>0</v>
      </c>
      <c r="AH44" s="16">
        <f t="shared" si="71"/>
        <v>0</v>
      </c>
      <c r="AI44" s="16">
        <f t="shared" si="71"/>
        <v>0</v>
      </c>
      <c r="AJ44" s="16">
        <f t="shared" si="72"/>
        <v>0</v>
      </c>
      <c r="AL44" s="17">
        <f t="shared" ref="AL44:AM46" si="80">+B48</f>
        <v>33</v>
      </c>
      <c r="AM44" s="26" t="str">
        <f t="shared" si="80"/>
        <v>Taxe d’abattage  (+)</v>
      </c>
      <c r="AN44" s="18">
        <f t="shared" si="74"/>
        <v>0</v>
      </c>
      <c r="AO44" s="18">
        <f t="shared" si="74"/>
        <v>0</v>
      </c>
      <c r="AP44" s="18">
        <f t="shared" si="74"/>
        <v>0</v>
      </c>
      <c r="AQ44" s="18">
        <f t="shared" si="74"/>
        <v>0</v>
      </c>
      <c r="AR44" s="18">
        <f t="shared" si="74"/>
        <v>0</v>
      </c>
      <c r="AS44" s="18">
        <f t="shared" si="74"/>
        <v>0</v>
      </c>
      <c r="AT44" s="18">
        <f t="shared" si="74"/>
        <v>0</v>
      </c>
      <c r="AU44" s="18">
        <f t="shared" si="74"/>
        <v>0</v>
      </c>
      <c r="AV44" s="18">
        <f t="shared" si="75"/>
        <v>0</v>
      </c>
      <c r="AW44" s="18"/>
      <c r="AX44" s="17">
        <f t="shared" ref="AX44:AY46" si="81">B48</f>
        <v>33</v>
      </c>
      <c r="AY44" s="26" t="str">
        <f t="shared" si="81"/>
        <v>Taxe d’abattage  (+)</v>
      </c>
      <c r="AZ44" s="18">
        <f t="shared" ca="1" si="77"/>
        <v>0</v>
      </c>
      <c r="BA44" s="18">
        <f t="shared" ca="1" si="77"/>
        <v>0</v>
      </c>
      <c r="BB44" s="18">
        <f t="shared" ca="1" si="77"/>
        <v>0</v>
      </c>
      <c r="BC44" s="18">
        <f t="shared" ca="1" si="77"/>
        <v>0</v>
      </c>
      <c r="BD44" s="18">
        <f t="shared" ca="1" si="77"/>
        <v>0</v>
      </c>
      <c r="BE44" s="18">
        <f t="shared" ca="1" si="77"/>
        <v>0</v>
      </c>
      <c r="BF44" s="18">
        <f t="shared" ca="1" si="77"/>
        <v>0</v>
      </c>
      <c r="BG44" s="18">
        <f t="shared" ca="1" si="77"/>
        <v>0</v>
      </c>
      <c r="BH44" s="18">
        <f t="shared" ca="1" si="77"/>
        <v>0</v>
      </c>
      <c r="BI44" s="18">
        <f t="shared" ca="1" si="77"/>
        <v>0</v>
      </c>
      <c r="BJ44" s="18">
        <f t="shared" ca="1" si="77"/>
        <v>0</v>
      </c>
      <c r="BK44" s="18">
        <f t="shared" ca="1" si="77"/>
        <v>0</v>
      </c>
    </row>
    <row r="45" spans="1:63">
      <c r="A45" s="80">
        <f t="shared" si="27"/>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2"/>
        <v/>
      </c>
      <c r="P45" s="39" t="str">
        <f t="shared" ca="1" si="78"/>
        <v/>
      </c>
      <c r="Y45" s="15">
        <f t="shared" si="79"/>
        <v>34</v>
      </c>
      <c r="Z45" s="25" t="str">
        <f t="shared" si="79"/>
        <v>Taxe de reboisement (+)</v>
      </c>
      <c r="AA45" s="16">
        <f t="shared" si="71"/>
        <v>0</v>
      </c>
      <c r="AB45" s="16">
        <f t="shared" si="71"/>
        <v>0</v>
      </c>
      <c r="AC45" s="16">
        <f t="shared" si="71"/>
        <v>0</v>
      </c>
      <c r="AD45" s="16">
        <f t="shared" si="71"/>
        <v>0</v>
      </c>
      <c r="AE45" s="16">
        <f t="shared" si="71"/>
        <v>0</v>
      </c>
      <c r="AF45" s="16">
        <f t="shared" si="71"/>
        <v>0</v>
      </c>
      <c r="AG45" s="16">
        <f t="shared" si="71"/>
        <v>0</v>
      </c>
      <c r="AH45" s="16">
        <f t="shared" si="71"/>
        <v>0</v>
      </c>
      <c r="AI45" s="16">
        <f t="shared" si="71"/>
        <v>0</v>
      </c>
      <c r="AJ45" s="16">
        <f t="shared" si="72"/>
        <v>0</v>
      </c>
      <c r="AL45" s="17">
        <f t="shared" si="80"/>
        <v>34</v>
      </c>
      <c r="AM45" s="26" t="str">
        <f t="shared" si="80"/>
        <v>Taxe de reboisement (+)</v>
      </c>
      <c r="AN45" s="18">
        <f t="shared" si="74"/>
        <v>0</v>
      </c>
      <c r="AO45" s="18">
        <f t="shared" si="74"/>
        <v>0</v>
      </c>
      <c r="AP45" s="18">
        <f t="shared" si="74"/>
        <v>0</v>
      </c>
      <c r="AQ45" s="18">
        <f t="shared" si="74"/>
        <v>0</v>
      </c>
      <c r="AR45" s="18">
        <f t="shared" si="74"/>
        <v>0</v>
      </c>
      <c r="AS45" s="18">
        <f t="shared" si="74"/>
        <v>0</v>
      </c>
      <c r="AT45" s="18">
        <f t="shared" si="74"/>
        <v>0</v>
      </c>
      <c r="AU45" s="18">
        <f t="shared" si="74"/>
        <v>0</v>
      </c>
      <c r="AV45" s="18">
        <f t="shared" si="75"/>
        <v>0</v>
      </c>
      <c r="AW45" s="18"/>
      <c r="AX45" s="17">
        <f t="shared" si="81"/>
        <v>34</v>
      </c>
      <c r="AY45" s="26" t="str">
        <f t="shared" si="81"/>
        <v>Taxe de reboisement (+)</v>
      </c>
      <c r="AZ45" s="18">
        <f t="shared" ca="1" si="77"/>
        <v>0</v>
      </c>
      <c r="BA45" s="18">
        <f t="shared" ca="1" si="77"/>
        <v>0</v>
      </c>
      <c r="BB45" s="18">
        <f t="shared" ca="1" si="77"/>
        <v>0</v>
      </c>
      <c r="BC45" s="18">
        <f t="shared" ca="1" si="77"/>
        <v>0</v>
      </c>
      <c r="BD45" s="18">
        <f t="shared" ca="1" si="77"/>
        <v>0</v>
      </c>
      <c r="BE45" s="18">
        <f t="shared" ca="1" si="77"/>
        <v>0</v>
      </c>
      <c r="BF45" s="18">
        <f t="shared" ca="1" si="77"/>
        <v>0</v>
      </c>
      <c r="BG45" s="18">
        <f t="shared" ca="1" si="77"/>
        <v>0</v>
      </c>
      <c r="BH45" s="18">
        <f t="shared" ca="1" si="77"/>
        <v>0</v>
      </c>
      <c r="BI45" s="18">
        <f t="shared" ca="1" si="77"/>
        <v>0</v>
      </c>
      <c r="BJ45" s="18">
        <f t="shared" ca="1" si="77"/>
        <v>0</v>
      </c>
      <c r="BK45" s="18">
        <f t="shared" ca="1" si="77"/>
        <v>0</v>
      </c>
    </row>
    <row r="46" spans="1:63">
      <c r="A46" s="80">
        <f t="shared" si="27"/>
        <v>32</v>
      </c>
      <c r="B46" s="64">
        <f>+'Taxes RCA 2022'!A39</f>
        <v>32</v>
      </c>
      <c r="C46" s="68" t="str">
        <f>+'Taxes RCA 2022'!B39</f>
        <v>Taxes superficiaires (+)</v>
      </c>
      <c r="E46" s="165"/>
      <c r="F46" s="165">
        <f>SUMIF($A$84:$A$752,B46&amp;"- "&amp;C46,$G$84:$G$752)</f>
        <v>0</v>
      </c>
      <c r="G46" s="165">
        <f>E46+F46</f>
        <v>0</v>
      </c>
      <c r="H46" s="114"/>
      <c r="I46" s="165"/>
      <c r="J46" s="165">
        <f ca="1">SUMIF($J$84:$M$749,B46&amp;"- "&amp;C46,$Q$84:$Q$749)</f>
        <v>0</v>
      </c>
      <c r="K46" s="165">
        <f ca="1">I46+J46</f>
        <v>0</v>
      </c>
      <c r="L46" s="114"/>
      <c r="M46" s="165">
        <f ca="1">+G46-K46</f>
        <v>0</v>
      </c>
      <c r="N46" s="68"/>
      <c r="O46" s="38" t="str">
        <f t="shared" ca="1" si="42"/>
        <v/>
      </c>
      <c r="P46" s="39" t="str">
        <f t="shared" ca="1" si="78"/>
        <v/>
      </c>
      <c r="Y46" s="15">
        <f t="shared" si="79"/>
        <v>35</v>
      </c>
      <c r="Z46" s="25" t="str">
        <f t="shared" si="79"/>
        <v>Droit de sortie (DS)/Taxe Export (+)</v>
      </c>
      <c r="AA46" s="16">
        <f t="shared" si="71"/>
        <v>0</v>
      </c>
      <c r="AB46" s="16">
        <f t="shared" si="71"/>
        <v>0</v>
      </c>
      <c r="AC46" s="16">
        <f t="shared" si="71"/>
        <v>0</v>
      </c>
      <c r="AD46" s="16">
        <f t="shared" si="71"/>
        <v>0</v>
      </c>
      <c r="AE46" s="16">
        <f t="shared" si="71"/>
        <v>0</v>
      </c>
      <c r="AF46" s="16">
        <f t="shared" si="71"/>
        <v>0</v>
      </c>
      <c r="AG46" s="16">
        <f t="shared" si="71"/>
        <v>0</v>
      </c>
      <c r="AH46" s="16">
        <f t="shared" si="71"/>
        <v>0</v>
      </c>
      <c r="AI46" s="16">
        <f t="shared" si="71"/>
        <v>0</v>
      </c>
      <c r="AJ46" s="16">
        <f t="shared" si="72"/>
        <v>0</v>
      </c>
      <c r="AL46" s="17">
        <f t="shared" si="80"/>
        <v>35</v>
      </c>
      <c r="AM46" s="26" t="str">
        <f t="shared" si="80"/>
        <v>Droit de sortie (DS)/Taxe Export (+)</v>
      </c>
      <c r="AN46" s="18">
        <f t="shared" si="74"/>
        <v>0</v>
      </c>
      <c r="AO46" s="18">
        <f t="shared" si="74"/>
        <v>0</v>
      </c>
      <c r="AP46" s="18">
        <f t="shared" si="74"/>
        <v>0</v>
      </c>
      <c r="AQ46" s="18">
        <f t="shared" si="74"/>
        <v>0</v>
      </c>
      <c r="AR46" s="18">
        <f t="shared" si="74"/>
        <v>0</v>
      </c>
      <c r="AS46" s="18">
        <f t="shared" si="74"/>
        <v>0</v>
      </c>
      <c r="AT46" s="18">
        <f t="shared" si="74"/>
        <v>0</v>
      </c>
      <c r="AU46" s="18">
        <f t="shared" si="74"/>
        <v>0</v>
      </c>
      <c r="AV46" s="18">
        <f t="shared" si="75"/>
        <v>0</v>
      </c>
      <c r="AW46" s="18"/>
      <c r="AX46" s="17">
        <f t="shared" si="81"/>
        <v>35</v>
      </c>
      <c r="AY46" s="26" t="str">
        <f t="shared" si="81"/>
        <v>Droit de sortie (DS)/Taxe Export (+)</v>
      </c>
      <c r="AZ46" s="18">
        <f t="shared" ca="1" si="77"/>
        <v>0</v>
      </c>
      <c r="BA46" s="18">
        <f t="shared" ca="1" si="77"/>
        <v>0</v>
      </c>
      <c r="BB46" s="18">
        <f t="shared" ca="1" si="77"/>
        <v>0</v>
      </c>
      <c r="BC46" s="18">
        <f t="shared" ca="1" si="77"/>
        <v>0</v>
      </c>
      <c r="BD46" s="18">
        <f t="shared" ca="1" si="77"/>
        <v>0</v>
      </c>
      <c r="BE46" s="18">
        <f t="shared" ca="1" si="77"/>
        <v>0</v>
      </c>
      <c r="BF46" s="18">
        <f t="shared" ca="1" si="77"/>
        <v>0</v>
      </c>
      <c r="BG46" s="18">
        <f t="shared" ca="1" si="77"/>
        <v>0</v>
      </c>
      <c r="BH46" s="18">
        <f t="shared" ca="1" si="77"/>
        <v>0</v>
      </c>
      <c r="BI46" s="18">
        <f t="shared" ca="1" si="77"/>
        <v>0</v>
      </c>
      <c r="BJ46" s="18">
        <f t="shared" ca="1" si="77"/>
        <v>0</v>
      </c>
      <c r="BK46" s="18">
        <f t="shared" ca="1" si="7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7"/>
        <v>33</v>
      </c>
      <c r="B48" s="53">
        <f>+'Taxes RCA 2022'!A41</f>
        <v>33</v>
      </c>
      <c r="C48" s="18" t="str">
        <f>+'Taxes RCA 2022'!B41</f>
        <v>Taxe d’abattage  (+)</v>
      </c>
      <c r="E48" s="114"/>
      <c r="F48" s="114">
        <f>SUMIF($A$84:$A$752,B48&amp;"- "&amp;C48,$G$84:$G$752)</f>
        <v>0</v>
      </c>
      <c r="G48" s="114">
        <f>E48+F48</f>
        <v>0</v>
      </c>
      <c r="H48" s="114"/>
      <c r="I48" s="114"/>
      <c r="J48" s="114">
        <f ca="1">SUMIF($J$84:$M$749,B48&amp;"- "&amp;C48,$Q$84:$Q$749)</f>
        <v>0</v>
      </c>
      <c r="K48" s="114">
        <f ca="1">I48+J48</f>
        <v>0</v>
      </c>
      <c r="L48" s="114"/>
      <c r="M48" s="114">
        <f ca="1">+G48-K48</f>
        <v>0</v>
      </c>
      <c r="N48" s="18"/>
      <c r="O48" s="38" t="str">
        <f t="shared" ca="1" si="42"/>
        <v/>
      </c>
      <c r="P48" s="39" t="str">
        <f t="shared" ca="1" si="78"/>
        <v/>
      </c>
      <c r="Y48" s="15">
        <f t="shared" si="70"/>
        <v>36</v>
      </c>
      <c r="Z48" s="25" t="str">
        <f t="shared" si="70"/>
        <v>Taxes environnementales sur les Stes forestières et Minières (+)</v>
      </c>
      <c r="AA48" s="16">
        <f t="shared" ref="AA48:AI49" si="82">SUMPRODUCT(($A$84:$A$752=$Y48&amp;"- "&amp;$Z48)*($C$84:$C$752=AA$1)*($G$84:$G$752))</f>
        <v>0</v>
      </c>
      <c r="AB48" s="16">
        <f t="shared" si="82"/>
        <v>0</v>
      </c>
      <c r="AC48" s="16">
        <f t="shared" si="82"/>
        <v>0</v>
      </c>
      <c r="AD48" s="16">
        <f t="shared" si="82"/>
        <v>0</v>
      </c>
      <c r="AE48" s="16">
        <f t="shared" si="82"/>
        <v>0</v>
      </c>
      <c r="AF48" s="16">
        <f t="shared" si="82"/>
        <v>0</v>
      </c>
      <c r="AG48" s="16">
        <f t="shared" si="82"/>
        <v>0</v>
      </c>
      <c r="AH48" s="16">
        <f t="shared" si="82"/>
        <v>0</v>
      </c>
      <c r="AI48" s="16">
        <f t="shared" si="82"/>
        <v>0</v>
      </c>
      <c r="AJ48" s="16">
        <f t="shared" si="72"/>
        <v>0</v>
      </c>
      <c r="AL48" s="17">
        <f t="shared" si="73"/>
        <v>36</v>
      </c>
      <c r="AM48" s="26" t="str">
        <f t="shared" si="73"/>
        <v>Taxes environnementales sur les Stes forestières et Minières (+)</v>
      </c>
      <c r="AN48" s="18">
        <f t="shared" ref="AN48:AU49" si="83">SUMPRODUCT(($J$84:$M$748=$AL48&amp;"- "&amp;$AM48)*($N$84:$N$748=AN$1)*($Q$84:$Q$748))</f>
        <v>0</v>
      </c>
      <c r="AO48" s="18">
        <f t="shared" si="83"/>
        <v>0</v>
      </c>
      <c r="AP48" s="18">
        <f t="shared" si="83"/>
        <v>0</v>
      </c>
      <c r="AQ48" s="18">
        <f t="shared" si="83"/>
        <v>0</v>
      </c>
      <c r="AR48" s="18">
        <f t="shared" si="83"/>
        <v>0</v>
      </c>
      <c r="AS48" s="18">
        <f t="shared" si="83"/>
        <v>0</v>
      </c>
      <c r="AT48" s="18">
        <f t="shared" si="83"/>
        <v>0</v>
      </c>
      <c r="AU48" s="18">
        <f t="shared" si="83"/>
        <v>0</v>
      </c>
      <c r="AV48" s="18">
        <f t="shared" si="75"/>
        <v>0</v>
      </c>
      <c r="AW48" s="38"/>
      <c r="AX48" s="17">
        <f t="shared" si="76"/>
        <v>36</v>
      </c>
      <c r="AY48" s="26" t="str">
        <f t="shared" si="76"/>
        <v>Taxes environnementales sur les Stes forestières et Minières (+)</v>
      </c>
      <c r="AZ48" s="18">
        <f t="shared" ref="AZ48:BK49" ca="1" si="84">SUMPRODUCT(($C$10:$C$75=$AY48)*($N$10:$N$75=AZ$1)*($M$10:$M$75))</f>
        <v>0</v>
      </c>
      <c r="BA48" s="18">
        <f t="shared" ca="1" si="84"/>
        <v>0</v>
      </c>
      <c r="BB48" s="18">
        <f t="shared" ca="1" si="84"/>
        <v>0</v>
      </c>
      <c r="BC48" s="18">
        <f t="shared" ca="1" si="84"/>
        <v>0</v>
      </c>
      <c r="BD48" s="18">
        <f t="shared" ca="1" si="84"/>
        <v>0</v>
      </c>
      <c r="BE48" s="18">
        <f t="shared" ca="1" si="84"/>
        <v>0</v>
      </c>
      <c r="BF48" s="18">
        <f t="shared" ca="1" si="84"/>
        <v>0</v>
      </c>
      <c r="BG48" s="18">
        <f t="shared" ca="1" si="84"/>
        <v>0</v>
      </c>
      <c r="BH48" s="18">
        <f t="shared" ca="1" si="84"/>
        <v>0</v>
      </c>
      <c r="BI48" s="18">
        <f t="shared" ca="1" si="84"/>
        <v>0</v>
      </c>
      <c r="BJ48" s="18">
        <f t="shared" ca="1" si="84"/>
        <v>0</v>
      </c>
      <c r="BK48" s="18">
        <f t="shared" ca="1" si="84"/>
        <v>0</v>
      </c>
    </row>
    <row r="49" spans="1:63">
      <c r="A49" s="80">
        <f t="shared" si="27"/>
        <v>34</v>
      </c>
      <c r="B49" s="64">
        <f>+'Taxes RCA 2022'!A42</f>
        <v>34</v>
      </c>
      <c r="C49" s="68" t="str">
        <f>+'Taxes RCA 2022'!B42</f>
        <v>Taxe de reboisement (+)</v>
      </c>
      <c r="E49" s="165"/>
      <c r="F49" s="165">
        <f>SUMIF($A$84:$A$752,B49&amp;"- "&amp;C49,$G$84:$G$752)</f>
        <v>0</v>
      </c>
      <c r="G49" s="165">
        <f>E49+F49</f>
        <v>0</v>
      </c>
      <c r="H49" s="114"/>
      <c r="I49" s="165"/>
      <c r="J49" s="165">
        <f ca="1">SUMIF($J$84:$M$749,B49&amp;"- "&amp;C49,$Q$84:$Q$749)</f>
        <v>0</v>
      </c>
      <c r="K49" s="165">
        <f ca="1">I49+J49</f>
        <v>0</v>
      </c>
      <c r="L49" s="114"/>
      <c r="M49" s="165">
        <f ca="1">+G49-K49</f>
        <v>0</v>
      </c>
      <c r="N49" s="68"/>
      <c r="O49" s="38" t="str">
        <f t="shared" ca="1" si="42"/>
        <v/>
      </c>
      <c r="P49" s="39" t="str">
        <f t="shared" ca="1" si="78"/>
        <v/>
      </c>
      <c r="Y49" s="15">
        <f t="shared" si="70"/>
        <v>0</v>
      </c>
      <c r="Z49" s="25" t="str">
        <f t="shared" si="70"/>
        <v>Affectations spéciales</v>
      </c>
      <c r="AA49" s="16">
        <f t="shared" si="82"/>
        <v>0</v>
      </c>
      <c r="AB49" s="16">
        <f t="shared" si="82"/>
        <v>0</v>
      </c>
      <c r="AC49" s="16">
        <f t="shared" si="82"/>
        <v>0</v>
      </c>
      <c r="AD49" s="16">
        <f t="shared" si="82"/>
        <v>0</v>
      </c>
      <c r="AE49" s="16">
        <f t="shared" si="82"/>
        <v>0</v>
      </c>
      <c r="AF49" s="16">
        <f t="shared" si="82"/>
        <v>0</v>
      </c>
      <c r="AG49" s="16">
        <f t="shared" si="82"/>
        <v>0</v>
      </c>
      <c r="AH49" s="16">
        <f t="shared" si="82"/>
        <v>0</v>
      </c>
      <c r="AI49" s="16">
        <f t="shared" si="82"/>
        <v>0</v>
      </c>
      <c r="AJ49" s="16">
        <f>SUM(AA49:AI49)</f>
        <v>0</v>
      </c>
      <c r="AL49" s="17">
        <f t="shared" si="73"/>
        <v>0</v>
      </c>
      <c r="AM49" s="26" t="str">
        <f t="shared" si="73"/>
        <v>Affectations spéciales</v>
      </c>
      <c r="AN49" s="18">
        <f t="shared" si="83"/>
        <v>0</v>
      </c>
      <c r="AO49" s="18">
        <f t="shared" si="83"/>
        <v>0</v>
      </c>
      <c r="AP49" s="18">
        <f t="shared" si="83"/>
        <v>0</v>
      </c>
      <c r="AQ49" s="18">
        <f t="shared" si="83"/>
        <v>0</v>
      </c>
      <c r="AR49" s="18">
        <f t="shared" si="83"/>
        <v>0</v>
      </c>
      <c r="AS49" s="18">
        <f t="shared" si="83"/>
        <v>0</v>
      </c>
      <c r="AT49" s="18">
        <f t="shared" si="83"/>
        <v>0</v>
      </c>
      <c r="AU49" s="18">
        <f t="shared" si="83"/>
        <v>0</v>
      </c>
      <c r="AV49" s="18">
        <f>SUM(AN49:AU49)</f>
        <v>0</v>
      </c>
      <c r="AW49" s="38"/>
      <c r="AX49" s="17">
        <f t="shared" si="76"/>
        <v>0</v>
      </c>
      <c r="AY49" s="26" t="str">
        <f t="shared" si="76"/>
        <v>Affectations spéciales</v>
      </c>
      <c r="AZ49" s="18">
        <f t="shared" ca="1" si="84"/>
        <v>0</v>
      </c>
      <c r="BA49" s="18">
        <f t="shared" ca="1" si="84"/>
        <v>0</v>
      </c>
      <c r="BB49" s="18">
        <f t="shared" ca="1" si="84"/>
        <v>0</v>
      </c>
      <c r="BC49" s="18">
        <f t="shared" ca="1" si="84"/>
        <v>0</v>
      </c>
      <c r="BD49" s="18">
        <f t="shared" ca="1" si="84"/>
        <v>0</v>
      </c>
      <c r="BE49" s="18">
        <f t="shared" ca="1" si="84"/>
        <v>0</v>
      </c>
      <c r="BF49" s="18">
        <f t="shared" ca="1" si="84"/>
        <v>0</v>
      </c>
      <c r="BG49" s="18">
        <f t="shared" ca="1" si="84"/>
        <v>0</v>
      </c>
      <c r="BH49" s="18">
        <f t="shared" ca="1" si="84"/>
        <v>0</v>
      </c>
      <c r="BI49" s="18">
        <f t="shared" ca="1" si="84"/>
        <v>0</v>
      </c>
      <c r="BJ49" s="18">
        <f t="shared" ca="1" si="84"/>
        <v>0</v>
      </c>
      <c r="BK49" s="18">
        <f t="shared" ca="1" si="84"/>
        <v>0</v>
      </c>
    </row>
    <row r="50" spans="1:63">
      <c r="A50" s="80">
        <f t="shared" si="27"/>
        <v>35</v>
      </c>
      <c r="B50" s="53">
        <f>+'Taxes RCA 2022'!A43</f>
        <v>35</v>
      </c>
      <c r="C50" s="18" t="str">
        <f>+'Taxes RCA 2022'!B43</f>
        <v>Droit de sortie (DS)/Taxe Export (+)</v>
      </c>
      <c r="E50" s="114"/>
      <c r="F50" s="114">
        <f>SUMIF($A$84:$A$752,B50&amp;"- "&amp;C50,$G$84:$G$752)</f>
        <v>0</v>
      </c>
      <c r="G50" s="114">
        <f>E50+F50</f>
        <v>0</v>
      </c>
      <c r="H50" s="114"/>
      <c r="I50" s="114"/>
      <c r="J50" s="114">
        <f ca="1">SUMIF($J$84:$M$749,B50&amp;"- "&amp;C50,$Q$84:$Q$749)</f>
        <v>0</v>
      </c>
      <c r="K50" s="114">
        <f ca="1">I50+J50</f>
        <v>0</v>
      </c>
      <c r="L50" s="114"/>
      <c r="M50" s="114">
        <f ca="1">+G50-K50</f>
        <v>0</v>
      </c>
      <c r="N50" s="18"/>
      <c r="O50" s="38" t="str">
        <f t="shared" ca="1" si="42"/>
        <v/>
      </c>
      <c r="P50" s="39" t="str">
        <f t="shared" ca="1" si="78"/>
        <v/>
      </c>
      <c r="Y50" s="28"/>
      <c r="Z50" s="28" t="str">
        <f t="shared" ref="Z50:Z61" si="85">C53</f>
        <v>Affectation au titre la taxe de reboisement (+)</v>
      </c>
      <c r="AA50" s="29">
        <f t="shared" ref="AA50:AJ50" si="86">SUM(AA51:AA59)</f>
        <v>0</v>
      </c>
      <c r="AB50" s="29">
        <f t="shared" si="86"/>
        <v>0</v>
      </c>
      <c r="AC50" s="29">
        <f t="shared" si="86"/>
        <v>0</v>
      </c>
      <c r="AD50" s="29">
        <f t="shared" si="86"/>
        <v>0</v>
      </c>
      <c r="AE50" s="29">
        <f t="shared" si="86"/>
        <v>0</v>
      </c>
      <c r="AF50" s="29">
        <f t="shared" si="86"/>
        <v>0</v>
      </c>
      <c r="AG50" s="29">
        <f t="shared" si="86"/>
        <v>0</v>
      </c>
      <c r="AH50" s="29">
        <f t="shared" si="86"/>
        <v>0</v>
      </c>
      <c r="AI50" s="29">
        <f t="shared" si="86"/>
        <v>0</v>
      </c>
      <c r="AJ50" s="29">
        <f t="shared" si="86"/>
        <v>0</v>
      </c>
      <c r="AL50" s="28"/>
      <c r="AM50" s="28" t="str">
        <f t="shared" ref="AM50:AM61" si="87">+C53</f>
        <v>Affectation au titre la taxe de reboisement (+)</v>
      </c>
      <c r="AN50" s="29">
        <f t="shared" ref="AN50:AV50" si="88">SUM(AN51:AN59)</f>
        <v>0</v>
      </c>
      <c r="AO50" s="29">
        <f t="shared" si="88"/>
        <v>0</v>
      </c>
      <c r="AP50" s="29">
        <f t="shared" si="88"/>
        <v>0</v>
      </c>
      <c r="AQ50" s="29">
        <f t="shared" si="88"/>
        <v>0</v>
      </c>
      <c r="AR50" s="29">
        <f t="shared" si="88"/>
        <v>0</v>
      </c>
      <c r="AS50" s="29">
        <f t="shared" si="88"/>
        <v>0</v>
      </c>
      <c r="AT50" s="29">
        <f t="shared" si="88"/>
        <v>0</v>
      </c>
      <c r="AU50" s="29">
        <f t="shared" si="88"/>
        <v>0</v>
      </c>
      <c r="AV50" s="29">
        <f t="shared" si="88"/>
        <v>0</v>
      </c>
      <c r="AW50" s="18"/>
      <c r="AX50" s="28"/>
      <c r="AY50" s="28" t="str">
        <f t="shared" ref="AY50:AY61" si="89">C53</f>
        <v>Affectation au titre la taxe de reboisement (+)</v>
      </c>
      <c r="AZ50" s="29">
        <f t="shared" ref="AZ50:BK50" ca="1" si="90">SUM(AZ51:AZ59)</f>
        <v>0</v>
      </c>
      <c r="BA50" s="29">
        <f t="shared" ca="1" si="90"/>
        <v>0</v>
      </c>
      <c r="BB50" s="29">
        <f t="shared" ca="1" si="90"/>
        <v>0</v>
      </c>
      <c r="BC50" s="29">
        <f t="shared" ca="1" si="90"/>
        <v>0</v>
      </c>
      <c r="BD50" s="29">
        <f t="shared" ca="1" si="90"/>
        <v>0</v>
      </c>
      <c r="BE50" s="29">
        <f t="shared" ca="1" si="90"/>
        <v>0</v>
      </c>
      <c r="BF50" s="29">
        <f t="shared" ca="1" si="90"/>
        <v>0</v>
      </c>
      <c r="BG50" s="29">
        <f t="shared" ca="1" si="90"/>
        <v>0</v>
      </c>
      <c r="BH50" s="29">
        <f t="shared" ca="1" si="90"/>
        <v>0</v>
      </c>
      <c r="BI50" s="29">
        <f t="shared" ca="1" si="90"/>
        <v>0</v>
      </c>
      <c r="BJ50" s="29">
        <f t="shared" ca="1" si="90"/>
        <v>0</v>
      </c>
      <c r="BK50" s="29">
        <f t="shared" ca="1" si="90"/>
        <v>0</v>
      </c>
    </row>
    <row r="51" spans="1:63">
      <c r="A51" s="80">
        <f t="shared" si="27"/>
        <v>36</v>
      </c>
      <c r="B51" s="64">
        <f>+'Taxes RCA 2022'!A44</f>
        <v>36</v>
      </c>
      <c r="C51" s="68" t="str">
        <f>+'Taxes RCA 2022'!B44</f>
        <v>Taxes environnementales sur les Stes forestières et Minières (+)</v>
      </c>
      <c r="E51" s="165"/>
      <c r="F51" s="165">
        <f>SUMIF($A$84:$A$752,B51&amp;"- "&amp;C51,$G$84:$G$752)</f>
        <v>0</v>
      </c>
      <c r="G51" s="165">
        <f>E51+F51</f>
        <v>0</v>
      </c>
      <c r="H51" s="114"/>
      <c r="I51" s="165"/>
      <c r="J51" s="165">
        <f ca="1">SUMIF($J$84:$M$749,B51&amp;"- "&amp;C51,$Q$84:$Q$749)</f>
        <v>0</v>
      </c>
      <c r="K51" s="165">
        <f ca="1">I51+J51</f>
        <v>0</v>
      </c>
      <c r="L51" s="114"/>
      <c r="M51" s="165">
        <f ca="1">+G51-K51</f>
        <v>0</v>
      </c>
      <c r="N51" s="68"/>
      <c r="O51" s="38" t="str">
        <f t="shared" ca="1" si="42"/>
        <v/>
      </c>
      <c r="P51" s="39" t="str">
        <f t="shared" ca="1" si="78"/>
        <v/>
      </c>
      <c r="Y51" s="15">
        <f t="shared" ref="Y51:Y58" si="91">B54</f>
        <v>38</v>
      </c>
      <c r="Z51" s="25" t="str">
        <f t="shared" si="85"/>
        <v>Affectation au titre de taxe d’abattage (+)</v>
      </c>
      <c r="AA51" s="16">
        <f t="shared" ref="AA51:AI59" si="92">SUMPRODUCT(($A$84:$A$752=$Y51&amp;"- "&amp;$Z51)*($C$84:$C$752=AA$1)*($G$84:$G$752))</f>
        <v>0</v>
      </c>
      <c r="AB51" s="16">
        <f t="shared" si="92"/>
        <v>0</v>
      </c>
      <c r="AC51" s="16">
        <f t="shared" si="92"/>
        <v>0</v>
      </c>
      <c r="AD51" s="16">
        <f t="shared" si="92"/>
        <v>0</v>
      </c>
      <c r="AE51" s="16">
        <f t="shared" si="92"/>
        <v>0</v>
      </c>
      <c r="AF51" s="16">
        <f t="shared" si="92"/>
        <v>0</v>
      </c>
      <c r="AG51" s="16">
        <f t="shared" si="92"/>
        <v>0</v>
      </c>
      <c r="AH51" s="16">
        <f t="shared" si="92"/>
        <v>0</v>
      </c>
      <c r="AI51" s="16">
        <f t="shared" si="92"/>
        <v>0</v>
      </c>
      <c r="AJ51" s="16">
        <f t="shared" ref="AJ51:AJ59" si="93">SUM(AA51:AI51)</f>
        <v>0</v>
      </c>
      <c r="AL51" s="17">
        <f t="shared" ref="AL51:AL57" si="94">+B54</f>
        <v>38</v>
      </c>
      <c r="AM51" s="26" t="str">
        <f t="shared" si="87"/>
        <v>Affectation au titre de taxe d’abattage (+)</v>
      </c>
      <c r="AN51" s="18">
        <f t="shared" ref="AN51:AU59" si="95">SUMPRODUCT(($J$84:$M$748=$AL51&amp;"- "&amp;$AM51)*($N$84:$N$748=AN$1)*($Q$84:$Q$748))</f>
        <v>0</v>
      </c>
      <c r="AO51" s="18">
        <f t="shared" si="95"/>
        <v>0</v>
      </c>
      <c r="AP51" s="18">
        <f t="shared" si="95"/>
        <v>0</v>
      </c>
      <c r="AQ51" s="18">
        <f t="shared" si="95"/>
        <v>0</v>
      </c>
      <c r="AR51" s="18">
        <f t="shared" si="95"/>
        <v>0</v>
      </c>
      <c r="AS51" s="18">
        <f t="shared" si="95"/>
        <v>0</v>
      </c>
      <c r="AT51" s="18">
        <f t="shared" si="95"/>
        <v>0</v>
      </c>
      <c r="AU51" s="18">
        <f t="shared" si="95"/>
        <v>0</v>
      </c>
      <c r="AV51" s="18">
        <f t="shared" ref="AV51:AV59" si="96">SUM(AN51:AU51)</f>
        <v>0</v>
      </c>
      <c r="AW51" s="18"/>
      <c r="AX51" s="17">
        <f t="shared" ref="AX51:AX57" si="97">B54</f>
        <v>38</v>
      </c>
      <c r="AY51" s="26" t="str">
        <f t="shared" si="89"/>
        <v>Affectation au titre de taxe d’abattage (+)</v>
      </c>
      <c r="AZ51" s="18">
        <f t="shared" ref="AZ51:BK59" ca="1" si="98">SUMPRODUCT(($C$10:$C$75=$AY51)*($N$10:$N$75=AZ$1)*($M$10:$M$75))</f>
        <v>0</v>
      </c>
      <c r="BA51" s="18">
        <f t="shared" ca="1" si="98"/>
        <v>0</v>
      </c>
      <c r="BB51" s="18">
        <f t="shared" ca="1" si="98"/>
        <v>0</v>
      </c>
      <c r="BC51" s="18">
        <f t="shared" ca="1" si="98"/>
        <v>0</v>
      </c>
      <c r="BD51" s="18">
        <f t="shared" ca="1" si="98"/>
        <v>0</v>
      </c>
      <c r="BE51" s="18">
        <f t="shared" ca="1" si="98"/>
        <v>0</v>
      </c>
      <c r="BF51" s="18">
        <f t="shared" ca="1" si="98"/>
        <v>0</v>
      </c>
      <c r="BG51" s="18">
        <f t="shared" ca="1" si="98"/>
        <v>0</v>
      </c>
      <c r="BH51" s="18">
        <f t="shared" ca="1" si="98"/>
        <v>0</v>
      </c>
      <c r="BI51" s="18">
        <f t="shared" ca="1" si="98"/>
        <v>0</v>
      </c>
      <c r="BJ51" s="18">
        <f t="shared" ca="1" si="98"/>
        <v>0</v>
      </c>
      <c r="BK51" s="18">
        <f t="shared" ca="1" si="98"/>
        <v>0</v>
      </c>
    </row>
    <row r="52" spans="1:63">
      <c r="A52" s="80"/>
      <c r="B52" s="163"/>
      <c r="C52" s="58" t="str">
        <f>+'Taxes RCA 2022'!B45</f>
        <v>Affectations spéciales</v>
      </c>
      <c r="E52" s="166">
        <f>+E53+E54</f>
        <v>0</v>
      </c>
      <c r="F52" s="166">
        <f t="shared" ref="F52:G52" si="99">+F53+F54</f>
        <v>0</v>
      </c>
      <c r="G52" s="166">
        <f t="shared" si="99"/>
        <v>0</v>
      </c>
      <c r="H52" s="114"/>
      <c r="I52" s="166">
        <f>+I53+I54</f>
        <v>0</v>
      </c>
      <c r="J52" s="166">
        <f t="shared" ref="J52:K52" ca="1" si="100">+J53+J54</f>
        <v>0</v>
      </c>
      <c r="K52" s="166">
        <f t="shared" ca="1" si="100"/>
        <v>0</v>
      </c>
      <c r="L52" s="114"/>
      <c r="M52" s="166">
        <f t="shared" ref="M52" ca="1" si="101">+M53+M54</f>
        <v>0</v>
      </c>
      <c r="N52" s="58"/>
      <c r="O52" s="38"/>
      <c r="P52" s="39"/>
      <c r="Y52" s="15">
        <f t="shared" si="91"/>
        <v>0</v>
      </c>
      <c r="Z52" s="25" t="str">
        <f t="shared" si="85"/>
        <v xml:space="preserve">Transferts du Trésor aux communes </v>
      </c>
      <c r="AA52" s="16">
        <f t="shared" si="92"/>
        <v>0</v>
      </c>
      <c r="AB52" s="16">
        <f t="shared" si="92"/>
        <v>0</v>
      </c>
      <c r="AC52" s="16">
        <f t="shared" si="92"/>
        <v>0</v>
      </c>
      <c r="AD52" s="16">
        <f t="shared" si="92"/>
        <v>0</v>
      </c>
      <c r="AE52" s="16">
        <f t="shared" si="92"/>
        <v>0</v>
      </c>
      <c r="AF52" s="16">
        <f t="shared" si="92"/>
        <v>0</v>
      </c>
      <c r="AG52" s="16">
        <f t="shared" si="92"/>
        <v>0</v>
      </c>
      <c r="AH52" s="16">
        <f t="shared" si="92"/>
        <v>0</v>
      </c>
      <c r="AI52" s="16">
        <f t="shared" si="92"/>
        <v>0</v>
      </c>
      <c r="AJ52" s="16">
        <f t="shared" si="93"/>
        <v>0</v>
      </c>
      <c r="AL52" s="17">
        <f t="shared" si="94"/>
        <v>0</v>
      </c>
      <c r="AM52" s="26" t="str">
        <f t="shared" si="87"/>
        <v xml:space="preserve">Transferts du Trésor aux communes </v>
      </c>
      <c r="AN52" s="18">
        <f t="shared" si="95"/>
        <v>0</v>
      </c>
      <c r="AO52" s="18">
        <f t="shared" si="95"/>
        <v>0</v>
      </c>
      <c r="AP52" s="18">
        <f t="shared" si="95"/>
        <v>0</v>
      </c>
      <c r="AQ52" s="18">
        <f t="shared" si="95"/>
        <v>0</v>
      </c>
      <c r="AR52" s="18">
        <f t="shared" si="95"/>
        <v>0</v>
      </c>
      <c r="AS52" s="18">
        <f t="shared" si="95"/>
        <v>0</v>
      </c>
      <c r="AT52" s="18">
        <f t="shared" si="95"/>
        <v>0</v>
      </c>
      <c r="AU52" s="18">
        <f t="shared" si="95"/>
        <v>0</v>
      </c>
      <c r="AV52" s="18">
        <f t="shared" si="96"/>
        <v>0</v>
      </c>
      <c r="AW52" s="38"/>
      <c r="AX52" s="17">
        <f t="shared" si="97"/>
        <v>0</v>
      </c>
      <c r="AY52" s="26" t="str">
        <f t="shared" si="89"/>
        <v xml:space="preserve">Transferts du Trésor aux communes </v>
      </c>
      <c r="AZ52" s="18">
        <f t="shared" ca="1" si="98"/>
        <v>0</v>
      </c>
      <c r="BA52" s="18">
        <f t="shared" ca="1" si="98"/>
        <v>0</v>
      </c>
      <c r="BB52" s="18">
        <f t="shared" ca="1" si="98"/>
        <v>0</v>
      </c>
      <c r="BC52" s="18">
        <f t="shared" ca="1" si="98"/>
        <v>0</v>
      </c>
      <c r="BD52" s="18">
        <f t="shared" ca="1" si="98"/>
        <v>0</v>
      </c>
      <c r="BE52" s="18">
        <f t="shared" ca="1" si="98"/>
        <v>0</v>
      </c>
      <c r="BF52" s="18">
        <f t="shared" ca="1" si="98"/>
        <v>0</v>
      </c>
      <c r="BG52" s="18">
        <f t="shared" ca="1" si="98"/>
        <v>0</v>
      </c>
      <c r="BH52" s="18">
        <f t="shared" ca="1" si="98"/>
        <v>0</v>
      </c>
      <c r="BI52" s="18">
        <f t="shared" ca="1" si="98"/>
        <v>0</v>
      </c>
      <c r="BJ52" s="18">
        <f t="shared" ca="1" si="98"/>
        <v>0</v>
      </c>
      <c r="BK52" s="18">
        <f t="shared" ca="1" si="98"/>
        <v>0</v>
      </c>
    </row>
    <row r="53" spans="1:63">
      <c r="A53" s="80">
        <f t="shared" si="27"/>
        <v>37</v>
      </c>
      <c r="B53" s="53">
        <f>+'Taxes RCA 2022'!A46</f>
        <v>37</v>
      </c>
      <c r="C53" s="18" t="str">
        <f>+'Taxes RCA 2022'!B46</f>
        <v>Affectation au titre la taxe de reboisement (+)</v>
      </c>
      <c r="E53" s="114"/>
      <c r="F53" s="114">
        <f>SUMIF($A$84:$A$752,B53&amp;"- "&amp;C53,$G$84:$G$752)</f>
        <v>0</v>
      </c>
      <c r="G53" s="114">
        <f>E53+F53</f>
        <v>0</v>
      </c>
      <c r="H53" s="114"/>
      <c r="I53" s="114"/>
      <c r="J53" s="114">
        <f ca="1">SUMIF($J$84:$M$749,B53&amp;"- "&amp;C53,$Q$84:$Q$749)</f>
        <v>0</v>
      </c>
      <c r="K53" s="114">
        <f ca="1">I53+J53</f>
        <v>0</v>
      </c>
      <c r="L53" s="114"/>
      <c r="M53" s="114">
        <f ca="1">+G53-K53</f>
        <v>0</v>
      </c>
      <c r="N53" s="18"/>
      <c r="O53" s="38"/>
      <c r="P53" s="39"/>
      <c r="Y53" s="15">
        <f t="shared" si="91"/>
        <v>0</v>
      </c>
      <c r="Z53" s="25" t="str">
        <f t="shared" si="85"/>
        <v>Transfert du trésor aux communes</v>
      </c>
      <c r="AA53" s="16">
        <f t="shared" si="92"/>
        <v>0</v>
      </c>
      <c r="AB53" s="16">
        <f t="shared" si="92"/>
        <v>0</v>
      </c>
      <c r="AC53" s="16">
        <f t="shared" si="92"/>
        <v>0</v>
      </c>
      <c r="AD53" s="16">
        <f t="shared" si="92"/>
        <v>0</v>
      </c>
      <c r="AE53" s="16">
        <f t="shared" si="92"/>
        <v>0</v>
      </c>
      <c r="AF53" s="16">
        <f t="shared" si="92"/>
        <v>0</v>
      </c>
      <c r="AG53" s="16">
        <f t="shared" si="92"/>
        <v>0</v>
      </c>
      <c r="AH53" s="16">
        <f t="shared" si="92"/>
        <v>0</v>
      </c>
      <c r="AI53" s="16">
        <f t="shared" si="92"/>
        <v>0</v>
      </c>
      <c r="AJ53" s="16">
        <f t="shared" si="93"/>
        <v>0</v>
      </c>
      <c r="AL53" s="17">
        <f t="shared" si="94"/>
        <v>0</v>
      </c>
      <c r="AM53" s="26" t="str">
        <f t="shared" si="87"/>
        <v>Transfert du trésor aux communes</v>
      </c>
      <c r="AN53" s="18">
        <f t="shared" si="95"/>
        <v>0</v>
      </c>
      <c r="AO53" s="18">
        <f t="shared" si="95"/>
        <v>0</v>
      </c>
      <c r="AP53" s="18">
        <f t="shared" si="95"/>
        <v>0</v>
      </c>
      <c r="AQ53" s="18">
        <f t="shared" si="95"/>
        <v>0</v>
      </c>
      <c r="AR53" s="18">
        <f t="shared" si="95"/>
        <v>0</v>
      </c>
      <c r="AS53" s="18">
        <f t="shared" si="95"/>
        <v>0</v>
      </c>
      <c r="AT53" s="18">
        <f t="shared" si="95"/>
        <v>0</v>
      </c>
      <c r="AU53" s="18">
        <f t="shared" si="95"/>
        <v>0</v>
      </c>
      <c r="AV53" s="18">
        <f t="shared" si="96"/>
        <v>0</v>
      </c>
      <c r="AW53" s="18"/>
      <c r="AX53" s="17">
        <f t="shared" si="97"/>
        <v>0</v>
      </c>
      <c r="AY53" s="26" t="str">
        <f t="shared" si="89"/>
        <v>Transfert du trésor aux communes</v>
      </c>
      <c r="AZ53" s="18">
        <f t="shared" ca="1" si="98"/>
        <v>0</v>
      </c>
      <c r="BA53" s="18">
        <f t="shared" ca="1" si="98"/>
        <v>0</v>
      </c>
      <c r="BB53" s="18">
        <f t="shared" ca="1" si="98"/>
        <v>0</v>
      </c>
      <c r="BC53" s="18">
        <f t="shared" ca="1" si="98"/>
        <v>0</v>
      </c>
      <c r="BD53" s="18">
        <f t="shared" ca="1" si="98"/>
        <v>0</v>
      </c>
      <c r="BE53" s="18">
        <f t="shared" ca="1" si="98"/>
        <v>0</v>
      </c>
      <c r="BF53" s="18">
        <f t="shared" ca="1" si="98"/>
        <v>0</v>
      </c>
      <c r="BG53" s="18">
        <f t="shared" ca="1" si="98"/>
        <v>0</v>
      </c>
      <c r="BH53" s="18">
        <f t="shared" ca="1" si="98"/>
        <v>0</v>
      </c>
      <c r="BI53" s="18">
        <f t="shared" ca="1" si="98"/>
        <v>0</v>
      </c>
      <c r="BJ53" s="18">
        <f t="shared" ca="1" si="98"/>
        <v>0</v>
      </c>
      <c r="BK53" s="18">
        <f t="shared" ca="1" si="98"/>
        <v>0</v>
      </c>
    </row>
    <row r="54" spans="1:63">
      <c r="A54" s="80">
        <f t="shared" si="27"/>
        <v>38</v>
      </c>
      <c r="B54" s="64">
        <f>+'Taxes RCA 2022'!A47</f>
        <v>38</v>
      </c>
      <c r="C54" s="68" t="str">
        <f>+'Taxes RCA 2022'!B47</f>
        <v>Affectation au titre de taxe d’abattage (+)</v>
      </c>
      <c r="E54" s="165"/>
      <c r="F54" s="165">
        <f>SUMIF($A$84:$A$752,B54&amp;"- "&amp;C54,$G$84:$G$752)</f>
        <v>0</v>
      </c>
      <c r="G54" s="165">
        <f>E54+F54</f>
        <v>0</v>
      </c>
      <c r="H54" s="114"/>
      <c r="I54" s="165"/>
      <c r="J54" s="165">
        <f ca="1">SUMIF($J$84:$M$749,B54&amp;"- "&amp;C54,$Q$84:$Q$749)</f>
        <v>0</v>
      </c>
      <c r="K54" s="165">
        <f ca="1">I54+J54</f>
        <v>0</v>
      </c>
      <c r="L54" s="114"/>
      <c r="M54" s="165">
        <f ca="1">+G54-K54</f>
        <v>0</v>
      </c>
      <c r="N54" s="68"/>
      <c r="O54" s="38" t="str">
        <f t="shared" ca="1" si="42"/>
        <v/>
      </c>
      <c r="P54" s="39" t="str">
        <f ca="1">IF(O54="ERROR","Please insert comment","")</f>
        <v/>
      </c>
      <c r="Y54" s="15">
        <f t="shared" si="91"/>
        <v>39</v>
      </c>
      <c r="Z54" s="25" t="str">
        <f t="shared" si="85"/>
        <v>Transfert infranational au titre de la taxe d'abattage (+)</v>
      </c>
      <c r="AA54" s="16">
        <f t="shared" si="92"/>
        <v>0</v>
      </c>
      <c r="AB54" s="16">
        <f t="shared" si="92"/>
        <v>0</v>
      </c>
      <c r="AC54" s="16">
        <f t="shared" si="92"/>
        <v>0</v>
      </c>
      <c r="AD54" s="16">
        <f t="shared" si="92"/>
        <v>0</v>
      </c>
      <c r="AE54" s="16">
        <f t="shared" si="92"/>
        <v>0</v>
      </c>
      <c r="AF54" s="16">
        <f t="shared" si="92"/>
        <v>0</v>
      </c>
      <c r="AG54" s="16">
        <f t="shared" si="92"/>
        <v>0</v>
      </c>
      <c r="AH54" s="16">
        <f t="shared" si="92"/>
        <v>0</v>
      </c>
      <c r="AI54" s="16">
        <f t="shared" si="92"/>
        <v>0</v>
      </c>
      <c r="AJ54" s="16">
        <f t="shared" si="93"/>
        <v>0</v>
      </c>
      <c r="AL54" s="17">
        <f t="shared" si="94"/>
        <v>39</v>
      </c>
      <c r="AM54" s="26" t="str">
        <f t="shared" si="87"/>
        <v>Transfert infranational au titre de la taxe d'abattage (+)</v>
      </c>
      <c r="AN54" s="18">
        <f t="shared" si="95"/>
        <v>0</v>
      </c>
      <c r="AO54" s="18">
        <f t="shared" si="95"/>
        <v>0</v>
      </c>
      <c r="AP54" s="18">
        <f t="shared" si="95"/>
        <v>0</v>
      </c>
      <c r="AQ54" s="18">
        <f t="shared" si="95"/>
        <v>0</v>
      </c>
      <c r="AR54" s="18">
        <f t="shared" si="95"/>
        <v>0</v>
      </c>
      <c r="AS54" s="18">
        <f t="shared" si="95"/>
        <v>0</v>
      </c>
      <c r="AT54" s="18">
        <f t="shared" si="95"/>
        <v>0</v>
      </c>
      <c r="AU54" s="18">
        <f t="shared" si="95"/>
        <v>0</v>
      </c>
      <c r="AV54" s="18">
        <f t="shared" si="96"/>
        <v>0</v>
      </c>
      <c r="AW54" s="18"/>
      <c r="AX54" s="17">
        <f t="shared" si="97"/>
        <v>39</v>
      </c>
      <c r="AY54" s="26" t="str">
        <f t="shared" si="89"/>
        <v>Transfert infranational au titre de la taxe d'abattage (+)</v>
      </c>
      <c r="AZ54" s="18">
        <f t="shared" ca="1" si="98"/>
        <v>0</v>
      </c>
      <c r="BA54" s="18">
        <f t="shared" ca="1" si="98"/>
        <v>0</v>
      </c>
      <c r="BB54" s="18">
        <f t="shared" ca="1" si="98"/>
        <v>0</v>
      </c>
      <c r="BC54" s="18">
        <f t="shared" ca="1" si="98"/>
        <v>0</v>
      </c>
      <c r="BD54" s="18">
        <f t="shared" ca="1" si="98"/>
        <v>0</v>
      </c>
      <c r="BE54" s="18">
        <f t="shared" ca="1" si="98"/>
        <v>0</v>
      </c>
      <c r="BF54" s="18">
        <f t="shared" ca="1" si="98"/>
        <v>0</v>
      </c>
      <c r="BG54" s="18">
        <f t="shared" ca="1" si="98"/>
        <v>0</v>
      </c>
      <c r="BH54" s="18">
        <f t="shared" ca="1" si="98"/>
        <v>0</v>
      </c>
      <c r="BI54" s="18">
        <f t="shared" ca="1" si="98"/>
        <v>0</v>
      </c>
      <c r="BJ54" s="18">
        <f t="shared" ca="1" si="98"/>
        <v>0</v>
      </c>
      <c r="BK54" s="18">
        <f t="shared" ca="1" si="98"/>
        <v>0</v>
      </c>
    </row>
    <row r="55" spans="1:63">
      <c r="A55" s="80">
        <f t="shared" si="27"/>
        <v>0</v>
      </c>
      <c r="B55" s="163"/>
      <c r="C55" s="58" t="str">
        <f>+'Taxes RCA 2022'!B48</f>
        <v xml:space="preserve">Transferts du Trésor aux communes </v>
      </c>
      <c r="E55" s="166">
        <f>SUM(E56:E61)</f>
        <v>0</v>
      </c>
      <c r="F55" s="166">
        <f t="shared" ref="F55:G55" si="102">SUM(F56:F61)</f>
        <v>0</v>
      </c>
      <c r="G55" s="166">
        <f t="shared" si="102"/>
        <v>0</v>
      </c>
      <c r="H55" s="114"/>
      <c r="I55" s="166">
        <f>SUM(I56:I61)</f>
        <v>0</v>
      </c>
      <c r="J55" s="166">
        <f t="shared" ref="J55:K55" ca="1" si="103">SUM(J56:J61)</f>
        <v>0</v>
      </c>
      <c r="K55" s="166">
        <f t="shared" ca="1" si="103"/>
        <v>0</v>
      </c>
      <c r="L55" s="114"/>
      <c r="M55" s="166">
        <f t="shared" ref="M55" ca="1" si="104">SUM(M56:M61)</f>
        <v>0</v>
      </c>
      <c r="N55" s="58"/>
      <c r="O55" s="38" t="str">
        <f t="shared" ca="1" si="42"/>
        <v/>
      </c>
      <c r="P55" s="39" t="str">
        <f ca="1">IF(O55="ERROR","Please insert comment","")</f>
        <v/>
      </c>
      <c r="Y55" s="15">
        <f t="shared" si="91"/>
        <v>40</v>
      </c>
      <c r="Z55" s="25" t="str">
        <f t="shared" si="85"/>
        <v>Transfert infranational au titre de la taxe reboisement (+)</v>
      </c>
      <c r="AA55" s="16">
        <f t="shared" si="92"/>
        <v>0</v>
      </c>
      <c r="AB55" s="16">
        <f t="shared" si="92"/>
        <v>0</v>
      </c>
      <c r="AC55" s="16">
        <f t="shared" si="92"/>
        <v>0</v>
      </c>
      <c r="AD55" s="16">
        <f t="shared" si="92"/>
        <v>0</v>
      </c>
      <c r="AE55" s="16">
        <f t="shared" si="92"/>
        <v>0</v>
      </c>
      <c r="AF55" s="16">
        <f t="shared" si="92"/>
        <v>0</v>
      </c>
      <c r="AG55" s="16">
        <f t="shared" si="92"/>
        <v>0</v>
      </c>
      <c r="AH55" s="16">
        <f t="shared" si="92"/>
        <v>0</v>
      </c>
      <c r="AI55" s="16">
        <f t="shared" si="92"/>
        <v>0</v>
      </c>
      <c r="AJ55" s="16">
        <f t="shared" si="93"/>
        <v>0</v>
      </c>
      <c r="AL55" s="17">
        <f t="shared" si="94"/>
        <v>40</v>
      </c>
      <c r="AM55" s="26" t="str">
        <f t="shared" si="87"/>
        <v>Transfert infranational au titre de la taxe reboisement (+)</v>
      </c>
      <c r="AN55" s="18">
        <f t="shared" si="95"/>
        <v>0</v>
      </c>
      <c r="AO55" s="18">
        <f t="shared" si="95"/>
        <v>0</v>
      </c>
      <c r="AP55" s="18">
        <f t="shared" si="95"/>
        <v>0</v>
      </c>
      <c r="AQ55" s="18">
        <f t="shared" si="95"/>
        <v>0</v>
      </c>
      <c r="AR55" s="18">
        <f t="shared" si="95"/>
        <v>0</v>
      </c>
      <c r="AS55" s="18">
        <f t="shared" si="95"/>
        <v>0</v>
      </c>
      <c r="AT55" s="18">
        <f t="shared" si="95"/>
        <v>0</v>
      </c>
      <c r="AU55" s="18">
        <f t="shared" si="95"/>
        <v>0</v>
      </c>
      <c r="AV55" s="18">
        <f t="shared" si="96"/>
        <v>0</v>
      </c>
      <c r="AW55" s="18"/>
      <c r="AX55" s="17">
        <f t="shared" si="97"/>
        <v>40</v>
      </c>
      <c r="AY55" s="26" t="str">
        <f t="shared" si="89"/>
        <v>Transfert infranational au titre de la taxe reboisement (+)</v>
      </c>
      <c r="AZ55" s="18">
        <f t="shared" ca="1" si="98"/>
        <v>0</v>
      </c>
      <c r="BA55" s="18">
        <f t="shared" ca="1" si="98"/>
        <v>0</v>
      </c>
      <c r="BB55" s="18">
        <f t="shared" ca="1" si="98"/>
        <v>0</v>
      </c>
      <c r="BC55" s="18">
        <f t="shared" ca="1" si="98"/>
        <v>0</v>
      </c>
      <c r="BD55" s="18">
        <f t="shared" ca="1" si="98"/>
        <v>0</v>
      </c>
      <c r="BE55" s="18">
        <f t="shared" ca="1" si="98"/>
        <v>0</v>
      </c>
      <c r="BF55" s="18">
        <f t="shared" ca="1" si="98"/>
        <v>0</v>
      </c>
      <c r="BG55" s="18">
        <f t="shared" ca="1" si="98"/>
        <v>0</v>
      </c>
      <c r="BH55" s="18">
        <f t="shared" ca="1" si="98"/>
        <v>0</v>
      </c>
      <c r="BI55" s="18">
        <f t="shared" ca="1" si="98"/>
        <v>0</v>
      </c>
      <c r="BJ55" s="18">
        <f t="shared" ca="1" si="98"/>
        <v>0</v>
      </c>
      <c r="BK55" s="18">
        <f t="shared" ca="1" si="98"/>
        <v>0</v>
      </c>
    </row>
    <row r="56" spans="1:63">
      <c r="A56" s="80"/>
      <c r="B56" s="53">
        <f>+'Taxes RCA 2022'!A49</f>
        <v>0</v>
      </c>
      <c r="C56" s="18" t="str">
        <f>+'Taxes RCA 2022'!B49</f>
        <v>Transfert du trésor aux communes</v>
      </c>
      <c r="E56" s="114"/>
      <c r="F56" s="114">
        <f t="shared" ref="F56:F61" si="105">SUMIF($A$84:$A$752,B56&amp;"- "&amp;C56,$G$84:$G$752)</f>
        <v>0</v>
      </c>
      <c r="G56" s="114">
        <f t="shared" ref="G56:G61" si="106">E56+F56</f>
        <v>0</v>
      </c>
      <c r="H56" s="114"/>
      <c r="I56" s="114"/>
      <c r="J56" s="114">
        <f t="shared" ref="J56:J61" ca="1" si="107">SUMIF($J$84:$M$749,B56&amp;"- "&amp;C56,$Q$84:$Q$749)</f>
        <v>0</v>
      </c>
      <c r="K56" s="114">
        <f t="shared" ref="K56:K61" ca="1" si="108">I56+J56</f>
        <v>0</v>
      </c>
      <c r="L56" s="114"/>
      <c r="M56" s="114">
        <f t="shared" ref="M56:M61" ca="1" si="109">+G56-K56</f>
        <v>0</v>
      </c>
      <c r="N56" s="18"/>
      <c r="O56" s="38"/>
      <c r="P56" s="39"/>
      <c r="Y56" s="15">
        <f t="shared" si="91"/>
        <v>41</v>
      </c>
      <c r="Z56" s="25" t="str">
        <f t="shared" si="85"/>
        <v>Transfert infranational au titre de la taxe environnementale (+)</v>
      </c>
      <c r="AA56" s="16">
        <f t="shared" si="92"/>
        <v>0</v>
      </c>
      <c r="AB56" s="16">
        <f t="shared" si="92"/>
        <v>0</v>
      </c>
      <c r="AC56" s="16">
        <f t="shared" si="92"/>
        <v>0</v>
      </c>
      <c r="AD56" s="16">
        <f t="shared" si="92"/>
        <v>0</v>
      </c>
      <c r="AE56" s="16">
        <f t="shared" si="92"/>
        <v>0</v>
      </c>
      <c r="AF56" s="16">
        <f t="shared" si="92"/>
        <v>0</v>
      </c>
      <c r="AG56" s="16">
        <f t="shared" si="92"/>
        <v>0</v>
      </c>
      <c r="AH56" s="16">
        <f t="shared" si="92"/>
        <v>0</v>
      </c>
      <c r="AI56" s="16">
        <f t="shared" si="92"/>
        <v>0</v>
      </c>
      <c r="AJ56" s="16">
        <f t="shared" si="93"/>
        <v>0</v>
      </c>
      <c r="AL56" s="17">
        <f t="shared" si="94"/>
        <v>41</v>
      </c>
      <c r="AM56" s="26" t="str">
        <f t="shared" si="87"/>
        <v>Transfert infranational au titre de la taxe environnementale (+)</v>
      </c>
      <c r="AN56" s="18">
        <f t="shared" si="95"/>
        <v>0</v>
      </c>
      <c r="AO56" s="18">
        <f t="shared" si="95"/>
        <v>0</v>
      </c>
      <c r="AP56" s="18">
        <f t="shared" si="95"/>
        <v>0</v>
      </c>
      <c r="AQ56" s="18">
        <f t="shared" si="95"/>
        <v>0</v>
      </c>
      <c r="AR56" s="18">
        <f t="shared" si="95"/>
        <v>0</v>
      </c>
      <c r="AS56" s="18">
        <f t="shared" si="95"/>
        <v>0</v>
      </c>
      <c r="AT56" s="18">
        <f t="shared" si="95"/>
        <v>0</v>
      </c>
      <c r="AU56" s="18">
        <f t="shared" si="95"/>
        <v>0</v>
      </c>
      <c r="AV56" s="18">
        <f t="shared" si="96"/>
        <v>0</v>
      </c>
      <c r="AW56" s="18"/>
      <c r="AX56" s="17">
        <f t="shared" si="97"/>
        <v>41</v>
      </c>
      <c r="AY56" s="26" t="str">
        <f t="shared" si="89"/>
        <v>Transfert infranational au titre de la taxe environnementale (+)</v>
      </c>
      <c r="AZ56" s="18">
        <f t="shared" ca="1" si="98"/>
        <v>0</v>
      </c>
      <c r="BA56" s="18">
        <f t="shared" ca="1" si="98"/>
        <v>0</v>
      </c>
      <c r="BB56" s="18">
        <f t="shared" ca="1" si="98"/>
        <v>0</v>
      </c>
      <c r="BC56" s="18">
        <f t="shared" ca="1" si="98"/>
        <v>0</v>
      </c>
      <c r="BD56" s="18">
        <f t="shared" ca="1" si="98"/>
        <v>0</v>
      </c>
      <c r="BE56" s="18">
        <f t="shared" ca="1" si="98"/>
        <v>0</v>
      </c>
      <c r="BF56" s="18">
        <f t="shared" ca="1" si="98"/>
        <v>0</v>
      </c>
      <c r="BG56" s="18">
        <f t="shared" ca="1" si="98"/>
        <v>0</v>
      </c>
      <c r="BH56" s="18">
        <f t="shared" ca="1" si="98"/>
        <v>0</v>
      </c>
      <c r="BI56" s="18">
        <f t="shared" ca="1" si="98"/>
        <v>0</v>
      </c>
      <c r="BJ56" s="18">
        <f t="shared" ca="1" si="98"/>
        <v>0</v>
      </c>
      <c r="BK56" s="18">
        <f t="shared" ca="1" si="98"/>
        <v>0</v>
      </c>
    </row>
    <row r="57" spans="1:63">
      <c r="A57" s="80"/>
      <c r="B57" s="64">
        <f>+'Taxes RCA 2022'!A50</f>
        <v>39</v>
      </c>
      <c r="C57" s="68" t="str">
        <f>+'Taxes RCA 2022'!B50</f>
        <v>Transfert infranational au titre de la taxe d'abattage (+)</v>
      </c>
      <c r="E57" s="165"/>
      <c r="F57" s="165">
        <f t="shared" si="105"/>
        <v>0</v>
      </c>
      <c r="G57" s="165">
        <f t="shared" si="106"/>
        <v>0</v>
      </c>
      <c r="H57" s="114"/>
      <c r="I57" s="165"/>
      <c r="J57" s="165">
        <f t="shared" ca="1" si="107"/>
        <v>0</v>
      </c>
      <c r="K57" s="165">
        <f t="shared" ca="1" si="108"/>
        <v>0</v>
      </c>
      <c r="L57" s="114"/>
      <c r="M57" s="165">
        <f t="shared" ca="1" si="109"/>
        <v>0</v>
      </c>
      <c r="N57" s="68"/>
      <c r="O57" s="38"/>
      <c r="P57" s="39"/>
      <c r="Y57" s="15">
        <f t="shared" si="91"/>
        <v>42</v>
      </c>
      <c r="Z57" s="25" t="str">
        <f t="shared" si="85"/>
        <v>Droit de sortie (DS)/Taxe Export (+)</v>
      </c>
      <c r="AA57" s="16">
        <f t="shared" si="92"/>
        <v>0</v>
      </c>
      <c r="AB57" s="16">
        <f t="shared" si="92"/>
        <v>0</v>
      </c>
      <c r="AC57" s="16">
        <f t="shared" si="92"/>
        <v>0</v>
      </c>
      <c r="AD57" s="16">
        <f t="shared" si="92"/>
        <v>0</v>
      </c>
      <c r="AE57" s="16">
        <f t="shared" si="92"/>
        <v>0</v>
      </c>
      <c r="AF57" s="16">
        <f t="shared" si="92"/>
        <v>0</v>
      </c>
      <c r="AG57" s="16">
        <f t="shared" si="92"/>
        <v>0</v>
      </c>
      <c r="AH57" s="16">
        <f t="shared" si="92"/>
        <v>0</v>
      </c>
      <c r="AI57" s="16">
        <f t="shared" si="92"/>
        <v>0</v>
      </c>
      <c r="AJ57" s="16">
        <f t="shared" si="93"/>
        <v>0</v>
      </c>
      <c r="AL57" s="17">
        <f t="shared" si="94"/>
        <v>42</v>
      </c>
      <c r="AM57" s="26" t="str">
        <f t="shared" si="87"/>
        <v>Droit de sortie (DS)/Taxe Export (+)</v>
      </c>
      <c r="AN57" s="18">
        <f t="shared" si="95"/>
        <v>0</v>
      </c>
      <c r="AO57" s="18">
        <f t="shared" si="95"/>
        <v>0</v>
      </c>
      <c r="AP57" s="18">
        <f t="shared" si="95"/>
        <v>0</v>
      </c>
      <c r="AQ57" s="18">
        <f t="shared" si="95"/>
        <v>0</v>
      </c>
      <c r="AR57" s="18">
        <f t="shared" si="95"/>
        <v>0</v>
      </c>
      <c r="AS57" s="18">
        <f t="shared" si="95"/>
        <v>0</v>
      </c>
      <c r="AT57" s="18">
        <f t="shared" si="95"/>
        <v>0</v>
      </c>
      <c r="AU57" s="18">
        <f t="shared" si="95"/>
        <v>0</v>
      </c>
      <c r="AV57" s="18">
        <f t="shared" si="96"/>
        <v>0</v>
      </c>
      <c r="AW57" s="18"/>
      <c r="AX57" s="17">
        <f t="shared" si="97"/>
        <v>42</v>
      </c>
      <c r="AY57" s="26" t="str">
        <f t="shared" si="89"/>
        <v>Droit de sortie (DS)/Taxe Export (+)</v>
      </c>
      <c r="AZ57" s="18">
        <f t="shared" ca="1" si="98"/>
        <v>0</v>
      </c>
      <c r="BA57" s="18">
        <f t="shared" ca="1" si="98"/>
        <v>0</v>
      </c>
      <c r="BB57" s="18">
        <f t="shared" ca="1" si="98"/>
        <v>0</v>
      </c>
      <c r="BC57" s="18">
        <f t="shared" ca="1" si="98"/>
        <v>0</v>
      </c>
      <c r="BD57" s="18">
        <f t="shared" ca="1" si="98"/>
        <v>0</v>
      </c>
      <c r="BE57" s="18">
        <f t="shared" ca="1" si="98"/>
        <v>0</v>
      </c>
      <c r="BF57" s="18">
        <f t="shared" ca="1" si="98"/>
        <v>0</v>
      </c>
      <c r="BG57" s="18">
        <f t="shared" ca="1" si="98"/>
        <v>0</v>
      </c>
      <c r="BH57" s="18">
        <f t="shared" ca="1" si="98"/>
        <v>0</v>
      </c>
      <c r="BI57" s="18">
        <f t="shared" ca="1" si="98"/>
        <v>0</v>
      </c>
      <c r="BJ57" s="18">
        <f t="shared" ca="1" si="98"/>
        <v>0</v>
      </c>
      <c r="BK57" s="18">
        <f t="shared" ca="1" si="98"/>
        <v>0</v>
      </c>
    </row>
    <row r="58" spans="1:63">
      <c r="A58" s="80"/>
      <c r="B58" s="53">
        <f>+'Taxes RCA 2022'!A51</f>
        <v>40</v>
      </c>
      <c r="C58" s="18" t="str">
        <f>+'Taxes RCA 2022'!B51</f>
        <v>Transfert infranational au titre de la taxe reboisement (+)</v>
      </c>
      <c r="E58" s="114"/>
      <c r="F58" s="114">
        <f t="shared" si="105"/>
        <v>0</v>
      </c>
      <c r="G58" s="114">
        <f t="shared" si="106"/>
        <v>0</v>
      </c>
      <c r="H58" s="114"/>
      <c r="I58" s="114"/>
      <c r="J58" s="114">
        <f t="shared" ca="1" si="107"/>
        <v>0</v>
      </c>
      <c r="K58" s="114">
        <f t="shared" ca="1" si="108"/>
        <v>0</v>
      </c>
      <c r="L58" s="114"/>
      <c r="M58" s="114">
        <f t="shared" ca="1" si="109"/>
        <v>0</v>
      </c>
      <c r="N58" s="18"/>
      <c r="O58" s="38"/>
      <c r="P58" s="39"/>
      <c r="Y58" s="15">
        <f t="shared" si="91"/>
        <v>43</v>
      </c>
      <c r="Z58" s="25" t="str">
        <f t="shared" si="85"/>
        <v xml:space="preserve">Autres transferts au profit des communes </v>
      </c>
      <c r="AA58" s="16">
        <f t="shared" si="92"/>
        <v>0</v>
      </c>
      <c r="AB58" s="16">
        <f t="shared" si="92"/>
        <v>0</v>
      </c>
      <c r="AC58" s="16">
        <f t="shared" si="92"/>
        <v>0</v>
      </c>
      <c r="AD58" s="16">
        <f t="shared" si="92"/>
        <v>0</v>
      </c>
      <c r="AE58" s="16">
        <f t="shared" si="92"/>
        <v>0</v>
      </c>
      <c r="AF58" s="16">
        <f t="shared" si="92"/>
        <v>0</v>
      </c>
      <c r="AG58" s="16">
        <f t="shared" si="92"/>
        <v>0</v>
      </c>
      <c r="AH58" s="16">
        <f t="shared" si="92"/>
        <v>0</v>
      </c>
      <c r="AI58" s="16">
        <f t="shared" si="92"/>
        <v>0</v>
      </c>
      <c r="AJ58" s="16">
        <f t="shared" si="93"/>
        <v>0</v>
      </c>
      <c r="AL58" s="17">
        <f>+B61</f>
        <v>43</v>
      </c>
      <c r="AM58" s="26" t="str">
        <f t="shared" si="87"/>
        <v xml:space="preserve">Autres transferts au profit des communes </v>
      </c>
      <c r="AN58" s="18">
        <f t="shared" si="95"/>
        <v>0</v>
      </c>
      <c r="AO58" s="18">
        <f t="shared" si="95"/>
        <v>0</v>
      </c>
      <c r="AP58" s="18">
        <f t="shared" si="95"/>
        <v>0</v>
      </c>
      <c r="AQ58" s="18">
        <f t="shared" si="95"/>
        <v>0</v>
      </c>
      <c r="AR58" s="18">
        <f t="shared" si="95"/>
        <v>0</v>
      </c>
      <c r="AS58" s="18">
        <f t="shared" si="95"/>
        <v>0</v>
      </c>
      <c r="AT58" s="18">
        <f t="shared" si="95"/>
        <v>0</v>
      </c>
      <c r="AU58" s="18">
        <f t="shared" si="95"/>
        <v>0</v>
      </c>
      <c r="AV58" s="18">
        <f t="shared" si="96"/>
        <v>0</v>
      </c>
      <c r="AW58" s="18"/>
      <c r="AX58" s="17">
        <f>B61</f>
        <v>43</v>
      </c>
      <c r="AY58" s="26" t="str">
        <f t="shared" si="89"/>
        <v xml:space="preserve">Autres transferts au profit des communes </v>
      </c>
      <c r="AZ58" s="18">
        <f t="shared" ca="1" si="98"/>
        <v>0</v>
      </c>
      <c r="BA58" s="18">
        <f t="shared" ca="1" si="98"/>
        <v>0</v>
      </c>
      <c r="BB58" s="18">
        <f t="shared" ca="1" si="98"/>
        <v>0</v>
      </c>
      <c r="BC58" s="18">
        <f t="shared" ca="1" si="98"/>
        <v>0</v>
      </c>
      <c r="BD58" s="18">
        <f t="shared" ca="1" si="98"/>
        <v>0</v>
      </c>
      <c r="BE58" s="18">
        <f t="shared" ca="1" si="98"/>
        <v>0</v>
      </c>
      <c r="BF58" s="18">
        <f t="shared" ca="1" si="98"/>
        <v>0</v>
      </c>
      <c r="BG58" s="18">
        <f t="shared" ca="1" si="98"/>
        <v>0</v>
      </c>
      <c r="BH58" s="18">
        <f t="shared" ca="1" si="98"/>
        <v>0</v>
      </c>
      <c r="BI58" s="18">
        <f t="shared" ca="1" si="98"/>
        <v>0</v>
      </c>
      <c r="BJ58" s="18">
        <f t="shared" ca="1" si="98"/>
        <v>0</v>
      </c>
      <c r="BK58" s="18">
        <f t="shared" ca="1" si="98"/>
        <v>0</v>
      </c>
    </row>
    <row r="59" spans="1:63">
      <c r="A59" s="80"/>
      <c r="B59" s="64">
        <f>+'Taxes RCA 2022'!A52</f>
        <v>41</v>
      </c>
      <c r="C59" s="68" t="str">
        <f>+'Taxes RCA 2022'!B52</f>
        <v>Transfert infranational au titre de la taxe environnementale (+)</v>
      </c>
      <c r="E59" s="165"/>
      <c r="F59" s="165">
        <f t="shared" si="105"/>
        <v>0</v>
      </c>
      <c r="G59" s="165">
        <f t="shared" si="106"/>
        <v>0</v>
      </c>
      <c r="H59" s="114"/>
      <c r="I59" s="165"/>
      <c r="J59" s="165">
        <f t="shared" ca="1" si="107"/>
        <v>0</v>
      </c>
      <c r="K59" s="165">
        <f t="shared" ca="1" si="108"/>
        <v>0</v>
      </c>
      <c r="L59" s="114"/>
      <c r="M59" s="165">
        <f t="shared" ca="1" si="109"/>
        <v>0</v>
      </c>
      <c r="N59" s="68"/>
      <c r="O59" s="38"/>
      <c r="P59" s="39"/>
      <c r="Y59" s="15">
        <f>B62</f>
        <v>0</v>
      </c>
      <c r="Z59" s="25" t="str">
        <f t="shared" si="85"/>
        <v>DGTCP (DGP)</v>
      </c>
      <c r="AA59" s="16">
        <f t="shared" si="92"/>
        <v>0</v>
      </c>
      <c r="AB59" s="16">
        <f t="shared" si="92"/>
        <v>0</v>
      </c>
      <c r="AC59" s="16">
        <f t="shared" si="92"/>
        <v>0</v>
      </c>
      <c r="AD59" s="16">
        <f t="shared" si="92"/>
        <v>0</v>
      </c>
      <c r="AE59" s="16">
        <f t="shared" si="92"/>
        <v>0</v>
      </c>
      <c r="AF59" s="16">
        <f t="shared" si="92"/>
        <v>0</v>
      </c>
      <c r="AG59" s="16">
        <f t="shared" si="92"/>
        <v>0</v>
      </c>
      <c r="AH59" s="16">
        <f t="shared" si="92"/>
        <v>0</v>
      </c>
      <c r="AI59" s="16">
        <f t="shared" si="92"/>
        <v>0</v>
      </c>
      <c r="AJ59" s="16">
        <f t="shared" si="93"/>
        <v>0</v>
      </c>
      <c r="AL59" s="17">
        <f>+B62</f>
        <v>0</v>
      </c>
      <c r="AM59" s="26" t="str">
        <f t="shared" si="87"/>
        <v>DGTCP (DGP)</v>
      </c>
      <c r="AN59" s="18">
        <f t="shared" si="95"/>
        <v>0</v>
      </c>
      <c r="AO59" s="18">
        <f t="shared" si="95"/>
        <v>0</v>
      </c>
      <c r="AP59" s="18">
        <f t="shared" si="95"/>
        <v>0</v>
      </c>
      <c r="AQ59" s="18">
        <f t="shared" si="95"/>
        <v>0</v>
      </c>
      <c r="AR59" s="18">
        <f t="shared" si="95"/>
        <v>0</v>
      </c>
      <c r="AS59" s="18">
        <f t="shared" si="95"/>
        <v>0</v>
      </c>
      <c r="AT59" s="18">
        <f t="shared" si="95"/>
        <v>0</v>
      </c>
      <c r="AU59" s="18">
        <f t="shared" si="95"/>
        <v>0</v>
      </c>
      <c r="AV59" s="18">
        <f t="shared" si="96"/>
        <v>0</v>
      </c>
      <c r="AW59" s="18"/>
      <c r="AX59" s="17">
        <f>B62</f>
        <v>0</v>
      </c>
      <c r="AY59" s="26" t="str">
        <f t="shared" si="89"/>
        <v>DGTCP (DGP)</v>
      </c>
      <c r="AZ59" s="18">
        <f t="shared" ca="1" si="98"/>
        <v>0</v>
      </c>
      <c r="BA59" s="18">
        <f t="shared" ca="1" si="98"/>
        <v>0</v>
      </c>
      <c r="BB59" s="18">
        <f t="shared" ca="1" si="98"/>
        <v>0</v>
      </c>
      <c r="BC59" s="18">
        <f t="shared" ca="1" si="98"/>
        <v>0</v>
      </c>
      <c r="BD59" s="18">
        <f t="shared" ca="1" si="98"/>
        <v>0</v>
      </c>
      <c r="BE59" s="18">
        <f t="shared" ca="1" si="98"/>
        <v>0</v>
      </c>
      <c r="BF59" s="18">
        <f t="shared" ca="1" si="98"/>
        <v>0</v>
      </c>
      <c r="BG59" s="18">
        <f t="shared" ca="1" si="98"/>
        <v>0</v>
      </c>
      <c r="BH59" s="18">
        <f t="shared" ca="1" si="98"/>
        <v>0</v>
      </c>
      <c r="BI59" s="18">
        <f t="shared" ca="1" si="98"/>
        <v>0</v>
      </c>
      <c r="BJ59" s="18">
        <f t="shared" ca="1" si="98"/>
        <v>0</v>
      </c>
      <c r="BK59" s="18">
        <f t="shared" ca="1" si="98"/>
        <v>0</v>
      </c>
    </row>
    <row r="60" spans="1:63">
      <c r="A60" s="80"/>
      <c r="B60" s="53">
        <f>+'Taxes RCA 2022'!A53</f>
        <v>42</v>
      </c>
      <c r="C60" s="18" t="str">
        <f>+'Taxes RCA 2022'!B53</f>
        <v>Droit de sortie (DS)/Taxe Export (+)</v>
      </c>
      <c r="E60" s="114"/>
      <c r="F60" s="114">
        <f t="shared" si="105"/>
        <v>0</v>
      </c>
      <c r="G60" s="114">
        <f t="shared" si="106"/>
        <v>0</v>
      </c>
      <c r="H60" s="114"/>
      <c r="I60" s="114"/>
      <c r="J60" s="114">
        <f t="shared" ca="1" si="107"/>
        <v>0</v>
      </c>
      <c r="K60" s="114">
        <f t="shared" ca="1" si="108"/>
        <v>0</v>
      </c>
      <c r="L60" s="114"/>
      <c r="M60" s="114">
        <f t="shared" ca="1" si="109"/>
        <v>0</v>
      </c>
      <c r="N60" s="18"/>
      <c r="O60" s="38"/>
      <c r="P60" s="39"/>
      <c r="Y60" s="15"/>
      <c r="Z60" s="25" t="str">
        <f t="shared" si="85"/>
        <v xml:space="preserve">Fonds du soutien à la Promotion Pétrolière </v>
      </c>
      <c r="AA60" s="16">
        <f>SUM(AA61:AA64)</f>
        <v>0</v>
      </c>
      <c r="AB60" s="16">
        <f t="shared" ref="AB60:AJ60" si="110">SUM(AB61:AB64)</f>
        <v>0</v>
      </c>
      <c r="AC60" s="16">
        <f t="shared" si="110"/>
        <v>0</v>
      </c>
      <c r="AD60" s="16">
        <f t="shared" si="110"/>
        <v>0</v>
      </c>
      <c r="AE60" s="16">
        <f t="shared" si="110"/>
        <v>0</v>
      </c>
      <c r="AF60" s="16">
        <f t="shared" si="110"/>
        <v>0</v>
      </c>
      <c r="AG60" s="16">
        <f t="shared" si="110"/>
        <v>0</v>
      </c>
      <c r="AH60" s="16">
        <f t="shared" si="110"/>
        <v>0</v>
      </c>
      <c r="AI60" s="16">
        <f t="shared" si="110"/>
        <v>0</v>
      </c>
      <c r="AJ60" s="16">
        <f t="shared" si="110"/>
        <v>0</v>
      </c>
      <c r="AL60" s="17"/>
      <c r="AM60" s="26" t="str">
        <f t="shared" si="87"/>
        <v xml:space="preserve">Fonds du soutien à la Promotion Pétrolière </v>
      </c>
      <c r="AN60" s="18">
        <f t="shared" ref="AN60:AV60" si="111">SUM(AN61:AN64)</f>
        <v>0</v>
      </c>
      <c r="AO60" s="18">
        <f t="shared" si="111"/>
        <v>0</v>
      </c>
      <c r="AP60" s="18">
        <f t="shared" si="111"/>
        <v>0</v>
      </c>
      <c r="AQ60" s="18">
        <f t="shared" si="111"/>
        <v>0</v>
      </c>
      <c r="AR60" s="18">
        <f t="shared" si="111"/>
        <v>0</v>
      </c>
      <c r="AS60" s="18">
        <f t="shared" si="111"/>
        <v>0</v>
      </c>
      <c r="AT60" s="18">
        <f t="shared" si="111"/>
        <v>0</v>
      </c>
      <c r="AU60" s="18">
        <f t="shared" si="111"/>
        <v>0</v>
      </c>
      <c r="AV60" s="18">
        <f t="shared" si="111"/>
        <v>0</v>
      </c>
      <c r="AW60" s="18"/>
      <c r="AX60" s="17"/>
      <c r="AY60" s="26" t="str">
        <f t="shared" si="89"/>
        <v xml:space="preserve">Fonds du soutien à la Promotion Pétrolière </v>
      </c>
      <c r="AZ60" s="18">
        <f t="shared" ref="AZ60:BK60" ca="1" si="112">SUM(AZ61:AZ64)</f>
        <v>0</v>
      </c>
      <c r="BA60" s="18">
        <f t="shared" ca="1" si="112"/>
        <v>0</v>
      </c>
      <c r="BB60" s="18">
        <f t="shared" ca="1" si="112"/>
        <v>0</v>
      </c>
      <c r="BC60" s="18">
        <f t="shared" ca="1" si="112"/>
        <v>0</v>
      </c>
      <c r="BD60" s="18">
        <f t="shared" ca="1" si="112"/>
        <v>0</v>
      </c>
      <c r="BE60" s="18">
        <f t="shared" ca="1" si="112"/>
        <v>0</v>
      </c>
      <c r="BF60" s="18">
        <f t="shared" ca="1" si="112"/>
        <v>0</v>
      </c>
      <c r="BG60" s="18">
        <f t="shared" ca="1" si="112"/>
        <v>0</v>
      </c>
      <c r="BH60" s="18">
        <f t="shared" ca="1" si="112"/>
        <v>0</v>
      </c>
      <c r="BI60" s="18">
        <f t="shared" ca="1" si="112"/>
        <v>0</v>
      </c>
      <c r="BJ60" s="18">
        <f t="shared" ca="1" si="112"/>
        <v>0</v>
      </c>
      <c r="BK60" s="18">
        <f t="shared" ca="1" si="112"/>
        <v>0</v>
      </c>
    </row>
    <row r="61" spans="1:63">
      <c r="A61" s="80"/>
      <c r="B61" s="64">
        <f>+'Taxes RCA 2022'!A54</f>
        <v>43</v>
      </c>
      <c r="C61" s="68" t="str">
        <f>+'Taxes RCA 2022'!B54</f>
        <v xml:space="preserve">Autres transferts au profit des communes </v>
      </c>
      <c r="E61" s="165"/>
      <c r="F61" s="165">
        <f t="shared" si="105"/>
        <v>0</v>
      </c>
      <c r="G61" s="165">
        <f t="shared" si="106"/>
        <v>0</v>
      </c>
      <c r="H61" s="114"/>
      <c r="I61" s="165"/>
      <c r="J61" s="165">
        <f t="shared" ca="1" si="107"/>
        <v>0</v>
      </c>
      <c r="K61" s="165">
        <f t="shared" ca="1" si="108"/>
        <v>0</v>
      </c>
      <c r="L61" s="114"/>
      <c r="M61" s="165">
        <f t="shared" ca="1" si="109"/>
        <v>0</v>
      </c>
      <c r="N61" s="68"/>
      <c r="O61" s="38"/>
      <c r="P61" s="39"/>
      <c r="Y61" s="15">
        <f>B64</f>
        <v>45</v>
      </c>
      <c r="Z61" s="25" t="str">
        <f t="shared" si="85"/>
        <v>Fonds de Soutien aux projets de Développement Communautaire</v>
      </c>
      <c r="AA61" s="16">
        <f t="shared" ref="AA61:AI61" si="113">SUMPRODUCT(($A$84:$A$752=$Y61&amp;"- "&amp;$Z61)*($C$84:$C$752=AA$1)*($G$84:$G$752))</f>
        <v>0</v>
      </c>
      <c r="AB61" s="16">
        <f t="shared" si="113"/>
        <v>0</v>
      </c>
      <c r="AC61" s="16">
        <f t="shared" si="113"/>
        <v>0</v>
      </c>
      <c r="AD61" s="16">
        <f t="shared" si="113"/>
        <v>0</v>
      </c>
      <c r="AE61" s="16">
        <f t="shared" si="113"/>
        <v>0</v>
      </c>
      <c r="AF61" s="16">
        <f t="shared" si="113"/>
        <v>0</v>
      </c>
      <c r="AG61" s="16">
        <f t="shared" si="113"/>
        <v>0</v>
      </c>
      <c r="AH61" s="16">
        <f t="shared" si="113"/>
        <v>0</v>
      </c>
      <c r="AI61" s="16">
        <f t="shared" si="113"/>
        <v>0</v>
      </c>
      <c r="AJ61" s="16">
        <f>SUM(AA61:AI61)</f>
        <v>0</v>
      </c>
      <c r="AL61" s="17">
        <f>+B64</f>
        <v>45</v>
      </c>
      <c r="AM61" s="26" t="str">
        <f t="shared" si="87"/>
        <v>Fonds de Soutien aux projets de Développement Communautaire</v>
      </c>
      <c r="AN61" s="18">
        <f t="shared" ref="AN61:AU61" si="114">SUMPRODUCT(($J$84:$M$748=$AL61&amp;"- "&amp;$AM61)*($N$84:$N$748=AN$1)*($Q$84:$Q$748))</f>
        <v>0</v>
      </c>
      <c r="AO61" s="18">
        <f t="shared" si="114"/>
        <v>0</v>
      </c>
      <c r="AP61" s="18">
        <f t="shared" si="114"/>
        <v>0</v>
      </c>
      <c r="AQ61" s="18">
        <f t="shared" si="114"/>
        <v>0</v>
      </c>
      <c r="AR61" s="18">
        <f t="shared" si="114"/>
        <v>0</v>
      </c>
      <c r="AS61" s="18">
        <f t="shared" si="114"/>
        <v>0</v>
      </c>
      <c r="AT61" s="18">
        <f t="shared" si="114"/>
        <v>0</v>
      </c>
      <c r="AU61" s="18">
        <f t="shared" si="114"/>
        <v>0</v>
      </c>
      <c r="AV61" s="18">
        <f>SUM(AN61:AU61)</f>
        <v>0</v>
      </c>
      <c r="AW61" s="18"/>
      <c r="AX61" s="17">
        <f>B64</f>
        <v>45</v>
      </c>
      <c r="AY61" s="26" t="str">
        <f t="shared" si="89"/>
        <v>Fonds de Soutien aux projets de Développement Communautaire</v>
      </c>
      <c r="AZ61" s="18">
        <f t="shared" ref="AZ61:BK61" ca="1" si="115">SUMPRODUCT(($C$10:$C$75=$AY61)*($N$10:$N$75=AZ$1)*($M$10:$M$75))</f>
        <v>0</v>
      </c>
      <c r="BA61" s="18">
        <f t="shared" ca="1" si="115"/>
        <v>0</v>
      </c>
      <c r="BB61" s="18">
        <f t="shared" ca="1" si="115"/>
        <v>0</v>
      </c>
      <c r="BC61" s="18">
        <f t="shared" ca="1" si="115"/>
        <v>0</v>
      </c>
      <c r="BD61" s="18">
        <f t="shared" ca="1" si="115"/>
        <v>0</v>
      </c>
      <c r="BE61" s="18">
        <f t="shared" ca="1" si="115"/>
        <v>0</v>
      </c>
      <c r="BF61" s="18">
        <f t="shared" ca="1" si="115"/>
        <v>0</v>
      </c>
      <c r="BG61" s="18">
        <f t="shared" ca="1" si="115"/>
        <v>0</v>
      </c>
      <c r="BH61" s="18">
        <f t="shared" ca="1" si="115"/>
        <v>0</v>
      </c>
      <c r="BI61" s="18">
        <f t="shared" ca="1" si="115"/>
        <v>0</v>
      </c>
      <c r="BJ61" s="18">
        <f t="shared" ca="1" si="115"/>
        <v>0</v>
      </c>
      <c r="BK61" s="18">
        <f t="shared" ca="1" si="115"/>
        <v>0</v>
      </c>
    </row>
    <row r="62" spans="1:63">
      <c r="A62" s="80"/>
      <c r="B62" s="163"/>
      <c r="C62" s="58" t="str">
        <f>+'Taxes RCA 2022'!B55</f>
        <v>DGTCP (DGP)</v>
      </c>
      <c r="E62" s="166">
        <f>+E64+E63</f>
        <v>0</v>
      </c>
      <c r="F62" s="166">
        <f t="shared" ref="F62:G62" si="116">+F64+F63</f>
        <v>0</v>
      </c>
      <c r="G62" s="166">
        <f t="shared" si="116"/>
        <v>0</v>
      </c>
      <c r="H62" s="114"/>
      <c r="I62" s="166">
        <f>+I64+I63</f>
        <v>0</v>
      </c>
      <c r="J62" s="166">
        <f t="shared" ref="J62:K62" ca="1" si="117">+J64+J63</f>
        <v>0</v>
      </c>
      <c r="K62" s="166">
        <f t="shared" ca="1" si="117"/>
        <v>0</v>
      </c>
      <c r="L62" s="114"/>
      <c r="M62" s="166">
        <f t="shared" ref="M62" ca="1" si="118">+M64+M63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7"/>
        <v>44</v>
      </c>
      <c r="B63" s="53">
        <f>+'Taxes RCA 2022'!A56</f>
        <v>44</v>
      </c>
      <c r="C63" s="18" t="str">
        <f>+'Taxes RCA 2022'!B56</f>
        <v xml:space="preserve">Fonds du soutien à la Promotion Pétrolière </v>
      </c>
      <c r="E63" s="114"/>
      <c r="F63" s="114">
        <f>SUMIF($A$84:$A$752,B63&amp;"- "&amp;C63,$G$84:$G$752)</f>
        <v>0</v>
      </c>
      <c r="G63" s="114">
        <f>E63+F63</f>
        <v>0</v>
      </c>
      <c r="H63" s="114"/>
      <c r="I63" s="114"/>
      <c r="J63" s="114">
        <f ca="1">SUMIF($J$84:$M$749,B63&amp;"- "&amp;C63,$Q$84:$Q$749)</f>
        <v>0</v>
      </c>
      <c r="K63" s="114">
        <f ca="1">I63+J63</f>
        <v>0</v>
      </c>
      <c r="L63" s="114"/>
      <c r="M63" s="114">
        <f ca="1">+G63-K63</f>
        <v>0</v>
      </c>
      <c r="N63" s="18"/>
      <c r="O63" s="38" t="str">
        <f t="shared" ca="1" si="42"/>
        <v/>
      </c>
      <c r="P63" s="39"/>
      <c r="Q63" s="23"/>
      <c r="Y63" s="15">
        <f>B65</f>
        <v>0</v>
      </c>
      <c r="Z63" s="25" t="str">
        <f>C65</f>
        <v xml:space="preserve">Paiements Sociaux </v>
      </c>
      <c r="AA63" s="16">
        <f t="shared" ref="AA63:AI64" si="119">SUMPRODUCT(($A$84:$A$752=$Y63&amp;"- "&amp;$Z63)*($C$84:$C$752=AA$1)*($G$84:$G$752))</f>
        <v>0</v>
      </c>
      <c r="AB63" s="16">
        <f t="shared" si="119"/>
        <v>0</v>
      </c>
      <c r="AC63" s="16">
        <f t="shared" si="119"/>
        <v>0</v>
      </c>
      <c r="AD63" s="16">
        <f t="shared" si="119"/>
        <v>0</v>
      </c>
      <c r="AE63" s="16">
        <f t="shared" si="119"/>
        <v>0</v>
      </c>
      <c r="AF63" s="16">
        <f t="shared" si="119"/>
        <v>0</v>
      </c>
      <c r="AG63" s="16">
        <f t="shared" si="119"/>
        <v>0</v>
      </c>
      <c r="AH63" s="16">
        <f t="shared" si="119"/>
        <v>0</v>
      </c>
      <c r="AI63" s="16">
        <f t="shared" si="119"/>
        <v>0</v>
      </c>
      <c r="AJ63" s="16">
        <f>SUM(AA63:AI63)</f>
        <v>0</v>
      </c>
      <c r="AL63" s="17">
        <f>+B65</f>
        <v>0</v>
      </c>
      <c r="AM63" s="26" t="str">
        <f>+C65</f>
        <v xml:space="preserve">Paiements Sociaux </v>
      </c>
      <c r="AN63" s="18">
        <f t="shared" ref="AN63:AU64" si="120">SUMPRODUCT(($J$84:$M$748=$AL63&amp;"- "&amp;$AM63)*($N$84:$N$748=AN$1)*($Q$84:$Q$748))</f>
        <v>0</v>
      </c>
      <c r="AO63" s="18">
        <f t="shared" si="120"/>
        <v>0</v>
      </c>
      <c r="AP63" s="18">
        <f t="shared" si="120"/>
        <v>0</v>
      </c>
      <c r="AQ63" s="18">
        <f t="shared" si="120"/>
        <v>0</v>
      </c>
      <c r="AR63" s="18">
        <f t="shared" si="120"/>
        <v>0</v>
      </c>
      <c r="AS63" s="18">
        <f t="shared" si="120"/>
        <v>0</v>
      </c>
      <c r="AT63" s="18">
        <f t="shared" si="120"/>
        <v>0</v>
      </c>
      <c r="AU63" s="18">
        <f t="shared" si="120"/>
        <v>0</v>
      </c>
      <c r="AV63" s="18">
        <f>SUM(AN63:AU63)</f>
        <v>0</v>
      </c>
      <c r="AW63" s="18"/>
      <c r="AX63" s="17">
        <f>B65</f>
        <v>0</v>
      </c>
      <c r="AY63" s="26" t="str">
        <f>C65</f>
        <v xml:space="preserve">Paiements Sociaux </v>
      </c>
      <c r="AZ63" s="18">
        <f t="shared" ref="AZ63:BK64" ca="1" si="121">SUMPRODUCT(($C$10:$C$75=$AY63)*($N$10:$N$75=AZ$1)*($M$10:$M$75))</f>
        <v>0</v>
      </c>
      <c r="BA63" s="18">
        <f t="shared" ca="1" si="121"/>
        <v>0</v>
      </c>
      <c r="BB63" s="18">
        <f t="shared" ca="1" si="121"/>
        <v>0</v>
      </c>
      <c r="BC63" s="18">
        <f t="shared" ca="1" si="121"/>
        <v>0</v>
      </c>
      <c r="BD63" s="18">
        <f t="shared" ca="1" si="121"/>
        <v>0</v>
      </c>
      <c r="BE63" s="18">
        <f t="shared" ca="1" si="121"/>
        <v>0</v>
      </c>
      <c r="BF63" s="18">
        <f t="shared" ca="1" si="121"/>
        <v>0</v>
      </c>
      <c r="BG63" s="18">
        <f t="shared" ca="1" si="121"/>
        <v>0</v>
      </c>
      <c r="BH63" s="18">
        <f t="shared" ca="1" si="121"/>
        <v>0</v>
      </c>
      <c r="BI63" s="18">
        <f t="shared" ca="1" si="121"/>
        <v>0</v>
      </c>
      <c r="BJ63" s="18">
        <f t="shared" ca="1" si="121"/>
        <v>0</v>
      </c>
      <c r="BK63" s="18">
        <f t="shared" ca="1" si="121"/>
        <v>0</v>
      </c>
    </row>
    <row r="64" spans="1:63">
      <c r="A64" s="80">
        <f t="shared" si="27"/>
        <v>45</v>
      </c>
      <c r="B64" s="64">
        <f>+'Taxes RCA 2022'!A57</f>
        <v>45</v>
      </c>
      <c r="C64" s="68" t="str">
        <f>+'Taxes RCA 2022'!B57</f>
        <v>Fonds de Soutien aux projets de Développement Communautaire</v>
      </c>
      <c r="E64" s="165"/>
      <c r="F64" s="165">
        <f>SUMIF($A$84:$A$752,B64&amp;"- "&amp;C64,$G$84:$G$752)</f>
        <v>0</v>
      </c>
      <c r="G64" s="165">
        <f>E64+F64</f>
        <v>0</v>
      </c>
      <c r="H64" s="114"/>
      <c r="I64" s="165"/>
      <c r="J64" s="165">
        <f ca="1">SUMIF($J$84:$M$749,B64&amp;"- "&amp;C64,$Q$84:$Q$749)</f>
        <v>0</v>
      </c>
      <c r="K64" s="165">
        <f ca="1">I64+J64</f>
        <v>0</v>
      </c>
      <c r="L64" s="114"/>
      <c r="M64" s="165">
        <f ca="1">+G64-K64</f>
        <v>0</v>
      </c>
      <c r="N64" s="68"/>
      <c r="O64" s="38" t="str">
        <f t="shared" ca="1" si="42"/>
        <v/>
      </c>
      <c r="P64" s="39" t="str">
        <f ca="1">IF(O64="ERROR","Please insert comment","")</f>
        <v/>
      </c>
      <c r="Y64" s="15">
        <f>B66</f>
        <v>46</v>
      </c>
      <c r="Z64" s="25" t="str">
        <f>C66</f>
        <v>Paiements sociaux obligatoires</v>
      </c>
      <c r="AA64" s="16">
        <f t="shared" si="119"/>
        <v>0</v>
      </c>
      <c r="AB64" s="16">
        <f t="shared" si="119"/>
        <v>0</v>
      </c>
      <c r="AC64" s="16">
        <f t="shared" si="119"/>
        <v>0</v>
      </c>
      <c r="AD64" s="16">
        <f t="shared" si="119"/>
        <v>0</v>
      </c>
      <c r="AE64" s="16">
        <f t="shared" si="119"/>
        <v>0</v>
      </c>
      <c r="AF64" s="16">
        <f t="shared" si="119"/>
        <v>0</v>
      </c>
      <c r="AG64" s="16">
        <f t="shared" si="119"/>
        <v>0</v>
      </c>
      <c r="AH64" s="16">
        <f t="shared" si="119"/>
        <v>0</v>
      </c>
      <c r="AI64" s="16">
        <f t="shared" si="119"/>
        <v>0</v>
      </c>
      <c r="AJ64" s="16">
        <f>SUM(AA64:AI64)</f>
        <v>0</v>
      </c>
      <c r="AL64" s="17">
        <f>+B66</f>
        <v>46</v>
      </c>
      <c r="AM64" s="26" t="str">
        <f>+C66</f>
        <v>Paiements sociaux obligatoires</v>
      </c>
      <c r="AN64" s="18">
        <f t="shared" si="120"/>
        <v>0</v>
      </c>
      <c r="AO64" s="18">
        <f t="shared" si="120"/>
        <v>0</v>
      </c>
      <c r="AP64" s="18">
        <f t="shared" si="120"/>
        <v>0</v>
      </c>
      <c r="AQ64" s="18">
        <f t="shared" si="120"/>
        <v>0</v>
      </c>
      <c r="AR64" s="18">
        <f t="shared" si="120"/>
        <v>0</v>
      </c>
      <c r="AS64" s="18">
        <f t="shared" si="120"/>
        <v>0</v>
      </c>
      <c r="AT64" s="18">
        <f t="shared" si="120"/>
        <v>0</v>
      </c>
      <c r="AU64" s="18">
        <f t="shared" si="120"/>
        <v>0</v>
      </c>
      <c r="AV64" s="18">
        <f>SUM(AN64:AU64)</f>
        <v>0</v>
      </c>
      <c r="AW64" s="38"/>
      <c r="AX64" s="17">
        <f>B66</f>
        <v>46</v>
      </c>
      <c r="AY64" s="26" t="str">
        <f>C66</f>
        <v>Paiements sociaux obligatoires</v>
      </c>
      <c r="AZ64" s="18">
        <f t="shared" ca="1" si="121"/>
        <v>0</v>
      </c>
      <c r="BA64" s="18">
        <f t="shared" ca="1" si="121"/>
        <v>0</v>
      </c>
      <c r="BB64" s="18">
        <f t="shared" ca="1" si="121"/>
        <v>0</v>
      </c>
      <c r="BC64" s="18">
        <f t="shared" ca="1" si="121"/>
        <v>0</v>
      </c>
      <c r="BD64" s="18">
        <f t="shared" ca="1" si="121"/>
        <v>0</v>
      </c>
      <c r="BE64" s="18">
        <f t="shared" ca="1" si="121"/>
        <v>0</v>
      </c>
      <c r="BF64" s="18">
        <f t="shared" ca="1" si="121"/>
        <v>0</v>
      </c>
      <c r="BG64" s="18">
        <f t="shared" ca="1" si="121"/>
        <v>0</v>
      </c>
      <c r="BH64" s="18">
        <f t="shared" ca="1" si="121"/>
        <v>0</v>
      </c>
      <c r="BI64" s="18">
        <f t="shared" ca="1" si="121"/>
        <v>0</v>
      </c>
      <c r="BJ64" s="18">
        <f t="shared" ca="1" si="121"/>
        <v>0</v>
      </c>
      <c r="BK64" s="18">
        <f t="shared" ca="1" si="121"/>
        <v>0</v>
      </c>
    </row>
    <row r="65" spans="1:64">
      <c r="A65" s="80">
        <f t="shared" si="27"/>
        <v>0</v>
      </c>
      <c r="B65" s="163"/>
      <c r="C65" s="58" t="str">
        <f>+'Taxes RCA 2022'!B58</f>
        <v xml:space="preserve">Paiements Sociaux </v>
      </c>
      <c r="E65" s="166">
        <f>+E67+E66</f>
        <v>0</v>
      </c>
      <c r="F65" s="166">
        <f t="shared" ref="F65:G65" si="122">+F67+F66</f>
        <v>0</v>
      </c>
      <c r="G65" s="166">
        <f t="shared" si="122"/>
        <v>0</v>
      </c>
      <c r="H65" s="114"/>
      <c r="I65" s="166">
        <f>+I67+I66</f>
        <v>0</v>
      </c>
      <c r="J65" s="166">
        <f t="shared" ref="J65:K65" ca="1" si="123">+J67+J66</f>
        <v>0</v>
      </c>
      <c r="K65" s="166">
        <f t="shared" ca="1" si="123"/>
        <v>0</v>
      </c>
      <c r="L65" s="114"/>
      <c r="M65" s="166">
        <f t="shared" ref="M65" ca="1" si="124">+M67+M66</f>
        <v>0</v>
      </c>
      <c r="N65" s="58"/>
      <c r="O65" s="38" t="str">
        <f t="shared" ca="1" si="42"/>
        <v/>
      </c>
      <c r="P65" s="39" t="str">
        <f ca="1">IF(O65="ERROR","Please insert comment","")</f>
        <v/>
      </c>
      <c r="Y65" s="15"/>
      <c r="Z65" s="25" t="str">
        <f t="shared" ref="Z65:Z73" si="125">C67</f>
        <v>Paiements sociaux volontaires</v>
      </c>
      <c r="AA65" s="16">
        <f>SUM(AA66:AA67)</f>
        <v>0</v>
      </c>
      <c r="AB65" s="16">
        <f t="shared" ref="AB65:AJ65" si="126">SUM(AB66:AB67)</f>
        <v>0</v>
      </c>
      <c r="AC65" s="16">
        <f t="shared" si="126"/>
        <v>0</v>
      </c>
      <c r="AD65" s="16">
        <f t="shared" si="126"/>
        <v>0</v>
      </c>
      <c r="AE65" s="16">
        <f t="shared" si="126"/>
        <v>0</v>
      </c>
      <c r="AF65" s="16">
        <f t="shared" si="126"/>
        <v>0</v>
      </c>
      <c r="AG65" s="16">
        <f t="shared" si="126"/>
        <v>0</v>
      </c>
      <c r="AH65" s="16">
        <f t="shared" si="126"/>
        <v>0</v>
      </c>
      <c r="AI65" s="16">
        <f t="shared" si="126"/>
        <v>0</v>
      </c>
      <c r="AJ65" s="16">
        <f t="shared" si="126"/>
        <v>0</v>
      </c>
      <c r="AL65" s="17"/>
      <c r="AM65" s="26" t="str">
        <f t="shared" ref="AM65:AM73" si="127">+C67</f>
        <v>Paiements sociaux volontaires</v>
      </c>
      <c r="AN65" s="18">
        <f>SUM(AN66:AN67)</f>
        <v>0</v>
      </c>
      <c r="AO65" s="18">
        <f t="shared" ref="AO65:AV65" si="128">SUM(AO66:AO67)</f>
        <v>0</v>
      </c>
      <c r="AP65" s="18">
        <f t="shared" si="128"/>
        <v>0</v>
      </c>
      <c r="AQ65" s="18">
        <f t="shared" si="128"/>
        <v>0</v>
      </c>
      <c r="AR65" s="18">
        <f t="shared" si="128"/>
        <v>0</v>
      </c>
      <c r="AS65" s="18">
        <f t="shared" si="128"/>
        <v>0</v>
      </c>
      <c r="AT65" s="18">
        <f t="shared" si="128"/>
        <v>0</v>
      </c>
      <c r="AU65" s="18">
        <f t="shared" si="128"/>
        <v>0</v>
      </c>
      <c r="AV65" s="18">
        <f t="shared" si="128"/>
        <v>0</v>
      </c>
      <c r="AW65" s="18"/>
      <c r="AX65" s="17"/>
      <c r="AY65" s="26" t="str">
        <f t="shared" ref="AY65:AY73" si="129">C67</f>
        <v>Paiements sociaux volontaires</v>
      </c>
      <c r="AZ65" s="18">
        <f ca="1">SUM(AZ66:AZ67)</f>
        <v>0</v>
      </c>
      <c r="BA65" s="18">
        <f t="shared" ref="BA65:BK65" ca="1" si="130">SUM(BA66:BA67)</f>
        <v>0</v>
      </c>
      <c r="BB65" s="18">
        <f t="shared" ca="1" si="130"/>
        <v>0</v>
      </c>
      <c r="BC65" s="18">
        <f t="shared" ca="1" si="130"/>
        <v>0</v>
      </c>
      <c r="BD65" s="18">
        <f t="shared" ca="1" si="130"/>
        <v>0</v>
      </c>
      <c r="BE65" s="18">
        <f t="shared" ca="1" si="130"/>
        <v>0</v>
      </c>
      <c r="BF65" s="18">
        <f t="shared" ca="1" si="130"/>
        <v>0</v>
      </c>
      <c r="BG65" s="18">
        <f t="shared" ca="1" si="130"/>
        <v>0</v>
      </c>
      <c r="BH65" s="18">
        <f t="shared" ca="1" si="130"/>
        <v>0</v>
      </c>
      <c r="BI65" s="18">
        <f t="shared" ca="1" si="130"/>
        <v>0</v>
      </c>
      <c r="BJ65" s="18">
        <f t="shared" ca="1" si="130"/>
        <v>0</v>
      </c>
      <c r="BK65" s="18">
        <f t="shared" ca="1" si="130"/>
        <v>0</v>
      </c>
    </row>
    <row r="66" spans="1:64">
      <c r="A66" s="80">
        <f t="shared" si="27"/>
        <v>46</v>
      </c>
      <c r="B66" s="53">
        <f>+'Taxes RCA 2022'!A59</f>
        <v>46</v>
      </c>
      <c r="C66" s="18" t="str">
        <f>+'Taxes RCA 2022'!B59</f>
        <v>Paiements sociaux obligatoires</v>
      </c>
      <c r="E66" s="114"/>
      <c r="F66" s="114">
        <f>SUMIF($A$84:$A$752,B66&amp;"- "&amp;C66,$G$84:$G$752)</f>
        <v>0</v>
      </c>
      <c r="G66" s="114">
        <f>E66+F66</f>
        <v>0</v>
      </c>
      <c r="H66" s="114"/>
      <c r="I66" s="114"/>
      <c r="J66" s="114">
        <f ca="1">SUMIF($J$84:$M$749,B66&amp;"- "&amp;C66,$Q$84:$Q$749)</f>
        <v>0</v>
      </c>
      <c r="K66" s="114">
        <f ca="1">I66+J66</f>
        <v>0</v>
      </c>
      <c r="L66" s="114"/>
      <c r="M66" s="114">
        <f ca="1">+G66-K66</f>
        <v>0</v>
      </c>
      <c r="N66" s="18"/>
      <c r="O66" s="38" t="str">
        <f t="shared" ca="1" si="42"/>
        <v/>
      </c>
      <c r="P66" s="39" t="str">
        <f ca="1">IF(O66="ERROR","Please insert comment","")</f>
        <v/>
      </c>
      <c r="Y66" s="15">
        <f>B68</f>
        <v>0</v>
      </c>
      <c r="Z66" s="25" t="str">
        <f t="shared" si="125"/>
        <v>Paiements environnementaux - DGTCP (FNE)</v>
      </c>
      <c r="AA66" s="16">
        <f t="shared" ref="AA66:AI67" si="131">SUMPRODUCT(($A$84:$A$752=$Y66&amp;"- "&amp;$Z66)*($C$84:$C$752=AA$1)*($G$84:$G$752))</f>
        <v>0</v>
      </c>
      <c r="AB66" s="16">
        <f t="shared" si="131"/>
        <v>0</v>
      </c>
      <c r="AC66" s="16">
        <f t="shared" si="131"/>
        <v>0</v>
      </c>
      <c r="AD66" s="16">
        <f t="shared" si="131"/>
        <v>0</v>
      </c>
      <c r="AE66" s="16">
        <f t="shared" si="131"/>
        <v>0</v>
      </c>
      <c r="AF66" s="16">
        <f t="shared" si="131"/>
        <v>0</v>
      </c>
      <c r="AG66" s="16">
        <f t="shared" si="131"/>
        <v>0</v>
      </c>
      <c r="AH66" s="16">
        <f t="shared" si="131"/>
        <v>0</v>
      </c>
      <c r="AI66" s="16">
        <f t="shared" si="131"/>
        <v>0</v>
      </c>
      <c r="AJ66" s="16">
        <f>SUM(AA66:AI66)</f>
        <v>0</v>
      </c>
      <c r="AL66" s="17">
        <f>+B68</f>
        <v>0</v>
      </c>
      <c r="AM66" s="26" t="str">
        <f t="shared" si="127"/>
        <v>Paiements environnementaux - DGTCP (FNE)</v>
      </c>
      <c r="AN66" s="18">
        <f t="shared" ref="AN66:AU67" si="132">SUMPRODUCT(($J$84:$M$748=$AL66&amp;"- "&amp;$AM66)*($N$84:$N$748=AN$1)*($Q$84:$Q$748))</f>
        <v>0</v>
      </c>
      <c r="AO66" s="18">
        <f t="shared" si="132"/>
        <v>0</v>
      </c>
      <c r="AP66" s="18">
        <f t="shared" si="132"/>
        <v>0</v>
      </c>
      <c r="AQ66" s="18">
        <f t="shared" si="132"/>
        <v>0</v>
      </c>
      <c r="AR66" s="18">
        <f t="shared" si="132"/>
        <v>0</v>
      </c>
      <c r="AS66" s="18">
        <f t="shared" si="132"/>
        <v>0</v>
      </c>
      <c r="AT66" s="18">
        <f t="shared" si="132"/>
        <v>0</v>
      </c>
      <c r="AU66" s="18">
        <f t="shared" si="132"/>
        <v>0</v>
      </c>
      <c r="AV66" s="18">
        <f>SUM(AN66:AU66)</f>
        <v>0</v>
      </c>
      <c r="AW66" s="18"/>
      <c r="AX66" s="17">
        <f>B68</f>
        <v>0</v>
      </c>
      <c r="AY66" s="26" t="str">
        <f t="shared" si="129"/>
        <v>Paiements environnementaux - DGTCP (FNE)</v>
      </c>
      <c r="AZ66" s="18">
        <f t="shared" ref="AZ66:BK67" ca="1" si="133">SUMPRODUCT(($C$10:$C$75=$AY66)*($N$10:$N$75=AZ$1)*($M$10:$M$75))</f>
        <v>0</v>
      </c>
      <c r="BA66" s="18">
        <f t="shared" ca="1" si="133"/>
        <v>0</v>
      </c>
      <c r="BB66" s="18">
        <f t="shared" ca="1" si="133"/>
        <v>0</v>
      </c>
      <c r="BC66" s="18">
        <f t="shared" ca="1" si="133"/>
        <v>0</v>
      </c>
      <c r="BD66" s="18">
        <f t="shared" ca="1" si="133"/>
        <v>0</v>
      </c>
      <c r="BE66" s="18">
        <f t="shared" ca="1" si="133"/>
        <v>0</v>
      </c>
      <c r="BF66" s="18">
        <f t="shared" ca="1" si="133"/>
        <v>0</v>
      </c>
      <c r="BG66" s="18">
        <f t="shared" ca="1" si="133"/>
        <v>0</v>
      </c>
      <c r="BH66" s="18">
        <f t="shared" ca="1" si="133"/>
        <v>0</v>
      </c>
      <c r="BI66" s="18">
        <f t="shared" ca="1" si="133"/>
        <v>0</v>
      </c>
      <c r="BJ66" s="18">
        <f t="shared" ca="1" si="133"/>
        <v>0</v>
      </c>
      <c r="BK66" s="18">
        <f t="shared" ca="1" si="133"/>
        <v>0</v>
      </c>
    </row>
    <row r="67" spans="1:64">
      <c r="A67" s="80"/>
      <c r="B67" s="64">
        <f>+'Taxes RCA 2022'!A60</f>
        <v>47</v>
      </c>
      <c r="C67" s="68" t="str">
        <f>+'Taxes RCA 2022'!B60</f>
        <v>Paiements sociaux volontaires</v>
      </c>
      <c r="E67" s="165"/>
      <c r="F67" s="165">
        <f>SUMIF($A$84:$A$752,B67&amp;"- "&amp;C67,$G$84:$G$752)</f>
        <v>0</v>
      </c>
      <c r="G67" s="165">
        <f>E67+F67</f>
        <v>0</v>
      </c>
      <c r="H67" s="114"/>
      <c r="I67" s="165"/>
      <c r="J67" s="165">
        <f ca="1">SUMIF($J$84:$M$749,B67&amp;"- "&amp;C67,$Q$84:$Q$749)</f>
        <v>0</v>
      </c>
      <c r="K67" s="165">
        <f ca="1">I67+J67</f>
        <v>0</v>
      </c>
      <c r="L67" s="114"/>
      <c r="M67" s="165">
        <f ca="1">+G67-K67</f>
        <v>0</v>
      </c>
      <c r="N67" s="68"/>
      <c r="O67" s="38"/>
      <c r="P67" s="39"/>
      <c r="Y67" s="15">
        <f>B69</f>
        <v>48</v>
      </c>
      <c r="Z67" s="25" t="str">
        <f t="shared" si="125"/>
        <v>Taxes sur les appareils à pression de vapeur et de gaz (+)</v>
      </c>
      <c r="AA67" s="16">
        <f t="shared" si="131"/>
        <v>0</v>
      </c>
      <c r="AB67" s="16">
        <f t="shared" si="131"/>
        <v>0</v>
      </c>
      <c r="AC67" s="16">
        <f t="shared" si="131"/>
        <v>0</v>
      </c>
      <c r="AD67" s="16">
        <f t="shared" si="131"/>
        <v>0</v>
      </c>
      <c r="AE67" s="16">
        <f t="shared" si="131"/>
        <v>0</v>
      </c>
      <c r="AF67" s="16">
        <f t="shared" si="131"/>
        <v>0</v>
      </c>
      <c r="AG67" s="16">
        <f t="shared" si="131"/>
        <v>0</v>
      </c>
      <c r="AH67" s="16">
        <f t="shared" si="131"/>
        <v>0</v>
      </c>
      <c r="AI67" s="16">
        <f t="shared" si="131"/>
        <v>0</v>
      </c>
      <c r="AJ67" s="16">
        <f>SUM(AA67:AI67)</f>
        <v>0</v>
      </c>
      <c r="AL67" s="17">
        <f>+B69</f>
        <v>48</v>
      </c>
      <c r="AM67" s="26" t="str">
        <f t="shared" si="127"/>
        <v>Taxes sur les appareils à pression de vapeur et de gaz (+)</v>
      </c>
      <c r="AN67" s="18">
        <f t="shared" si="132"/>
        <v>0</v>
      </c>
      <c r="AO67" s="18">
        <f t="shared" si="132"/>
        <v>0</v>
      </c>
      <c r="AP67" s="18">
        <f t="shared" si="132"/>
        <v>0</v>
      </c>
      <c r="AQ67" s="18">
        <f t="shared" si="132"/>
        <v>0</v>
      </c>
      <c r="AR67" s="18">
        <f t="shared" si="132"/>
        <v>0</v>
      </c>
      <c r="AS67" s="18">
        <f t="shared" si="132"/>
        <v>0</v>
      </c>
      <c r="AT67" s="18">
        <f t="shared" si="132"/>
        <v>0</v>
      </c>
      <c r="AU67" s="18">
        <f t="shared" si="132"/>
        <v>0</v>
      </c>
      <c r="AV67" s="18">
        <f>SUM(AN67:AU67)</f>
        <v>0</v>
      </c>
      <c r="AW67" s="18"/>
      <c r="AX67" s="17">
        <f>B69</f>
        <v>48</v>
      </c>
      <c r="AY67" s="26" t="str">
        <f t="shared" si="129"/>
        <v>Taxes sur les appareils à pression de vapeur et de gaz (+)</v>
      </c>
      <c r="AZ67" s="18">
        <f t="shared" ca="1" si="133"/>
        <v>0</v>
      </c>
      <c r="BA67" s="18">
        <f t="shared" ca="1" si="133"/>
        <v>0</v>
      </c>
      <c r="BB67" s="18">
        <f t="shared" ca="1" si="133"/>
        <v>0</v>
      </c>
      <c r="BC67" s="18">
        <f t="shared" ca="1" si="133"/>
        <v>0</v>
      </c>
      <c r="BD67" s="18">
        <f t="shared" ca="1" si="133"/>
        <v>0</v>
      </c>
      <c r="BE67" s="18">
        <f t="shared" ca="1" si="133"/>
        <v>0</v>
      </c>
      <c r="BF67" s="18">
        <f t="shared" ca="1" si="133"/>
        <v>0</v>
      </c>
      <c r="BG67" s="18">
        <f t="shared" ca="1" si="133"/>
        <v>0</v>
      </c>
      <c r="BH67" s="18">
        <f t="shared" ca="1" si="133"/>
        <v>0</v>
      </c>
      <c r="BI67" s="18">
        <f t="shared" ca="1" si="133"/>
        <v>0</v>
      </c>
      <c r="BJ67" s="18">
        <f t="shared" ca="1" si="133"/>
        <v>0</v>
      </c>
      <c r="BK67" s="18">
        <f t="shared" ca="1" si="133"/>
        <v>0</v>
      </c>
    </row>
    <row r="68" spans="1:64">
      <c r="A68" s="80"/>
      <c r="B68" s="163"/>
      <c r="C68" s="58" t="str">
        <f>+'Taxes RCA 2022'!B61</f>
        <v>Paiements environnementaux - DGTCP (FNE)</v>
      </c>
      <c r="E68" s="166">
        <f>SUM(E69:E76)</f>
        <v>0</v>
      </c>
      <c r="F68" s="166">
        <f t="shared" ref="F68:G68" si="134">SUM(F69:F76)</f>
        <v>0</v>
      </c>
      <c r="G68" s="166">
        <f t="shared" si="134"/>
        <v>0</v>
      </c>
      <c r="H68" s="114"/>
      <c r="I68" s="166">
        <f>SUM(I69:I76)</f>
        <v>0</v>
      </c>
      <c r="J68" s="166">
        <f t="shared" ref="J68:K68" ca="1" si="135">SUM(J69:J76)</f>
        <v>0</v>
      </c>
      <c r="K68" s="166">
        <f t="shared" ca="1" si="135"/>
        <v>0</v>
      </c>
      <c r="L68" s="114"/>
      <c r="M68" s="166">
        <f t="shared" ref="M68" ca="1" si="136">SUM(M69:M76)</f>
        <v>0</v>
      </c>
      <c r="N68" s="58"/>
      <c r="O68" s="38"/>
      <c r="P68" s="39"/>
      <c r="Y68" s="28"/>
      <c r="Z68" s="28" t="str">
        <f t="shared" si="125"/>
        <v>Taxes à la pollution (+)</v>
      </c>
      <c r="AA68" s="29">
        <f>SUM(AA69:AA69)</f>
        <v>0</v>
      </c>
      <c r="AB68" s="29">
        <f t="shared" ref="AB68:AJ68" si="137">SUM(AB69:AB69)</f>
        <v>0</v>
      </c>
      <c r="AC68" s="29">
        <f t="shared" si="137"/>
        <v>0</v>
      </c>
      <c r="AD68" s="29">
        <f t="shared" si="137"/>
        <v>0</v>
      </c>
      <c r="AE68" s="29">
        <f t="shared" si="137"/>
        <v>0</v>
      </c>
      <c r="AF68" s="29">
        <f t="shared" si="137"/>
        <v>0</v>
      </c>
      <c r="AG68" s="29">
        <f t="shared" si="137"/>
        <v>0</v>
      </c>
      <c r="AH68" s="29">
        <f t="shared" si="137"/>
        <v>0</v>
      </c>
      <c r="AI68" s="29">
        <f t="shared" si="137"/>
        <v>0</v>
      </c>
      <c r="AJ68" s="29">
        <f t="shared" si="137"/>
        <v>0</v>
      </c>
      <c r="AL68" s="28"/>
      <c r="AM68" s="28" t="str">
        <f t="shared" si="127"/>
        <v>Taxes à la pollution (+)</v>
      </c>
      <c r="AN68" s="29">
        <f t="shared" ref="AN68:AV68" si="138">SUM(AN69:AN70)</f>
        <v>0</v>
      </c>
      <c r="AO68" s="29">
        <f t="shared" si="138"/>
        <v>0</v>
      </c>
      <c r="AP68" s="29">
        <f t="shared" si="138"/>
        <v>0</v>
      </c>
      <c r="AQ68" s="29">
        <f t="shared" si="138"/>
        <v>0</v>
      </c>
      <c r="AR68" s="29">
        <f t="shared" si="138"/>
        <v>0</v>
      </c>
      <c r="AS68" s="29">
        <f t="shared" si="138"/>
        <v>0</v>
      </c>
      <c r="AT68" s="29">
        <f t="shared" si="138"/>
        <v>0</v>
      </c>
      <c r="AU68" s="29">
        <f t="shared" si="138"/>
        <v>0</v>
      </c>
      <c r="AV68" s="29">
        <f t="shared" si="138"/>
        <v>0</v>
      </c>
      <c r="AW68" s="38"/>
      <c r="AX68" s="28"/>
      <c r="AY68" s="28" t="str">
        <f t="shared" si="129"/>
        <v>Taxes à la pollution (+)</v>
      </c>
      <c r="AZ68" s="29">
        <f t="shared" ref="AZ68:BK68" ca="1" si="139">SUM(AZ69:AZ70)</f>
        <v>0</v>
      </c>
      <c r="BA68" s="29">
        <f t="shared" ca="1" si="139"/>
        <v>0</v>
      </c>
      <c r="BB68" s="29">
        <f t="shared" ca="1" si="139"/>
        <v>0</v>
      </c>
      <c r="BC68" s="29">
        <f t="shared" ca="1" si="139"/>
        <v>0</v>
      </c>
      <c r="BD68" s="29">
        <f t="shared" ca="1" si="139"/>
        <v>0</v>
      </c>
      <c r="BE68" s="29">
        <f t="shared" ca="1" si="139"/>
        <v>0</v>
      </c>
      <c r="BF68" s="29">
        <f t="shared" ca="1" si="139"/>
        <v>0</v>
      </c>
      <c r="BG68" s="29">
        <f t="shared" ca="1" si="139"/>
        <v>0</v>
      </c>
      <c r="BH68" s="29">
        <f t="shared" ca="1" si="139"/>
        <v>0</v>
      </c>
      <c r="BI68" s="29">
        <f t="shared" ca="1" si="139"/>
        <v>0</v>
      </c>
      <c r="BJ68" s="29">
        <f t="shared" ca="1" si="139"/>
        <v>0</v>
      </c>
      <c r="BK68" s="29">
        <f t="shared" ca="1" si="139"/>
        <v>0</v>
      </c>
    </row>
    <row r="69" spans="1:64">
      <c r="A69" s="80"/>
      <c r="B69" s="53">
        <f>+'Taxes RCA 2022'!A62</f>
        <v>48</v>
      </c>
      <c r="C69" s="18" t="str">
        <f>+'Taxes RCA 2022'!B62</f>
        <v>Taxes sur les appareils à pression de vapeur et de gaz (+)</v>
      </c>
      <c r="E69" s="114"/>
      <c r="F69" s="114">
        <f t="shared" ref="F69:F76" si="140">SUMIF($A$84:$A$752,B69&amp;"- "&amp;C69,$G$84:$G$752)</f>
        <v>0</v>
      </c>
      <c r="G69" s="114">
        <f t="shared" ref="G69:G76" si="141">E69+F69</f>
        <v>0</v>
      </c>
      <c r="H69" s="114"/>
      <c r="I69" s="114"/>
      <c r="J69" s="114">
        <f t="shared" ref="J69:J76" ca="1" si="142">SUMIF($J$84:$M$749,B69&amp;"- "&amp;C69,$Q$84:$Q$749)</f>
        <v>0</v>
      </c>
      <c r="K69" s="114">
        <f t="shared" ref="K69:K76" ca="1" si="143">I69+J69</f>
        <v>0</v>
      </c>
      <c r="L69" s="114"/>
      <c r="M69" s="114">
        <f t="shared" ref="M69:M76" ca="1" si="144">+G69-K69</f>
        <v>0</v>
      </c>
      <c r="N69" s="18"/>
      <c r="O69" s="38"/>
      <c r="P69" s="39"/>
      <c r="Y69" s="15">
        <f>B71</f>
        <v>50</v>
      </c>
      <c r="Z69" s="25" t="str">
        <f t="shared" si="125"/>
        <v>Redevances annuelles résultant des inspections et contrôle des installations classées (+)</v>
      </c>
      <c r="AA69" s="16">
        <f t="shared" ref="AA69:AI69" si="145">SUMPRODUCT(($A$84:$A$752=$Y69&amp;"- "&amp;$Z69)*($C$84:$C$752=AA$1)*($G$84:$G$752))</f>
        <v>0</v>
      </c>
      <c r="AB69" s="16">
        <f t="shared" si="145"/>
        <v>0</v>
      </c>
      <c r="AC69" s="16">
        <f t="shared" si="145"/>
        <v>0</v>
      </c>
      <c r="AD69" s="16">
        <f t="shared" si="145"/>
        <v>0</v>
      </c>
      <c r="AE69" s="16">
        <f t="shared" si="145"/>
        <v>0</v>
      </c>
      <c r="AF69" s="16">
        <f t="shared" si="145"/>
        <v>0</v>
      </c>
      <c r="AG69" s="16">
        <f t="shared" si="145"/>
        <v>0</v>
      </c>
      <c r="AH69" s="16">
        <f t="shared" si="145"/>
        <v>0</v>
      </c>
      <c r="AI69" s="16">
        <f t="shared" si="145"/>
        <v>0</v>
      </c>
      <c r="AJ69" s="16">
        <f>SUM(AA69:AI69)</f>
        <v>0</v>
      </c>
      <c r="AL69" s="17">
        <f>+B71</f>
        <v>50</v>
      </c>
      <c r="AM69" s="26" t="str">
        <f t="shared" si="127"/>
        <v>Redevances annuelles résultant des inspections et contrôle des installations classées (+)</v>
      </c>
      <c r="AN69" s="18">
        <f t="shared" ref="AN69:AU69" si="146">SUMPRODUCT(($J$84:$M$748=$AL69&amp;"- "&amp;$AM69)*($N$84:$N$748=AN$1)*($Q$84:$Q$748))</f>
        <v>0</v>
      </c>
      <c r="AO69" s="18">
        <f t="shared" si="146"/>
        <v>0</v>
      </c>
      <c r="AP69" s="18">
        <f t="shared" si="146"/>
        <v>0</v>
      </c>
      <c r="AQ69" s="18">
        <f t="shared" si="146"/>
        <v>0</v>
      </c>
      <c r="AR69" s="18">
        <f t="shared" si="146"/>
        <v>0</v>
      </c>
      <c r="AS69" s="18">
        <f t="shared" si="146"/>
        <v>0</v>
      </c>
      <c r="AT69" s="18">
        <f t="shared" si="146"/>
        <v>0</v>
      </c>
      <c r="AU69" s="18">
        <f t="shared" si="146"/>
        <v>0</v>
      </c>
      <c r="AV69" s="18">
        <f>SUM(AN69:AU69)</f>
        <v>0</v>
      </c>
      <c r="AW69" s="18"/>
      <c r="AX69" s="17">
        <f>B71</f>
        <v>50</v>
      </c>
      <c r="AY69" s="26" t="str">
        <f t="shared" si="129"/>
        <v>Redevances annuelles résultant des inspections et contrôle des installations classées (+)</v>
      </c>
      <c r="AZ69" s="18">
        <f t="shared" ref="AZ69:BK69" ca="1" si="147">SUMPRODUCT(($C$10:$C$75=$AY69)*($N$10:$N$75=AZ$1)*($M$10:$M$75))</f>
        <v>0</v>
      </c>
      <c r="BA69" s="18">
        <f t="shared" ca="1" si="147"/>
        <v>0</v>
      </c>
      <c r="BB69" s="18">
        <f t="shared" ca="1" si="147"/>
        <v>0</v>
      </c>
      <c r="BC69" s="18">
        <f t="shared" ca="1" si="147"/>
        <v>0</v>
      </c>
      <c r="BD69" s="18">
        <f t="shared" ca="1" si="147"/>
        <v>0</v>
      </c>
      <c r="BE69" s="18">
        <f t="shared" ca="1" si="147"/>
        <v>0</v>
      </c>
      <c r="BF69" s="18">
        <f t="shared" ca="1" si="147"/>
        <v>0</v>
      </c>
      <c r="BG69" s="18">
        <f t="shared" ca="1" si="147"/>
        <v>0</v>
      </c>
      <c r="BH69" s="18">
        <f t="shared" ca="1" si="147"/>
        <v>0</v>
      </c>
      <c r="BI69" s="18">
        <f t="shared" ca="1" si="147"/>
        <v>0</v>
      </c>
      <c r="BJ69" s="18">
        <f t="shared" ca="1" si="147"/>
        <v>0</v>
      </c>
      <c r="BK69" s="18">
        <f t="shared" ca="1" si="147"/>
        <v>0</v>
      </c>
    </row>
    <row r="70" spans="1:64">
      <c r="A70" s="80">
        <f t="shared" si="27"/>
        <v>49</v>
      </c>
      <c r="B70" s="64">
        <f>+'Taxes RCA 2022'!A63</f>
        <v>49</v>
      </c>
      <c r="C70" s="68" t="str">
        <f>+'Taxes RCA 2022'!B63</f>
        <v>Taxes à la pollution (+)</v>
      </c>
      <c r="E70" s="165"/>
      <c r="F70" s="165">
        <f t="shared" si="140"/>
        <v>0</v>
      </c>
      <c r="G70" s="165">
        <f t="shared" si="141"/>
        <v>0</v>
      </c>
      <c r="H70" s="114"/>
      <c r="I70" s="165"/>
      <c r="J70" s="165">
        <f t="shared" ca="1" si="142"/>
        <v>0</v>
      </c>
      <c r="K70" s="165">
        <f t="shared" ca="1" si="143"/>
        <v>0</v>
      </c>
      <c r="L70" s="114"/>
      <c r="M70" s="165">
        <f t="shared" ca="1" si="144"/>
        <v>0</v>
      </c>
      <c r="N70" s="68"/>
      <c r="O70" s="38" t="str">
        <f t="shared" ca="1" si="42"/>
        <v/>
      </c>
      <c r="P70" s="39"/>
      <c r="Y70" s="15"/>
      <c r="Z70" s="25" t="str">
        <f t="shared" si="125"/>
        <v>Taxes superficiaires encaissées par le FNE (+)</v>
      </c>
      <c r="AA70" s="16">
        <f t="shared" ref="AA70:AJ70" si="148">SUM(AA71:AA71)</f>
        <v>0</v>
      </c>
      <c r="AB70" s="16">
        <f t="shared" si="148"/>
        <v>0</v>
      </c>
      <c r="AC70" s="16">
        <f t="shared" si="148"/>
        <v>0</v>
      </c>
      <c r="AD70" s="16">
        <f t="shared" si="148"/>
        <v>0</v>
      </c>
      <c r="AE70" s="16">
        <f t="shared" si="148"/>
        <v>0</v>
      </c>
      <c r="AF70" s="16">
        <f t="shared" si="148"/>
        <v>0</v>
      </c>
      <c r="AG70" s="16">
        <f t="shared" si="148"/>
        <v>0</v>
      </c>
      <c r="AH70" s="16">
        <f t="shared" si="148"/>
        <v>0</v>
      </c>
      <c r="AI70" s="16">
        <f t="shared" si="148"/>
        <v>0</v>
      </c>
      <c r="AJ70" s="16">
        <f t="shared" si="148"/>
        <v>0</v>
      </c>
      <c r="AL70" s="17"/>
      <c r="AM70" s="26" t="str">
        <f t="shared" si="127"/>
        <v>Taxes superficiaires encaissées par le FNE (+)</v>
      </c>
      <c r="AN70" s="18">
        <f t="shared" ref="AN70:AU70" si="149">SUM(AN71:AN71)</f>
        <v>0</v>
      </c>
      <c r="AO70" s="18">
        <f t="shared" si="149"/>
        <v>0</v>
      </c>
      <c r="AP70" s="18">
        <f t="shared" si="149"/>
        <v>0</v>
      </c>
      <c r="AQ70" s="18">
        <f t="shared" si="149"/>
        <v>0</v>
      </c>
      <c r="AR70" s="18">
        <f t="shared" si="149"/>
        <v>0</v>
      </c>
      <c r="AS70" s="18">
        <f t="shared" si="149"/>
        <v>0</v>
      </c>
      <c r="AT70" s="18">
        <f t="shared" si="149"/>
        <v>0</v>
      </c>
      <c r="AU70" s="18">
        <f t="shared" si="149"/>
        <v>0</v>
      </c>
      <c r="AV70" s="18">
        <f>SUM(AV71:AV71)</f>
        <v>0</v>
      </c>
      <c r="AW70" s="18"/>
      <c r="AX70" s="17"/>
      <c r="AY70" s="26" t="str">
        <f t="shared" si="129"/>
        <v>Taxes superficiaires encaissées par le FNE (+)</v>
      </c>
      <c r="AZ70" s="18">
        <f t="shared" ref="AZ70:BK70" ca="1" si="150">SUM(AZ71:AZ71)</f>
        <v>0</v>
      </c>
      <c r="BA70" s="18">
        <f t="shared" ca="1" si="150"/>
        <v>0</v>
      </c>
      <c r="BB70" s="18">
        <f t="shared" ca="1" si="150"/>
        <v>0</v>
      </c>
      <c r="BC70" s="18">
        <f t="shared" ca="1" si="150"/>
        <v>0</v>
      </c>
      <c r="BD70" s="18">
        <f t="shared" ca="1" si="150"/>
        <v>0</v>
      </c>
      <c r="BE70" s="18">
        <f t="shared" ca="1" si="150"/>
        <v>0</v>
      </c>
      <c r="BF70" s="18">
        <f t="shared" ca="1" si="150"/>
        <v>0</v>
      </c>
      <c r="BG70" s="18">
        <f t="shared" ca="1" si="150"/>
        <v>0</v>
      </c>
      <c r="BH70" s="18">
        <f t="shared" ca="1" si="150"/>
        <v>0</v>
      </c>
      <c r="BI70" s="18">
        <f t="shared" ca="1" si="150"/>
        <v>0</v>
      </c>
      <c r="BJ70" s="18">
        <f t="shared" ca="1" si="150"/>
        <v>0</v>
      </c>
      <c r="BK70" s="18">
        <f t="shared" ca="1" si="150"/>
        <v>0</v>
      </c>
      <c r="BL70" s="23"/>
    </row>
    <row r="71" spans="1:64" ht="24">
      <c r="A71" s="80">
        <f t="shared" si="27"/>
        <v>50</v>
      </c>
      <c r="B71" s="53">
        <f>+'Taxes RCA 2022'!A64</f>
        <v>50</v>
      </c>
      <c r="C71" s="171" t="str">
        <f>+'Taxes RCA 2022'!B64</f>
        <v>Redevances annuelles résultant des inspections et contrôle des installations classées (+)</v>
      </c>
      <c r="E71" s="114"/>
      <c r="F71" s="114">
        <f t="shared" si="140"/>
        <v>0</v>
      </c>
      <c r="G71" s="114">
        <f t="shared" si="141"/>
        <v>0</v>
      </c>
      <c r="H71" s="114"/>
      <c r="I71" s="114"/>
      <c r="J71" s="114">
        <f t="shared" ca="1" si="142"/>
        <v>0</v>
      </c>
      <c r="K71" s="114">
        <f t="shared" ca="1" si="143"/>
        <v>0</v>
      </c>
      <c r="L71" s="114"/>
      <c r="M71" s="114">
        <f t="shared" ca="1" si="144"/>
        <v>0</v>
      </c>
      <c r="N71" s="18"/>
      <c r="O71" s="38" t="str">
        <f t="shared" ca="1" si="42"/>
        <v/>
      </c>
      <c r="P71" s="39" t="str">
        <f ca="1">IF(O71="ERROR","Please insert comment","")</f>
        <v/>
      </c>
      <c r="Y71" s="15">
        <f>B73</f>
        <v>52</v>
      </c>
      <c r="Z71" s="25" t="str">
        <f t="shared" si="125"/>
        <v>Taxes de remise en état (+)</v>
      </c>
      <c r="AA71" s="16">
        <f t="shared" ref="AA71:AI73" si="151">SUMPRODUCT(($A$84:$A$752=$Y71&amp;"- "&amp;$Z71)*($C$84:$C$752=AA$1)*($G$84:$G$752))</f>
        <v>0</v>
      </c>
      <c r="AB71" s="16">
        <f t="shared" si="151"/>
        <v>0</v>
      </c>
      <c r="AC71" s="16">
        <f t="shared" si="151"/>
        <v>0</v>
      </c>
      <c r="AD71" s="16">
        <f t="shared" si="151"/>
        <v>0</v>
      </c>
      <c r="AE71" s="16">
        <f t="shared" si="151"/>
        <v>0</v>
      </c>
      <c r="AF71" s="16">
        <f t="shared" si="151"/>
        <v>0</v>
      </c>
      <c r="AG71" s="16">
        <f t="shared" si="151"/>
        <v>0</v>
      </c>
      <c r="AH71" s="16">
        <f t="shared" si="151"/>
        <v>0</v>
      </c>
      <c r="AI71" s="16">
        <f t="shared" si="151"/>
        <v>0</v>
      </c>
      <c r="AJ71" s="16">
        <f>SUM(AA71:AI71)</f>
        <v>0</v>
      </c>
      <c r="AL71" s="17">
        <f>+B73</f>
        <v>52</v>
      </c>
      <c r="AM71" s="26" t="str">
        <f t="shared" si="127"/>
        <v>Taxes de remise en état (+)</v>
      </c>
      <c r="AN71" s="18">
        <f t="shared" ref="AN71:AU71" si="152">SUMPRODUCT(($J$84:$M$748=$AL71&amp;"- "&amp;$AM71)*($N$84:$N$748=AN$1)*($Q$84:$Q$748))</f>
        <v>0</v>
      </c>
      <c r="AO71" s="18">
        <f t="shared" si="152"/>
        <v>0</v>
      </c>
      <c r="AP71" s="18">
        <f t="shared" si="152"/>
        <v>0</v>
      </c>
      <c r="AQ71" s="18">
        <f t="shared" si="152"/>
        <v>0</v>
      </c>
      <c r="AR71" s="18">
        <f t="shared" si="152"/>
        <v>0</v>
      </c>
      <c r="AS71" s="18">
        <f t="shared" si="152"/>
        <v>0</v>
      </c>
      <c r="AT71" s="18">
        <f t="shared" si="152"/>
        <v>0</v>
      </c>
      <c r="AU71" s="18">
        <f t="shared" si="152"/>
        <v>0</v>
      </c>
      <c r="AV71" s="18">
        <f>SUM(AN71:AU71)</f>
        <v>0</v>
      </c>
      <c r="AW71" s="18"/>
      <c r="AX71" s="17">
        <f>B73</f>
        <v>52</v>
      </c>
      <c r="AY71" s="26" t="str">
        <f t="shared" si="129"/>
        <v>Taxes de remise en état (+)</v>
      </c>
      <c r="AZ71" s="18">
        <f t="shared" ref="AZ71:BK71" ca="1" si="153">SUMPRODUCT(($C$10:$C$75=$AY71)*($N$10:$N$75=AZ$1)*($M$10:$M$75))</f>
        <v>0</v>
      </c>
      <c r="BA71" s="18">
        <f t="shared" ca="1" si="153"/>
        <v>0</v>
      </c>
      <c r="BB71" s="18">
        <f t="shared" ca="1" si="153"/>
        <v>0</v>
      </c>
      <c r="BC71" s="18">
        <f t="shared" ca="1" si="153"/>
        <v>0</v>
      </c>
      <c r="BD71" s="18">
        <f t="shared" ca="1" si="153"/>
        <v>0</v>
      </c>
      <c r="BE71" s="18">
        <f t="shared" ca="1" si="153"/>
        <v>0</v>
      </c>
      <c r="BF71" s="18">
        <f t="shared" ca="1" si="153"/>
        <v>0</v>
      </c>
      <c r="BG71" s="18">
        <f t="shared" ca="1" si="153"/>
        <v>0</v>
      </c>
      <c r="BH71" s="18">
        <f t="shared" ca="1" si="153"/>
        <v>0</v>
      </c>
      <c r="BI71" s="18">
        <f t="shared" ca="1" si="153"/>
        <v>0</v>
      </c>
      <c r="BJ71" s="18">
        <f t="shared" ca="1" si="153"/>
        <v>0</v>
      </c>
      <c r="BK71" s="18">
        <f t="shared" ca="1" si="153"/>
        <v>0</v>
      </c>
    </row>
    <row r="72" spans="1:64">
      <c r="A72" s="80">
        <f t="shared" si="27"/>
        <v>51</v>
      </c>
      <c r="B72" s="64">
        <f>+'Taxes RCA 2022'!A65</f>
        <v>51</v>
      </c>
      <c r="C72" s="68" t="str">
        <f>+'Taxes RCA 2022'!B65</f>
        <v>Taxes superficiaires encaissées par le FNE (+)</v>
      </c>
      <c r="E72" s="165"/>
      <c r="F72" s="165">
        <f t="shared" si="140"/>
        <v>0</v>
      </c>
      <c r="G72" s="165">
        <f t="shared" si="141"/>
        <v>0</v>
      </c>
      <c r="H72" s="114"/>
      <c r="I72" s="165"/>
      <c r="J72" s="165">
        <f t="shared" ca="1" si="142"/>
        <v>0</v>
      </c>
      <c r="K72" s="165">
        <f t="shared" ca="1" si="143"/>
        <v>0</v>
      </c>
      <c r="L72" s="114"/>
      <c r="M72" s="165">
        <f t="shared" ca="1" si="144"/>
        <v>0</v>
      </c>
      <c r="N72" s="68"/>
      <c r="Y72" s="15"/>
      <c r="Z72" s="25" t="str">
        <f t="shared" si="125"/>
        <v>Taxes environnementales sur les Stes forestières et Minières (+)</v>
      </c>
      <c r="AA72" s="16">
        <f t="shared" si="151"/>
        <v>0</v>
      </c>
      <c r="AB72" s="16">
        <f t="shared" si="151"/>
        <v>0</v>
      </c>
      <c r="AC72" s="16">
        <f t="shared" si="151"/>
        <v>0</v>
      </c>
      <c r="AD72" s="16">
        <f t="shared" si="151"/>
        <v>0</v>
      </c>
      <c r="AE72" s="16">
        <f t="shared" si="151"/>
        <v>0</v>
      </c>
      <c r="AF72" s="16">
        <f t="shared" si="151"/>
        <v>0</v>
      </c>
      <c r="AG72" s="16">
        <f t="shared" si="151"/>
        <v>0</v>
      </c>
      <c r="AH72" s="16">
        <f t="shared" si="151"/>
        <v>0</v>
      </c>
      <c r="AI72" s="16">
        <f t="shared" si="151"/>
        <v>0</v>
      </c>
      <c r="AJ72" s="16">
        <f>SUM(AA72:AI72)</f>
        <v>0</v>
      </c>
      <c r="AL72" s="17"/>
      <c r="AM72" s="26" t="str">
        <f t="shared" si="127"/>
        <v>Taxes environnementales sur les Stes forestières et Minières (+)</v>
      </c>
      <c r="AN72" s="18">
        <f t="shared" ref="AN72:AV72" si="154">SUM(AN73:AN73)</f>
        <v>0</v>
      </c>
      <c r="AO72" s="18">
        <f t="shared" si="154"/>
        <v>0</v>
      </c>
      <c r="AP72" s="18">
        <f t="shared" si="154"/>
        <v>0</v>
      </c>
      <c r="AQ72" s="18">
        <f t="shared" si="154"/>
        <v>0</v>
      </c>
      <c r="AR72" s="18">
        <f t="shared" si="154"/>
        <v>0</v>
      </c>
      <c r="AS72" s="18">
        <f t="shared" si="154"/>
        <v>0</v>
      </c>
      <c r="AT72" s="18">
        <f t="shared" si="154"/>
        <v>0</v>
      </c>
      <c r="AU72" s="18">
        <f t="shared" si="154"/>
        <v>0</v>
      </c>
      <c r="AV72" s="18">
        <f t="shared" si="154"/>
        <v>0</v>
      </c>
      <c r="AW72" s="18"/>
      <c r="AX72" s="17"/>
      <c r="AY72" s="26" t="str">
        <f t="shared" si="129"/>
        <v>Taxes environnementales sur les Stes forestières et Minières (+)</v>
      </c>
      <c r="AZ72" s="18">
        <f t="shared" ref="AZ72:BK72" ca="1" si="155">SUM(AZ73:AZ73)</f>
        <v>0</v>
      </c>
      <c r="BA72" s="18">
        <f t="shared" ca="1" si="155"/>
        <v>0</v>
      </c>
      <c r="BB72" s="18">
        <f t="shared" ca="1" si="155"/>
        <v>0</v>
      </c>
      <c r="BC72" s="18">
        <f t="shared" ca="1" si="155"/>
        <v>0</v>
      </c>
      <c r="BD72" s="18">
        <f t="shared" ca="1" si="155"/>
        <v>0</v>
      </c>
      <c r="BE72" s="18">
        <f t="shared" ca="1" si="155"/>
        <v>0</v>
      </c>
      <c r="BF72" s="18">
        <f t="shared" ca="1" si="155"/>
        <v>0</v>
      </c>
      <c r="BG72" s="18">
        <f t="shared" ca="1" si="155"/>
        <v>0</v>
      </c>
      <c r="BH72" s="18">
        <f t="shared" ca="1" si="155"/>
        <v>0</v>
      </c>
      <c r="BI72" s="18">
        <f t="shared" ca="1" si="155"/>
        <v>0</v>
      </c>
      <c r="BJ72" s="18">
        <f t="shared" ca="1" si="155"/>
        <v>0</v>
      </c>
      <c r="BK72" s="18">
        <f t="shared" ca="1" si="155"/>
        <v>0</v>
      </c>
      <c r="BL72" s="41"/>
    </row>
    <row r="73" spans="1:64">
      <c r="A73" s="80">
        <f t="shared" si="27"/>
        <v>52</v>
      </c>
      <c r="B73" s="53">
        <f>+'Taxes RCA 2022'!A66</f>
        <v>52</v>
      </c>
      <c r="C73" s="18" t="str">
        <f>+'Taxes RCA 2022'!B66</f>
        <v>Taxes de remise en état (+)</v>
      </c>
      <c r="E73" s="114"/>
      <c r="F73" s="114">
        <f t="shared" si="140"/>
        <v>0</v>
      </c>
      <c r="G73" s="114">
        <f t="shared" si="141"/>
        <v>0</v>
      </c>
      <c r="H73" s="114"/>
      <c r="I73" s="114"/>
      <c r="J73" s="114">
        <f t="shared" ca="1" si="142"/>
        <v>0</v>
      </c>
      <c r="K73" s="114">
        <f t="shared" ca="1" si="143"/>
        <v>0</v>
      </c>
      <c r="L73" s="114"/>
      <c r="M73" s="114">
        <f t="shared" ca="1" si="144"/>
        <v>0</v>
      </c>
      <c r="N73" s="18"/>
      <c r="O73" s="38" t="str">
        <f ca="1">IF(M73=0,"",IF(N73=0,"ERROR",""))</f>
        <v/>
      </c>
      <c r="P73" s="39" t="str">
        <f ca="1">IF(O73="ERROR","Please insert comment","")</f>
        <v/>
      </c>
      <c r="Y73" s="15">
        <v>58</v>
      </c>
      <c r="Z73" s="25" t="str">
        <f t="shared" si="125"/>
        <v xml:space="preserve">Amendes environnementales </v>
      </c>
      <c r="AA73" s="16">
        <f t="shared" si="151"/>
        <v>0</v>
      </c>
      <c r="AB73" s="16">
        <f t="shared" si="151"/>
        <v>0</v>
      </c>
      <c r="AC73" s="16">
        <f t="shared" si="151"/>
        <v>0</v>
      </c>
      <c r="AD73" s="16">
        <f t="shared" si="151"/>
        <v>0</v>
      </c>
      <c r="AE73" s="16">
        <f t="shared" si="151"/>
        <v>0</v>
      </c>
      <c r="AF73" s="16">
        <f t="shared" si="151"/>
        <v>0</v>
      </c>
      <c r="AG73" s="16">
        <f t="shared" si="151"/>
        <v>0</v>
      </c>
      <c r="AH73" s="16">
        <f t="shared" si="151"/>
        <v>0</v>
      </c>
      <c r="AI73" s="16">
        <f t="shared" si="151"/>
        <v>0</v>
      </c>
      <c r="AJ73" s="16">
        <f>SUM(AA73:AI73)</f>
        <v>0</v>
      </c>
      <c r="AL73" s="17">
        <f>+B75</f>
        <v>54</v>
      </c>
      <c r="AM73" s="26" t="str">
        <f t="shared" si="127"/>
        <v xml:space="preserve">Amendes environnementales </v>
      </c>
      <c r="AN73" s="18">
        <f t="shared" ref="AN73:AU73" si="156">SUMPRODUCT(($J$84:$M$748=$AL73&amp;"- "&amp;$AM73)*($N$84:$N$748=AN$1)*($Q$84:$Q$748))</f>
        <v>0</v>
      </c>
      <c r="AO73" s="18">
        <f t="shared" si="156"/>
        <v>0</v>
      </c>
      <c r="AP73" s="18">
        <f t="shared" si="156"/>
        <v>0</v>
      </c>
      <c r="AQ73" s="18">
        <f t="shared" si="156"/>
        <v>0</v>
      </c>
      <c r="AR73" s="18">
        <f t="shared" si="156"/>
        <v>0</v>
      </c>
      <c r="AS73" s="18">
        <f t="shared" si="156"/>
        <v>0</v>
      </c>
      <c r="AT73" s="18">
        <f t="shared" si="156"/>
        <v>0</v>
      </c>
      <c r="AU73" s="18">
        <f t="shared" si="156"/>
        <v>0</v>
      </c>
      <c r="AV73" s="18">
        <f>SUM(AN73:AU73)</f>
        <v>0</v>
      </c>
      <c r="AW73" s="18"/>
      <c r="AX73" s="17">
        <f>B75</f>
        <v>54</v>
      </c>
      <c r="AY73" s="26" t="str">
        <f t="shared" si="129"/>
        <v xml:space="preserve">Amendes environnementales </v>
      </c>
      <c r="AZ73" s="18">
        <f t="shared" ref="AZ73:BK73" ca="1" si="157">SUMPRODUCT(($C$10:$C$75=$AY73)*($N$10:$N$75=AZ$1)*($M$10:$M$75))</f>
        <v>0</v>
      </c>
      <c r="BA73" s="18">
        <f t="shared" ca="1" si="157"/>
        <v>0</v>
      </c>
      <c r="BB73" s="18">
        <f t="shared" ca="1" si="157"/>
        <v>0</v>
      </c>
      <c r="BC73" s="18">
        <f t="shared" ca="1" si="157"/>
        <v>0</v>
      </c>
      <c r="BD73" s="18">
        <f t="shared" ca="1" si="157"/>
        <v>0</v>
      </c>
      <c r="BE73" s="18">
        <f t="shared" ca="1" si="157"/>
        <v>0</v>
      </c>
      <c r="BF73" s="18">
        <f t="shared" ca="1" si="157"/>
        <v>0</v>
      </c>
      <c r="BG73" s="18">
        <f t="shared" ca="1" si="157"/>
        <v>0</v>
      </c>
      <c r="BH73" s="18">
        <f t="shared" ca="1" si="157"/>
        <v>0</v>
      </c>
      <c r="BI73" s="18">
        <f t="shared" ca="1" si="157"/>
        <v>0</v>
      </c>
      <c r="BJ73" s="18">
        <f t="shared" ca="1" si="157"/>
        <v>0</v>
      </c>
      <c r="BK73" s="18">
        <f t="shared" ca="1" si="157"/>
        <v>0</v>
      </c>
    </row>
    <row r="74" spans="1:64">
      <c r="A74" s="80"/>
      <c r="B74" s="64">
        <f>+'Taxes RCA 2022'!A67</f>
        <v>53</v>
      </c>
      <c r="C74" s="68" t="str">
        <f>+'Taxes RCA 2022'!B67</f>
        <v>Taxes environnementales sur les Stes forestières et Minières (+)</v>
      </c>
      <c r="E74" s="165"/>
      <c r="F74" s="165">
        <f t="shared" si="140"/>
        <v>0</v>
      </c>
      <c r="G74" s="165">
        <f t="shared" si="141"/>
        <v>0</v>
      </c>
      <c r="H74" s="167">
        <v>808920</v>
      </c>
      <c r="I74" s="165"/>
      <c r="J74" s="165">
        <f t="shared" ca="1" si="142"/>
        <v>0</v>
      </c>
      <c r="K74" s="165">
        <f t="shared" ca="1" si="143"/>
        <v>0</v>
      </c>
      <c r="L74" s="114"/>
      <c r="M74" s="165">
        <f t="shared" ca="1" si="144"/>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40"/>
        <v>0</v>
      </c>
      <c r="G75" s="114">
        <f t="shared" si="141"/>
        <v>0</v>
      </c>
      <c r="H75" s="114"/>
      <c r="I75" s="114"/>
      <c r="J75" s="114">
        <f t="shared" ca="1" si="142"/>
        <v>0</v>
      </c>
      <c r="K75" s="114">
        <f t="shared" ca="1" si="143"/>
        <v>0</v>
      </c>
      <c r="L75" s="114"/>
      <c r="M75" s="114">
        <f t="shared" ca="1" si="144"/>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7"/>
        <v>55</v>
      </c>
      <c r="B76" s="64">
        <f>+'Taxes RCA 2022'!A69</f>
        <v>55</v>
      </c>
      <c r="C76" s="68" t="str">
        <f>+'Taxes RCA 2022'!B69</f>
        <v>Dépenses environnementales volontaires (+)</v>
      </c>
      <c r="D76" s="33"/>
      <c r="E76" s="165"/>
      <c r="F76" s="165">
        <f t="shared" si="140"/>
        <v>0</v>
      </c>
      <c r="G76" s="165">
        <f t="shared" si="141"/>
        <v>0</v>
      </c>
      <c r="H76" s="168"/>
      <c r="I76" s="165"/>
      <c r="J76" s="165">
        <f t="shared" ca="1" si="142"/>
        <v>0</v>
      </c>
      <c r="K76" s="165">
        <f t="shared" ca="1" si="143"/>
        <v>0</v>
      </c>
      <c r="L76" s="168"/>
      <c r="M76" s="165">
        <f t="shared" ca="1" si="144"/>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7"/>
        <v>0</v>
      </c>
      <c r="B77" s="163"/>
      <c r="C77" s="58" t="str">
        <f>+'Taxes RCA 2022'!B70</f>
        <v>Tous</v>
      </c>
      <c r="E77" s="166">
        <f>+E78+E79</f>
        <v>35598775</v>
      </c>
      <c r="F77" s="166">
        <f t="shared" ref="F77:G77" si="158">+F78+F79</f>
        <v>0</v>
      </c>
      <c r="G77" s="166">
        <f t="shared" si="158"/>
        <v>35598775</v>
      </c>
      <c r="H77" s="169"/>
      <c r="I77" s="166">
        <f t="shared" ref="I77:K77" si="159">+I78+I79</f>
        <v>35598775.329999998</v>
      </c>
      <c r="J77" s="166">
        <f t="shared" ca="1" si="159"/>
        <v>0</v>
      </c>
      <c r="K77" s="166">
        <f t="shared" ca="1" si="159"/>
        <v>35598775.329999998</v>
      </c>
      <c r="L77" s="169"/>
      <c r="M77" s="166">
        <f ca="1">+M78+M79</f>
        <v>-0.32999999821186066</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v>35598775</v>
      </c>
      <c r="F78" s="114">
        <f>SUMIF($A$84:$A$752,B78&amp;"- "&amp;C78,$G$84:$G$752)</f>
        <v>0</v>
      </c>
      <c r="G78" s="114">
        <f>E78+F78</f>
        <v>35598775</v>
      </c>
      <c r="H78" s="114"/>
      <c r="I78" s="114">
        <v>35598775.329999998</v>
      </c>
      <c r="J78" s="114">
        <f ca="1">SUMIF($J$84:$M$749,B78&amp;"- "&amp;C78,$Q$84:$Q$749)</f>
        <v>0</v>
      </c>
      <c r="K78" s="114">
        <f ca="1">I78+J78</f>
        <v>35598775.329999998</v>
      </c>
      <c r="L78" s="114"/>
      <c r="M78" s="114">
        <f ca="1">+G78-K78</f>
        <v>-0.32999999821186066</v>
      </c>
      <c r="N78" s="18" t="s">
        <v>229</v>
      </c>
      <c r="O78" s="38" t="str">
        <f ca="1">IF(M78=0,"",IF(N78=0,"ERROR",""))</f>
        <v/>
      </c>
      <c r="P78" s="39" t="str">
        <f ca="1">IF(O78="ERROR","Please insert comment","")</f>
        <v/>
      </c>
      <c r="Q78" s="35"/>
      <c r="Y78" s="15">
        <f>B45</f>
        <v>0</v>
      </c>
      <c r="Z78" s="25" t="str">
        <f>C45</f>
        <v xml:space="preserve">Paiements infranationaux au profit des communes </v>
      </c>
      <c r="AA78" s="16">
        <f t="shared" ref="AA78:AI78" si="160">SUMPRODUCT(($A$84:$A$752=$Y78&amp;"- "&amp;$Z78)*($C$84:$C$752=AA$1)*($G$84:$G$752))</f>
        <v>0</v>
      </c>
      <c r="AB78" s="16">
        <f t="shared" si="160"/>
        <v>0</v>
      </c>
      <c r="AC78" s="16">
        <f t="shared" si="160"/>
        <v>0</v>
      </c>
      <c r="AD78" s="16">
        <f t="shared" si="160"/>
        <v>0</v>
      </c>
      <c r="AE78" s="16">
        <f t="shared" si="160"/>
        <v>0</v>
      </c>
      <c r="AF78" s="16">
        <f t="shared" si="160"/>
        <v>0</v>
      </c>
      <c r="AG78" s="16">
        <f t="shared" si="160"/>
        <v>0</v>
      </c>
      <c r="AH78" s="16">
        <f t="shared" si="160"/>
        <v>0</v>
      </c>
      <c r="AI78" s="16">
        <f t="shared" si="160"/>
        <v>0</v>
      </c>
      <c r="AJ78" s="16">
        <f>SUM(AA78:AI78)</f>
        <v>0</v>
      </c>
      <c r="AL78" s="17">
        <f>+B45</f>
        <v>0</v>
      </c>
      <c r="AM78" s="26" t="str">
        <f>+C45</f>
        <v xml:space="preserve">Paiements infranationaux au profit des communes </v>
      </c>
      <c r="AN78" s="18">
        <f t="shared" ref="AN78:AU78" si="161">SUMPRODUCT(($J$84:$M$748=$AL78&amp;"- "&amp;$AM78)*($N$84:$N$748=AN$1)*($Q$84:$Q$748))</f>
        <v>0</v>
      </c>
      <c r="AO78" s="18">
        <f t="shared" si="161"/>
        <v>0</v>
      </c>
      <c r="AP78" s="18">
        <f t="shared" si="161"/>
        <v>0</v>
      </c>
      <c r="AQ78" s="18">
        <f t="shared" si="161"/>
        <v>0</v>
      </c>
      <c r="AR78" s="18">
        <f t="shared" si="161"/>
        <v>0</v>
      </c>
      <c r="AS78" s="18">
        <f t="shared" si="161"/>
        <v>0</v>
      </c>
      <c r="AT78" s="18">
        <f t="shared" si="161"/>
        <v>0</v>
      </c>
      <c r="AU78" s="18">
        <f t="shared" si="161"/>
        <v>0</v>
      </c>
      <c r="AV78" s="18">
        <f>SUM(AN78:AU78)</f>
        <v>0</v>
      </c>
      <c r="AW78" s="18"/>
      <c r="AX78" s="17">
        <f>B45</f>
        <v>0</v>
      </c>
      <c r="AY78" s="26" t="str">
        <f>C45</f>
        <v xml:space="preserve">Paiements infranationaux au profit des communes </v>
      </c>
      <c r="AZ78" s="18">
        <f t="shared" ref="AZ78:BK78" ca="1" si="162">SUMPRODUCT(($C$10:$C$75=$AY78)*($N$10:$N$75=AZ$1)*($M$10:$M$75))</f>
        <v>0</v>
      </c>
      <c r="BA78" s="18">
        <f t="shared" ca="1" si="162"/>
        <v>0</v>
      </c>
      <c r="BB78" s="18">
        <f t="shared" ca="1" si="162"/>
        <v>0</v>
      </c>
      <c r="BC78" s="18">
        <f t="shared" ca="1" si="162"/>
        <v>0</v>
      </c>
      <c r="BD78" s="18">
        <f t="shared" ca="1" si="162"/>
        <v>0</v>
      </c>
      <c r="BE78" s="18">
        <f t="shared" ca="1" si="162"/>
        <v>0</v>
      </c>
      <c r="BF78" s="18">
        <f t="shared" ca="1" si="162"/>
        <v>0</v>
      </c>
      <c r="BG78" s="18">
        <f t="shared" ca="1" si="162"/>
        <v>0</v>
      </c>
      <c r="BH78" s="18">
        <f t="shared" ca="1" si="162"/>
        <v>0</v>
      </c>
      <c r="BI78" s="18">
        <f t="shared" ca="1" si="162"/>
        <v>0</v>
      </c>
      <c r="BJ78" s="18">
        <f t="shared" ca="1" si="162"/>
        <v>0</v>
      </c>
      <c r="BK78" s="18">
        <f t="shared" ca="1" si="162"/>
        <v>0</v>
      </c>
    </row>
    <row r="79" spans="1:64">
      <c r="A79" s="80">
        <f t="shared" si="27"/>
        <v>57</v>
      </c>
      <c r="B79" s="64">
        <f>+'Taxes RCA 2022'!A72</f>
        <v>57</v>
      </c>
      <c r="C79" s="68" t="str">
        <f>+'Taxes RCA 2022'!B72</f>
        <v>Autres paiements significatifs versés aux entités gouvernementales (&gt;10 millions FCFA)</v>
      </c>
      <c r="E79" s="165"/>
      <c r="F79" s="165">
        <f>SUMIF($A$84:$A$752,B79&amp;"- "&amp;C79,$G$84:$G$752)</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IF(F8=G754,"","ERROR")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F84" s="120"/>
      <c r="G84" s="144"/>
      <c r="J84" s="61" t="s">
        <v>181</v>
      </c>
      <c r="L84" s="60"/>
      <c r="M84" s="61" t="s">
        <v>509</v>
      </c>
      <c r="N84" s="97"/>
      <c r="O84" s="121"/>
      <c r="P84" s="129"/>
      <c r="Q84" s="145">
        <v>11314605</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4"/>
      <c r="J85" s="61" t="s">
        <v>180</v>
      </c>
      <c r="L85" s="60"/>
      <c r="M85" s="61" t="s">
        <v>509</v>
      </c>
      <c r="N85" s="97"/>
      <c r="O85" s="121"/>
      <c r="P85" s="129"/>
      <c r="Q85" s="145">
        <v>-11314605</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F86" s="120"/>
      <c r="G86" s="144"/>
      <c r="J86" s="61" t="s">
        <v>176</v>
      </c>
      <c r="L86" s="60"/>
      <c r="M86" s="61" t="s">
        <v>514</v>
      </c>
      <c r="N86" s="97"/>
      <c r="O86" s="121"/>
      <c r="P86" s="129"/>
      <c r="Q86" s="145">
        <v>12000000</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20"/>
      <c r="G87" s="144"/>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F88" s="120"/>
      <c r="G88" s="144"/>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F89" s="120"/>
      <c r="G89" s="144"/>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F90" s="120"/>
      <c r="G90" s="144"/>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F91" s="120"/>
      <c r="G91" s="144"/>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F92" s="120"/>
      <c r="G92" s="144"/>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F93" s="120"/>
      <c r="G93" s="144"/>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0"/>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0"/>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0"/>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0"/>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0"/>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12000000</v>
      </c>
    </row>
    <row r="752" spans="1:17">
      <c r="B752" s="24"/>
      <c r="C752" s="60"/>
      <c r="E752" s="47"/>
      <c r="F752" s="48"/>
      <c r="G752" s="47"/>
    </row>
    <row r="753" spans="2:7">
      <c r="B753" s="24"/>
      <c r="E753" s="47"/>
      <c r="F753" s="48"/>
      <c r="G753" s="47"/>
    </row>
    <row r="754" spans="2:7" ht="15">
      <c r="E754" s="49"/>
      <c r="F754" s="50"/>
      <c r="G754" s="51">
        <f>SUM(G84:G753)</f>
        <v>0</v>
      </c>
    </row>
  </sheetData>
  <mergeCells count="14">
    <mergeCell ref="Y2:Z2"/>
    <mergeCell ref="AL2:AM2"/>
    <mergeCell ref="AX2:AY2"/>
    <mergeCell ref="B3:B4"/>
    <mergeCell ref="C3:C4"/>
    <mergeCell ref="E3:G3"/>
    <mergeCell ref="I3:K3"/>
    <mergeCell ref="M3:M4"/>
    <mergeCell ref="N3:N4"/>
    <mergeCell ref="Y5:Z5"/>
    <mergeCell ref="AL5:AM5"/>
    <mergeCell ref="AX5:AY5"/>
    <mergeCell ref="A82:G82"/>
    <mergeCell ref="J82:Q82"/>
  </mergeCells>
  <conditionalFormatting sqref="T17">
    <cfRule type="containsText" dxfId="114" priority="4" operator="containsText" text="ERROR">
      <formula>NOT(ISERROR(SEARCH("ERROR",T17)))</formula>
    </cfRule>
  </conditionalFormatting>
  <conditionalFormatting sqref="T42">
    <cfRule type="containsText" dxfId="113" priority="3" operator="containsText" text="ERROR">
      <formula>NOT(ISERROR(SEARCH("ERROR",T42)))</formula>
    </cfRule>
  </conditionalFormatting>
  <conditionalFormatting sqref="W19">
    <cfRule type="containsText" dxfId="112" priority="1" operator="containsText" text="ERROR">
      <formula>NOT(ISERROR(SEARCH("ERROR",W19)))</formula>
    </cfRule>
  </conditionalFormatting>
  <conditionalFormatting sqref="BL72">
    <cfRule type="containsText" dxfId="111" priority="2" operator="containsText" text="ERROR">
      <formula>NOT(ISERROR(SEARCH("ERROR",BL72)))</formula>
    </cfRule>
  </conditionalFormatting>
  <dataValidations count="6">
    <dataValidation type="list" allowBlank="1" showInputMessage="1" showErrorMessage="1" sqref="C84:C752" xr:uid="{81FBF7AB-43CE-4CBA-8CC8-A020486580ED}">
      <formula1>Compadjust</formula1>
    </dataValidation>
    <dataValidation type="list" allowBlank="1" showErrorMessage="1" errorTitle="Taxes" error="Non valid entry. Please check the tax list" promptTitle="Taxes" prompt="Please select the tax subject to adjustment" sqref="B92:B93 B100:B106" xr:uid="{342E82D6-12F8-423B-91B6-70F4D41FDBB5}">
      <formula1>$A$136:$A$137</formula1>
    </dataValidation>
    <dataValidation type="list" allowBlank="1" showInputMessage="1" showErrorMessage="1" sqref="N84:N749" xr:uid="{F6AF5364-0427-441D-AB9C-2C29601453C1}">
      <formula1>Govadjust</formula1>
    </dataValidation>
    <dataValidation type="list" allowBlank="1" showInputMessage="1" showErrorMessage="1" sqref="N5:N8 N73 N75 N77:N79 N10:N71" xr:uid="{39B0C33A-A2F1-4981-A5B5-7FC724C9B1AF}">
      <formula1>FinalDiff</formula1>
    </dataValidation>
    <dataValidation type="list" allowBlank="1" showInputMessage="1" showErrorMessage="1" sqref="M93:M95 L84:L96 M131:M748 L97:M98 L100:L748" xr:uid="{60D3CC7D-E322-433A-9A16-538502824504}">
      <formula1>Taxes</formula1>
    </dataValidation>
    <dataValidation type="list" allowBlank="1" showErrorMessage="1" errorTitle="Taxes" error="Non valid entry. Please check the tax list" promptTitle="Taxes" prompt="Please select the tax subject to adjustment" sqref="A752" xr:uid="{64D4160A-11F2-4939-838D-38A3F86E5C6D}">
      <formula1>Taxes</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1F786FCB-2AD9-4A3E-9D1E-475C0243C87B}">
          <x14:formula1>
            <xm:f>Lists!$A$7:$A$64</xm:f>
          </x14:formula1>
          <xm:sqref>A84:A751</xm:sqref>
        </x14:dataValidation>
        <x14:dataValidation type="list" allowBlank="1" showInputMessage="1" showErrorMessage="1" xr:uid="{5092A054-B16F-4A81-8B27-F98170CBD6A0}">
          <x14:formula1>
            <xm:f>Lists!$A$7:$A$64</xm:f>
          </x14:formula1>
          <xm:sqref>J84:J749</xm:sqref>
        </x14:dataValidation>
        <x14:dataValidation type="list" allowBlank="1" showErrorMessage="1" errorTitle="Taxes" error="Non valid entry. Please check the tax list" promptTitle="Taxes" prompt="Please select the tax subject to adjustment" xr:uid="{22EFA566-5599-48FD-9F35-E7E39672C291}">
          <x14:formula1>
            <xm:f>Lists!$A$131:$A$132</xm:f>
          </x14:formula1>
          <xm:sqref>K84:K749 B84:B91 B94:B99</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F4AA3-6A37-4ABD-8C99-DAB889B02195}">
  <sheetPr codeName="Feuil163">
    <tabColor rgb="FFFF0000"/>
  </sheetPr>
  <dimension ref="A1:BL753"/>
  <sheetViews>
    <sheetView showGridLines="0" topLeftCell="B23" zoomScaleNormal="100" workbookViewId="0">
      <selection activeCell="J42" sqref="J42:J43"/>
    </sheetView>
  </sheetViews>
  <sheetFormatPr baseColWidth="10" defaultColWidth="11.54296875" defaultRowHeight="12" outlineLevelCol="1"/>
  <cols>
    <col min="1" max="1" width="28.54296875" style="17" hidden="1" customWidth="1"/>
    <col min="2" max="2" width="4.453125" style="17" customWidth="1"/>
    <col min="3" max="3" width="52.816406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Companies!B16</f>
        <v>SOCIETE_AF_IRON</v>
      </c>
      <c r="F1" s="32">
        <f>Companies!C16</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0</v>
      </c>
      <c r="J8" s="164">
        <f ca="1">+J9+J13+J15+J17+J40+J45+J47+J52+J55+J62+J65+J68+J77</f>
        <v>22113000</v>
      </c>
      <c r="K8" s="164">
        <f ca="1">+K9+K13+K15+K17+K40+K45+K47+K52+K55+K62+K65+K68+K77</f>
        <v>22113000</v>
      </c>
      <c r="L8" s="114"/>
      <c r="M8" s="164">
        <f ca="1">+M9+M13+M15+M17+M40+M45+M52+M55+M62+M65+M68+M77+M47</f>
        <v>-22113000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22113000</v>
      </c>
      <c r="K40" s="166">
        <f ca="1">SUM(K41:K44)</f>
        <v>22113000</v>
      </c>
      <c r="L40" s="114"/>
      <c r="M40" s="166">
        <f ca="1">SUM(M41:M44)</f>
        <v>-22113000</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v>15000000</v>
      </c>
      <c r="K42" s="165">
        <f>I42+J42</f>
        <v>15000000</v>
      </c>
      <c r="L42" s="114"/>
      <c r="M42" s="165">
        <f>+G42-K42</f>
        <v>-15000000</v>
      </c>
      <c r="N42" s="68"/>
      <c r="O42" s="38" t="str">
        <f t="shared" si="46"/>
        <v>ERROR</v>
      </c>
      <c r="P42" s="39" t="str">
        <f t="shared" si="88"/>
        <v>Please insert comment</v>
      </c>
      <c r="Q42" s="35"/>
      <c r="T42" s="41" t="str">
        <f ca="1">IF(J8=S33,"","ERROR")</f>
        <v>ERROR</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v>7113000</v>
      </c>
      <c r="K43" s="114">
        <f>I43+J43</f>
        <v>7113000</v>
      </c>
      <c r="L43" s="114"/>
      <c r="M43" s="114">
        <f>+G43-K43</f>
        <v>-7113000</v>
      </c>
      <c r="N43" s="18"/>
      <c r="O43" s="38" t="str">
        <f t="shared" si="46"/>
        <v>ERROR</v>
      </c>
      <c r="P43" s="39" t="str">
        <f t="shared" si="88"/>
        <v>Please insert comment</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8"/>
        <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t="str">
        <f t="shared" ca="1" si="46"/>
        <v/>
      </c>
      <c r="P53" s="39" t="str">
        <f ca="1">IF(O53="ERROR","Please insert comment","")</f>
        <v/>
      </c>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t="shared" ca="1" si="46"/>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c r="P56" s="39"/>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c r="P57" s="39"/>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c r="P58" s="39"/>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c r="P59" s="39"/>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c r="P60" s="39"/>
      <c r="Y60" s="15"/>
      <c r="Z60" s="25" t="str">
        <f t="shared" si="110"/>
        <v xml:space="preserve">Fonds du soutien à la Promotion Pétrolière </v>
      </c>
      <c r="AA60" s="16">
        <f>SUM(AA61:AA64)</f>
        <v>0</v>
      </c>
      <c r="AB60" s="16">
        <f t="shared" ref="AB60:AJ60" si="122">SUM(AB61:AB64)</f>
        <v>0</v>
      </c>
      <c r="AC60" s="16">
        <f t="shared" si="122"/>
        <v>0</v>
      </c>
      <c r="AD60" s="16">
        <f t="shared" si="122"/>
        <v>0</v>
      </c>
      <c r="AE60" s="16">
        <f t="shared" si="122"/>
        <v>0</v>
      </c>
      <c r="AF60" s="16">
        <f t="shared" si="122"/>
        <v>0</v>
      </c>
      <c r="AG60" s="16">
        <f t="shared" si="122"/>
        <v>0</v>
      </c>
      <c r="AH60" s="16">
        <f t="shared" si="122"/>
        <v>0</v>
      </c>
      <c r="AI60" s="16">
        <f t="shared" si="122"/>
        <v>0</v>
      </c>
      <c r="AJ60" s="16">
        <f t="shared" si="122"/>
        <v>0</v>
      </c>
      <c r="AL60" s="17"/>
      <c r="AM60" s="26" t="str">
        <f t="shared" si="111"/>
        <v xml:space="preserve">Fonds du soutien à la Promotion Pétrolière </v>
      </c>
      <c r="AN60" s="18">
        <f t="shared" ref="AN60:AV60" si="123">SUM(AN61:AN64)</f>
        <v>0</v>
      </c>
      <c r="AO60" s="18">
        <f t="shared" si="123"/>
        <v>0</v>
      </c>
      <c r="AP60" s="18">
        <f t="shared" si="123"/>
        <v>0</v>
      </c>
      <c r="AQ60" s="18">
        <f t="shared" si="123"/>
        <v>0</v>
      </c>
      <c r="AR60" s="18">
        <f t="shared" si="123"/>
        <v>0</v>
      </c>
      <c r="AS60" s="18">
        <f t="shared" si="123"/>
        <v>0</v>
      </c>
      <c r="AT60" s="18">
        <f t="shared" si="123"/>
        <v>0</v>
      </c>
      <c r="AU60" s="18">
        <f t="shared" si="123"/>
        <v>0</v>
      </c>
      <c r="AV60" s="18">
        <f t="shared" si="123"/>
        <v>0</v>
      </c>
      <c r="AW60" s="18"/>
      <c r="AX60" s="17"/>
      <c r="AY60" s="26" t="str">
        <f t="shared" si="112"/>
        <v xml:space="preserve">Fonds du soutien à la Promotion Pétrolière </v>
      </c>
      <c r="AZ60" s="18">
        <f t="shared" ref="AZ60:BK60" ca="1" si="124">SUM(AZ61:AZ64)</f>
        <v>0</v>
      </c>
      <c r="BA60" s="18">
        <f t="shared" ca="1" si="124"/>
        <v>0</v>
      </c>
      <c r="BB60" s="18">
        <f t="shared" ca="1" si="124"/>
        <v>0</v>
      </c>
      <c r="BC60" s="18">
        <f t="shared" ca="1" si="124"/>
        <v>0</v>
      </c>
      <c r="BD60" s="18">
        <f t="shared" ca="1" si="124"/>
        <v>0</v>
      </c>
      <c r="BE60" s="18">
        <f t="shared" ca="1" si="124"/>
        <v>0</v>
      </c>
      <c r="BF60" s="18">
        <f t="shared" ca="1" si="124"/>
        <v>0</v>
      </c>
      <c r="BG60" s="18">
        <f t="shared" ca="1" si="124"/>
        <v>0</v>
      </c>
      <c r="BH60" s="18">
        <f t="shared" ca="1" si="124"/>
        <v>0</v>
      </c>
      <c r="BI60" s="18">
        <f t="shared" ca="1" si="124"/>
        <v>0</v>
      </c>
      <c r="BJ60" s="18">
        <f t="shared" ca="1" si="124"/>
        <v>0</v>
      </c>
      <c r="BK60" s="18">
        <f t="shared" ca="1" si="124"/>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5">SUMPRODUCT(($A$84:$A$751=$Y61&amp;"- "&amp;$Z61)*($C$84:$C$751=AA$1)*($G$84:$G$751))</f>
        <v>0</v>
      </c>
      <c r="AB61" s="16">
        <f t="shared" si="125"/>
        <v>0</v>
      </c>
      <c r="AC61" s="16">
        <f t="shared" si="125"/>
        <v>0</v>
      </c>
      <c r="AD61" s="16">
        <f t="shared" si="125"/>
        <v>0</v>
      </c>
      <c r="AE61" s="16">
        <f t="shared" si="125"/>
        <v>0</v>
      </c>
      <c r="AF61" s="16">
        <f t="shared" si="125"/>
        <v>0</v>
      </c>
      <c r="AG61" s="16">
        <f t="shared" si="125"/>
        <v>0</v>
      </c>
      <c r="AH61" s="16">
        <f t="shared" si="125"/>
        <v>0</v>
      </c>
      <c r="AI61" s="16">
        <f t="shared" si="125"/>
        <v>0</v>
      </c>
      <c r="AJ61" s="16">
        <f>SUM(AA61:AI61)</f>
        <v>0</v>
      </c>
      <c r="AL61" s="17">
        <f>+B64</f>
        <v>45</v>
      </c>
      <c r="AM61" s="26" t="str">
        <f t="shared" si="111"/>
        <v>Fonds de Soutien aux projets de Développement Communautaire</v>
      </c>
      <c r="AN61" s="18">
        <f t="shared" ref="AN61:AU61" si="126">SUMPRODUCT(($J$84:$M$748=$AL61&amp;"- "&amp;$AM61)*($N$84:$N$748=AN$1)*($Q$84:$Q$748))</f>
        <v>0</v>
      </c>
      <c r="AO61" s="18">
        <f t="shared" si="126"/>
        <v>0</v>
      </c>
      <c r="AP61" s="18">
        <f t="shared" si="126"/>
        <v>0</v>
      </c>
      <c r="AQ61" s="18">
        <f t="shared" si="126"/>
        <v>0</v>
      </c>
      <c r="AR61" s="18">
        <f t="shared" si="126"/>
        <v>0</v>
      </c>
      <c r="AS61" s="18">
        <f t="shared" si="126"/>
        <v>0</v>
      </c>
      <c r="AT61" s="18">
        <f t="shared" si="126"/>
        <v>0</v>
      </c>
      <c r="AU61" s="18">
        <f t="shared" si="126"/>
        <v>0</v>
      </c>
      <c r="AV61" s="18">
        <f>SUM(AN61:AU61)</f>
        <v>0</v>
      </c>
      <c r="AW61" s="18"/>
      <c r="AX61" s="17">
        <f>B64</f>
        <v>45</v>
      </c>
      <c r="AY61" s="26" t="str">
        <f t="shared" si="112"/>
        <v>Fonds de Soutien aux projets de Développement Communautaire</v>
      </c>
      <c r="AZ61" s="18">
        <f t="shared" ref="AZ61:BK61" ca="1" si="127">SUMPRODUCT(($C$10:$C$75=$AY61)*($N$10:$N$75=AZ$1)*($M$10:$M$75))</f>
        <v>0</v>
      </c>
      <c r="BA61" s="18">
        <f t="shared" ca="1" si="127"/>
        <v>0</v>
      </c>
      <c r="BB61" s="18">
        <f t="shared" ca="1" si="127"/>
        <v>0</v>
      </c>
      <c r="BC61" s="18">
        <f t="shared" ca="1" si="127"/>
        <v>0</v>
      </c>
      <c r="BD61" s="18">
        <f t="shared" ca="1" si="127"/>
        <v>0</v>
      </c>
      <c r="BE61" s="18">
        <f t="shared" ca="1" si="127"/>
        <v>0</v>
      </c>
      <c r="BF61" s="18">
        <f t="shared" ca="1" si="127"/>
        <v>0</v>
      </c>
      <c r="BG61" s="18">
        <f t="shared" ca="1" si="127"/>
        <v>0</v>
      </c>
      <c r="BH61" s="18">
        <f t="shared" ca="1" si="127"/>
        <v>0</v>
      </c>
      <c r="BI61" s="18">
        <f t="shared" ca="1" si="127"/>
        <v>0</v>
      </c>
      <c r="BJ61" s="18">
        <f t="shared" ca="1" si="127"/>
        <v>0</v>
      </c>
      <c r="BK61" s="18">
        <f t="shared" ca="1" si="127"/>
        <v>0</v>
      </c>
    </row>
    <row r="62" spans="1:63">
      <c r="A62" s="80"/>
      <c r="B62" s="163"/>
      <c r="C62" s="58" t="str">
        <f>+'Taxes RCA 2022'!B55</f>
        <v>DGTCP (DGP)</v>
      </c>
      <c r="E62" s="166">
        <f>+E64+E63</f>
        <v>0</v>
      </c>
      <c r="F62" s="166">
        <f t="shared" ref="F62:G62" si="128">+F64+F63</f>
        <v>0</v>
      </c>
      <c r="G62" s="166">
        <f t="shared" si="128"/>
        <v>0</v>
      </c>
      <c r="H62" s="114"/>
      <c r="I62" s="166">
        <f>+I64+I63</f>
        <v>0</v>
      </c>
      <c r="J62" s="166">
        <f t="shared" ref="J62" ca="1" si="129">+J64+J63</f>
        <v>0</v>
      </c>
      <c r="K62" s="166">
        <f t="shared" ref="K62" ca="1" si="130">+K64+K63</f>
        <v>0</v>
      </c>
      <c r="L62" s="114"/>
      <c r="M62" s="166">
        <f t="shared" ref="M62" ca="1" si="13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2">SUMPRODUCT(($A$84:$A$751=$Y63&amp;"- "&amp;$Z63)*($C$84:$C$751=AA$1)*($G$84:$G$751))</f>
        <v>0</v>
      </c>
      <c r="AB63" s="16">
        <f t="shared" si="132"/>
        <v>0</v>
      </c>
      <c r="AC63" s="16">
        <f t="shared" si="132"/>
        <v>0</v>
      </c>
      <c r="AD63" s="16">
        <f t="shared" si="132"/>
        <v>0</v>
      </c>
      <c r="AE63" s="16">
        <f t="shared" si="132"/>
        <v>0</v>
      </c>
      <c r="AF63" s="16">
        <f t="shared" si="132"/>
        <v>0</v>
      </c>
      <c r="AG63" s="16">
        <f t="shared" si="132"/>
        <v>0</v>
      </c>
      <c r="AH63" s="16">
        <f t="shared" si="132"/>
        <v>0</v>
      </c>
      <c r="AI63" s="16">
        <f t="shared" si="132"/>
        <v>0</v>
      </c>
      <c r="AJ63" s="16">
        <f>SUM(AA63:AI63)</f>
        <v>0</v>
      </c>
      <c r="AL63" s="17">
        <f>+B65</f>
        <v>0</v>
      </c>
      <c r="AM63" s="26" t="str">
        <f>+C65</f>
        <v xml:space="preserve">Paiements Sociaux </v>
      </c>
      <c r="AN63" s="18">
        <f t="shared" ref="AN63:AU64" si="133">SUMPRODUCT(($J$84:$M$748=$AL63&amp;"- "&amp;$AM63)*($N$84:$N$748=AN$1)*($Q$84:$Q$748))</f>
        <v>0</v>
      </c>
      <c r="AO63" s="18">
        <f t="shared" si="133"/>
        <v>0</v>
      </c>
      <c r="AP63" s="18">
        <f t="shared" si="133"/>
        <v>0</v>
      </c>
      <c r="AQ63" s="18">
        <f t="shared" si="133"/>
        <v>0</v>
      </c>
      <c r="AR63" s="18">
        <f t="shared" si="133"/>
        <v>0</v>
      </c>
      <c r="AS63" s="18">
        <f t="shared" si="133"/>
        <v>0</v>
      </c>
      <c r="AT63" s="18">
        <f t="shared" si="133"/>
        <v>0</v>
      </c>
      <c r="AU63" s="18">
        <f t="shared" si="133"/>
        <v>0</v>
      </c>
      <c r="AV63" s="18">
        <f>SUM(AN63:AU63)</f>
        <v>0</v>
      </c>
      <c r="AW63" s="18"/>
      <c r="AX63" s="17">
        <f>B65</f>
        <v>0</v>
      </c>
      <c r="AY63" s="26" t="str">
        <f>C65</f>
        <v xml:space="preserve">Paiements Sociaux </v>
      </c>
      <c r="AZ63" s="18">
        <f t="shared" ref="AZ63:BK64" ca="1" si="134">SUMPRODUCT(($C$10:$C$75=$AY63)*($N$10:$N$75=AZ$1)*($M$10:$M$75))</f>
        <v>0</v>
      </c>
      <c r="BA63" s="18">
        <f t="shared" ca="1" si="134"/>
        <v>0</v>
      </c>
      <c r="BB63" s="18">
        <f t="shared" ca="1" si="134"/>
        <v>0</v>
      </c>
      <c r="BC63" s="18">
        <f t="shared" ca="1" si="134"/>
        <v>0</v>
      </c>
      <c r="BD63" s="18">
        <f t="shared" ca="1" si="134"/>
        <v>0</v>
      </c>
      <c r="BE63" s="18">
        <f t="shared" ca="1" si="134"/>
        <v>0</v>
      </c>
      <c r="BF63" s="18">
        <f t="shared" ca="1" si="134"/>
        <v>0</v>
      </c>
      <c r="BG63" s="18">
        <f t="shared" ca="1" si="134"/>
        <v>0</v>
      </c>
      <c r="BH63" s="18">
        <f t="shared" ca="1" si="134"/>
        <v>0</v>
      </c>
      <c r="BI63" s="18">
        <f t="shared" ca="1" si="134"/>
        <v>0</v>
      </c>
      <c r="BJ63" s="18">
        <f t="shared" ca="1" si="134"/>
        <v>0</v>
      </c>
      <c r="BK63" s="18">
        <f t="shared" ca="1" si="134"/>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2"/>
        <v>0</v>
      </c>
      <c r="AB64" s="16">
        <f t="shared" si="132"/>
        <v>0</v>
      </c>
      <c r="AC64" s="16">
        <f t="shared" si="132"/>
        <v>0</v>
      </c>
      <c r="AD64" s="16">
        <f t="shared" si="132"/>
        <v>0</v>
      </c>
      <c r="AE64" s="16">
        <f t="shared" si="132"/>
        <v>0</v>
      </c>
      <c r="AF64" s="16">
        <f t="shared" si="132"/>
        <v>0</v>
      </c>
      <c r="AG64" s="16">
        <f t="shared" si="132"/>
        <v>0</v>
      </c>
      <c r="AH64" s="16">
        <f t="shared" si="132"/>
        <v>0</v>
      </c>
      <c r="AI64" s="16">
        <f t="shared" si="132"/>
        <v>0</v>
      </c>
      <c r="AJ64" s="16">
        <f>SUM(AA64:AI64)</f>
        <v>0</v>
      </c>
      <c r="AL64" s="17">
        <f>+B66</f>
        <v>46</v>
      </c>
      <c r="AM64" s="26" t="str">
        <f>+C66</f>
        <v>Paiements sociaux obligatoires</v>
      </c>
      <c r="AN64" s="18">
        <f t="shared" si="133"/>
        <v>0</v>
      </c>
      <c r="AO64" s="18">
        <f t="shared" si="133"/>
        <v>0</v>
      </c>
      <c r="AP64" s="18">
        <f t="shared" si="133"/>
        <v>0</v>
      </c>
      <c r="AQ64" s="18">
        <f t="shared" si="133"/>
        <v>0</v>
      </c>
      <c r="AR64" s="18">
        <f t="shared" si="133"/>
        <v>0</v>
      </c>
      <c r="AS64" s="18">
        <f t="shared" si="133"/>
        <v>0</v>
      </c>
      <c r="AT64" s="18">
        <f t="shared" si="133"/>
        <v>0</v>
      </c>
      <c r="AU64" s="18">
        <f t="shared" si="133"/>
        <v>0</v>
      </c>
      <c r="AV64" s="18">
        <f>SUM(AN64:AU64)</f>
        <v>0</v>
      </c>
      <c r="AW64" s="38"/>
      <c r="AX64" s="17">
        <f>B66</f>
        <v>46</v>
      </c>
      <c r="AY64" s="26" t="str">
        <f>C66</f>
        <v>Paiements sociaux obligatoires</v>
      </c>
      <c r="AZ64" s="18">
        <f t="shared" ca="1" si="134"/>
        <v>0</v>
      </c>
      <c r="BA64" s="18">
        <f t="shared" ca="1" si="134"/>
        <v>0</v>
      </c>
      <c r="BB64" s="18">
        <f t="shared" ca="1" si="134"/>
        <v>0</v>
      </c>
      <c r="BC64" s="18">
        <f t="shared" ca="1" si="134"/>
        <v>0</v>
      </c>
      <c r="BD64" s="18">
        <f t="shared" ca="1" si="134"/>
        <v>0</v>
      </c>
      <c r="BE64" s="18">
        <f t="shared" ca="1" si="134"/>
        <v>0</v>
      </c>
      <c r="BF64" s="18">
        <f t="shared" ca="1" si="134"/>
        <v>0</v>
      </c>
      <c r="BG64" s="18">
        <f t="shared" ca="1" si="134"/>
        <v>0</v>
      </c>
      <c r="BH64" s="18">
        <f t="shared" ca="1" si="134"/>
        <v>0</v>
      </c>
      <c r="BI64" s="18">
        <f t="shared" ca="1" si="134"/>
        <v>0</v>
      </c>
      <c r="BJ64" s="18">
        <f t="shared" ca="1" si="134"/>
        <v>0</v>
      </c>
      <c r="BK64" s="18">
        <f t="shared" ca="1" si="134"/>
        <v>0</v>
      </c>
    </row>
    <row r="65" spans="1:64">
      <c r="A65" s="80">
        <f t="shared" si="29"/>
        <v>0</v>
      </c>
      <c r="B65" s="163"/>
      <c r="C65" s="58" t="str">
        <f>+'Taxes RCA 2022'!B58</f>
        <v xml:space="preserve">Paiements Sociaux </v>
      </c>
      <c r="E65" s="166">
        <f>+E67+E66</f>
        <v>0</v>
      </c>
      <c r="F65" s="166">
        <f t="shared" ref="F65:G65" si="135">+F67+F66</f>
        <v>0</v>
      </c>
      <c r="G65" s="166">
        <f t="shared" si="135"/>
        <v>0</v>
      </c>
      <c r="H65" s="114"/>
      <c r="I65" s="166">
        <f>+I67+I66</f>
        <v>0</v>
      </c>
      <c r="J65" s="166">
        <f t="shared" ref="J65" ca="1" si="136">+J67+J66</f>
        <v>0</v>
      </c>
      <c r="K65" s="166">
        <f t="shared" ref="K65" ca="1" si="137">+K67+K66</f>
        <v>0</v>
      </c>
      <c r="L65" s="114"/>
      <c r="M65" s="166">
        <f t="shared" ref="M65" ca="1" si="138">+M67+M66</f>
        <v>0</v>
      </c>
      <c r="N65" s="58"/>
      <c r="O65" s="38" t="str">
        <f t="shared" ca="1" si="46"/>
        <v/>
      </c>
      <c r="P65" s="39" t="str">
        <f ca="1">IF(O65="ERROR","Please insert comment","")</f>
        <v/>
      </c>
      <c r="Y65" s="15"/>
      <c r="Z65" s="25" t="str">
        <f t="shared" ref="Z65:Z73" si="139">C67</f>
        <v>Paiements sociaux volontaires</v>
      </c>
      <c r="AA65" s="16">
        <f>SUM(AA66:AA67)</f>
        <v>0</v>
      </c>
      <c r="AB65" s="16">
        <f t="shared" ref="AB65:AJ65" si="140">SUM(AB66:AB67)</f>
        <v>0</v>
      </c>
      <c r="AC65" s="16">
        <f t="shared" si="140"/>
        <v>0</v>
      </c>
      <c r="AD65" s="16">
        <f t="shared" si="140"/>
        <v>0</v>
      </c>
      <c r="AE65" s="16">
        <f t="shared" si="140"/>
        <v>0</v>
      </c>
      <c r="AF65" s="16">
        <f t="shared" si="140"/>
        <v>0</v>
      </c>
      <c r="AG65" s="16">
        <f t="shared" si="140"/>
        <v>0</v>
      </c>
      <c r="AH65" s="16">
        <f t="shared" si="140"/>
        <v>0</v>
      </c>
      <c r="AI65" s="16">
        <f t="shared" si="140"/>
        <v>0</v>
      </c>
      <c r="AJ65" s="16">
        <f t="shared" si="140"/>
        <v>0</v>
      </c>
      <c r="AL65" s="17"/>
      <c r="AM65" s="26" t="str">
        <f t="shared" ref="AM65:AM73" si="141">+C67</f>
        <v>Paiements sociaux volontaires</v>
      </c>
      <c r="AN65" s="18">
        <f>SUM(AN66:AN67)</f>
        <v>0</v>
      </c>
      <c r="AO65" s="18">
        <f t="shared" ref="AO65:AV65" si="142">SUM(AO66:AO67)</f>
        <v>0</v>
      </c>
      <c r="AP65" s="18">
        <f t="shared" si="142"/>
        <v>0</v>
      </c>
      <c r="AQ65" s="18">
        <f t="shared" si="142"/>
        <v>0</v>
      </c>
      <c r="AR65" s="18">
        <f t="shared" si="142"/>
        <v>0</v>
      </c>
      <c r="AS65" s="18">
        <f t="shared" si="142"/>
        <v>0</v>
      </c>
      <c r="AT65" s="18">
        <f t="shared" si="142"/>
        <v>0</v>
      </c>
      <c r="AU65" s="18">
        <f t="shared" si="142"/>
        <v>0</v>
      </c>
      <c r="AV65" s="18">
        <f t="shared" si="142"/>
        <v>0</v>
      </c>
      <c r="AW65" s="18"/>
      <c r="AX65" s="17"/>
      <c r="AY65" s="26" t="str">
        <f t="shared" ref="AY65:AY73" si="143">C67</f>
        <v>Paiements sociaux volontaires</v>
      </c>
      <c r="AZ65" s="18">
        <f ca="1">SUM(AZ66:AZ67)</f>
        <v>0</v>
      </c>
      <c r="BA65" s="18">
        <f t="shared" ref="BA65:BK65" ca="1" si="144">SUM(BA66:BA67)</f>
        <v>0</v>
      </c>
      <c r="BB65" s="18">
        <f t="shared" ca="1" si="144"/>
        <v>0</v>
      </c>
      <c r="BC65" s="18">
        <f t="shared" ca="1" si="144"/>
        <v>0</v>
      </c>
      <c r="BD65" s="18">
        <f t="shared" ca="1" si="144"/>
        <v>0</v>
      </c>
      <c r="BE65" s="18">
        <f t="shared" ca="1" si="144"/>
        <v>0</v>
      </c>
      <c r="BF65" s="18">
        <f t="shared" ca="1" si="144"/>
        <v>0</v>
      </c>
      <c r="BG65" s="18">
        <f t="shared" ca="1" si="144"/>
        <v>0</v>
      </c>
      <c r="BH65" s="18">
        <f t="shared" ca="1" si="144"/>
        <v>0</v>
      </c>
      <c r="BI65" s="18">
        <f t="shared" ca="1" si="144"/>
        <v>0</v>
      </c>
      <c r="BJ65" s="18">
        <f t="shared" ca="1" si="144"/>
        <v>0</v>
      </c>
      <c r="BK65" s="18">
        <f t="shared" ca="1" si="144"/>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9"/>
        <v>Paiements environnementaux - DGTCP (FNE)</v>
      </c>
      <c r="AA66" s="16">
        <f t="shared" ref="AA66:AI67" si="145">SUMPRODUCT(($A$84:$A$751=$Y66&amp;"- "&amp;$Z66)*($C$84:$C$751=AA$1)*($G$84:$G$751))</f>
        <v>0</v>
      </c>
      <c r="AB66" s="16">
        <f t="shared" si="145"/>
        <v>0</v>
      </c>
      <c r="AC66" s="16">
        <f t="shared" si="145"/>
        <v>0</v>
      </c>
      <c r="AD66" s="16">
        <f t="shared" si="145"/>
        <v>0</v>
      </c>
      <c r="AE66" s="16">
        <f t="shared" si="145"/>
        <v>0</v>
      </c>
      <c r="AF66" s="16">
        <f t="shared" si="145"/>
        <v>0</v>
      </c>
      <c r="AG66" s="16">
        <f t="shared" si="145"/>
        <v>0</v>
      </c>
      <c r="AH66" s="16">
        <f t="shared" si="145"/>
        <v>0</v>
      </c>
      <c r="AI66" s="16">
        <f t="shared" si="145"/>
        <v>0</v>
      </c>
      <c r="AJ66" s="16">
        <f>SUM(AA66:AI66)</f>
        <v>0</v>
      </c>
      <c r="AL66" s="17">
        <f>+B68</f>
        <v>0</v>
      </c>
      <c r="AM66" s="26" t="str">
        <f t="shared" si="141"/>
        <v>Paiements environnementaux - DGTCP (FNE)</v>
      </c>
      <c r="AN66" s="18">
        <f t="shared" ref="AN66:AU67" si="146">SUMPRODUCT(($J$84:$M$748=$AL66&amp;"- "&amp;$AM66)*($N$84:$N$748=AN$1)*($Q$84:$Q$748))</f>
        <v>0</v>
      </c>
      <c r="AO66" s="18">
        <f t="shared" si="146"/>
        <v>0</v>
      </c>
      <c r="AP66" s="18">
        <f t="shared" si="146"/>
        <v>0</v>
      </c>
      <c r="AQ66" s="18">
        <f t="shared" si="146"/>
        <v>0</v>
      </c>
      <c r="AR66" s="18">
        <f t="shared" si="146"/>
        <v>0</v>
      </c>
      <c r="AS66" s="18">
        <f t="shared" si="146"/>
        <v>0</v>
      </c>
      <c r="AT66" s="18">
        <f t="shared" si="146"/>
        <v>0</v>
      </c>
      <c r="AU66" s="18">
        <f t="shared" si="146"/>
        <v>0</v>
      </c>
      <c r="AV66" s="18">
        <f>SUM(AN66:AU66)</f>
        <v>0</v>
      </c>
      <c r="AW66" s="18"/>
      <c r="AX66" s="17">
        <f>B68</f>
        <v>0</v>
      </c>
      <c r="AY66" s="26" t="str">
        <f t="shared" si="143"/>
        <v>Paiements environnementaux - DGTCP (FNE)</v>
      </c>
      <c r="AZ66" s="18">
        <f t="shared" ref="AZ66:BK67" ca="1" si="147">SUMPRODUCT(($C$10:$C$75=$AY66)*($N$10:$N$75=AZ$1)*($M$10:$M$75))</f>
        <v>0</v>
      </c>
      <c r="BA66" s="18">
        <f t="shared" ca="1" si="147"/>
        <v>0</v>
      </c>
      <c r="BB66" s="18">
        <f t="shared" ca="1" si="147"/>
        <v>0</v>
      </c>
      <c r="BC66" s="18">
        <f t="shared" ca="1" si="147"/>
        <v>0</v>
      </c>
      <c r="BD66" s="18">
        <f t="shared" ca="1" si="147"/>
        <v>0</v>
      </c>
      <c r="BE66" s="18">
        <f t="shared" ca="1" si="147"/>
        <v>0</v>
      </c>
      <c r="BF66" s="18">
        <f t="shared" ca="1" si="147"/>
        <v>0</v>
      </c>
      <c r="BG66" s="18">
        <f t="shared" ca="1" si="147"/>
        <v>0</v>
      </c>
      <c r="BH66" s="18">
        <f t="shared" ca="1" si="147"/>
        <v>0</v>
      </c>
      <c r="BI66" s="18">
        <f t="shared" ca="1" si="147"/>
        <v>0</v>
      </c>
      <c r="BJ66" s="18">
        <f t="shared" ca="1" si="147"/>
        <v>0</v>
      </c>
      <c r="BK66" s="18">
        <f t="shared" ca="1" si="147"/>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9"/>
        <v>Taxes sur les appareils à pression de vapeur et de gaz (+)</v>
      </c>
      <c r="AA67" s="16">
        <f t="shared" si="145"/>
        <v>0</v>
      </c>
      <c r="AB67" s="16">
        <f t="shared" si="145"/>
        <v>0</v>
      </c>
      <c r="AC67" s="16">
        <f t="shared" si="145"/>
        <v>0</v>
      </c>
      <c r="AD67" s="16">
        <f t="shared" si="145"/>
        <v>0</v>
      </c>
      <c r="AE67" s="16">
        <f t="shared" si="145"/>
        <v>0</v>
      </c>
      <c r="AF67" s="16">
        <f t="shared" si="145"/>
        <v>0</v>
      </c>
      <c r="AG67" s="16">
        <f t="shared" si="145"/>
        <v>0</v>
      </c>
      <c r="AH67" s="16">
        <f t="shared" si="145"/>
        <v>0</v>
      </c>
      <c r="AI67" s="16">
        <f t="shared" si="145"/>
        <v>0</v>
      </c>
      <c r="AJ67" s="16">
        <f>SUM(AA67:AI67)</f>
        <v>0</v>
      </c>
      <c r="AL67" s="17">
        <f>+B69</f>
        <v>48</v>
      </c>
      <c r="AM67" s="26" t="str">
        <f t="shared" si="141"/>
        <v>Taxes sur les appareils à pression de vapeur et de gaz (+)</v>
      </c>
      <c r="AN67" s="18">
        <f t="shared" si="146"/>
        <v>0</v>
      </c>
      <c r="AO67" s="18">
        <f t="shared" si="146"/>
        <v>0</v>
      </c>
      <c r="AP67" s="18">
        <f t="shared" si="146"/>
        <v>0</v>
      </c>
      <c r="AQ67" s="18">
        <f t="shared" si="146"/>
        <v>0</v>
      </c>
      <c r="AR67" s="18">
        <f t="shared" si="146"/>
        <v>0</v>
      </c>
      <c r="AS67" s="18">
        <f t="shared" si="146"/>
        <v>0</v>
      </c>
      <c r="AT67" s="18">
        <f t="shared" si="146"/>
        <v>0</v>
      </c>
      <c r="AU67" s="18">
        <f t="shared" si="146"/>
        <v>0</v>
      </c>
      <c r="AV67" s="18">
        <f>SUM(AN67:AU67)</f>
        <v>0</v>
      </c>
      <c r="AW67" s="18"/>
      <c r="AX67" s="17">
        <f>B69</f>
        <v>48</v>
      </c>
      <c r="AY67" s="26" t="str">
        <f t="shared" si="143"/>
        <v>Taxes sur les appareils à pression de vapeur et de gaz (+)</v>
      </c>
      <c r="AZ67" s="18">
        <f t="shared" ca="1" si="147"/>
        <v>0</v>
      </c>
      <c r="BA67" s="18">
        <f t="shared" ca="1" si="147"/>
        <v>0</v>
      </c>
      <c r="BB67" s="18">
        <f t="shared" ca="1" si="147"/>
        <v>0</v>
      </c>
      <c r="BC67" s="18">
        <f t="shared" ca="1" si="147"/>
        <v>0</v>
      </c>
      <c r="BD67" s="18">
        <f t="shared" ca="1" si="147"/>
        <v>0</v>
      </c>
      <c r="BE67" s="18">
        <f t="shared" ca="1" si="147"/>
        <v>0</v>
      </c>
      <c r="BF67" s="18">
        <f t="shared" ca="1" si="147"/>
        <v>0</v>
      </c>
      <c r="BG67" s="18">
        <f t="shared" ca="1" si="147"/>
        <v>0</v>
      </c>
      <c r="BH67" s="18">
        <f t="shared" ca="1" si="147"/>
        <v>0</v>
      </c>
      <c r="BI67" s="18">
        <f t="shared" ca="1" si="147"/>
        <v>0</v>
      </c>
      <c r="BJ67" s="18">
        <f t="shared" ca="1" si="147"/>
        <v>0</v>
      </c>
      <c r="BK67" s="18">
        <f t="shared" ca="1" si="147"/>
        <v>0</v>
      </c>
    </row>
    <row r="68" spans="1:64">
      <c r="A68" s="80"/>
      <c r="B68" s="163"/>
      <c r="C68" s="58" t="str">
        <f>+'Taxes RCA 2022'!B61</f>
        <v>Paiements environnementaux - DGTCP (FNE)</v>
      </c>
      <c r="E68" s="166">
        <f>SUM(E69:E76)</f>
        <v>0</v>
      </c>
      <c r="F68" s="166">
        <f t="shared" ref="F68:G68" si="148">SUM(F69:F76)</f>
        <v>0</v>
      </c>
      <c r="G68" s="166">
        <f t="shared" si="148"/>
        <v>0</v>
      </c>
      <c r="H68" s="114"/>
      <c r="I68" s="166">
        <f>SUM(I69:I76)</f>
        <v>0</v>
      </c>
      <c r="J68" s="166">
        <f t="shared" ref="J68" ca="1" si="149">SUM(J69:J76)</f>
        <v>0</v>
      </c>
      <c r="K68" s="166">
        <f t="shared" ref="K68" ca="1" si="150">SUM(K69:K76)</f>
        <v>0</v>
      </c>
      <c r="L68" s="114"/>
      <c r="M68" s="166">
        <f t="shared" ref="M68" ca="1" si="151">SUM(M69:M76)</f>
        <v>0</v>
      </c>
      <c r="N68" s="58"/>
      <c r="O68" s="38"/>
      <c r="P68" s="39"/>
      <c r="Y68" s="28"/>
      <c r="Z68" s="28" t="str">
        <f t="shared" si="139"/>
        <v>Taxes à la pollution (+)</v>
      </c>
      <c r="AA68" s="29">
        <f>SUM(AA69:AA69)</f>
        <v>0</v>
      </c>
      <c r="AB68" s="29">
        <f t="shared" ref="AB68:AJ68" si="152">SUM(AB69:AB69)</f>
        <v>0</v>
      </c>
      <c r="AC68" s="29">
        <f t="shared" si="152"/>
        <v>0</v>
      </c>
      <c r="AD68" s="29">
        <f t="shared" si="152"/>
        <v>0</v>
      </c>
      <c r="AE68" s="29">
        <f t="shared" si="152"/>
        <v>0</v>
      </c>
      <c r="AF68" s="29">
        <f t="shared" si="152"/>
        <v>0</v>
      </c>
      <c r="AG68" s="29">
        <f t="shared" si="152"/>
        <v>0</v>
      </c>
      <c r="AH68" s="29">
        <f t="shared" si="152"/>
        <v>0</v>
      </c>
      <c r="AI68" s="29">
        <f t="shared" si="152"/>
        <v>0</v>
      </c>
      <c r="AJ68" s="29">
        <f t="shared" si="152"/>
        <v>0</v>
      </c>
      <c r="AL68" s="28"/>
      <c r="AM68" s="28" t="str">
        <f t="shared" si="141"/>
        <v>Taxes à la pollution (+)</v>
      </c>
      <c r="AN68" s="29">
        <f t="shared" ref="AN68:AV68" si="153">SUM(AN69:AN70)</f>
        <v>0</v>
      </c>
      <c r="AO68" s="29">
        <f t="shared" si="153"/>
        <v>0</v>
      </c>
      <c r="AP68" s="29">
        <f t="shared" si="153"/>
        <v>0</v>
      </c>
      <c r="AQ68" s="29">
        <f t="shared" si="153"/>
        <v>0</v>
      </c>
      <c r="AR68" s="29">
        <f t="shared" si="153"/>
        <v>0</v>
      </c>
      <c r="AS68" s="29">
        <f t="shared" si="153"/>
        <v>0</v>
      </c>
      <c r="AT68" s="29">
        <f t="shared" si="153"/>
        <v>0</v>
      </c>
      <c r="AU68" s="29">
        <f t="shared" si="153"/>
        <v>0</v>
      </c>
      <c r="AV68" s="29">
        <f t="shared" si="153"/>
        <v>0</v>
      </c>
      <c r="AW68" s="38"/>
      <c r="AX68" s="28"/>
      <c r="AY68" s="28" t="str">
        <f t="shared" si="143"/>
        <v>Taxes à la pollution (+)</v>
      </c>
      <c r="AZ68" s="29">
        <f t="shared" ref="AZ68:BK68" ca="1" si="154">SUM(AZ69:AZ70)</f>
        <v>0</v>
      </c>
      <c r="BA68" s="29">
        <f t="shared" ca="1" si="154"/>
        <v>0</v>
      </c>
      <c r="BB68" s="29">
        <f t="shared" ca="1" si="154"/>
        <v>0</v>
      </c>
      <c r="BC68" s="29">
        <f t="shared" ca="1" si="154"/>
        <v>0</v>
      </c>
      <c r="BD68" s="29">
        <f t="shared" ca="1" si="154"/>
        <v>0</v>
      </c>
      <c r="BE68" s="29">
        <f t="shared" ca="1" si="154"/>
        <v>0</v>
      </c>
      <c r="BF68" s="29">
        <f t="shared" ca="1" si="154"/>
        <v>0</v>
      </c>
      <c r="BG68" s="29">
        <f t="shared" ca="1" si="154"/>
        <v>0</v>
      </c>
      <c r="BH68" s="29">
        <f t="shared" ca="1" si="154"/>
        <v>0</v>
      </c>
      <c r="BI68" s="29">
        <f t="shared" ca="1" si="154"/>
        <v>0</v>
      </c>
      <c r="BJ68" s="29">
        <f t="shared" ca="1" si="154"/>
        <v>0</v>
      </c>
      <c r="BK68" s="29">
        <f t="shared" ca="1" si="154"/>
        <v>0</v>
      </c>
    </row>
    <row r="69" spans="1:64">
      <c r="A69" s="80"/>
      <c r="B69" s="53">
        <f>+'Taxes RCA 2022'!A62</f>
        <v>48</v>
      </c>
      <c r="C69" s="18" t="str">
        <f>+'Taxes RCA 2022'!B62</f>
        <v>Taxes sur les appareils à pression de vapeur et de gaz (+)</v>
      </c>
      <c r="E69" s="114"/>
      <c r="F69" s="114">
        <f t="shared" ref="F69:F76" si="155">SUMIF($A$84:$A$751,B69&amp;"- "&amp;C69,$G$84:$G$751)</f>
        <v>0</v>
      </c>
      <c r="G69" s="114">
        <f t="shared" ref="G69:G76" si="156">E69+F69</f>
        <v>0</v>
      </c>
      <c r="H69" s="114"/>
      <c r="I69" s="114"/>
      <c r="J69" s="114">
        <f t="shared" ref="J69:J76" ca="1" si="157">SUMIF($J$84:$M$749,B69&amp;"- "&amp;C69,$Q$84:$Q$749)</f>
        <v>0</v>
      </c>
      <c r="K69" s="114">
        <f t="shared" ref="K69:K76" ca="1" si="158">I69+J69</f>
        <v>0</v>
      </c>
      <c r="L69" s="114"/>
      <c r="M69" s="114">
        <f t="shared" ref="M69:M76" ca="1" si="159">+G69-K69</f>
        <v>0</v>
      </c>
      <c r="N69" s="18"/>
      <c r="O69" s="38"/>
      <c r="P69" s="39"/>
      <c r="Y69" s="15">
        <f>B71</f>
        <v>50</v>
      </c>
      <c r="Z69" s="25" t="str">
        <f t="shared" si="139"/>
        <v>Redevances annuelles résultant des inspections et contrôle des installations classées (+)</v>
      </c>
      <c r="AA69" s="16">
        <f t="shared" ref="AA69:AI69" si="160">SUMPRODUCT(($A$84:$A$751=$Y69&amp;"- "&amp;$Z69)*($C$84:$C$751=AA$1)*($G$84:$G$751))</f>
        <v>0</v>
      </c>
      <c r="AB69" s="16">
        <f t="shared" si="160"/>
        <v>0</v>
      </c>
      <c r="AC69" s="16">
        <f t="shared" si="160"/>
        <v>0</v>
      </c>
      <c r="AD69" s="16">
        <f t="shared" si="160"/>
        <v>0</v>
      </c>
      <c r="AE69" s="16">
        <f t="shared" si="160"/>
        <v>0</v>
      </c>
      <c r="AF69" s="16">
        <f t="shared" si="160"/>
        <v>0</v>
      </c>
      <c r="AG69" s="16">
        <f t="shared" si="160"/>
        <v>0</v>
      </c>
      <c r="AH69" s="16">
        <f t="shared" si="160"/>
        <v>0</v>
      </c>
      <c r="AI69" s="16">
        <f t="shared" si="160"/>
        <v>0</v>
      </c>
      <c r="AJ69" s="16">
        <f>SUM(AA69:AI69)</f>
        <v>0</v>
      </c>
      <c r="AL69" s="17">
        <f>+B71</f>
        <v>50</v>
      </c>
      <c r="AM69" s="26" t="str">
        <f t="shared" si="141"/>
        <v>Redevances annuelles résultant des inspections et contrôle des installations classées (+)</v>
      </c>
      <c r="AN69" s="18">
        <f t="shared" ref="AN69:AU69" si="161">SUMPRODUCT(($J$84:$M$748=$AL69&amp;"- "&amp;$AM69)*($N$84:$N$748=AN$1)*($Q$84:$Q$748))</f>
        <v>0</v>
      </c>
      <c r="AO69" s="18">
        <f t="shared" si="161"/>
        <v>0</v>
      </c>
      <c r="AP69" s="18">
        <f t="shared" si="161"/>
        <v>0</v>
      </c>
      <c r="AQ69" s="18">
        <f t="shared" si="161"/>
        <v>0</v>
      </c>
      <c r="AR69" s="18">
        <f t="shared" si="161"/>
        <v>0</v>
      </c>
      <c r="AS69" s="18">
        <f t="shared" si="161"/>
        <v>0</v>
      </c>
      <c r="AT69" s="18">
        <f t="shared" si="161"/>
        <v>0</v>
      </c>
      <c r="AU69" s="18">
        <f t="shared" si="161"/>
        <v>0</v>
      </c>
      <c r="AV69" s="18">
        <f>SUM(AN69:AU69)</f>
        <v>0</v>
      </c>
      <c r="AW69" s="18"/>
      <c r="AX69" s="17">
        <f>B71</f>
        <v>50</v>
      </c>
      <c r="AY69" s="26" t="str">
        <f t="shared" si="143"/>
        <v>Redevances annuelles résultant des inspections et contrôle des installations classées (+)</v>
      </c>
      <c r="AZ69" s="18">
        <f t="shared" ref="AZ69:BK69" ca="1" si="162">SUMPRODUCT(($C$10:$C$75=$AY69)*($N$10:$N$75=AZ$1)*($M$10:$M$75))</f>
        <v>0</v>
      </c>
      <c r="BA69" s="18">
        <f t="shared" ca="1" si="162"/>
        <v>0</v>
      </c>
      <c r="BB69" s="18">
        <f t="shared" ca="1" si="162"/>
        <v>0</v>
      </c>
      <c r="BC69" s="18">
        <f t="shared" ca="1" si="162"/>
        <v>0</v>
      </c>
      <c r="BD69" s="18">
        <f t="shared" ca="1" si="162"/>
        <v>0</v>
      </c>
      <c r="BE69" s="18">
        <f t="shared" ca="1" si="162"/>
        <v>0</v>
      </c>
      <c r="BF69" s="18">
        <f t="shared" ca="1" si="162"/>
        <v>0</v>
      </c>
      <c r="BG69" s="18">
        <f t="shared" ca="1" si="162"/>
        <v>0</v>
      </c>
      <c r="BH69" s="18">
        <f t="shared" ca="1" si="162"/>
        <v>0</v>
      </c>
      <c r="BI69" s="18">
        <f t="shared" ca="1" si="162"/>
        <v>0</v>
      </c>
      <c r="BJ69" s="18">
        <f t="shared" ca="1" si="162"/>
        <v>0</v>
      </c>
      <c r="BK69" s="18">
        <f t="shared" ca="1" si="162"/>
        <v>0</v>
      </c>
    </row>
    <row r="70" spans="1:64">
      <c r="A70" s="80">
        <f t="shared" si="29"/>
        <v>49</v>
      </c>
      <c r="B70" s="64">
        <f>+'Taxes RCA 2022'!A63</f>
        <v>49</v>
      </c>
      <c r="C70" s="68" t="str">
        <f>+'Taxes RCA 2022'!B63</f>
        <v>Taxes à la pollution (+)</v>
      </c>
      <c r="E70" s="165"/>
      <c r="F70" s="165">
        <f t="shared" si="155"/>
        <v>0</v>
      </c>
      <c r="G70" s="165">
        <f t="shared" si="156"/>
        <v>0</v>
      </c>
      <c r="H70" s="114"/>
      <c r="I70" s="165"/>
      <c r="J70" s="165">
        <f t="shared" ca="1" si="157"/>
        <v>0</v>
      </c>
      <c r="K70" s="165">
        <f t="shared" ca="1" si="158"/>
        <v>0</v>
      </c>
      <c r="L70" s="114"/>
      <c r="M70" s="165">
        <f t="shared" ca="1" si="159"/>
        <v>0</v>
      </c>
      <c r="N70" s="68"/>
      <c r="O70" s="38" t="str">
        <f t="shared" ca="1" si="46"/>
        <v/>
      </c>
      <c r="P70" s="39"/>
      <c r="Y70" s="15"/>
      <c r="Z70" s="25" t="str">
        <f t="shared" si="139"/>
        <v>Taxes superficiaires encaissées par le FNE (+)</v>
      </c>
      <c r="AA70" s="16">
        <f t="shared" ref="AA70:AJ70" si="163">SUM(AA71:AA71)</f>
        <v>0</v>
      </c>
      <c r="AB70" s="16">
        <f t="shared" si="163"/>
        <v>0</v>
      </c>
      <c r="AC70" s="16">
        <f t="shared" si="163"/>
        <v>0</v>
      </c>
      <c r="AD70" s="16">
        <f t="shared" si="163"/>
        <v>0</v>
      </c>
      <c r="AE70" s="16">
        <f t="shared" si="163"/>
        <v>0</v>
      </c>
      <c r="AF70" s="16">
        <f t="shared" si="163"/>
        <v>0</v>
      </c>
      <c r="AG70" s="16">
        <f t="shared" si="163"/>
        <v>0</v>
      </c>
      <c r="AH70" s="16">
        <f t="shared" si="163"/>
        <v>0</v>
      </c>
      <c r="AI70" s="16">
        <f t="shared" si="163"/>
        <v>0</v>
      </c>
      <c r="AJ70" s="16">
        <f t="shared" si="163"/>
        <v>0</v>
      </c>
      <c r="AL70" s="17"/>
      <c r="AM70" s="26" t="str">
        <f t="shared" si="141"/>
        <v>Taxes superficiaires encaissées par le FNE (+)</v>
      </c>
      <c r="AN70" s="18">
        <f t="shared" ref="AN70:AU70" si="164">SUM(AN71:AN71)</f>
        <v>0</v>
      </c>
      <c r="AO70" s="18">
        <f t="shared" si="164"/>
        <v>0</v>
      </c>
      <c r="AP70" s="18">
        <f t="shared" si="164"/>
        <v>0</v>
      </c>
      <c r="AQ70" s="18">
        <f t="shared" si="164"/>
        <v>0</v>
      </c>
      <c r="AR70" s="18">
        <f t="shared" si="164"/>
        <v>0</v>
      </c>
      <c r="AS70" s="18">
        <f t="shared" si="164"/>
        <v>0</v>
      </c>
      <c r="AT70" s="18">
        <f t="shared" si="164"/>
        <v>0</v>
      </c>
      <c r="AU70" s="18">
        <f t="shared" si="164"/>
        <v>0</v>
      </c>
      <c r="AV70" s="18">
        <f>SUM(AV71:AV71)</f>
        <v>0</v>
      </c>
      <c r="AW70" s="18"/>
      <c r="AX70" s="17"/>
      <c r="AY70" s="26" t="str">
        <f t="shared" si="143"/>
        <v>Taxes superficiaires encaissées par le FNE (+)</v>
      </c>
      <c r="AZ70" s="18">
        <f t="shared" ref="AZ70:BK70" ca="1" si="165">SUM(AZ71:AZ71)</f>
        <v>0</v>
      </c>
      <c r="BA70" s="18">
        <f t="shared" ca="1" si="165"/>
        <v>0</v>
      </c>
      <c r="BB70" s="18">
        <f t="shared" ca="1" si="165"/>
        <v>0</v>
      </c>
      <c r="BC70" s="18">
        <f t="shared" ca="1" si="165"/>
        <v>0</v>
      </c>
      <c r="BD70" s="18">
        <f t="shared" ca="1" si="165"/>
        <v>0</v>
      </c>
      <c r="BE70" s="18">
        <f t="shared" ca="1" si="165"/>
        <v>0</v>
      </c>
      <c r="BF70" s="18">
        <f t="shared" ca="1" si="165"/>
        <v>0</v>
      </c>
      <c r="BG70" s="18">
        <f t="shared" ca="1" si="165"/>
        <v>0</v>
      </c>
      <c r="BH70" s="18">
        <f t="shared" ca="1" si="165"/>
        <v>0</v>
      </c>
      <c r="BI70" s="18">
        <f t="shared" ca="1" si="165"/>
        <v>0</v>
      </c>
      <c r="BJ70" s="18">
        <f t="shared" ca="1" si="165"/>
        <v>0</v>
      </c>
      <c r="BK70" s="18">
        <f t="shared" ca="1" si="165"/>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5"/>
        <v>0</v>
      </c>
      <c r="G71" s="114">
        <f t="shared" si="156"/>
        <v>0</v>
      </c>
      <c r="H71" s="114"/>
      <c r="I71" s="114"/>
      <c r="J71" s="114">
        <f t="shared" ca="1" si="157"/>
        <v>0</v>
      </c>
      <c r="K71" s="114">
        <f t="shared" ca="1" si="158"/>
        <v>0</v>
      </c>
      <c r="L71" s="114"/>
      <c r="M71" s="114">
        <f t="shared" ca="1" si="159"/>
        <v>0</v>
      </c>
      <c r="N71" s="18"/>
      <c r="O71" s="38" t="str">
        <f t="shared" ca="1" si="46"/>
        <v/>
      </c>
      <c r="P71" s="39" t="str">
        <f ca="1">IF(O71="ERROR","Please insert comment","")</f>
        <v/>
      </c>
      <c r="Y71" s="15">
        <f>B73</f>
        <v>52</v>
      </c>
      <c r="Z71" s="25" t="str">
        <f t="shared" si="139"/>
        <v>Taxes de remise en état (+)</v>
      </c>
      <c r="AA71" s="16">
        <f t="shared" ref="AA71:AI73" si="166">SUMPRODUCT(($A$84:$A$751=$Y71&amp;"- "&amp;$Z71)*($C$84:$C$751=AA$1)*($G$84:$G$751))</f>
        <v>0</v>
      </c>
      <c r="AB71" s="16">
        <f t="shared" si="166"/>
        <v>0</v>
      </c>
      <c r="AC71" s="16">
        <f t="shared" si="166"/>
        <v>0</v>
      </c>
      <c r="AD71" s="16">
        <f t="shared" si="166"/>
        <v>0</v>
      </c>
      <c r="AE71" s="16">
        <f t="shared" si="166"/>
        <v>0</v>
      </c>
      <c r="AF71" s="16">
        <f t="shared" si="166"/>
        <v>0</v>
      </c>
      <c r="AG71" s="16">
        <f t="shared" si="166"/>
        <v>0</v>
      </c>
      <c r="AH71" s="16">
        <f t="shared" si="166"/>
        <v>0</v>
      </c>
      <c r="AI71" s="16">
        <f t="shared" si="166"/>
        <v>0</v>
      </c>
      <c r="AJ71" s="16">
        <f>SUM(AA71:AI71)</f>
        <v>0</v>
      </c>
      <c r="AL71" s="17">
        <f>+B73</f>
        <v>52</v>
      </c>
      <c r="AM71" s="26" t="str">
        <f t="shared" si="141"/>
        <v>Taxes de remise en état (+)</v>
      </c>
      <c r="AN71" s="18">
        <f t="shared" ref="AN71:AU71" si="167">SUMPRODUCT(($J$84:$M$748=$AL71&amp;"- "&amp;$AM71)*($N$84:$N$748=AN$1)*($Q$84:$Q$748))</f>
        <v>0</v>
      </c>
      <c r="AO71" s="18">
        <f t="shared" si="167"/>
        <v>0</v>
      </c>
      <c r="AP71" s="18">
        <f t="shared" si="167"/>
        <v>0</v>
      </c>
      <c r="AQ71" s="18">
        <f t="shared" si="167"/>
        <v>0</v>
      </c>
      <c r="AR71" s="18">
        <f t="shared" si="167"/>
        <v>0</v>
      </c>
      <c r="AS71" s="18">
        <f t="shared" si="167"/>
        <v>0</v>
      </c>
      <c r="AT71" s="18">
        <f t="shared" si="167"/>
        <v>0</v>
      </c>
      <c r="AU71" s="18">
        <f t="shared" si="167"/>
        <v>0</v>
      </c>
      <c r="AV71" s="18">
        <f>SUM(AN71:AU71)</f>
        <v>0</v>
      </c>
      <c r="AW71" s="18"/>
      <c r="AX71" s="17">
        <f>B73</f>
        <v>52</v>
      </c>
      <c r="AY71" s="26" t="str">
        <f t="shared" si="143"/>
        <v>Taxes de remise en état (+)</v>
      </c>
      <c r="AZ71" s="18">
        <f t="shared" ref="AZ71:BK71" ca="1" si="168">SUMPRODUCT(($C$10:$C$75=$AY71)*($N$10:$N$75=AZ$1)*($M$10:$M$75))</f>
        <v>0</v>
      </c>
      <c r="BA71" s="18">
        <f t="shared" ca="1" si="168"/>
        <v>0</v>
      </c>
      <c r="BB71" s="18">
        <f t="shared" ca="1" si="168"/>
        <v>0</v>
      </c>
      <c r="BC71" s="18">
        <f t="shared" ca="1" si="168"/>
        <v>0</v>
      </c>
      <c r="BD71" s="18">
        <f t="shared" ca="1" si="168"/>
        <v>0</v>
      </c>
      <c r="BE71" s="18">
        <f t="shared" ca="1" si="168"/>
        <v>0</v>
      </c>
      <c r="BF71" s="18">
        <f t="shared" ca="1" si="168"/>
        <v>0</v>
      </c>
      <c r="BG71" s="18">
        <f t="shared" ca="1" si="168"/>
        <v>0</v>
      </c>
      <c r="BH71" s="18">
        <f t="shared" ca="1" si="168"/>
        <v>0</v>
      </c>
      <c r="BI71" s="18">
        <f t="shared" ca="1" si="168"/>
        <v>0</v>
      </c>
      <c r="BJ71" s="18">
        <f t="shared" ca="1" si="168"/>
        <v>0</v>
      </c>
      <c r="BK71" s="18">
        <f t="shared" ca="1" si="168"/>
        <v>0</v>
      </c>
    </row>
    <row r="72" spans="1:64">
      <c r="A72" s="80">
        <f t="shared" si="29"/>
        <v>51</v>
      </c>
      <c r="B72" s="64">
        <f>+'Taxes RCA 2022'!A65</f>
        <v>51</v>
      </c>
      <c r="C72" s="68" t="str">
        <f>+'Taxes RCA 2022'!B65</f>
        <v>Taxes superficiaires encaissées par le FNE (+)</v>
      </c>
      <c r="E72" s="165"/>
      <c r="F72" s="165">
        <f t="shared" si="155"/>
        <v>0</v>
      </c>
      <c r="G72" s="165">
        <f t="shared" si="156"/>
        <v>0</v>
      </c>
      <c r="H72" s="114"/>
      <c r="I72" s="165"/>
      <c r="J72" s="165">
        <f t="shared" ca="1" si="157"/>
        <v>0</v>
      </c>
      <c r="K72" s="165">
        <f t="shared" ca="1" si="158"/>
        <v>0</v>
      </c>
      <c r="L72" s="114"/>
      <c r="M72" s="165">
        <f t="shared" ca="1" si="159"/>
        <v>0</v>
      </c>
      <c r="N72" s="68"/>
      <c r="Y72" s="15"/>
      <c r="Z72" s="25" t="str">
        <f t="shared" si="139"/>
        <v>Taxes environnementales sur les Stes forestières et Minières (+)</v>
      </c>
      <c r="AA72" s="16">
        <f t="shared" si="166"/>
        <v>0</v>
      </c>
      <c r="AB72" s="16">
        <f t="shared" si="166"/>
        <v>0</v>
      </c>
      <c r="AC72" s="16">
        <f t="shared" si="166"/>
        <v>0</v>
      </c>
      <c r="AD72" s="16">
        <f t="shared" si="166"/>
        <v>0</v>
      </c>
      <c r="AE72" s="16">
        <f t="shared" si="166"/>
        <v>0</v>
      </c>
      <c r="AF72" s="16">
        <f t="shared" si="166"/>
        <v>0</v>
      </c>
      <c r="AG72" s="16">
        <f t="shared" si="166"/>
        <v>0</v>
      </c>
      <c r="AH72" s="16">
        <f t="shared" si="166"/>
        <v>0</v>
      </c>
      <c r="AI72" s="16">
        <f t="shared" si="166"/>
        <v>0</v>
      </c>
      <c r="AJ72" s="16">
        <f>SUM(AA72:AI72)</f>
        <v>0</v>
      </c>
      <c r="AL72" s="17"/>
      <c r="AM72" s="26" t="str">
        <f t="shared" si="141"/>
        <v>Taxes environnementales sur les Stes forestières et Minières (+)</v>
      </c>
      <c r="AN72" s="18">
        <f t="shared" ref="AN72:AV72" si="169">SUM(AN73:AN73)</f>
        <v>0</v>
      </c>
      <c r="AO72" s="18">
        <f t="shared" si="169"/>
        <v>0</v>
      </c>
      <c r="AP72" s="18">
        <f t="shared" si="169"/>
        <v>0</v>
      </c>
      <c r="AQ72" s="18">
        <f t="shared" si="169"/>
        <v>0</v>
      </c>
      <c r="AR72" s="18">
        <f t="shared" si="169"/>
        <v>0</v>
      </c>
      <c r="AS72" s="18">
        <f t="shared" si="169"/>
        <v>0</v>
      </c>
      <c r="AT72" s="18">
        <f t="shared" si="169"/>
        <v>0</v>
      </c>
      <c r="AU72" s="18">
        <f t="shared" si="169"/>
        <v>0</v>
      </c>
      <c r="AV72" s="18">
        <f t="shared" si="169"/>
        <v>0</v>
      </c>
      <c r="AW72" s="18"/>
      <c r="AX72" s="17"/>
      <c r="AY72" s="26" t="str">
        <f t="shared" si="143"/>
        <v>Taxes environnementales sur les Stes forestières et Minières (+)</v>
      </c>
      <c r="AZ72" s="18">
        <f t="shared" ref="AZ72:BK72" ca="1" si="170">SUM(AZ73:AZ73)</f>
        <v>0</v>
      </c>
      <c r="BA72" s="18">
        <f t="shared" ca="1" si="170"/>
        <v>0</v>
      </c>
      <c r="BB72" s="18">
        <f t="shared" ca="1" si="170"/>
        <v>0</v>
      </c>
      <c r="BC72" s="18">
        <f t="shared" ca="1" si="170"/>
        <v>0</v>
      </c>
      <c r="BD72" s="18">
        <f t="shared" ca="1" si="170"/>
        <v>0</v>
      </c>
      <c r="BE72" s="18">
        <f t="shared" ca="1" si="170"/>
        <v>0</v>
      </c>
      <c r="BF72" s="18">
        <f t="shared" ca="1" si="170"/>
        <v>0</v>
      </c>
      <c r="BG72" s="18">
        <f t="shared" ca="1" si="170"/>
        <v>0</v>
      </c>
      <c r="BH72" s="18">
        <f t="shared" ca="1" si="170"/>
        <v>0</v>
      </c>
      <c r="BI72" s="18">
        <f t="shared" ca="1" si="170"/>
        <v>0</v>
      </c>
      <c r="BJ72" s="18">
        <f t="shared" ca="1" si="170"/>
        <v>0</v>
      </c>
      <c r="BK72" s="18">
        <f t="shared" ca="1" si="170"/>
        <v>0</v>
      </c>
      <c r="BL72" s="41"/>
    </row>
    <row r="73" spans="1:64">
      <c r="A73" s="80">
        <f t="shared" si="29"/>
        <v>52</v>
      </c>
      <c r="B73" s="53">
        <f>+'Taxes RCA 2022'!A66</f>
        <v>52</v>
      </c>
      <c r="C73" s="18" t="str">
        <f>+'Taxes RCA 2022'!B66</f>
        <v>Taxes de remise en état (+)</v>
      </c>
      <c r="E73" s="114"/>
      <c r="F73" s="114">
        <f t="shared" si="155"/>
        <v>0</v>
      </c>
      <c r="G73" s="114">
        <f t="shared" si="156"/>
        <v>0</v>
      </c>
      <c r="H73" s="114"/>
      <c r="I73" s="114"/>
      <c r="J73" s="114">
        <f t="shared" ca="1" si="157"/>
        <v>0</v>
      </c>
      <c r="K73" s="114">
        <f t="shared" ca="1" si="158"/>
        <v>0</v>
      </c>
      <c r="L73" s="114"/>
      <c r="M73" s="114">
        <f t="shared" ca="1" si="159"/>
        <v>0</v>
      </c>
      <c r="N73" s="18"/>
      <c r="O73" s="38" t="str">
        <f ca="1">IF(M73=0,"",IF(N73=0,"ERROR",""))</f>
        <v/>
      </c>
      <c r="P73" s="39" t="str">
        <f ca="1">IF(O73="ERROR","Please insert comment","")</f>
        <v/>
      </c>
      <c r="Y73" s="15">
        <v>58</v>
      </c>
      <c r="Z73" s="25" t="str">
        <f t="shared" si="139"/>
        <v xml:space="preserve">Amendes environnementales </v>
      </c>
      <c r="AA73" s="16">
        <f t="shared" si="166"/>
        <v>0</v>
      </c>
      <c r="AB73" s="16">
        <f t="shared" si="166"/>
        <v>0</v>
      </c>
      <c r="AC73" s="16">
        <f t="shared" si="166"/>
        <v>0</v>
      </c>
      <c r="AD73" s="16">
        <f t="shared" si="166"/>
        <v>0</v>
      </c>
      <c r="AE73" s="16">
        <f t="shared" si="166"/>
        <v>0</v>
      </c>
      <c r="AF73" s="16">
        <f t="shared" si="166"/>
        <v>0</v>
      </c>
      <c r="AG73" s="16">
        <f t="shared" si="166"/>
        <v>0</v>
      </c>
      <c r="AH73" s="16">
        <f t="shared" si="166"/>
        <v>0</v>
      </c>
      <c r="AI73" s="16">
        <f t="shared" si="166"/>
        <v>0</v>
      </c>
      <c r="AJ73" s="16">
        <f>SUM(AA73:AI73)</f>
        <v>0</v>
      </c>
      <c r="AL73" s="17">
        <f>+B75</f>
        <v>54</v>
      </c>
      <c r="AM73" s="26" t="str">
        <f t="shared" si="141"/>
        <v xml:space="preserve">Amendes environnementales </v>
      </c>
      <c r="AN73" s="18">
        <f t="shared" ref="AN73:AU73" si="171">SUMPRODUCT(($J$84:$M$748=$AL73&amp;"- "&amp;$AM73)*($N$84:$N$748=AN$1)*($Q$84:$Q$748))</f>
        <v>0</v>
      </c>
      <c r="AO73" s="18">
        <f t="shared" si="171"/>
        <v>0</v>
      </c>
      <c r="AP73" s="18">
        <f t="shared" si="171"/>
        <v>0</v>
      </c>
      <c r="AQ73" s="18">
        <f t="shared" si="171"/>
        <v>0</v>
      </c>
      <c r="AR73" s="18">
        <f t="shared" si="171"/>
        <v>0</v>
      </c>
      <c r="AS73" s="18">
        <f t="shared" si="171"/>
        <v>0</v>
      </c>
      <c r="AT73" s="18">
        <f t="shared" si="171"/>
        <v>0</v>
      </c>
      <c r="AU73" s="18">
        <f t="shared" si="171"/>
        <v>0</v>
      </c>
      <c r="AV73" s="18">
        <f>SUM(AN73:AU73)</f>
        <v>0</v>
      </c>
      <c r="AW73" s="18"/>
      <c r="AX73" s="17">
        <f>B75</f>
        <v>54</v>
      </c>
      <c r="AY73" s="26" t="str">
        <f t="shared" si="143"/>
        <v xml:space="preserve">Amendes environnementales </v>
      </c>
      <c r="AZ73" s="18">
        <f t="shared" ref="AZ73:BK73" ca="1" si="172">SUMPRODUCT(($C$10:$C$75=$AY73)*($N$10:$N$75=AZ$1)*($M$10:$M$75))</f>
        <v>0</v>
      </c>
      <c r="BA73" s="18">
        <f t="shared" ca="1" si="172"/>
        <v>0</v>
      </c>
      <c r="BB73" s="18">
        <f t="shared" ca="1" si="172"/>
        <v>0</v>
      </c>
      <c r="BC73" s="18">
        <f t="shared" ca="1" si="172"/>
        <v>0</v>
      </c>
      <c r="BD73" s="18">
        <f t="shared" ca="1" si="172"/>
        <v>0</v>
      </c>
      <c r="BE73" s="18">
        <f t="shared" ca="1" si="172"/>
        <v>0</v>
      </c>
      <c r="BF73" s="18">
        <f t="shared" ca="1" si="172"/>
        <v>0</v>
      </c>
      <c r="BG73" s="18">
        <f t="shared" ca="1" si="172"/>
        <v>0</v>
      </c>
      <c r="BH73" s="18">
        <f t="shared" ca="1" si="172"/>
        <v>0</v>
      </c>
      <c r="BI73" s="18">
        <f t="shared" ca="1" si="172"/>
        <v>0</v>
      </c>
      <c r="BJ73" s="18">
        <f t="shared" ca="1" si="172"/>
        <v>0</v>
      </c>
      <c r="BK73" s="18">
        <f t="shared" ca="1" si="172"/>
        <v>0</v>
      </c>
    </row>
    <row r="74" spans="1:64">
      <c r="A74" s="80"/>
      <c r="B74" s="64">
        <f>+'Taxes RCA 2022'!A67</f>
        <v>53</v>
      </c>
      <c r="C74" s="68" t="str">
        <f>+'Taxes RCA 2022'!B67</f>
        <v>Taxes environnementales sur les Stes forestières et Minières (+)</v>
      </c>
      <c r="E74" s="165"/>
      <c r="F74" s="165">
        <f t="shared" si="155"/>
        <v>0</v>
      </c>
      <c r="G74" s="165">
        <f t="shared" si="156"/>
        <v>0</v>
      </c>
      <c r="H74" s="167">
        <v>808920</v>
      </c>
      <c r="I74" s="165"/>
      <c r="J74" s="165">
        <f t="shared" ca="1" si="157"/>
        <v>0</v>
      </c>
      <c r="K74" s="165">
        <f t="shared" ca="1" si="158"/>
        <v>0</v>
      </c>
      <c r="L74" s="114"/>
      <c r="M74" s="165">
        <f t="shared" ca="1" si="159"/>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5"/>
        <v>0</v>
      </c>
      <c r="G75" s="114">
        <f t="shared" si="156"/>
        <v>0</v>
      </c>
      <c r="H75" s="114"/>
      <c r="I75" s="114"/>
      <c r="J75" s="114">
        <f t="shared" ca="1" si="157"/>
        <v>0</v>
      </c>
      <c r="K75" s="114">
        <f t="shared" ca="1" si="158"/>
        <v>0</v>
      </c>
      <c r="L75" s="114"/>
      <c r="M75" s="114">
        <f t="shared" ca="1" si="159"/>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5"/>
        <v>0</v>
      </c>
      <c r="G76" s="165">
        <f t="shared" si="156"/>
        <v>0</v>
      </c>
      <c r="H76" s="168"/>
      <c r="I76" s="165"/>
      <c r="J76" s="165">
        <f t="shared" ca="1" si="157"/>
        <v>0</v>
      </c>
      <c r="K76" s="165">
        <f t="shared" ca="1" si="158"/>
        <v>0</v>
      </c>
      <c r="L76" s="168"/>
      <c r="M76" s="165">
        <f t="shared" ca="1" si="159"/>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3">+F78+F79</f>
        <v>0</v>
      </c>
      <c r="G77" s="166">
        <f t="shared" si="173"/>
        <v>0</v>
      </c>
      <c r="H77" s="169"/>
      <c r="I77" s="166">
        <f t="shared" ref="I77:K77" si="174">+I78+I79</f>
        <v>0</v>
      </c>
      <c r="J77" s="166">
        <f t="shared" ca="1" si="174"/>
        <v>0</v>
      </c>
      <c r="K77" s="166">
        <f t="shared" ca="1" si="174"/>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5">SUMPRODUCT(($A$84:$A$751=$Y78&amp;"- "&amp;$Z78)*($C$84:$C$751=AA$1)*($G$84:$G$751))</f>
        <v>0</v>
      </c>
      <c r="AB78" s="16">
        <f t="shared" si="175"/>
        <v>0</v>
      </c>
      <c r="AC78" s="16">
        <f t="shared" si="175"/>
        <v>0</v>
      </c>
      <c r="AD78" s="16">
        <f t="shared" si="175"/>
        <v>0</v>
      </c>
      <c r="AE78" s="16">
        <f t="shared" si="175"/>
        <v>0</v>
      </c>
      <c r="AF78" s="16">
        <f t="shared" si="175"/>
        <v>0</v>
      </c>
      <c r="AG78" s="16">
        <f t="shared" si="175"/>
        <v>0</v>
      </c>
      <c r="AH78" s="16">
        <f t="shared" si="175"/>
        <v>0</v>
      </c>
      <c r="AI78" s="16">
        <f t="shared" si="175"/>
        <v>0</v>
      </c>
      <c r="AJ78" s="16">
        <f>SUM(AA78:AI78)</f>
        <v>0</v>
      </c>
      <c r="AL78" s="17">
        <f>+B45</f>
        <v>0</v>
      </c>
      <c r="AM78" s="26" t="str">
        <f>+C45</f>
        <v xml:space="preserve">Paiements infranationaux au profit des communes </v>
      </c>
      <c r="AN78" s="18">
        <f t="shared" ref="AN78:AU78" si="176">SUMPRODUCT(($J$84:$M$748=$AL78&amp;"- "&amp;$AM78)*($N$84:$N$748=AN$1)*($Q$84:$Q$748))</f>
        <v>0</v>
      </c>
      <c r="AO78" s="18">
        <f t="shared" si="176"/>
        <v>0</v>
      </c>
      <c r="AP78" s="18">
        <f t="shared" si="176"/>
        <v>0</v>
      </c>
      <c r="AQ78" s="18">
        <f t="shared" si="176"/>
        <v>0</v>
      </c>
      <c r="AR78" s="18">
        <f t="shared" si="176"/>
        <v>0</v>
      </c>
      <c r="AS78" s="18">
        <f t="shared" si="176"/>
        <v>0</v>
      </c>
      <c r="AT78" s="18">
        <f t="shared" si="176"/>
        <v>0</v>
      </c>
      <c r="AU78" s="18">
        <f t="shared" si="176"/>
        <v>0</v>
      </c>
      <c r="AV78" s="18">
        <f>SUM(AN78:AU78)</f>
        <v>0</v>
      </c>
      <c r="AW78" s="18"/>
      <c r="AX78" s="17">
        <f>B45</f>
        <v>0</v>
      </c>
      <c r="AY78" s="26" t="str">
        <f>C45</f>
        <v xml:space="preserve">Paiements infranationaux au profit des communes </v>
      </c>
      <c r="AZ78" s="18">
        <f t="shared" ref="AZ78:BK78" ca="1" si="177">SUMPRODUCT(($C$10:$C$75=$AY78)*($N$10:$N$75=AZ$1)*($M$10:$M$75))</f>
        <v>0</v>
      </c>
      <c r="BA78" s="18">
        <f t="shared" ca="1" si="177"/>
        <v>0</v>
      </c>
      <c r="BB78" s="18">
        <f t="shared" ca="1" si="177"/>
        <v>0</v>
      </c>
      <c r="BC78" s="18">
        <f t="shared" ca="1" si="177"/>
        <v>0</v>
      </c>
      <c r="BD78" s="18">
        <f t="shared" ca="1" si="177"/>
        <v>0</v>
      </c>
      <c r="BE78" s="18">
        <f t="shared" ca="1" si="177"/>
        <v>0</v>
      </c>
      <c r="BF78" s="18">
        <f t="shared" ca="1" si="177"/>
        <v>0</v>
      </c>
      <c r="BG78" s="18">
        <f t="shared" ca="1" si="177"/>
        <v>0</v>
      </c>
      <c r="BH78" s="18">
        <f t="shared" ca="1" si="177"/>
        <v>0</v>
      </c>
      <c r="BI78" s="18">
        <f t="shared" ca="1" si="177"/>
        <v>0</v>
      </c>
      <c r="BJ78" s="18">
        <f t="shared" ca="1" si="177"/>
        <v>0</v>
      </c>
      <c r="BK78" s="18">
        <f t="shared" ca="1" si="177"/>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ERROR</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L84" s="60"/>
      <c r="N84" s="97"/>
      <c r="O84" s="121"/>
      <c r="P84" s="129"/>
      <c r="Q84" s="14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O85" s="121"/>
      <c r="P85" s="129"/>
      <c r="Q85" s="145"/>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Y5:Z5"/>
    <mergeCell ref="AL5:AM5"/>
    <mergeCell ref="AX5:AY5"/>
    <mergeCell ref="A82:G82"/>
    <mergeCell ref="J82:Q82"/>
    <mergeCell ref="Y2:Z2"/>
    <mergeCell ref="AL2:AM2"/>
    <mergeCell ref="AX2:AY2"/>
    <mergeCell ref="B3:B4"/>
    <mergeCell ref="C3:C4"/>
    <mergeCell ref="E3:G3"/>
    <mergeCell ref="I3:K3"/>
    <mergeCell ref="M3:M4"/>
    <mergeCell ref="N3:N4"/>
  </mergeCells>
  <conditionalFormatting sqref="T17">
    <cfRule type="containsText" dxfId="55" priority="6" operator="containsText" text="ERROR">
      <formula>NOT(ISERROR(SEARCH("ERROR",T17)))</formula>
    </cfRule>
  </conditionalFormatting>
  <conditionalFormatting sqref="T42">
    <cfRule type="containsText" dxfId="54" priority="5" operator="containsText" text="ERROR">
      <formula>NOT(ISERROR(SEARCH("ERROR",T42)))</formula>
    </cfRule>
  </conditionalFormatting>
  <conditionalFormatting sqref="W19">
    <cfRule type="containsText" dxfId="53" priority="1" operator="containsText" text="ERROR">
      <formula>NOT(ISERROR(SEARCH("ERROR",W19)))</formula>
    </cfRule>
  </conditionalFormatting>
  <conditionalFormatting sqref="BL72">
    <cfRule type="containsText" dxfId="52" priority="2" operator="containsText" text="ERROR">
      <formula>NOT(ISERROR(SEARCH("ERROR",BL72)))</formula>
    </cfRule>
  </conditionalFormatting>
  <dataValidations disablePrompts="1" count="5">
    <dataValidation type="list" allowBlank="1" showErrorMessage="1" errorTitle="Taxes" error="Non valid entry. Please check the tax list" promptTitle="Taxes" prompt="Please select the tax subject to adjustment" sqref="B84:B105" xr:uid="{623CE635-4013-4208-B86F-EE752EEC1115}">
      <formula1>$A$135:$A$136</formula1>
    </dataValidation>
    <dataValidation type="list" allowBlank="1" showInputMessage="1" showErrorMessage="1" sqref="C84:C752" xr:uid="{D2A3AB08-79E0-422E-A1E7-5872C8906F21}">
      <formula1>Compadjust</formula1>
    </dataValidation>
    <dataValidation type="list" allowBlank="1" showInputMessage="1" showErrorMessage="1" sqref="M93:M95 L84:L96 M131:M748 L97:M98 L100:L748" xr:uid="{FEF05043-47F7-4931-A5A6-011AFCA70CC2}">
      <formula1>Taxes</formula1>
    </dataValidation>
    <dataValidation type="list" allowBlank="1" showInputMessage="1" showErrorMessage="1" sqref="N84:N749" xr:uid="{E927DBE8-520E-449F-8170-79C22D7A31F7}">
      <formula1>Govadjust</formula1>
    </dataValidation>
    <dataValidation type="list" allowBlank="1" showInputMessage="1" showErrorMessage="1" sqref="N5:N8 N73 N75 N77:N79 N10:N71" xr:uid="{62933B4C-F2C4-46D1-9678-4DAF34B4A83F}">
      <formula1>FinalDiff</formula1>
    </dataValidation>
  </dataValidations>
  <pageMargins left="0.7" right="0.7" top="0.75" bottom="0.75" header="0.3" footer="0.3"/>
  <extLst>
    <ext xmlns:x14="http://schemas.microsoft.com/office/spreadsheetml/2009/9/main" uri="{CCE6A557-97BC-4b89-ADB6-D9C93CAAB3DF}">
      <x14:dataValidations xmlns:xm="http://schemas.microsoft.com/office/excel/2006/main" disablePrompts="1" count="3">
        <x14:dataValidation type="list" allowBlank="1" showErrorMessage="1" errorTitle="Taxes" error="Non valid entry. Please check the tax list" promptTitle="Taxes" prompt="Please select the tax subject to adjustment" xr:uid="{48DD0C17-9445-4FE0-93C3-19EFAF6440B9}">
          <x14:formula1>
            <xm:f>Lists!$A$131:$A$132</xm:f>
          </x14:formula1>
          <xm:sqref>K84:K749</xm:sqref>
        </x14:dataValidation>
        <x14:dataValidation type="list" allowBlank="1" showErrorMessage="1" errorTitle="Taxes" error="Non valid entry. Please check the tax list" promptTitle="Taxes" prompt="Please select the tax subject to adjustment" xr:uid="{0569AB52-D5E3-4202-9ABE-1D9BD3FF42D2}">
          <x14:formula1>
            <xm:f>Lists!$A$7:$A$64</xm:f>
          </x14:formula1>
          <xm:sqref>A84:A751</xm:sqref>
        </x14:dataValidation>
        <x14:dataValidation type="list" allowBlank="1" showInputMessage="1" showErrorMessage="1" xr:uid="{02831E1C-C234-4FBC-B6A6-B8E177AEE45A}">
          <x14:formula1>
            <xm:f>Lists!$A$7:$A$64</xm:f>
          </x14:formula1>
          <xm:sqref>J84:J749</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BL753"/>
  <sheetViews>
    <sheetView showGridLines="0" topLeftCell="B6" zoomScale="85" zoomScaleNormal="85" workbookViewId="0">
      <selection activeCell="K29" sqref="K29"/>
    </sheetView>
  </sheetViews>
  <sheetFormatPr baseColWidth="10" defaultColWidth="11.54296875" defaultRowHeight="12" outlineLevelCol="1"/>
  <cols>
    <col min="1" max="1" width="28.54296875" style="17" hidden="1" customWidth="1"/>
    <col min="2" max="2" width="4.453125" style="17" customWidth="1"/>
    <col min="3" max="3" width="56.453125"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Companies!B17</f>
        <v>Diamville SAU</v>
      </c>
      <c r="F1" s="32" t="str">
        <f>Companies!C17</f>
        <v>M360058P001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11409880</v>
      </c>
      <c r="J8" s="164">
        <f ca="1">+J9+J13+J15+J17+J40+J45+J47+J52+J55+J62+J65+J68+J77</f>
        <v>0</v>
      </c>
      <c r="K8" s="164">
        <f ca="1">+K9+K13+K15+K17+K40+K45+K47+K52+K55+K62+K65+K68+K77</f>
        <v>11409880</v>
      </c>
      <c r="L8" s="114"/>
      <c r="M8" s="164">
        <f ca="1">+M9+M13+M15+M17+M40+M45+M52+M55+M62+M65+M68+M77+M47</f>
        <v>-11409880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5849292</v>
      </c>
      <c r="J9" s="166">
        <f t="shared" ref="J9" ca="1" si="26">SUM(J10:J12)</f>
        <v>0</v>
      </c>
      <c r="K9" s="166">
        <f t="shared" ref="K9" ca="1" si="27">SUM(K10:K12)</f>
        <v>5849292</v>
      </c>
      <c r="L9" s="114"/>
      <c r="M9" s="166">
        <f t="shared" ref="M9" ca="1" si="28">SUM(M10:M12)</f>
        <v>-5849292</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v>1115603</v>
      </c>
      <c r="J10" s="165">
        <f>SUMIF($J$83:$J$1048576,C10,$Q$83:$Q$1048576)</f>
        <v>0</v>
      </c>
      <c r="K10" s="165">
        <f>I10+J10</f>
        <v>1115603</v>
      </c>
      <c r="L10" s="114"/>
      <c r="M10" s="165">
        <f>+G10-K10</f>
        <v>-1115603</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v>4733689</v>
      </c>
      <c r="J11" s="114">
        <f>SUMIF($J$83:$J$1048576,C11,$Q$83:$Q$1048576)</f>
        <v>0</v>
      </c>
      <c r="K11" s="114">
        <f>I11+J11</f>
        <v>4733689</v>
      </c>
      <c r="L11" s="114"/>
      <c r="M11" s="114">
        <f>+G11-K11</f>
        <v>-4733689</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2778116</v>
      </c>
      <c r="J17" s="166">
        <f t="shared" ref="J17" ca="1" si="52">SUM(J18:J39)</f>
        <v>0</v>
      </c>
      <c r="K17" s="166">
        <f t="shared" ref="K17" ca="1" si="53">SUM(K18:K39)</f>
        <v>2778116</v>
      </c>
      <c r="L17" s="114"/>
      <c r="M17" s="166">
        <f t="shared" ref="M17" ca="1" si="54">SUM(M18:M39)</f>
        <v>-2778116</v>
      </c>
      <c r="N17" s="58"/>
      <c r="O17" s="38" t="str">
        <f t="shared" ca="1" si="46"/>
        <v>ERROR</v>
      </c>
      <c r="P17" s="39" t="str">
        <f t="shared" ca="1" si="47"/>
        <v>Please insert comment</v>
      </c>
      <c r="Q17" s="35"/>
      <c r="T17" s="41" t="str">
        <f>IF(F72=S12,"","ERROR")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t="str">
        <f t="shared" ref="O18:O23" ca="1" si="60">IF(M18=0,"",IF(N18=0,"ERROR",""))</f>
        <v/>
      </c>
      <c r="P18" s="39" t="str">
        <f t="shared" ref="P18:P23" ca="1" si="61">IF(O18="ERROR","Please insert comment","")</f>
        <v/>
      </c>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60"/>
        <v/>
      </c>
      <c r="P19" s="39" t="str">
        <f t="shared" ca="1" si="61"/>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60"/>
        <v/>
      </c>
      <c r="P20" s="39" t="str">
        <f t="shared" ca="1" si="61"/>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60"/>
        <v/>
      </c>
      <c r="P21" s="39" t="str">
        <f t="shared" ca="1" si="61"/>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60"/>
        <v/>
      </c>
      <c r="P22" s="39" t="str">
        <f t="shared" ca="1" si="61"/>
        <v/>
      </c>
      <c r="Q22" s="35"/>
      <c r="Y22" s="28"/>
      <c r="Z22" s="28" t="str">
        <f t="shared" ref="Z22:Z53" si="62">C25</f>
        <v xml:space="preserve">Taxe d'abattage  </v>
      </c>
      <c r="AA22" s="29">
        <f>SUM(AA23:AA32)</f>
        <v>0</v>
      </c>
      <c r="AB22" s="29">
        <f t="shared" ref="AB22:AJ22" si="63">SUM(AB23:AB32)</f>
        <v>0</v>
      </c>
      <c r="AC22" s="29">
        <f t="shared" si="63"/>
        <v>0</v>
      </c>
      <c r="AD22" s="29">
        <f t="shared" si="63"/>
        <v>0</v>
      </c>
      <c r="AE22" s="29">
        <f t="shared" si="63"/>
        <v>0</v>
      </c>
      <c r="AF22" s="29">
        <f t="shared" si="63"/>
        <v>0</v>
      </c>
      <c r="AG22" s="29">
        <f t="shared" si="63"/>
        <v>0</v>
      </c>
      <c r="AH22" s="29">
        <f t="shared" si="63"/>
        <v>0</v>
      </c>
      <c r="AI22" s="29">
        <f t="shared" si="63"/>
        <v>0</v>
      </c>
      <c r="AJ22" s="29">
        <f t="shared" si="63"/>
        <v>0</v>
      </c>
      <c r="AL22" s="28"/>
      <c r="AM22" s="28" t="str">
        <f t="shared" ref="AM22:AM53" si="64">+C25</f>
        <v xml:space="preserve">Taxe d'abattage  </v>
      </c>
      <c r="AN22" s="29">
        <f>SUM(AN23:AN32)</f>
        <v>0</v>
      </c>
      <c r="AO22" s="29">
        <f t="shared" ref="AO22:AV22" si="65">SUM(AO23:AO32)</f>
        <v>0</v>
      </c>
      <c r="AP22" s="29">
        <f t="shared" si="65"/>
        <v>0</v>
      </c>
      <c r="AQ22" s="29">
        <f t="shared" si="65"/>
        <v>0</v>
      </c>
      <c r="AR22" s="29">
        <f t="shared" si="65"/>
        <v>0</v>
      </c>
      <c r="AS22" s="29">
        <f t="shared" si="65"/>
        <v>0</v>
      </c>
      <c r="AT22" s="29">
        <f t="shared" si="65"/>
        <v>0</v>
      </c>
      <c r="AU22" s="29">
        <f t="shared" si="65"/>
        <v>0</v>
      </c>
      <c r="AV22" s="29">
        <f t="shared" si="65"/>
        <v>0</v>
      </c>
      <c r="AW22" s="38"/>
      <c r="AX22" s="28"/>
      <c r="AY22" s="28" t="str">
        <f t="shared" ref="AY22:AY53" si="66">C25</f>
        <v xml:space="preserve">Taxe d'abattage  </v>
      </c>
      <c r="AZ22" s="29">
        <f t="shared" ref="AZ22:BK22" ca="1" si="67">SUM(AZ23:AZ32)</f>
        <v>0</v>
      </c>
      <c r="BA22" s="29">
        <f t="shared" ca="1" si="67"/>
        <v>0</v>
      </c>
      <c r="BB22" s="29">
        <f t="shared" ca="1" si="67"/>
        <v>0</v>
      </c>
      <c r="BC22" s="29">
        <f t="shared" ca="1" si="67"/>
        <v>0</v>
      </c>
      <c r="BD22" s="29">
        <f t="shared" ca="1" si="67"/>
        <v>0</v>
      </c>
      <c r="BE22" s="29">
        <f t="shared" ca="1" si="67"/>
        <v>0</v>
      </c>
      <c r="BF22" s="29">
        <f t="shared" ca="1" si="67"/>
        <v>0</v>
      </c>
      <c r="BG22" s="29">
        <f t="shared" ca="1" si="67"/>
        <v>0</v>
      </c>
      <c r="BH22" s="29">
        <f t="shared" ca="1" si="67"/>
        <v>0</v>
      </c>
      <c r="BI22" s="29">
        <f t="shared" ca="1" si="67"/>
        <v>0</v>
      </c>
      <c r="BJ22" s="29">
        <f t="shared" ca="1" si="67"/>
        <v>0</v>
      </c>
      <c r="BK22" s="29">
        <f t="shared" ca="1" si="67"/>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60"/>
        <v/>
      </c>
      <c r="P23" s="39" t="str">
        <f t="shared" ca="1" si="61"/>
        <v/>
      </c>
      <c r="Q23" s="35"/>
      <c r="Y23" s="15">
        <f t="shared" ref="Y23:Y32" si="68">B26</f>
        <v>14</v>
      </c>
      <c r="Z23" s="25" t="str">
        <f t="shared" si="62"/>
        <v xml:space="preserve">Taxe de reboisement  </v>
      </c>
      <c r="AA23" s="16">
        <f t="shared" ref="AA23:AI32" si="69">SUMPRODUCT(($A$84:$A$751=$Y23&amp;"- "&amp;$Z23)*($C$84:$C$751=AA$1)*($G$84:$G$751))</f>
        <v>0</v>
      </c>
      <c r="AB23" s="16">
        <f t="shared" si="69"/>
        <v>0</v>
      </c>
      <c r="AC23" s="16">
        <f t="shared" si="69"/>
        <v>0</v>
      </c>
      <c r="AD23" s="16">
        <f t="shared" si="69"/>
        <v>0</v>
      </c>
      <c r="AE23" s="16">
        <f t="shared" si="69"/>
        <v>0</v>
      </c>
      <c r="AF23" s="16">
        <f t="shared" si="69"/>
        <v>0</v>
      </c>
      <c r="AG23" s="16">
        <f t="shared" si="69"/>
        <v>0</v>
      </c>
      <c r="AH23" s="16">
        <f t="shared" si="69"/>
        <v>0</v>
      </c>
      <c r="AI23" s="16">
        <f t="shared" si="69"/>
        <v>0</v>
      </c>
      <c r="AJ23" s="16">
        <f t="shared" ref="AJ23:AJ28" si="70">SUM(AA23:AI23)</f>
        <v>0</v>
      </c>
      <c r="AL23" s="17">
        <f t="shared" ref="AL23:AL32" si="71">+B26</f>
        <v>14</v>
      </c>
      <c r="AM23" s="26" t="str">
        <f t="shared" si="64"/>
        <v xml:space="preserve">Taxe de reboisement  </v>
      </c>
      <c r="AN23" s="18">
        <f t="shared" ref="AN23:AU32" si="72">SUMPRODUCT(($J$84:$M$748=$AL23&amp;"- "&amp;$AM23)*($N$84:$N$748=AN$1)*($Q$84:$Q$748))</f>
        <v>0</v>
      </c>
      <c r="AO23" s="18">
        <f t="shared" si="72"/>
        <v>0</v>
      </c>
      <c r="AP23" s="18">
        <f t="shared" si="72"/>
        <v>0</v>
      </c>
      <c r="AQ23" s="18">
        <f t="shared" si="72"/>
        <v>0</v>
      </c>
      <c r="AR23" s="18">
        <f t="shared" si="72"/>
        <v>0</v>
      </c>
      <c r="AS23" s="18">
        <f t="shared" si="72"/>
        <v>0</v>
      </c>
      <c r="AT23" s="18">
        <f t="shared" si="72"/>
        <v>0</v>
      </c>
      <c r="AU23" s="18">
        <f t="shared" si="72"/>
        <v>0</v>
      </c>
      <c r="AV23" s="18">
        <f t="shared" ref="AV23:AV28" si="73">SUM(AN23:AU23)</f>
        <v>0</v>
      </c>
      <c r="AW23" s="18"/>
      <c r="AX23" s="17">
        <f t="shared" ref="AX23:AX32" si="74">B26</f>
        <v>14</v>
      </c>
      <c r="AY23" s="26" t="str">
        <f t="shared" si="66"/>
        <v xml:space="preserve">Taxe de reboisement  </v>
      </c>
      <c r="AZ23" s="18">
        <f t="shared" ref="AZ23:BK32" ca="1" si="75">SUMPRODUCT(($C$10:$C$75=$AY23)*($N$10:$N$75=AZ$1)*($M$10:$M$75))</f>
        <v>0</v>
      </c>
      <c r="BA23" s="18">
        <f t="shared" ca="1" si="75"/>
        <v>0</v>
      </c>
      <c r="BB23" s="18">
        <f t="shared" ca="1" si="75"/>
        <v>0</v>
      </c>
      <c r="BC23" s="18">
        <f t="shared" ca="1" si="75"/>
        <v>0</v>
      </c>
      <c r="BD23" s="18">
        <f t="shared" ca="1" si="75"/>
        <v>0</v>
      </c>
      <c r="BE23" s="18">
        <f t="shared" ca="1" si="75"/>
        <v>0</v>
      </c>
      <c r="BF23" s="18">
        <f t="shared" ca="1" si="75"/>
        <v>0</v>
      </c>
      <c r="BG23" s="18">
        <f t="shared" ca="1" si="75"/>
        <v>0</v>
      </c>
      <c r="BH23" s="18">
        <f t="shared" ca="1" si="75"/>
        <v>0</v>
      </c>
      <c r="BI23" s="18">
        <f t="shared" ca="1" si="75"/>
        <v>0</v>
      </c>
      <c r="BJ23" s="18">
        <f t="shared" ca="1" si="75"/>
        <v>0</v>
      </c>
      <c r="BK23" s="18">
        <f t="shared" ca="1" si="75"/>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ca="1">IF(M24=0,"",IF(N24=0,"ERROR",""))</f>
        <v/>
      </c>
      <c r="P24" s="39" t="str">
        <f ca="1">IF(O24="ERROR","Please insert comment","")</f>
        <v/>
      </c>
      <c r="Q24" s="35"/>
      <c r="R24" s="36" t="s">
        <v>17</v>
      </c>
      <c r="S24" s="37" t="s">
        <v>4</v>
      </c>
      <c r="Y24" s="15">
        <f t="shared" si="68"/>
        <v>15</v>
      </c>
      <c r="Z24" s="25" t="str">
        <f t="shared" si="62"/>
        <v>Impôt sur les fonciers bâtis (IFB)</v>
      </c>
      <c r="AA24" s="16">
        <f t="shared" si="69"/>
        <v>0</v>
      </c>
      <c r="AB24" s="16">
        <f t="shared" si="69"/>
        <v>0</v>
      </c>
      <c r="AC24" s="16">
        <f t="shared" si="69"/>
        <v>0</v>
      </c>
      <c r="AD24" s="16">
        <f t="shared" si="69"/>
        <v>0</v>
      </c>
      <c r="AE24" s="16">
        <f t="shared" si="69"/>
        <v>0</v>
      </c>
      <c r="AF24" s="16">
        <f t="shared" si="69"/>
        <v>0</v>
      </c>
      <c r="AG24" s="16">
        <f t="shared" si="69"/>
        <v>0</v>
      </c>
      <c r="AH24" s="16">
        <f t="shared" si="69"/>
        <v>0</v>
      </c>
      <c r="AI24" s="16">
        <f t="shared" si="69"/>
        <v>0</v>
      </c>
      <c r="AJ24" s="16">
        <f t="shared" si="70"/>
        <v>0</v>
      </c>
      <c r="AL24" s="17">
        <f t="shared" si="71"/>
        <v>15</v>
      </c>
      <c r="AM24" s="26" t="str">
        <f t="shared" si="64"/>
        <v>Impôt sur les fonciers bâtis (IFB)</v>
      </c>
      <c r="AN24" s="18">
        <f t="shared" si="72"/>
        <v>0</v>
      </c>
      <c r="AO24" s="18">
        <f t="shared" si="72"/>
        <v>0</v>
      </c>
      <c r="AP24" s="18">
        <f t="shared" si="72"/>
        <v>0</v>
      </c>
      <c r="AQ24" s="18">
        <f t="shared" si="72"/>
        <v>0</v>
      </c>
      <c r="AR24" s="18">
        <f t="shared" si="72"/>
        <v>0</v>
      </c>
      <c r="AS24" s="18">
        <f t="shared" si="72"/>
        <v>0</v>
      </c>
      <c r="AT24" s="18">
        <f t="shared" si="72"/>
        <v>0</v>
      </c>
      <c r="AU24" s="18">
        <f t="shared" si="72"/>
        <v>0</v>
      </c>
      <c r="AV24" s="18">
        <f t="shared" si="73"/>
        <v>0</v>
      </c>
      <c r="AW24" s="18"/>
      <c r="AX24" s="17">
        <f t="shared" si="74"/>
        <v>15</v>
      </c>
      <c r="AY24" s="26" t="str">
        <f t="shared" si="66"/>
        <v>Impôt sur les fonciers bâtis (IFB)</v>
      </c>
      <c r="AZ24" s="18">
        <f t="shared" ca="1" si="75"/>
        <v>0</v>
      </c>
      <c r="BA24" s="18">
        <f t="shared" ca="1" si="75"/>
        <v>0</v>
      </c>
      <c r="BB24" s="18">
        <f t="shared" ca="1" si="75"/>
        <v>0</v>
      </c>
      <c r="BC24" s="18">
        <f t="shared" ca="1" si="75"/>
        <v>0</v>
      </c>
      <c r="BD24" s="18">
        <f t="shared" ca="1" si="75"/>
        <v>0</v>
      </c>
      <c r="BE24" s="18">
        <f t="shared" ca="1" si="75"/>
        <v>0</v>
      </c>
      <c r="BF24" s="18">
        <f t="shared" ca="1" si="75"/>
        <v>0</v>
      </c>
      <c r="BG24" s="18">
        <f t="shared" ca="1" si="75"/>
        <v>0</v>
      </c>
      <c r="BH24" s="18">
        <f t="shared" ca="1" si="75"/>
        <v>0</v>
      </c>
      <c r="BI24" s="18">
        <f t="shared" ca="1" si="75"/>
        <v>0</v>
      </c>
      <c r="BJ24" s="18">
        <f t="shared" ca="1" si="75"/>
        <v>0</v>
      </c>
      <c r="BK24" s="18">
        <f t="shared" ca="1" si="75"/>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6">SUMIF($N$84:$N$749,R25,$Q$84:$Q$749)</f>
        <v>0</v>
      </c>
      <c r="Y25" s="15">
        <f t="shared" si="68"/>
        <v>16</v>
      </c>
      <c r="Z25" s="25" t="str">
        <f t="shared" si="62"/>
        <v>Minimum impôt sur les sociétés (MIS)</v>
      </c>
      <c r="AA25" s="16">
        <f t="shared" si="69"/>
        <v>0</v>
      </c>
      <c r="AB25" s="16">
        <f t="shared" si="69"/>
        <v>0</v>
      </c>
      <c r="AC25" s="16">
        <f t="shared" si="69"/>
        <v>0</v>
      </c>
      <c r="AD25" s="16">
        <f t="shared" si="69"/>
        <v>0</v>
      </c>
      <c r="AE25" s="16">
        <f t="shared" si="69"/>
        <v>0</v>
      </c>
      <c r="AF25" s="16">
        <f t="shared" si="69"/>
        <v>0</v>
      </c>
      <c r="AG25" s="16">
        <f t="shared" si="69"/>
        <v>0</v>
      </c>
      <c r="AH25" s="16">
        <f t="shared" si="69"/>
        <v>0</v>
      </c>
      <c r="AI25" s="16">
        <f t="shared" si="69"/>
        <v>0</v>
      </c>
      <c r="AJ25" s="16">
        <f t="shared" si="70"/>
        <v>0</v>
      </c>
      <c r="AL25" s="17">
        <f t="shared" si="71"/>
        <v>16</v>
      </c>
      <c r="AM25" s="26" t="str">
        <f t="shared" si="64"/>
        <v>Minimum impôt sur les sociétés (MIS)</v>
      </c>
      <c r="AN25" s="18">
        <f t="shared" si="72"/>
        <v>0</v>
      </c>
      <c r="AO25" s="18">
        <f t="shared" si="72"/>
        <v>0</v>
      </c>
      <c r="AP25" s="18">
        <f t="shared" si="72"/>
        <v>0</v>
      </c>
      <c r="AQ25" s="18">
        <f t="shared" si="72"/>
        <v>0</v>
      </c>
      <c r="AR25" s="18">
        <f t="shared" si="72"/>
        <v>0</v>
      </c>
      <c r="AS25" s="18">
        <f t="shared" si="72"/>
        <v>0</v>
      </c>
      <c r="AT25" s="18">
        <f t="shared" si="72"/>
        <v>0</v>
      </c>
      <c r="AU25" s="18">
        <f t="shared" si="72"/>
        <v>0</v>
      </c>
      <c r="AV25" s="18">
        <f t="shared" si="73"/>
        <v>0</v>
      </c>
      <c r="AW25" s="18"/>
      <c r="AX25" s="17">
        <f t="shared" si="74"/>
        <v>16</v>
      </c>
      <c r="AY25" s="26" t="str">
        <f t="shared" si="66"/>
        <v>Minimum impôt sur les sociétés (MIS)</v>
      </c>
      <c r="AZ25" s="18">
        <f t="shared" ca="1" si="75"/>
        <v>0</v>
      </c>
      <c r="BA25" s="18">
        <f t="shared" ca="1" si="75"/>
        <v>0</v>
      </c>
      <c r="BB25" s="18">
        <f t="shared" ca="1" si="75"/>
        <v>0</v>
      </c>
      <c r="BC25" s="18">
        <f t="shared" ca="1" si="75"/>
        <v>0</v>
      </c>
      <c r="BD25" s="18">
        <f t="shared" ca="1" si="75"/>
        <v>0</v>
      </c>
      <c r="BE25" s="18">
        <f t="shared" ca="1" si="75"/>
        <v>0</v>
      </c>
      <c r="BF25" s="18">
        <f t="shared" ca="1" si="75"/>
        <v>0</v>
      </c>
      <c r="BG25" s="18">
        <f t="shared" ca="1" si="75"/>
        <v>0</v>
      </c>
      <c r="BH25" s="18">
        <f t="shared" ca="1" si="75"/>
        <v>0</v>
      </c>
      <c r="BI25" s="18">
        <f t="shared" ca="1" si="75"/>
        <v>0</v>
      </c>
      <c r="BJ25" s="18">
        <f t="shared" ca="1" si="75"/>
        <v>0</v>
      </c>
      <c r="BK25" s="18">
        <f t="shared" ca="1" si="75"/>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6"/>
        <v>0</v>
      </c>
      <c r="Y26" s="15">
        <f t="shared" si="68"/>
        <v>17</v>
      </c>
      <c r="Z26" s="25" t="str">
        <f t="shared" si="62"/>
        <v xml:space="preserve">Impôt minimum forfaitaire (IMF) </v>
      </c>
      <c r="AA26" s="16">
        <f t="shared" si="69"/>
        <v>0</v>
      </c>
      <c r="AB26" s="16">
        <f t="shared" si="69"/>
        <v>0</v>
      </c>
      <c r="AC26" s="16">
        <f t="shared" si="69"/>
        <v>0</v>
      </c>
      <c r="AD26" s="16">
        <f t="shared" si="69"/>
        <v>0</v>
      </c>
      <c r="AE26" s="16">
        <f t="shared" si="69"/>
        <v>0</v>
      </c>
      <c r="AF26" s="16">
        <f t="shared" si="69"/>
        <v>0</v>
      </c>
      <c r="AG26" s="16">
        <f t="shared" si="69"/>
        <v>0</v>
      </c>
      <c r="AH26" s="16">
        <f t="shared" si="69"/>
        <v>0</v>
      </c>
      <c r="AI26" s="16">
        <f t="shared" si="69"/>
        <v>0</v>
      </c>
      <c r="AJ26" s="16">
        <f t="shared" si="70"/>
        <v>0</v>
      </c>
      <c r="AL26" s="17">
        <f t="shared" si="71"/>
        <v>17</v>
      </c>
      <c r="AM26" s="26" t="str">
        <f t="shared" si="64"/>
        <v xml:space="preserve">Impôt minimum forfaitaire (IMF) </v>
      </c>
      <c r="AN26" s="18">
        <f t="shared" si="72"/>
        <v>0</v>
      </c>
      <c r="AO26" s="18">
        <f t="shared" si="72"/>
        <v>0</v>
      </c>
      <c r="AP26" s="18">
        <f t="shared" si="72"/>
        <v>0</v>
      </c>
      <c r="AQ26" s="18">
        <f t="shared" si="72"/>
        <v>0</v>
      </c>
      <c r="AR26" s="18">
        <f t="shared" si="72"/>
        <v>0</v>
      </c>
      <c r="AS26" s="18">
        <f t="shared" si="72"/>
        <v>0</v>
      </c>
      <c r="AT26" s="18">
        <f t="shared" si="72"/>
        <v>0</v>
      </c>
      <c r="AU26" s="18">
        <f t="shared" si="72"/>
        <v>0</v>
      </c>
      <c r="AV26" s="18">
        <f t="shared" si="73"/>
        <v>0</v>
      </c>
      <c r="AW26" s="18"/>
      <c r="AX26" s="17">
        <f t="shared" si="74"/>
        <v>17</v>
      </c>
      <c r="AY26" s="26" t="str">
        <f t="shared" si="66"/>
        <v xml:space="preserve">Impôt minimum forfaitaire (IMF) </v>
      </c>
      <c r="AZ26" s="18">
        <f t="shared" ca="1" si="75"/>
        <v>0</v>
      </c>
      <c r="BA26" s="18">
        <f t="shared" ca="1" si="75"/>
        <v>0</v>
      </c>
      <c r="BB26" s="18">
        <f t="shared" ca="1" si="75"/>
        <v>0</v>
      </c>
      <c r="BC26" s="18">
        <f t="shared" ca="1" si="75"/>
        <v>0</v>
      </c>
      <c r="BD26" s="18">
        <f t="shared" ca="1" si="75"/>
        <v>0</v>
      </c>
      <c r="BE26" s="18">
        <f t="shared" ca="1" si="75"/>
        <v>0</v>
      </c>
      <c r="BF26" s="18">
        <f t="shared" ca="1" si="75"/>
        <v>0</v>
      </c>
      <c r="BG26" s="18">
        <f t="shared" ca="1" si="75"/>
        <v>0</v>
      </c>
      <c r="BH26" s="18">
        <f t="shared" ca="1" si="75"/>
        <v>0</v>
      </c>
      <c r="BI26" s="18">
        <f t="shared" ca="1" si="75"/>
        <v>0</v>
      </c>
      <c r="BJ26" s="18">
        <f t="shared" ca="1" si="75"/>
        <v>0</v>
      </c>
      <c r="BK26" s="18">
        <f t="shared" ca="1" si="75"/>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6"/>
        <v>0</v>
      </c>
      <c r="Y27" s="15">
        <f t="shared" si="68"/>
        <v>18</v>
      </c>
      <c r="Z27" s="25" t="str">
        <f t="shared" si="62"/>
        <v>Précompte</v>
      </c>
      <c r="AA27" s="16">
        <f t="shared" si="69"/>
        <v>0</v>
      </c>
      <c r="AB27" s="16">
        <f t="shared" si="69"/>
        <v>0</v>
      </c>
      <c r="AC27" s="16">
        <f t="shared" si="69"/>
        <v>0</v>
      </c>
      <c r="AD27" s="16">
        <f t="shared" si="69"/>
        <v>0</v>
      </c>
      <c r="AE27" s="16">
        <f t="shared" si="69"/>
        <v>0</v>
      </c>
      <c r="AF27" s="16">
        <f t="shared" si="69"/>
        <v>0</v>
      </c>
      <c r="AG27" s="16">
        <f t="shared" si="69"/>
        <v>0</v>
      </c>
      <c r="AH27" s="16">
        <f t="shared" si="69"/>
        <v>0</v>
      </c>
      <c r="AI27" s="16">
        <f t="shared" si="69"/>
        <v>0</v>
      </c>
      <c r="AJ27" s="16">
        <f t="shared" si="70"/>
        <v>0</v>
      </c>
      <c r="AL27" s="17">
        <f t="shared" si="71"/>
        <v>18</v>
      </c>
      <c r="AM27" s="26" t="str">
        <f t="shared" si="64"/>
        <v>Précompte</v>
      </c>
      <c r="AN27" s="18">
        <f t="shared" si="72"/>
        <v>0</v>
      </c>
      <c r="AO27" s="18">
        <f t="shared" si="72"/>
        <v>0</v>
      </c>
      <c r="AP27" s="18">
        <f t="shared" si="72"/>
        <v>0</v>
      </c>
      <c r="AQ27" s="18">
        <f t="shared" si="72"/>
        <v>0</v>
      </c>
      <c r="AR27" s="18">
        <f t="shared" si="72"/>
        <v>0</v>
      </c>
      <c r="AS27" s="18">
        <f t="shared" si="72"/>
        <v>0</v>
      </c>
      <c r="AT27" s="18">
        <f t="shared" si="72"/>
        <v>0</v>
      </c>
      <c r="AU27" s="18">
        <f t="shared" si="72"/>
        <v>0</v>
      </c>
      <c r="AV27" s="18">
        <f t="shared" si="73"/>
        <v>0</v>
      </c>
      <c r="AW27" s="18"/>
      <c r="AX27" s="17">
        <f t="shared" si="74"/>
        <v>18</v>
      </c>
      <c r="AY27" s="26" t="str">
        <f t="shared" si="66"/>
        <v>Précompte</v>
      </c>
      <c r="AZ27" s="18">
        <f t="shared" ca="1" si="75"/>
        <v>0</v>
      </c>
      <c r="BA27" s="18">
        <f t="shared" ca="1" si="75"/>
        <v>0</v>
      </c>
      <c r="BB27" s="18">
        <f t="shared" ca="1" si="75"/>
        <v>0</v>
      </c>
      <c r="BC27" s="18">
        <f t="shared" ca="1" si="75"/>
        <v>0</v>
      </c>
      <c r="BD27" s="18">
        <f t="shared" ca="1" si="75"/>
        <v>0</v>
      </c>
      <c r="BE27" s="18">
        <f t="shared" ca="1" si="75"/>
        <v>0</v>
      </c>
      <c r="BF27" s="18">
        <f t="shared" ca="1" si="75"/>
        <v>0</v>
      </c>
      <c r="BG27" s="18">
        <f t="shared" ca="1" si="75"/>
        <v>0</v>
      </c>
      <c r="BH27" s="18">
        <f t="shared" ca="1" si="75"/>
        <v>0</v>
      </c>
      <c r="BI27" s="18">
        <f t="shared" ca="1" si="75"/>
        <v>0</v>
      </c>
      <c r="BJ27" s="18">
        <f t="shared" ca="1" si="75"/>
        <v>0</v>
      </c>
      <c r="BK27" s="18">
        <f t="shared" ca="1" si="75"/>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6"/>
        <v>0</v>
      </c>
      <c r="Y28" s="15">
        <f t="shared" si="68"/>
        <v>19</v>
      </c>
      <c r="Z28" s="25" t="str">
        <f t="shared" si="62"/>
        <v>Taxe sur la valeur ajoutée (TVA)</v>
      </c>
      <c r="AA28" s="16">
        <f t="shared" si="69"/>
        <v>0</v>
      </c>
      <c r="AB28" s="16">
        <f t="shared" si="69"/>
        <v>0</v>
      </c>
      <c r="AC28" s="16">
        <f t="shared" si="69"/>
        <v>0</v>
      </c>
      <c r="AD28" s="16">
        <f t="shared" si="69"/>
        <v>0</v>
      </c>
      <c r="AE28" s="16">
        <f t="shared" si="69"/>
        <v>0</v>
      </c>
      <c r="AF28" s="16">
        <f t="shared" si="69"/>
        <v>0</v>
      </c>
      <c r="AG28" s="16">
        <f t="shared" si="69"/>
        <v>0</v>
      </c>
      <c r="AH28" s="16">
        <f t="shared" si="69"/>
        <v>0</v>
      </c>
      <c r="AI28" s="16">
        <f t="shared" si="69"/>
        <v>0</v>
      </c>
      <c r="AJ28" s="16">
        <f t="shared" si="70"/>
        <v>0</v>
      </c>
      <c r="AL28" s="17">
        <f t="shared" si="71"/>
        <v>19</v>
      </c>
      <c r="AM28" s="26" t="str">
        <f t="shared" si="64"/>
        <v>Taxe sur la valeur ajoutée (TVA)</v>
      </c>
      <c r="AN28" s="18">
        <f t="shared" si="72"/>
        <v>0</v>
      </c>
      <c r="AO28" s="18">
        <f t="shared" si="72"/>
        <v>0</v>
      </c>
      <c r="AP28" s="18">
        <f t="shared" si="72"/>
        <v>0</v>
      </c>
      <c r="AQ28" s="18">
        <f t="shared" si="72"/>
        <v>0</v>
      </c>
      <c r="AR28" s="18">
        <f t="shared" si="72"/>
        <v>0</v>
      </c>
      <c r="AS28" s="18">
        <f t="shared" si="72"/>
        <v>0</v>
      </c>
      <c r="AT28" s="18">
        <f t="shared" si="72"/>
        <v>0</v>
      </c>
      <c r="AU28" s="18">
        <f t="shared" si="72"/>
        <v>0</v>
      </c>
      <c r="AV28" s="18">
        <f t="shared" si="73"/>
        <v>0</v>
      </c>
      <c r="AW28" s="18"/>
      <c r="AX28" s="17">
        <f t="shared" si="74"/>
        <v>19</v>
      </c>
      <c r="AY28" s="26" t="str">
        <f t="shared" si="66"/>
        <v>Taxe sur la valeur ajoutée (TVA)</v>
      </c>
      <c r="AZ28" s="18">
        <f t="shared" ca="1" si="75"/>
        <v>0</v>
      </c>
      <c r="BA28" s="18">
        <f t="shared" ca="1" si="75"/>
        <v>0</v>
      </c>
      <c r="BB28" s="18">
        <f t="shared" ca="1" si="75"/>
        <v>0</v>
      </c>
      <c r="BC28" s="18">
        <f t="shared" ca="1" si="75"/>
        <v>0</v>
      </c>
      <c r="BD28" s="18">
        <f t="shared" ca="1" si="75"/>
        <v>0</v>
      </c>
      <c r="BE28" s="18">
        <f t="shared" ca="1" si="75"/>
        <v>0</v>
      </c>
      <c r="BF28" s="18">
        <f t="shared" ca="1" si="75"/>
        <v>0</v>
      </c>
      <c r="BG28" s="18">
        <f t="shared" ca="1" si="75"/>
        <v>0</v>
      </c>
      <c r="BH28" s="18">
        <f t="shared" ca="1" si="75"/>
        <v>0</v>
      </c>
      <c r="BI28" s="18">
        <f t="shared" ca="1" si="75"/>
        <v>0</v>
      </c>
      <c r="BJ28" s="18">
        <f t="shared" ca="1" si="75"/>
        <v>0</v>
      </c>
      <c r="BK28" s="18">
        <f t="shared" ca="1" si="75"/>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2778116</v>
      </c>
      <c r="J29" s="165">
        <f t="shared" ca="1" si="57"/>
        <v>0</v>
      </c>
      <c r="K29" s="165">
        <f t="shared" ca="1" si="58"/>
        <v>2778116</v>
      </c>
      <c r="L29" s="114"/>
      <c r="M29" s="165">
        <f t="shared" ca="1" si="59"/>
        <v>-2778116</v>
      </c>
      <c r="N29" s="68"/>
      <c r="O29" s="38" t="str">
        <f t="shared" ca="1" si="46"/>
        <v>ERROR</v>
      </c>
      <c r="P29" s="39" t="str">
        <f t="shared" ca="1" si="47"/>
        <v>Please insert comment</v>
      </c>
      <c r="Q29" s="35"/>
      <c r="R29" s="21" t="str">
        <f>Lists!A84</f>
        <v>Taxe reportée par l'Etat non réellement encaissée</v>
      </c>
      <c r="S29" s="18">
        <f t="shared" si="76"/>
        <v>0</v>
      </c>
      <c r="Y29" s="15">
        <f t="shared" si="68"/>
        <v>20</v>
      </c>
      <c r="Z29" s="25" t="str">
        <f t="shared" si="62"/>
        <v>Impôt sur les revenus des loyers (IRL)</v>
      </c>
      <c r="AA29" s="16">
        <f t="shared" si="69"/>
        <v>0</v>
      </c>
      <c r="AB29" s="16">
        <f t="shared" si="69"/>
        <v>0</v>
      </c>
      <c r="AC29" s="16">
        <f t="shared" si="69"/>
        <v>0</v>
      </c>
      <c r="AD29" s="16">
        <f t="shared" si="69"/>
        <v>0</v>
      </c>
      <c r="AE29" s="16">
        <f t="shared" si="69"/>
        <v>0</v>
      </c>
      <c r="AF29" s="16">
        <f t="shared" si="69"/>
        <v>0</v>
      </c>
      <c r="AG29" s="16">
        <f t="shared" si="69"/>
        <v>0</v>
      </c>
      <c r="AH29" s="16">
        <f t="shared" si="69"/>
        <v>0</v>
      </c>
      <c r="AI29" s="16">
        <f t="shared" si="69"/>
        <v>0</v>
      </c>
      <c r="AJ29" s="16">
        <f>SUM(AA29:AI29)</f>
        <v>0</v>
      </c>
      <c r="AL29" s="17">
        <f t="shared" si="71"/>
        <v>20</v>
      </c>
      <c r="AM29" s="26" t="str">
        <f t="shared" si="64"/>
        <v>Impôt sur les revenus des loyers (IRL)</v>
      </c>
      <c r="AN29" s="18">
        <f t="shared" si="72"/>
        <v>0</v>
      </c>
      <c r="AO29" s="18">
        <f t="shared" si="72"/>
        <v>0</v>
      </c>
      <c r="AP29" s="18">
        <f t="shared" si="72"/>
        <v>0</v>
      </c>
      <c r="AQ29" s="18">
        <f t="shared" si="72"/>
        <v>0</v>
      </c>
      <c r="AR29" s="18">
        <f t="shared" si="72"/>
        <v>0</v>
      </c>
      <c r="AS29" s="18">
        <f t="shared" si="72"/>
        <v>0</v>
      </c>
      <c r="AT29" s="18">
        <f t="shared" si="72"/>
        <v>0</v>
      </c>
      <c r="AU29" s="18">
        <f t="shared" si="72"/>
        <v>0</v>
      </c>
      <c r="AV29" s="18">
        <f>SUM(AN29:AU29)</f>
        <v>0</v>
      </c>
      <c r="AW29" s="18"/>
      <c r="AX29" s="17">
        <f t="shared" si="74"/>
        <v>20</v>
      </c>
      <c r="AY29" s="26" t="str">
        <f t="shared" si="66"/>
        <v>Impôt sur les revenus des loyers (IRL)</v>
      </c>
      <c r="AZ29" s="18">
        <f t="shared" ca="1" si="75"/>
        <v>0</v>
      </c>
      <c r="BA29" s="18">
        <f t="shared" ca="1" si="75"/>
        <v>0</v>
      </c>
      <c r="BB29" s="18">
        <f t="shared" ca="1" si="75"/>
        <v>0</v>
      </c>
      <c r="BC29" s="18">
        <f t="shared" ca="1" si="75"/>
        <v>0</v>
      </c>
      <c r="BD29" s="18">
        <f t="shared" ca="1" si="75"/>
        <v>0</v>
      </c>
      <c r="BE29" s="18">
        <f t="shared" ca="1" si="75"/>
        <v>0</v>
      </c>
      <c r="BF29" s="18">
        <f t="shared" ca="1" si="75"/>
        <v>0</v>
      </c>
      <c r="BG29" s="18">
        <f t="shared" ca="1" si="75"/>
        <v>0</v>
      </c>
      <c r="BH29" s="18">
        <f t="shared" ca="1" si="75"/>
        <v>0</v>
      </c>
      <c r="BI29" s="18">
        <f t="shared" ca="1" si="75"/>
        <v>0</v>
      </c>
      <c r="BJ29" s="18">
        <f t="shared" ca="1" si="75"/>
        <v>0</v>
      </c>
      <c r="BK29" s="18">
        <f t="shared" ca="1" si="75"/>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6"/>
        <v>0</v>
      </c>
      <c r="Y30" s="15">
        <f t="shared" si="68"/>
        <v>21</v>
      </c>
      <c r="Z30" s="25" t="str">
        <f t="shared" si="62"/>
        <v>Droits fixes (sur l'octroi, renouvellement, transfert) (+)</v>
      </c>
      <c r="AA30" s="16">
        <f t="shared" si="69"/>
        <v>0</v>
      </c>
      <c r="AB30" s="16">
        <f t="shared" si="69"/>
        <v>0</v>
      </c>
      <c r="AC30" s="16">
        <f t="shared" si="69"/>
        <v>0</v>
      </c>
      <c r="AD30" s="16">
        <f t="shared" si="69"/>
        <v>0</v>
      </c>
      <c r="AE30" s="16">
        <f t="shared" si="69"/>
        <v>0</v>
      </c>
      <c r="AF30" s="16">
        <f t="shared" si="69"/>
        <v>0</v>
      </c>
      <c r="AG30" s="16">
        <f t="shared" si="69"/>
        <v>0</v>
      </c>
      <c r="AH30" s="16">
        <f t="shared" si="69"/>
        <v>0</v>
      </c>
      <c r="AI30" s="16">
        <f t="shared" si="69"/>
        <v>0</v>
      </c>
      <c r="AJ30" s="16">
        <f>SUM(AA30:AI30)</f>
        <v>0</v>
      </c>
      <c r="AL30" s="17">
        <f t="shared" si="71"/>
        <v>21</v>
      </c>
      <c r="AM30" s="26" t="str">
        <f t="shared" si="64"/>
        <v>Droits fixes (sur l'octroi, renouvellement, transfert) (+)</v>
      </c>
      <c r="AN30" s="18">
        <f t="shared" si="72"/>
        <v>0</v>
      </c>
      <c r="AO30" s="18">
        <f t="shared" si="72"/>
        <v>0</v>
      </c>
      <c r="AP30" s="18">
        <f t="shared" si="72"/>
        <v>0</v>
      </c>
      <c r="AQ30" s="18">
        <f t="shared" si="72"/>
        <v>0</v>
      </c>
      <c r="AR30" s="18">
        <f t="shared" si="72"/>
        <v>0</v>
      </c>
      <c r="AS30" s="18">
        <f t="shared" si="72"/>
        <v>0</v>
      </c>
      <c r="AT30" s="18">
        <f t="shared" si="72"/>
        <v>0</v>
      </c>
      <c r="AU30" s="18">
        <f t="shared" si="72"/>
        <v>0</v>
      </c>
      <c r="AV30" s="18">
        <f>SUM(AN30:AU30)</f>
        <v>0</v>
      </c>
      <c r="AW30" s="18"/>
      <c r="AX30" s="17">
        <f t="shared" si="74"/>
        <v>21</v>
      </c>
      <c r="AY30" s="26" t="str">
        <f t="shared" si="66"/>
        <v>Droits fixes (sur l'octroi, renouvellement, transfert) (+)</v>
      </c>
      <c r="AZ30" s="18">
        <f t="shared" ca="1" si="75"/>
        <v>0</v>
      </c>
      <c r="BA30" s="18">
        <f t="shared" ca="1" si="75"/>
        <v>0</v>
      </c>
      <c r="BB30" s="18">
        <f t="shared" ca="1" si="75"/>
        <v>0</v>
      </c>
      <c r="BC30" s="18">
        <f t="shared" ca="1" si="75"/>
        <v>0</v>
      </c>
      <c r="BD30" s="18">
        <f t="shared" ca="1" si="75"/>
        <v>0</v>
      </c>
      <c r="BE30" s="18">
        <f t="shared" ca="1" si="75"/>
        <v>0</v>
      </c>
      <c r="BF30" s="18">
        <f t="shared" ca="1" si="75"/>
        <v>0</v>
      </c>
      <c r="BG30" s="18">
        <f t="shared" ca="1" si="75"/>
        <v>0</v>
      </c>
      <c r="BH30" s="18">
        <f t="shared" ca="1" si="75"/>
        <v>0</v>
      </c>
      <c r="BI30" s="18">
        <f t="shared" ca="1" si="75"/>
        <v>0</v>
      </c>
      <c r="BJ30" s="18">
        <f t="shared" ca="1" si="75"/>
        <v>0</v>
      </c>
      <c r="BK30" s="18">
        <f t="shared" ca="1" si="75"/>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6"/>
        <v>0</v>
      </c>
      <c r="Y31" s="15">
        <f t="shared" si="68"/>
        <v>22</v>
      </c>
      <c r="Z31" s="25" t="str">
        <f t="shared" si="62"/>
        <v>Les redevances proportionnelles ou royalties sur les autorisations d'exploitation de carrière et les exploitations des mines (+)</v>
      </c>
      <c r="AA31" s="16">
        <f t="shared" si="69"/>
        <v>0</v>
      </c>
      <c r="AB31" s="16">
        <f t="shared" si="69"/>
        <v>0</v>
      </c>
      <c r="AC31" s="16">
        <f t="shared" si="69"/>
        <v>0</v>
      </c>
      <c r="AD31" s="16">
        <f t="shared" si="69"/>
        <v>0</v>
      </c>
      <c r="AE31" s="16">
        <f t="shared" si="69"/>
        <v>0</v>
      </c>
      <c r="AF31" s="16">
        <f t="shared" si="69"/>
        <v>0</v>
      </c>
      <c r="AG31" s="16">
        <f t="shared" si="69"/>
        <v>0</v>
      </c>
      <c r="AH31" s="16">
        <f t="shared" si="69"/>
        <v>0</v>
      </c>
      <c r="AI31" s="16">
        <f t="shared" si="69"/>
        <v>0</v>
      </c>
      <c r="AJ31" s="16">
        <f>SUM(AA31:AI31)</f>
        <v>0</v>
      </c>
      <c r="AL31" s="17">
        <f t="shared" si="71"/>
        <v>22</v>
      </c>
      <c r="AM31" s="26" t="str">
        <f t="shared" si="64"/>
        <v>Les redevances proportionnelles ou royalties sur les autorisations d'exploitation de carrière et les exploitations des mines (+)</v>
      </c>
      <c r="AN31" s="18">
        <f t="shared" si="72"/>
        <v>0</v>
      </c>
      <c r="AO31" s="18">
        <f t="shared" si="72"/>
        <v>0</v>
      </c>
      <c r="AP31" s="18">
        <f t="shared" si="72"/>
        <v>0</v>
      </c>
      <c r="AQ31" s="18">
        <f t="shared" si="72"/>
        <v>0</v>
      </c>
      <c r="AR31" s="18">
        <f t="shared" si="72"/>
        <v>0</v>
      </c>
      <c r="AS31" s="18">
        <f t="shared" si="72"/>
        <v>0</v>
      </c>
      <c r="AT31" s="18">
        <f t="shared" si="72"/>
        <v>0</v>
      </c>
      <c r="AU31" s="18">
        <f t="shared" si="72"/>
        <v>0</v>
      </c>
      <c r="AV31" s="18">
        <f>SUM(AN31:AU31)</f>
        <v>0</v>
      </c>
      <c r="AW31" s="18"/>
      <c r="AX31" s="17">
        <f t="shared" si="74"/>
        <v>22</v>
      </c>
      <c r="AY31" s="26" t="str">
        <f t="shared" si="66"/>
        <v>Les redevances proportionnelles ou royalties sur les autorisations d'exploitation de carrière et les exploitations des mines (+)</v>
      </c>
      <c r="AZ31" s="18">
        <f t="shared" ca="1" si="75"/>
        <v>0</v>
      </c>
      <c r="BA31" s="18">
        <f t="shared" ca="1" si="75"/>
        <v>0</v>
      </c>
      <c r="BB31" s="18">
        <f t="shared" ca="1" si="75"/>
        <v>0</v>
      </c>
      <c r="BC31" s="18">
        <f t="shared" ca="1" si="75"/>
        <v>0</v>
      </c>
      <c r="BD31" s="18">
        <f t="shared" ca="1" si="75"/>
        <v>0</v>
      </c>
      <c r="BE31" s="18">
        <f t="shared" ca="1" si="75"/>
        <v>0</v>
      </c>
      <c r="BF31" s="18">
        <f t="shared" ca="1" si="75"/>
        <v>0</v>
      </c>
      <c r="BG31" s="18">
        <f t="shared" ca="1" si="75"/>
        <v>0</v>
      </c>
      <c r="BH31" s="18">
        <f t="shared" ca="1" si="75"/>
        <v>0</v>
      </c>
      <c r="BI31" s="18">
        <f t="shared" ca="1" si="75"/>
        <v>0</v>
      </c>
      <c r="BJ31" s="18">
        <f t="shared" ca="1" si="75"/>
        <v>0</v>
      </c>
      <c r="BK31" s="18">
        <f t="shared" ca="1" si="75"/>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6"/>
        <v>0</v>
      </c>
      <c r="Y32" s="15">
        <f t="shared" si="68"/>
        <v>23</v>
      </c>
      <c r="Z32" s="25" t="str">
        <f t="shared" si="62"/>
        <v>Impôt sur les revenus des capitaux mobiliers (RCM) (+)</v>
      </c>
      <c r="AA32" s="16">
        <f t="shared" si="69"/>
        <v>0</v>
      </c>
      <c r="AB32" s="16">
        <f t="shared" si="69"/>
        <v>0</v>
      </c>
      <c r="AC32" s="16">
        <f t="shared" si="69"/>
        <v>0</v>
      </c>
      <c r="AD32" s="16">
        <f t="shared" si="69"/>
        <v>0</v>
      </c>
      <c r="AE32" s="16">
        <f t="shared" si="69"/>
        <v>0</v>
      </c>
      <c r="AF32" s="16">
        <f t="shared" si="69"/>
        <v>0</v>
      </c>
      <c r="AG32" s="16">
        <f t="shared" si="69"/>
        <v>0</v>
      </c>
      <c r="AH32" s="16">
        <f t="shared" si="69"/>
        <v>0</v>
      </c>
      <c r="AI32" s="16">
        <f t="shared" si="69"/>
        <v>0</v>
      </c>
      <c r="AJ32" s="16">
        <f>SUM(AA32:AI32)</f>
        <v>0</v>
      </c>
      <c r="AL32" s="17">
        <f t="shared" si="71"/>
        <v>23</v>
      </c>
      <c r="AM32" s="26" t="str">
        <f t="shared" si="64"/>
        <v>Impôt sur les revenus des capitaux mobiliers (RCM) (+)</v>
      </c>
      <c r="AN32" s="18">
        <f t="shared" si="72"/>
        <v>0</v>
      </c>
      <c r="AO32" s="18">
        <f t="shared" si="72"/>
        <v>0</v>
      </c>
      <c r="AP32" s="18">
        <f t="shared" si="72"/>
        <v>0</v>
      </c>
      <c r="AQ32" s="18">
        <f t="shared" si="72"/>
        <v>0</v>
      </c>
      <c r="AR32" s="18">
        <f t="shared" si="72"/>
        <v>0</v>
      </c>
      <c r="AS32" s="18">
        <f t="shared" si="72"/>
        <v>0</v>
      </c>
      <c r="AT32" s="18">
        <f t="shared" si="72"/>
        <v>0</v>
      </c>
      <c r="AU32" s="18">
        <f t="shared" si="72"/>
        <v>0</v>
      </c>
      <c r="AV32" s="18">
        <f>SUM(AN32:AU32)</f>
        <v>0</v>
      </c>
      <c r="AW32" s="38"/>
      <c r="AX32" s="17">
        <f t="shared" si="74"/>
        <v>23</v>
      </c>
      <c r="AY32" s="26" t="str">
        <f t="shared" si="66"/>
        <v>Impôt sur les revenus des capitaux mobiliers (RCM) (+)</v>
      </c>
      <c r="AZ32" s="18">
        <f t="shared" ca="1" si="75"/>
        <v>0</v>
      </c>
      <c r="BA32" s="18">
        <f t="shared" ca="1" si="75"/>
        <v>0</v>
      </c>
      <c r="BB32" s="18">
        <f t="shared" ca="1" si="75"/>
        <v>0</v>
      </c>
      <c r="BC32" s="18">
        <f t="shared" ca="1" si="75"/>
        <v>0</v>
      </c>
      <c r="BD32" s="18">
        <f t="shared" ca="1" si="75"/>
        <v>0</v>
      </c>
      <c r="BE32" s="18">
        <f t="shared" ca="1" si="75"/>
        <v>0</v>
      </c>
      <c r="BF32" s="18">
        <f t="shared" ca="1" si="75"/>
        <v>0</v>
      </c>
      <c r="BG32" s="18">
        <f t="shared" ca="1" si="75"/>
        <v>0</v>
      </c>
      <c r="BH32" s="18">
        <f t="shared" ca="1" si="75"/>
        <v>0</v>
      </c>
      <c r="BI32" s="18">
        <f t="shared" ca="1" si="75"/>
        <v>0</v>
      </c>
      <c r="BJ32" s="18">
        <f t="shared" ca="1" si="75"/>
        <v>0</v>
      </c>
      <c r="BK32" s="18">
        <f t="shared" ca="1" si="75"/>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2"/>
        <v>Taxe de Développement Artisanal (TDA) (+)</v>
      </c>
      <c r="AA33" s="29">
        <f t="shared" ref="AA33:AJ33" si="77">SUM(AA34:AA49)</f>
        <v>0</v>
      </c>
      <c r="AB33" s="29">
        <f t="shared" si="77"/>
        <v>0</v>
      </c>
      <c r="AC33" s="29">
        <f t="shared" si="77"/>
        <v>0</v>
      </c>
      <c r="AD33" s="29">
        <f t="shared" si="77"/>
        <v>0</v>
      </c>
      <c r="AE33" s="29">
        <f t="shared" si="77"/>
        <v>0</v>
      </c>
      <c r="AF33" s="29">
        <f t="shared" si="77"/>
        <v>0</v>
      </c>
      <c r="AG33" s="29">
        <f t="shared" si="77"/>
        <v>0</v>
      </c>
      <c r="AH33" s="29">
        <f t="shared" si="77"/>
        <v>0</v>
      </c>
      <c r="AI33" s="29">
        <f t="shared" si="77"/>
        <v>0</v>
      </c>
      <c r="AJ33" s="29">
        <f t="shared" si="77"/>
        <v>0</v>
      </c>
      <c r="AL33" s="28"/>
      <c r="AM33" s="28" t="str">
        <f t="shared" si="64"/>
        <v>Taxe de Développement Artisanal (TDA) (+)</v>
      </c>
      <c r="AN33" s="29">
        <f t="shared" ref="AN33:AV33" si="78">SUM(AN34:AN49)</f>
        <v>0</v>
      </c>
      <c r="AO33" s="29">
        <f t="shared" si="78"/>
        <v>0</v>
      </c>
      <c r="AP33" s="29">
        <f t="shared" si="78"/>
        <v>0</v>
      </c>
      <c r="AQ33" s="29">
        <f t="shared" si="78"/>
        <v>0</v>
      </c>
      <c r="AR33" s="29">
        <f t="shared" si="78"/>
        <v>0</v>
      </c>
      <c r="AS33" s="29">
        <f t="shared" si="78"/>
        <v>0</v>
      </c>
      <c r="AT33" s="29">
        <f t="shared" si="78"/>
        <v>0</v>
      </c>
      <c r="AU33" s="29">
        <f t="shared" si="78"/>
        <v>0</v>
      </c>
      <c r="AV33" s="29">
        <f t="shared" si="78"/>
        <v>0</v>
      </c>
      <c r="AW33" s="18"/>
      <c r="AX33" s="28"/>
      <c r="AY33" s="28" t="str">
        <f t="shared" si="66"/>
        <v>Taxe de Développement Artisanal (TDA) (+)</v>
      </c>
      <c r="AZ33" s="29">
        <f t="shared" ref="AZ33:BK33" ca="1" si="79">SUM(AZ34:AZ49)</f>
        <v>0</v>
      </c>
      <c r="BA33" s="29">
        <f t="shared" ca="1" si="79"/>
        <v>0</v>
      </c>
      <c r="BB33" s="29">
        <f t="shared" ca="1" si="79"/>
        <v>0</v>
      </c>
      <c r="BC33" s="29">
        <f t="shared" ca="1" si="79"/>
        <v>0</v>
      </c>
      <c r="BD33" s="29">
        <f t="shared" ca="1" si="79"/>
        <v>0</v>
      </c>
      <c r="BE33" s="29">
        <f t="shared" ca="1" si="79"/>
        <v>0</v>
      </c>
      <c r="BF33" s="29">
        <f t="shared" ca="1" si="79"/>
        <v>0</v>
      </c>
      <c r="BG33" s="29">
        <f t="shared" ca="1" si="79"/>
        <v>0</v>
      </c>
      <c r="BH33" s="29">
        <f t="shared" ca="1" si="79"/>
        <v>0</v>
      </c>
      <c r="BI33" s="29">
        <f t="shared" ca="1" si="79"/>
        <v>0</v>
      </c>
      <c r="BJ33" s="29">
        <f t="shared" ca="1" si="79"/>
        <v>0</v>
      </c>
      <c r="BK33" s="29">
        <f t="shared" ca="1" si="79"/>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80">B37</f>
        <v>25</v>
      </c>
      <c r="Z34" s="25" t="str">
        <f t="shared" si="62"/>
        <v>Amendes et pénalités payées à la DGID (+)</v>
      </c>
      <c r="AA34" s="16">
        <f t="shared" ref="AA34:AI46" si="81">SUMPRODUCT(($A$84:$A$751=$Y34&amp;"- "&amp;$Z34)*($C$84:$C$751=AA$1)*($G$84:$G$751))</f>
        <v>0</v>
      </c>
      <c r="AB34" s="16">
        <f t="shared" si="81"/>
        <v>0</v>
      </c>
      <c r="AC34" s="16">
        <f t="shared" si="81"/>
        <v>0</v>
      </c>
      <c r="AD34" s="16">
        <f t="shared" si="81"/>
        <v>0</v>
      </c>
      <c r="AE34" s="16">
        <f t="shared" si="81"/>
        <v>0</v>
      </c>
      <c r="AF34" s="16">
        <f t="shared" si="81"/>
        <v>0</v>
      </c>
      <c r="AG34" s="16">
        <f t="shared" si="81"/>
        <v>0</v>
      </c>
      <c r="AH34" s="16">
        <f t="shared" si="81"/>
        <v>0</v>
      </c>
      <c r="AI34" s="16">
        <f t="shared" si="81"/>
        <v>0</v>
      </c>
      <c r="AJ34" s="16">
        <f t="shared" ref="AJ34:AJ48" si="82">SUM(AA34:AI34)</f>
        <v>0</v>
      </c>
      <c r="AK34" s="21"/>
      <c r="AL34" s="17">
        <f t="shared" ref="AL34:AL49" si="83">+B37</f>
        <v>25</v>
      </c>
      <c r="AM34" s="26" t="str">
        <f t="shared" si="64"/>
        <v>Amendes et pénalités payées à la DGID (+)</v>
      </c>
      <c r="AN34" s="18">
        <f t="shared" ref="AN34:AU46" si="84">SUMPRODUCT(($J$84:$M$748=$AL34&amp;"- "&amp;$AM34)*($N$84:$N$748=AN$1)*($Q$84:$Q$748))</f>
        <v>0</v>
      </c>
      <c r="AO34" s="18">
        <f t="shared" si="84"/>
        <v>0</v>
      </c>
      <c r="AP34" s="18">
        <f t="shared" si="84"/>
        <v>0</v>
      </c>
      <c r="AQ34" s="18">
        <f t="shared" si="84"/>
        <v>0</v>
      </c>
      <c r="AR34" s="18">
        <f t="shared" si="84"/>
        <v>0</v>
      </c>
      <c r="AS34" s="18">
        <f t="shared" si="84"/>
        <v>0</v>
      </c>
      <c r="AT34" s="18">
        <f t="shared" si="84"/>
        <v>0</v>
      </c>
      <c r="AU34" s="18">
        <f t="shared" si="84"/>
        <v>0</v>
      </c>
      <c r="AV34" s="18">
        <f t="shared" ref="AV34:AV48" si="85">SUM(AN34:AU34)</f>
        <v>0</v>
      </c>
      <c r="AW34" s="18"/>
      <c r="AX34" s="17">
        <f t="shared" ref="AX34:AX49" si="86">B37</f>
        <v>25</v>
      </c>
      <c r="AY34" s="26" t="str">
        <f t="shared" si="66"/>
        <v>Amendes et pénalités payées à la DGID (+)</v>
      </c>
      <c r="AZ34" s="18">
        <f t="shared" ref="AZ34:BK46" ca="1" si="87">SUMPRODUCT(($C$10:$C$75=$AY34)*($N$10:$N$75=AZ$1)*($M$10:$M$75))</f>
        <v>0</v>
      </c>
      <c r="BA34" s="18">
        <f t="shared" ca="1" si="87"/>
        <v>0</v>
      </c>
      <c r="BB34" s="18">
        <f t="shared" ca="1" si="87"/>
        <v>0</v>
      </c>
      <c r="BC34" s="18">
        <f t="shared" ca="1" si="87"/>
        <v>0</v>
      </c>
      <c r="BD34" s="18">
        <f t="shared" ca="1" si="87"/>
        <v>0</v>
      </c>
      <c r="BE34" s="18">
        <f t="shared" ca="1" si="87"/>
        <v>0</v>
      </c>
      <c r="BF34" s="18">
        <f t="shared" ca="1" si="87"/>
        <v>0</v>
      </c>
      <c r="BG34" s="18">
        <f t="shared" ca="1" si="87"/>
        <v>0</v>
      </c>
      <c r="BH34" s="18">
        <f t="shared" ca="1" si="87"/>
        <v>0</v>
      </c>
      <c r="BI34" s="18">
        <f t="shared" ca="1" si="87"/>
        <v>0</v>
      </c>
      <c r="BJ34" s="18">
        <f t="shared" ca="1" si="87"/>
        <v>0</v>
      </c>
      <c r="BK34" s="18">
        <f t="shared" ca="1" si="87"/>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80"/>
        <v>26</v>
      </c>
      <c r="Z35" s="25" t="str">
        <f t="shared" si="62"/>
        <v>Redevance de déboisement (+)</v>
      </c>
      <c r="AA35" s="16">
        <f t="shared" si="81"/>
        <v>0</v>
      </c>
      <c r="AB35" s="16">
        <f t="shared" si="81"/>
        <v>0</v>
      </c>
      <c r="AC35" s="16">
        <f t="shared" si="81"/>
        <v>0</v>
      </c>
      <c r="AD35" s="16">
        <f t="shared" si="81"/>
        <v>0</v>
      </c>
      <c r="AE35" s="16">
        <f t="shared" si="81"/>
        <v>0</v>
      </c>
      <c r="AF35" s="16">
        <f t="shared" si="81"/>
        <v>0</v>
      </c>
      <c r="AG35" s="16">
        <f t="shared" si="81"/>
        <v>0</v>
      </c>
      <c r="AH35" s="16">
        <f t="shared" si="81"/>
        <v>0</v>
      </c>
      <c r="AI35" s="16">
        <f t="shared" si="81"/>
        <v>0</v>
      </c>
      <c r="AJ35" s="16">
        <f t="shared" si="82"/>
        <v>0</v>
      </c>
      <c r="AK35" s="20"/>
      <c r="AL35" s="17">
        <f t="shared" si="83"/>
        <v>26</v>
      </c>
      <c r="AM35" s="26" t="str">
        <f t="shared" si="64"/>
        <v>Redevance de déboisement (+)</v>
      </c>
      <c r="AN35" s="18">
        <f t="shared" si="84"/>
        <v>0</v>
      </c>
      <c r="AO35" s="18">
        <f t="shared" si="84"/>
        <v>0</v>
      </c>
      <c r="AP35" s="18">
        <f t="shared" si="84"/>
        <v>0</v>
      </c>
      <c r="AQ35" s="18">
        <f t="shared" si="84"/>
        <v>0</v>
      </c>
      <c r="AR35" s="18">
        <f t="shared" si="84"/>
        <v>0</v>
      </c>
      <c r="AS35" s="18">
        <f t="shared" si="84"/>
        <v>0</v>
      </c>
      <c r="AT35" s="18">
        <f t="shared" si="84"/>
        <v>0</v>
      </c>
      <c r="AU35" s="18">
        <f t="shared" si="84"/>
        <v>0</v>
      </c>
      <c r="AV35" s="18">
        <f t="shared" si="85"/>
        <v>0</v>
      </c>
      <c r="AW35" s="18"/>
      <c r="AX35" s="17">
        <f t="shared" si="86"/>
        <v>26</v>
      </c>
      <c r="AY35" s="26" t="str">
        <f t="shared" si="66"/>
        <v>Redevance de déboisement (+)</v>
      </c>
      <c r="AZ35" s="18">
        <f t="shared" ca="1" si="87"/>
        <v>0</v>
      </c>
      <c r="BA35" s="18">
        <f t="shared" ca="1" si="87"/>
        <v>0</v>
      </c>
      <c r="BB35" s="18">
        <f t="shared" ca="1" si="87"/>
        <v>0</v>
      </c>
      <c r="BC35" s="18">
        <f t="shared" ca="1" si="87"/>
        <v>0</v>
      </c>
      <c r="BD35" s="18">
        <f t="shared" ca="1" si="87"/>
        <v>0</v>
      </c>
      <c r="BE35" s="18">
        <f t="shared" ca="1" si="87"/>
        <v>0</v>
      </c>
      <c r="BF35" s="18">
        <f t="shared" ca="1" si="87"/>
        <v>0</v>
      </c>
      <c r="BG35" s="18">
        <f t="shared" ca="1" si="87"/>
        <v>0</v>
      </c>
      <c r="BH35" s="18">
        <f t="shared" ca="1" si="87"/>
        <v>0</v>
      </c>
      <c r="BI35" s="18">
        <f t="shared" ca="1" si="87"/>
        <v>0</v>
      </c>
      <c r="BJ35" s="18">
        <f t="shared" ca="1" si="87"/>
        <v>0</v>
      </c>
      <c r="BK35" s="18">
        <f t="shared" ca="1" si="87"/>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80"/>
        <v>27</v>
      </c>
      <c r="Z36" s="25" t="str">
        <f t="shared" si="62"/>
        <v>Redevance de pré reconnaissance (+)</v>
      </c>
      <c r="AA36" s="16">
        <f t="shared" si="81"/>
        <v>0</v>
      </c>
      <c r="AB36" s="16">
        <f t="shared" si="81"/>
        <v>0</v>
      </c>
      <c r="AC36" s="16">
        <f t="shared" si="81"/>
        <v>0</v>
      </c>
      <c r="AD36" s="16">
        <f t="shared" si="81"/>
        <v>0</v>
      </c>
      <c r="AE36" s="16">
        <f t="shared" si="81"/>
        <v>0</v>
      </c>
      <c r="AF36" s="16">
        <f t="shared" si="81"/>
        <v>0</v>
      </c>
      <c r="AG36" s="16">
        <f t="shared" si="81"/>
        <v>0</v>
      </c>
      <c r="AH36" s="16">
        <f t="shared" si="81"/>
        <v>0</v>
      </c>
      <c r="AI36" s="16">
        <f t="shared" si="81"/>
        <v>0</v>
      </c>
      <c r="AJ36" s="16">
        <f t="shared" si="82"/>
        <v>0</v>
      </c>
      <c r="AL36" s="17">
        <f t="shared" si="83"/>
        <v>27</v>
      </c>
      <c r="AM36" s="26" t="str">
        <f t="shared" si="64"/>
        <v>Redevance de pré reconnaissance (+)</v>
      </c>
      <c r="AN36" s="18">
        <f t="shared" si="84"/>
        <v>0</v>
      </c>
      <c r="AO36" s="18">
        <f t="shared" si="84"/>
        <v>0</v>
      </c>
      <c r="AP36" s="18">
        <f t="shared" si="84"/>
        <v>0</v>
      </c>
      <c r="AQ36" s="18">
        <f t="shared" si="84"/>
        <v>0</v>
      </c>
      <c r="AR36" s="18">
        <f t="shared" si="84"/>
        <v>0</v>
      </c>
      <c r="AS36" s="18">
        <f t="shared" si="84"/>
        <v>0</v>
      </c>
      <c r="AT36" s="18">
        <f t="shared" si="84"/>
        <v>0</v>
      </c>
      <c r="AU36" s="18">
        <f t="shared" si="84"/>
        <v>0</v>
      </c>
      <c r="AV36" s="18">
        <f t="shared" si="85"/>
        <v>0</v>
      </c>
      <c r="AW36" s="18"/>
      <c r="AX36" s="17">
        <f t="shared" si="86"/>
        <v>27</v>
      </c>
      <c r="AY36" s="26" t="str">
        <f t="shared" si="66"/>
        <v>Redevance de pré reconnaissance (+)</v>
      </c>
      <c r="AZ36" s="18">
        <f t="shared" ca="1" si="87"/>
        <v>0</v>
      </c>
      <c r="BA36" s="18">
        <f t="shared" ca="1" si="87"/>
        <v>0</v>
      </c>
      <c r="BB36" s="18">
        <f t="shared" ca="1" si="87"/>
        <v>0</v>
      </c>
      <c r="BC36" s="18">
        <f t="shared" ca="1" si="87"/>
        <v>0</v>
      </c>
      <c r="BD36" s="18">
        <f t="shared" ca="1" si="87"/>
        <v>0</v>
      </c>
      <c r="BE36" s="18">
        <f t="shared" ca="1" si="87"/>
        <v>0</v>
      </c>
      <c r="BF36" s="18">
        <f t="shared" ca="1" si="87"/>
        <v>0</v>
      </c>
      <c r="BG36" s="18">
        <f t="shared" ca="1" si="87"/>
        <v>0</v>
      </c>
      <c r="BH36" s="18">
        <f t="shared" ca="1" si="87"/>
        <v>0</v>
      </c>
      <c r="BI36" s="18">
        <f t="shared" ca="1" si="87"/>
        <v>0</v>
      </c>
      <c r="BJ36" s="18">
        <f t="shared" ca="1" si="87"/>
        <v>0</v>
      </c>
      <c r="BK36" s="18">
        <f t="shared" ca="1" si="87"/>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8">IF(O37="ERROR","Please insert comment","")</f>
        <v/>
      </c>
      <c r="Q37" s="35"/>
      <c r="Y37" s="15">
        <f t="shared" si="80"/>
        <v>0</v>
      </c>
      <c r="Z37" s="25" t="str">
        <f t="shared" si="62"/>
        <v>DGTCP (MMG)</v>
      </c>
      <c r="AA37" s="16">
        <f t="shared" si="81"/>
        <v>0</v>
      </c>
      <c r="AB37" s="16">
        <f t="shared" si="81"/>
        <v>0</v>
      </c>
      <c r="AC37" s="16">
        <f t="shared" si="81"/>
        <v>0</v>
      </c>
      <c r="AD37" s="16">
        <f t="shared" si="81"/>
        <v>0</v>
      </c>
      <c r="AE37" s="16">
        <f t="shared" si="81"/>
        <v>0</v>
      </c>
      <c r="AF37" s="16">
        <f t="shared" si="81"/>
        <v>0</v>
      </c>
      <c r="AG37" s="16">
        <f t="shared" si="81"/>
        <v>0</v>
      </c>
      <c r="AH37" s="16">
        <f t="shared" si="81"/>
        <v>0</v>
      </c>
      <c r="AI37" s="16">
        <f t="shared" si="81"/>
        <v>0</v>
      </c>
      <c r="AJ37" s="16">
        <f t="shared" si="82"/>
        <v>0</v>
      </c>
      <c r="AL37" s="17">
        <f t="shared" si="83"/>
        <v>0</v>
      </c>
      <c r="AM37" s="26" t="str">
        <f t="shared" si="64"/>
        <v>DGTCP (MMG)</v>
      </c>
      <c r="AN37" s="18">
        <f t="shared" si="84"/>
        <v>0</v>
      </c>
      <c r="AO37" s="18">
        <f t="shared" si="84"/>
        <v>0</v>
      </c>
      <c r="AP37" s="18">
        <f t="shared" si="84"/>
        <v>0</v>
      </c>
      <c r="AQ37" s="18">
        <f t="shared" si="84"/>
        <v>0</v>
      </c>
      <c r="AR37" s="18">
        <f t="shared" si="84"/>
        <v>0</v>
      </c>
      <c r="AS37" s="18">
        <f t="shared" si="84"/>
        <v>0</v>
      </c>
      <c r="AT37" s="18">
        <f t="shared" si="84"/>
        <v>0</v>
      </c>
      <c r="AU37" s="18">
        <f t="shared" si="84"/>
        <v>0</v>
      </c>
      <c r="AV37" s="18">
        <f t="shared" si="85"/>
        <v>0</v>
      </c>
      <c r="AW37" s="18"/>
      <c r="AX37" s="17">
        <f t="shared" si="86"/>
        <v>0</v>
      </c>
      <c r="AY37" s="26" t="str">
        <f t="shared" si="66"/>
        <v>DGTCP (MMG)</v>
      </c>
      <c r="AZ37" s="18">
        <f t="shared" ca="1" si="87"/>
        <v>0</v>
      </c>
      <c r="BA37" s="18">
        <f t="shared" ca="1" si="87"/>
        <v>0</v>
      </c>
      <c r="BB37" s="18">
        <f t="shared" ca="1" si="87"/>
        <v>0</v>
      </c>
      <c r="BC37" s="18">
        <f t="shared" ca="1" si="87"/>
        <v>0</v>
      </c>
      <c r="BD37" s="18">
        <f t="shared" ca="1" si="87"/>
        <v>0</v>
      </c>
      <c r="BE37" s="18">
        <f t="shared" ca="1" si="87"/>
        <v>0</v>
      </c>
      <c r="BF37" s="18">
        <f t="shared" ca="1" si="87"/>
        <v>0</v>
      </c>
      <c r="BG37" s="18">
        <f t="shared" ca="1" si="87"/>
        <v>0</v>
      </c>
      <c r="BH37" s="18">
        <f t="shared" ca="1" si="87"/>
        <v>0</v>
      </c>
      <c r="BI37" s="18">
        <f t="shared" ca="1" si="87"/>
        <v>0</v>
      </c>
      <c r="BJ37" s="18">
        <f t="shared" ca="1" si="87"/>
        <v>0</v>
      </c>
      <c r="BK37" s="18">
        <f t="shared" ca="1" si="87"/>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8"/>
        <v/>
      </c>
      <c r="Q38" s="35"/>
      <c r="Y38" s="15">
        <f t="shared" si="80"/>
        <v>28</v>
      </c>
      <c r="Z38" s="25" t="str">
        <f t="shared" si="62"/>
        <v>Contribution à la formation professionnelle et à la formation des cadres de l'Administration des Mines (+)</v>
      </c>
      <c r="AA38" s="16">
        <f t="shared" si="81"/>
        <v>0</v>
      </c>
      <c r="AB38" s="16">
        <f t="shared" si="81"/>
        <v>0</v>
      </c>
      <c r="AC38" s="16">
        <f t="shared" si="81"/>
        <v>0</v>
      </c>
      <c r="AD38" s="16">
        <f t="shared" si="81"/>
        <v>0</v>
      </c>
      <c r="AE38" s="16">
        <f t="shared" si="81"/>
        <v>0</v>
      </c>
      <c r="AF38" s="16">
        <f t="shared" si="81"/>
        <v>0</v>
      </c>
      <c r="AG38" s="16">
        <f t="shared" si="81"/>
        <v>0</v>
      </c>
      <c r="AH38" s="16">
        <f t="shared" si="81"/>
        <v>0</v>
      </c>
      <c r="AI38" s="16">
        <f t="shared" si="81"/>
        <v>0</v>
      </c>
      <c r="AJ38" s="16">
        <f t="shared" si="82"/>
        <v>0</v>
      </c>
      <c r="AL38" s="17">
        <f t="shared" si="83"/>
        <v>28</v>
      </c>
      <c r="AM38" s="26" t="str">
        <f t="shared" si="64"/>
        <v>Contribution à la formation professionnelle et à la formation des cadres de l'Administration des Mines (+)</v>
      </c>
      <c r="AN38" s="18">
        <f t="shared" si="84"/>
        <v>0</v>
      </c>
      <c r="AO38" s="18">
        <f t="shared" si="84"/>
        <v>0</v>
      </c>
      <c r="AP38" s="18">
        <f t="shared" si="84"/>
        <v>0</v>
      </c>
      <c r="AQ38" s="18">
        <f t="shared" si="84"/>
        <v>0</v>
      </c>
      <c r="AR38" s="18">
        <f t="shared" si="84"/>
        <v>0</v>
      </c>
      <c r="AS38" s="18">
        <f t="shared" si="84"/>
        <v>0</v>
      </c>
      <c r="AT38" s="18">
        <f t="shared" si="84"/>
        <v>0</v>
      </c>
      <c r="AU38" s="18">
        <f t="shared" si="84"/>
        <v>0</v>
      </c>
      <c r="AV38" s="18">
        <f t="shared" si="85"/>
        <v>0</v>
      </c>
      <c r="AW38" s="18"/>
      <c r="AX38" s="17">
        <f t="shared" si="86"/>
        <v>28</v>
      </c>
      <c r="AY38" s="26" t="str">
        <f t="shared" si="66"/>
        <v>Contribution à la formation professionnelle et à la formation des cadres de l'Administration des Mines (+)</v>
      </c>
      <c r="AZ38" s="18">
        <f t="shared" ca="1" si="87"/>
        <v>0</v>
      </c>
      <c r="BA38" s="18">
        <f t="shared" ca="1" si="87"/>
        <v>0</v>
      </c>
      <c r="BB38" s="18">
        <f t="shared" ca="1" si="87"/>
        <v>0</v>
      </c>
      <c r="BC38" s="18">
        <f t="shared" ca="1" si="87"/>
        <v>0</v>
      </c>
      <c r="BD38" s="18">
        <f t="shared" ca="1" si="87"/>
        <v>0</v>
      </c>
      <c r="BE38" s="18">
        <f t="shared" ca="1" si="87"/>
        <v>0</v>
      </c>
      <c r="BF38" s="18">
        <f t="shared" ca="1" si="87"/>
        <v>0</v>
      </c>
      <c r="BG38" s="18">
        <f t="shared" ca="1" si="87"/>
        <v>0</v>
      </c>
      <c r="BH38" s="18">
        <f t="shared" ca="1" si="87"/>
        <v>0</v>
      </c>
      <c r="BI38" s="18">
        <f t="shared" ca="1" si="87"/>
        <v>0</v>
      </c>
      <c r="BJ38" s="18">
        <f t="shared" ca="1" si="87"/>
        <v>0</v>
      </c>
      <c r="BK38" s="18">
        <f t="shared" ca="1" si="87"/>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8"/>
        <v/>
      </c>
      <c r="Q39" s="35"/>
      <c r="Y39" s="15">
        <f t="shared" si="80"/>
        <v>29</v>
      </c>
      <c r="Z39" s="25" t="str">
        <f t="shared" si="62"/>
        <v>Droits d'attributions</v>
      </c>
      <c r="AA39" s="16">
        <f t="shared" si="81"/>
        <v>0</v>
      </c>
      <c r="AB39" s="16">
        <f t="shared" si="81"/>
        <v>0</v>
      </c>
      <c r="AC39" s="16">
        <f t="shared" si="81"/>
        <v>0</v>
      </c>
      <c r="AD39" s="16">
        <f t="shared" si="81"/>
        <v>0</v>
      </c>
      <c r="AE39" s="16">
        <f t="shared" si="81"/>
        <v>0</v>
      </c>
      <c r="AF39" s="16">
        <f t="shared" si="81"/>
        <v>0</v>
      </c>
      <c r="AG39" s="16">
        <f t="shared" si="81"/>
        <v>0</v>
      </c>
      <c r="AH39" s="16">
        <f t="shared" si="81"/>
        <v>0</v>
      </c>
      <c r="AI39" s="16">
        <f t="shared" si="81"/>
        <v>0</v>
      </c>
      <c r="AJ39" s="16">
        <f t="shared" si="82"/>
        <v>0</v>
      </c>
      <c r="AL39" s="17">
        <f t="shared" si="83"/>
        <v>29</v>
      </c>
      <c r="AM39" s="26" t="str">
        <f t="shared" si="64"/>
        <v>Droits d'attributions</v>
      </c>
      <c r="AN39" s="18">
        <f t="shared" si="84"/>
        <v>0</v>
      </c>
      <c r="AO39" s="18">
        <f t="shared" si="84"/>
        <v>0</v>
      </c>
      <c r="AP39" s="18">
        <f t="shared" si="84"/>
        <v>0</v>
      </c>
      <c r="AQ39" s="18">
        <f t="shared" si="84"/>
        <v>0</v>
      </c>
      <c r="AR39" s="18">
        <f t="shared" si="84"/>
        <v>0</v>
      </c>
      <c r="AS39" s="18">
        <f t="shared" si="84"/>
        <v>0</v>
      </c>
      <c r="AT39" s="18">
        <f t="shared" si="84"/>
        <v>0</v>
      </c>
      <c r="AU39" s="18">
        <f t="shared" si="84"/>
        <v>0</v>
      </c>
      <c r="AV39" s="18">
        <f t="shared" si="85"/>
        <v>0</v>
      </c>
      <c r="AW39" s="18"/>
      <c r="AX39" s="17">
        <f t="shared" si="86"/>
        <v>29</v>
      </c>
      <c r="AY39" s="26" t="str">
        <f t="shared" si="66"/>
        <v>Droits d'attributions</v>
      </c>
      <c r="AZ39" s="18">
        <f t="shared" ca="1" si="87"/>
        <v>0</v>
      </c>
      <c r="BA39" s="18">
        <f t="shared" ca="1" si="87"/>
        <v>0</v>
      </c>
      <c r="BB39" s="18">
        <f t="shared" ca="1" si="87"/>
        <v>0</v>
      </c>
      <c r="BC39" s="18">
        <f t="shared" ca="1" si="87"/>
        <v>0</v>
      </c>
      <c r="BD39" s="18">
        <f t="shared" ca="1" si="87"/>
        <v>0</v>
      </c>
      <c r="BE39" s="18">
        <f t="shared" ca="1" si="87"/>
        <v>0</v>
      </c>
      <c r="BF39" s="18">
        <f t="shared" ca="1" si="87"/>
        <v>0</v>
      </c>
      <c r="BG39" s="18">
        <f t="shared" ca="1" si="87"/>
        <v>0</v>
      </c>
      <c r="BH39" s="18">
        <f t="shared" ca="1" si="87"/>
        <v>0</v>
      </c>
      <c r="BI39" s="18">
        <f t="shared" ca="1" si="87"/>
        <v>0</v>
      </c>
      <c r="BJ39" s="18">
        <f t="shared" ca="1" si="87"/>
        <v>0</v>
      </c>
      <c r="BK39" s="18">
        <f t="shared" ca="1" si="87"/>
        <v>0</v>
      </c>
    </row>
    <row r="40" spans="1:63">
      <c r="A40" s="80">
        <f t="shared" si="29"/>
        <v>0</v>
      </c>
      <c r="B40" s="163"/>
      <c r="C40" s="58" t="str">
        <f>+'Taxes RCA 2022'!B33</f>
        <v>DGTCP (MMG)</v>
      </c>
      <c r="E40" s="166">
        <f>SUM(E41:E44)</f>
        <v>0</v>
      </c>
      <c r="F40" s="166">
        <f>SUM(F41:F44)</f>
        <v>0</v>
      </c>
      <c r="G40" s="166">
        <f>SUM(G41:G44)</f>
        <v>0</v>
      </c>
      <c r="H40" s="114"/>
      <c r="I40" s="166">
        <f>SUM(I41:I44)</f>
        <v>1671226</v>
      </c>
      <c r="J40" s="166">
        <f ca="1">SUM(J41:J44)</f>
        <v>0</v>
      </c>
      <c r="K40" s="166">
        <f ca="1">SUM(K41:K44)</f>
        <v>1671226</v>
      </c>
      <c r="L40" s="114"/>
      <c r="M40" s="166">
        <f ca="1">SUM(M41:M44)</f>
        <v>-1671226</v>
      </c>
      <c r="N40" s="58"/>
      <c r="O40" s="38" t="str">
        <f t="shared" ca="1" si="46"/>
        <v>ERROR</v>
      </c>
      <c r="P40" s="39" t="str">
        <f t="shared" ca="1" si="88"/>
        <v>Please insert comment</v>
      </c>
      <c r="Q40" s="35"/>
      <c r="Y40" s="15">
        <f>B78</f>
        <v>56</v>
      </c>
      <c r="Z40" s="25" t="str">
        <f>C78</f>
        <v xml:space="preserve">Secrétariat permanent du processus de Kimberley (SPPK)  </v>
      </c>
      <c r="AA40" s="16">
        <f t="shared" si="81"/>
        <v>0</v>
      </c>
      <c r="AB40" s="16">
        <f t="shared" si="81"/>
        <v>0</v>
      </c>
      <c r="AC40" s="16">
        <f t="shared" si="81"/>
        <v>0</v>
      </c>
      <c r="AD40" s="16">
        <f t="shared" si="81"/>
        <v>0</v>
      </c>
      <c r="AE40" s="16">
        <f t="shared" si="81"/>
        <v>0</v>
      </c>
      <c r="AF40" s="16">
        <f t="shared" si="81"/>
        <v>0</v>
      </c>
      <c r="AG40" s="16">
        <f t="shared" si="81"/>
        <v>0</v>
      </c>
      <c r="AH40" s="16">
        <f t="shared" si="81"/>
        <v>0</v>
      </c>
      <c r="AI40" s="16">
        <f t="shared" si="81"/>
        <v>0</v>
      </c>
      <c r="AJ40" s="16">
        <f t="shared" si="82"/>
        <v>0</v>
      </c>
      <c r="AL40" s="17">
        <f>+B78</f>
        <v>56</v>
      </c>
      <c r="AM40" s="26" t="str">
        <f>+C78</f>
        <v xml:space="preserve">Secrétariat permanent du processus de Kimberley (SPPK)  </v>
      </c>
      <c r="AN40" s="18">
        <f t="shared" si="84"/>
        <v>0</v>
      </c>
      <c r="AO40" s="18">
        <f t="shared" si="84"/>
        <v>0</v>
      </c>
      <c r="AP40" s="18">
        <f t="shared" si="84"/>
        <v>0</v>
      </c>
      <c r="AQ40" s="18">
        <f t="shared" si="84"/>
        <v>0</v>
      </c>
      <c r="AR40" s="18">
        <f t="shared" si="84"/>
        <v>0</v>
      </c>
      <c r="AS40" s="18">
        <f t="shared" si="84"/>
        <v>0</v>
      </c>
      <c r="AT40" s="18">
        <f t="shared" si="84"/>
        <v>0</v>
      </c>
      <c r="AU40" s="18">
        <f t="shared" si="84"/>
        <v>0</v>
      </c>
      <c r="AV40" s="18">
        <f t="shared" si="85"/>
        <v>0</v>
      </c>
      <c r="AW40" s="18"/>
      <c r="AX40" s="17">
        <f>B78</f>
        <v>56</v>
      </c>
      <c r="AY40" s="26" t="str">
        <f>C78</f>
        <v xml:space="preserve">Secrétariat permanent du processus de Kimberley (SPPK)  </v>
      </c>
      <c r="AZ40" s="18">
        <f t="shared" ca="1" si="87"/>
        <v>0</v>
      </c>
      <c r="BA40" s="18">
        <f t="shared" ca="1" si="87"/>
        <v>0</v>
      </c>
      <c r="BB40" s="18">
        <f t="shared" ca="1" si="87"/>
        <v>0</v>
      </c>
      <c r="BC40" s="18">
        <f t="shared" ca="1" si="87"/>
        <v>0</v>
      </c>
      <c r="BD40" s="18">
        <f t="shared" ca="1" si="87"/>
        <v>0</v>
      </c>
      <c r="BE40" s="18">
        <f t="shared" ca="1" si="87"/>
        <v>0</v>
      </c>
      <c r="BF40" s="18">
        <f t="shared" ca="1" si="87"/>
        <v>0</v>
      </c>
      <c r="BG40" s="18">
        <f t="shared" ca="1" si="87"/>
        <v>0</v>
      </c>
      <c r="BH40" s="18">
        <f t="shared" ca="1" si="87"/>
        <v>0</v>
      </c>
      <c r="BI40" s="18">
        <f t="shared" ca="1" si="87"/>
        <v>0</v>
      </c>
      <c r="BJ40" s="18">
        <f t="shared" ca="1" si="87"/>
        <v>0</v>
      </c>
      <c r="BK40" s="18">
        <f t="shared" ca="1" si="87"/>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8"/>
        <v/>
      </c>
      <c r="Q41" s="35"/>
      <c r="Y41" s="15">
        <f>B43</f>
        <v>30</v>
      </c>
      <c r="Z41" s="25" t="str">
        <f>C43</f>
        <v xml:space="preserve">Redevance superficiaire   </v>
      </c>
      <c r="AA41" s="16">
        <f t="shared" si="81"/>
        <v>0</v>
      </c>
      <c r="AB41" s="16">
        <f t="shared" si="81"/>
        <v>0</v>
      </c>
      <c r="AC41" s="16">
        <f t="shared" si="81"/>
        <v>0</v>
      </c>
      <c r="AD41" s="16">
        <f t="shared" si="81"/>
        <v>0</v>
      </c>
      <c r="AE41" s="16">
        <f t="shared" si="81"/>
        <v>0</v>
      </c>
      <c r="AF41" s="16">
        <f t="shared" si="81"/>
        <v>0</v>
      </c>
      <c r="AG41" s="16">
        <f t="shared" si="81"/>
        <v>0</v>
      </c>
      <c r="AH41" s="16">
        <f t="shared" si="81"/>
        <v>0</v>
      </c>
      <c r="AI41" s="16">
        <f t="shared" si="81"/>
        <v>0</v>
      </c>
      <c r="AJ41" s="16">
        <f t="shared" si="82"/>
        <v>0</v>
      </c>
      <c r="AL41" s="17">
        <f>+B43</f>
        <v>30</v>
      </c>
      <c r="AM41" s="26" t="str">
        <f>+C43</f>
        <v xml:space="preserve">Redevance superficiaire   </v>
      </c>
      <c r="AN41" s="18">
        <f t="shared" si="84"/>
        <v>0</v>
      </c>
      <c r="AO41" s="18">
        <f t="shared" si="84"/>
        <v>0</v>
      </c>
      <c r="AP41" s="18">
        <f t="shared" si="84"/>
        <v>0</v>
      </c>
      <c r="AQ41" s="18">
        <f t="shared" si="84"/>
        <v>0</v>
      </c>
      <c r="AR41" s="18">
        <f t="shared" si="84"/>
        <v>0</v>
      </c>
      <c r="AS41" s="18">
        <f t="shared" si="84"/>
        <v>0</v>
      </c>
      <c r="AT41" s="18">
        <f t="shared" si="84"/>
        <v>0</v>
      </c>
      <c r="AU41" s="18">
        <f t="shared" si="84"/>
        <v>0</v>
      </c>
      <c r="AV41" s="18">
        <f t="shared" si="85"/>
        <v>0</v>
      </c>
      <c r="AW41" s="18"/>
      <c r="AX41" s="17">
        <f>B43</f>
        <v>30</v>
      </c>
      <c r="AY41" s="26" t="str">
        <f>C43</f>
        <v xml:space="preserve">Redevance superficiaire   </v>
      </c>
      <c r="AZ41" s="18">
        <f t="shared" ca="1" si="87"/>
        <v>0</v>
      </c>
      <c r="BA41" s="18">
        <f t="shared" ca="1" si="87"/>
        <v>0</v>
      </c>
      <c r="BB41" s="18">
        <f t="shared" ca="1" si="87"/>
        <v>0</v>
      </c>
      <c r="BC41" s="18">
        <f t="shared" ca="1" si="87"/>
        <v>0</v>
      </c>
      <c r="BD41" s="18">
        <f t="shared" ca="1" si="87"/>
        <v>0</v>
      </c>
      <c r="BE41" s="18">
        <f t="shared" ca="1" si="87"/>
        <v>0</v>
      </c>
      <c r="BF41" s="18">
        <f t="shared" ca="1" si="87"/>
        <v>0</v>
      </c>
      <c r="BG41" s="18">
        <f t="shared" ca="1" si="87"/>
        <v>0</v>
      </c>
      <c r="BH41" s="18">
        <f t="shared" ca="1" si="87"/>
        <v>0</v>
      </c>
      <c r="BI41" s="18">
        <f t="shared" ca="1" si="87"/>
        <v>0</v>
      </c>
      <c r="BJ41" s="18">
        <f t="shared" ca="1" si="87"/>
        <v>0</v>
      </c>
      <c r="BK41" s="18">
        <f t="shared" ca="1" si="87"/>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8"/>
        <v/>
      </c>
      <c r="Q42" s="35"/>
      <c r="T42" s="41" t="str">
        <f ca="1">IF(J76=S33,"","ERROR")</f>
        <v/>
      </c>
      <c r="Y42" s="15">
        <f>B44</f>
        <v>31</v>
      </c>
      <c r="Z42" s="25" t="str">
        <f>C44</f>
        <v>Projet de développement du secteur minier (PDSM)</v>
      </c>
      <c r="AA42" s="16">
        <f t="shared" si="81"/>
        <v>0</v>
      </c>
      <c r="AB42" s="16">
        <f t="shared" si="81"/>
        <v>0</v>
      </c>
      <c r="AC42" s="16">
        <f t="shared" si="81"/>
        <v>0</v>
      </c>
      <c r="AD42" s="16">
        <f t="shared" si="81"/>
        <v>0</v>
      </c>
      <c r="AE42" s="16">
        <f t="shared" si="81"/>
        <v>0</v>
      </c>
      <c r="AF42" s="16">
        <f t="shared" si="81"/>
        <v>0</v>
      </c>
      <c r="AG42" s="16">
        <f t="shared" si="81"/>
        <v>0</v>
      </c>
      <c r="AH42" s="16">
        <f t="shared" si="81"/>
        <v>0</v>
      </c>
      <c r="AI42" s="16">
        <f t="shared" si="81"/>
        <v>0</v>
      </c>
      <c r="AJ42" s="16">
        <f t="shared" si="82"/>
        <v>0</v>
      </c>
      <c r="AL42" s="17">
        <f>+B44</f>
        <v>31</v>
      </c>
      <c r="AM42" s="26" t="str">
        <f>+C44</f>
        <v>Projet de développement du secteur minier (PDSM)</v>
      </c>
      <c r="AN42" s="18">
        <f t="shared" si="84"/>
        <v>0</v>
      </c>
      <c r="AO42" s="18">
        <f t="shared" si="84"/>
        <v>0</v>
      </c>
      <c r="AP42" s="18">
        <f t="shared" si="84"/>
        <v>0</v>
      </c>
      <c r="AQ42" s="18">
        <f t="shared" si="84"/>
        <v>0</v>
      </c>
      <c r="AR42" s="18">
        <f t="shared" si="84"/>
        <v>0</v>
      </c>
      <c r="AS42" s="18">
        <f t="shared" si="84"/>
        <v>0</v>
      </c>
      <c r="AT42" s="18">
        <f t="shared" si="84"/>
        <v>0</v>
      </c>
      <c r="AU42" s="18">
        <f t="shared" si="84"/>
        <v>0</v>
      </c>
      <c r="AV42" s="18">
        <f t="shared" si="85"/>
        <v>0</v>
      </c>
      <c r="AW42" s="18"/>
      <c r="AX42" s="17">
        <f>B44</f>
        <v>31</v>
      </c>
      <c r="AY42" s="26" t="str">
        <f>C44</f>
        <v>Projet de développement du secteur minier (PDSM)</v>
      </c>
      <c r="AZ42" s="18">
        <f t="shared" ca="1" si="87"/>
        <v>0</v>
      </c>
      <c r="BA42" s="18">
        <f t="shared" ca="1" si="87"/>
        <v>0</v>
      </c>
      <c r="BB42" s="18">
        <f t="shared" ca="1" si="87"/>
        <v>0</v>
      </c>
      <c r="BC42" s="18">
        <f t="shared" ca="1" si="87"/>
        <v>0</v>
      </c>
      <c r="BD42" s="18">
        <f t="shared" ca="1" si="87"/>
        <v>0</v>
      </c>
      <c r="BE42" s="18">
        <f t="shared" ca="1" si="87"/>
        <v>0</v>
      </c>
      <c r="BF42" s="18">
        <f t="shared" ca="1" si="87"/>
        <v>0</v>
      </c>
      <c r="BG42" s="18">
        <f t="shared" ca="1" si="87"/>
        <v>0</v>
      </c>
      <c r="BH42" s="18">
        <f t="shared" ca="1" si="87"/>
        <v>0</v>
      </c>
      <c r="BI42" s="18">
        <f t="shared" ca="1" si="87"/>
        <v>0</v>
      </c>
      <c r="BJ42" s="18">
        <f t="shared" ca="1" si="87"/>
        <v>0</v>
      </c>
      <c r="BK42" s="18">
        <f t="shared" ca="1" si="87"/>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8"/>
        <v/>
      </c>
      <c r="Q43" s="35"/>
      <c r="Y43" s="15">
        <f t="shared" si="80"/>
        <v>32</v>
      </c>
      <c r="Z43" s="25" t="str">
        <f t="shared" si="62"/>
        <v>Taxes superficiaires (+)</v>
      </c>
      <c r="AA43" s="16">
        <f t="shared" si="81"/>
        <v>0</v>
      </c>
      <c r="AB43" s="16">
        <f t="shared" si="81"/>
        <v>0</v>
      </c>
      <c r="AC43" s="16">
        <f t="shared" si="81"/>
        <v>0</v>
      </c>
      <c r="AD43" s="16">
        <f t="shared" si="81"/>
        <v>0</v>
      </c>
      <c r="AE43" s="16">
        <f t="shared" si="81"/>
        <v>0</v>
      </c>
      <c r="AF43" s="16">
        <f t="shared" si="81"/>
        <v>0</v>
      </c>
      <c r="AG43" s="16">
        <f t="shared" si="81"/>
        <v>0</v>
      </c>
      <c r="AH43" s="16">
        <f t="shared" si="81"/>
        <v>0</v>
      </c>
      <c r="AI43" s="16">
        <f t="shared" si="81"/>
        <v>0</v>
      </c>
      <c r="AJ43" s="16">
        <f t="shared" si="82"/>
        <v>0</v>
      </c>
      <c r="AL43" s="17">
        <f t="shared" si="83"/>
        <v>32</v>
      </c>
      <c r="AM43" s="26" t="str">
        <f t="shared" si="64"/>
        <v>Taxes superficiaires (+)</v>
      </c>
      <c r="AN43" s="18">
        <f t="shared" si="84"/>
        <v>0</v>
      </c>
      <c r="AO43" s="18">
        <f t="shared" si="84"/>
        <v>0</v>
      </c>
      <c r="AP43" s="18">
        <f t="shared" si="84"/>
        <v>0</v>
      </c>
      <c r="AQ43" s="18">
        <f t="shared" si="84"/>
        <v>0</v>
      </c>
      <c r="AR43" s="18">
        <f t="shared" si="84"/>
        <v>0</v>
      </c>
      <c r="AS43" s="18">
        <f t="shared" si="84"/>
        <v>0</v>
      </c>
      <c r="AT43" s="18">
        <f t="shared" si="84"/>
        <v>0</v>
      </c>
      <c r="AU43" s="18">
        <f t="shared" si="84"/>
        <v>0</v>
      </c>
      <c r="AV43" s="18">
        <f t="shared" si="85"/>
        <v>0</v>
      </c>
      <c r="AW43" s="18"/>
      <c r="AX43" s="17">
        <f t="shared" si="86"/>
        <v>32</v>
      </c>
      <c r="AY43" s="26" t="str">
        <f t="shared" si="66"/>
        <v>Taxes superficiaires (+)</v>
      </c>
      <c r="AZ43" s="18">
        <f t="shared" ca="1" si="87"/>
        <v>0</v>
      </c>
      <c r="BA43" s="18">
        <f t="shared" ca="1" si="87"/>
        <v>0</v>
      </c>
      <c r="BB43" s="18">
        <f t="shared" ca="1" si="87"/>
        <v>0</v>
      </c>
      <c r="BC43" s="18">
        <f t="shared" ca="1" si="87"/>
        <v>0</v>
      </c>
      <c r="BD43" s="18">
        <f t="shared" ca="1" si="87"/>
        <v>0</v>
      </c>
      <c r="BE43" s="18">
        <f t="shared" ca="1" si="87"/>
        <v>0</v>
      </c>
      <c r="BF43" s="18">
        <f t="shared" ca="1" si="87"/>
        <v>0</v>
      </c>
      <c r="BG43" s="18">
        <f t="shared" ca="1" si="87"/>
        <v>0</v>
      </c>
      <c r="BH43" s="18">
        <f t="shared" ca="1" si="87"/>
        <v>0</v>
      </c>
      <c r="BI43" s="18">
        <f t="shared" ca="1" si="87"/>
        <v>0</v>
      </c>
      <c r="BJ43" s="18">
        <f t="shared" ca="1" si="87"/>
        <v>0</v>
      </c>
      <c r="BK43" s="18">
        <f t="shared" ca="1" si="87"/>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v>1671226</v>
      </c>
      <c r="J44" s="165">
        <f ca="1">SUMIF($J$84:$M$749,B44&amp;"- "&amp;C44,$Q$84:$Q$749)</f>
        <v>0</v>
      </c>
      <c r="K44" s="165">
        <f ca="1">I44+J44</f>
        <v>1671226</v>
      </c>
      <c r="L44" s="114"/>
      <c r="M44" s="165">
        <f ca="1">+G44-K44</f>
        <v>-1671226</v>
      </c>
      <c r="N44" s="68"/>
      <c r="O44" s="38" t="str">
        <f t="shared" ca="1" si="46"/>
        <v>ERROR</v>
      </c>
      <c r="P44" s="39" t="str">
        <f t="shared" ca="1" si="88"/>
        <v>Please insert comment</v>
      </c>
      <c r="Y44" s="15">
        <f t="shared" ref="Y44:Z46" si="89">B48</f>
        <v>33</v>
      </c>
      <c r="Z44" s="25" t="str">
        <f t="shared" si="89"/>
        <v>Taxe d’abattage  (+)</v>
      </c>
      <c r="AA44" s="16">
        <f t="shared" si="81"/>
        <v>0</v>
      </c>
      <c r="AB44" s="16">
        <f t="shared" si="81"/>
        <v>0</v>
      </c>
      <c r="AC44" s="16">
        <f t="shared" si="81"/>
        <v>0</v>
      </c>
      <c r="AD44" s="16">
        <f t="shared" si="81"/>
        <v>0</v>
      </c>
      <c r="AE44" s="16">
        <f t="shared" si="81"/>
        <v>0</v>
      </c>
      <c r="AF44" s="16">
        <f t="shared" si="81"/>
        <v>0</v>
      </c>
      <c r="AG44" s="16">
        <f t="shared" si="81"/>
        <v>0</v>
      </c>
      <c r="AH44" s="16">
        <f t="shared" si="81"/>
        <v>0</v>
      </c>
      <c r="AI44" s="16">
        <f t="shared" si="81"/>
        <v>0</v>
      </c>
      <c r="AJ44" s="16">
        <f t="shared" si="82"/>
        <v>0</v>
      </c>
      <c r="AL44" s="17">
        <f t="shared" ref="AL44:AM46" si="90">+B48</f>
        <v>33</v>
      </c>
      <c r="AM44" s="26" t="str">
        <f t="shared" si="90"/>
        <v>Taxe d’abattage  (+)</v>
      </c>
      <c r="AN44" s="18">
        <f t="shared" si="84"/>
        <v>0</v>
      </c>
      <c r="AO44" s="18">
        <f t="shared" si="84"/>
        <v>0</v>
      </c>
      <c r="AP44" s="18">
        <f t="shared" si="84"/>
        <v>0</v>
      </c>
      <c r="AQ44" s="18">
        <f t="shared" si="84"/>
        <v>0</v>
      </c>
      <c r="AR44" s="18">
        <f t="shared" si="84"/>
        <v>0</v>
      </c>
      <c r="AS44" s="18">
        <f t="shared" si="84"/>
        <v>0</v>
      </c>
      <c r="AT44" s="18">
        <f t="shared" si="84"/>
        <v>0</v>
      </c>
      <c r="AU44" s="18">
        <f t="shared" si="84"/>
        <v>0</v>
      </c>
      <c r="AV44" s="18">
        <f t="shared" si="85"/>
        <v>0</v>
      </c>
      <c r="AW44" s="18"/>
      <c r="AX44" s="17">
        <f t="shared" ref="AX44:AY46" si="91">B48</f>
        <v>33</v>
      </c>
      <c r="AY44" s="26" t="str">
        <f t="shared" si="91"/>
        <v>Taxe d’abattage  (+)</v>
      </c>
      <c r="AZ44" s="18">
        <f t="shared" ca="1" si="87"/>
        <v>0</v>
      </c>
      <c r="BA44" s="18">
        <f t="shared" ca="1" si="87"/>
        <v>0</v>
      </c>
      <c r="BB44" s="18">
        <f t="shared" ca="1" si="87"/>
        <v>0</v>
      </c>
      <c r="BC44" s="18">
        <f t="shared" ca="1" si="87"/>
        <v>0</v>
      </c>
      <c r="BD44" s="18">
        <f t="shared" ca="1" si="87"/>
        <v>0</v>
      </c>
      <c r="BE44" s="18">
        <f t="shared" ca="1" si="87"/>
        <v>0</v>
      </c>
      <c r="BF44" s="18">
        <f t="shared" ca="1" si="87"/>
        <v>0</v>
      </c>
      <c r="BG44" s="18">
        <f t="shared" ca="1" si="87"/>
        <v>0</v>
      </c>
      <c r="BH44" s="18">
        <f t="shared" ca="1" si="87"/>
        <v>0</v>
      </c>
      <c r="BI44" s="18">
        <f t="shared" ca="1" si="87"/>
        <v>0</v>
      </c>
      <c r="BJ44" s="18">
        <f t="shared" ca="1" si="87"/>
        <v>0</v>
      </c>
      <c r="BK44" s="18">
        <f t="shared" ca="1" si="87"/>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8"/>
        <v/>
      </c>
      <c r="Y45" s="15">
        <f t="shared" si="89"/>
        <v>34</v>
      </c>
      <c r="Z45" s="25" t="str">
        <f t="shared" si="89"/>
        <v>Taxe de reboisement (+)</v>
      </c>
      <c r="AA45" s="16">
        <f t="shared" si="81"/>
        <v>0</v>
      </c>
      <c r="AB45" s="16">
        <f t="shared" si="81"/>
        <v>0</v>
      </c>
      <c r="AC45" s="16">
        <f t="shared" si="81"/>
        <v>0</v>
      </c>
      <c r="AD45" s="16">
        <f t="shared" si="81"/>
        <v>0</v>
      </c>
      <c r="AE45" s="16">
        <f t="shared" si="81"/>
        <v>0</v>
      </c>
      <c r="AF45" s="16">
        <f t="shared" si="81"/>
        <v>0</v>
      </c>
      <c r="AG45" s="16">
        <f t="shared" si="81"/>
        <v>0</v>
      </c>
      <c r="AH45" s="16">
        <f t="shared" si="81"/>
        <v>0</v>
      </c>
      <c r="AI45" s="16">
        <f t="shared" si="81"/>
        <v>0</v>
      </c>
      <c r="AJ45" s="16">
        <f t="shared" si="82"/>
        <v>0</v>
      </c>
      <c r="AL45" s="17">
        <f t="shared" si="90"/>
        <v>34</v>
      </c>
      <c r="AM45" s="26" t="str">
        <f t="shared" si="90"/>
        <v>Taxe de reboisement (+)</v>
      </c>
      <c r="AN45" s="18">
        <f t="shared" si="84"/>
        <v>0</v>
      </c>
      <c r="AO45" s="18">
        <f t="shared" si="84"/>
        <v>0</v>
      </c>
      <c r="AP45" s="18">
        <f t="shared" si="84"/>
        <v>0</v>
      </c>
      <c r="AQ45" s="18">
        <f t="shared" si="84"/>
        <v>0</v>
      </c>
      <c r="AR45" s="18">
        <f t="shared" si="84"/>
        <v>0</v>
      </c>
      <c r="AS45" s="18">
        <f t="shared" si="84"/>
        <v>0</v>
      </c>
      <c r="AT45" s="18">
        <f t="shared" si="84"/>
        <v>0</v>
      </c>
      <c r="AU45" s="18">
        <f t="shared" si="84"/>
        <v>0</v>
      </c>
      <c r="AV45" s="18">
        <f t="shared" si="85"/>
        <v>0</v>
      </c>
      <c r="AW45" s="18"/>
      <c r="AX45" s="17">
        <f t="shared" si="91"/>
        <v>34</v>
      </c>
      <c r="AY45" s="26" t="str">
        <f t="shared" si="91"/>
        <v>Taxe de reboisement (+)</v>
      </c>
      <c r="AZ45" s="18">
        <f t="shared" ca="1" si="87"/>
        <v>0</v>
      </c>
      <c r="BA45" s="18">
        <f t="shared" ca="1" si="87"/>
        <v>0</v>
      </c>
      <c r="BB45" s="18">
        <f t="shared" ca="1" si="87"/>
        <v>0</v>
      </c>
      <c r="BC45" s="18">
        <f t="shared" ca="1" si="87"/>
        <v>0</v>
      </c>
      <c r="BD45" s="18">
        <f t="shared" ca="1" si="87"/>
        <v>0</v>
      </c>
      <c r="BE45" s="18">
        <f t="shared" ca="1" si="87"/>
        <v>0</v>
      </c>
      <c r="BF45" s="18">
        <f t="shared" ca="1" si="87"/>
        <v>0</v>
      </c>
      <c r="BG45" s="18">
        <f t="shared" ca="1" si="87"/>
        <v>0</v>
      </c>
      <c r="BH45" s="18">
        <f t="shared" ca="1" si="87"/>
        <v>0</v>
      </c>
      <c r="BI45" s="18">
        <f t="shared" ca="1" si="87"/>
        <v>0</v>
      </c>
      <c r="BJ45" s="18">
        <f t="shared" ca="1" si="87"/>
        <v>0</v>
      </c>
      <c r="BK45" s="18">
        <f t="shared" ca="1" si="87"/>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8"/>
        <v/>
      </c>
      <c r="Y46" s="15">
        <f t="shared" si="89"/>
        <v>35</v>
      </c>
      <c r="Z46" s="25" t="str">
        <f t="shared" si="89"/>
        <v>Droit de sortie (DS)/Taxe Export (+)</v>
      </c>
      <c r="AA46" s="16">
        <f t="shared" si="81"/>
        <v>0</v>
      </c>
      <c r="AB46" s="16">
        <f t="shared" si="81"/>
        <v>0</v>
      </c>
      <c r="AC46" s="16">
        <f t="shared" si="81"/>
        <v>0</v>
      </c>
      <c r="AD46" s="16">
        <f t="shared" si="81"/>
        <v>0</v>
      </c>
      <c r="AE46" s="16">
        <f t="shared" si="81"/>
        <v>0</v>
      </c>
      <c r="AF46" s="16">
        <f t="shared" si="81"/>
        <v>0</v>
      </c>
      <c r="AG46" s="16">
        <f t="shared" si="81"/>
        <v>0</v>
      </c>
      <c r="AH46" s="16">
        <f t="shared" si="81"/>
        <v>0</v>
      </c>
      <c r="AI46" s="16">
        <f t="shared" si="81"/>
        <v>0</v>
      </c>
      <c r="AJ46" s="16">
        <f t="shared" si="82"/>
        <v>0</v>
      </c>
      <c r="AL46" s="17">
        <f t="shared" si="90"/>
        <v>35</v>
      </c>
      <c r="AM46" s="26" t="str">
        <f t="shared" si="90"/>
        <v>Droit de sortie (DS)/Taxe Export (+)</v>
      </c>
      <c r="AN46" s="18">
        <f t="shared" si="84"/>
        <v>0</v>
      </c>
      <c r="AO46" s="18">
        <f t="shared" si="84"/>
        <v>0</v>
      </c>
      <c r="AP46" s="18">
        <f t="shared" si="84"/>
        <v>0</v>
      </c>
      <c r="AQ46" s="18">
        <f t="shared" si="84"/>
        <v>0</v>
      </c>
      <c r="AR46" s="18">
        <f t="shared" si="84"/>
        <v>0</v>
      </c>
      <c r="AS46" s="18">
        <f t="shared" si="84"/>
        <v>0</v>
      </c>
      <c r="AT46" s="18">
        <f t="shared" si="84"/>
        <v>0</v>
      </c>
      <c r="AU46" s="18">
        <f t="shared" si="84"/>
        <v>0</v>
      </c>
      <c r="AV46" s="18">
        <f t="shared" si="85"/>
        <v>0</v>
      </c>
      <c r="AW46" s="18"/>
      <c r="AX46" s="17">
        <f t="shared" si="91"/>
        <v>35</v>
      </c>
      <c r="AY46" s="26" t="str">
        <f t="shared" si="91"/>
        <v>Droit de sortie (DS)/Taxe Export (+)</v>
      </c>
      <c r="AZ46" s="18">
        <f t="shared" ca="1" si="87"/>
        <v>0</v>
      </c>
      <c r="BA46" s="18">
        <f t="shared" ca="1" si="87"/>
        <v>0</v>
      </c>
      <c r="BB46" s="18">
        <f t="shared" ca="1" si="87"/>
        <v>0</v>
      </c>
      <c r="BC46" s="18">
        <f t="shared" ca="1" si="87"/>
        <v>0</v>
      </c>
      <c r="BD46" s="18">
        <f t="shared" ca="1" si="87"/>
        <v>0</v>
      </c>
      <c r="BE46" s="18">
        <f t="shared" ca="1" si="87"/>
        <v>0</v>
      </c>
      <c r="BF46" s="18">
        <f t="shared" ca="1" si="87"/>
        <v>0</v>
      </c>
      <c r="BG46" s="18">
        <f t="shared" ca="1" si="87"/>
        <v>0</v>
      </c>
      <c r="BH46" s="18">
        <f t="shared" ca="1" si="87"/>
        <v>0</v>
      </c>
      <c r="BI46" s="18">
        <f t="shared" ca="1" si="87"/>
        <v>0</v>
      </c>
      <c r="BJ46" s="18">
        <f t="shared" ca="1" si="87"/>
        <v>0</v>
      </c>
      <c r="BK46" s="18">
        <f t="shared" ca="1" si="87"/>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8"/>
        <v/>
      </c>
      <c r="Y48" s="15">
        <f t="shared" si="80"/>
        <v>36</v>
      </c>
      <c r="Z48" s="25" t="str">
        <f t="shared" si="62"/>
        <v>Taxes environnementales sur les Stes forestières et Minières (+)</v>
      </c>
      <c r="AA48" s="16">
        <f t="shared" ref="AA48:AI49" si="92">SUMPRODUCT(($A$84:$A$751=$Y48&amp;"- "&amp;$Z48)*($C$84:$C$751=AA$1)*($G$84:$G$751))</f>
        <v>0</v>
      </c>
      <c r="AB48" s="16">
        <f t="shared" si="92"/>
        <v>0</v>
      </c>
      <c r="AC48" s="16">
        <f t="shared" si="92"/>
        <v>0</v>
      </c>
      <c r="AD48" s="16">
        <f t="shared" si="92"/>
        <v>0</v>
      </c>
      <c r="AE48" s="16">
        <f t="shared" si="92"/>
        <v>0</v>
      </c>
      <c r="AF48" s="16">
        <f t="shared" si="92"/>
        <v>0</v>
      </c>
      <c r="AG48" s="16">
        <f t="shared" si="92"/>
        <v>0</v>
      </c>
      <c r="AH48" s="16">
        <f t="shared" si="92"/>
        <v>0</v>
      </c>
      <c r="AI48" s="16">
        <f t="shared" si="92"/>
        <v>0</v>
      </c>
      <c r="AJ48" s="16">
        <f t="shared" si="82"/>
        <v>0</v>
      </c>
      <c r="AL48" s="17">
        <f t="shared" si="83"/>
        <v>36</v>
      </c>
      <c r="AM48" s="26" t="str">
        <f t="shared" si="64"/>
        <v>Taxes environnementales sur les Stes forestières et Minières (+)</v>
      </c>
      <c r="AN48" s="18">
        <f t="shared" ref="AN48:AU49" si="93">SUMPRODUCT(($J$84:$M$748=$AL48&amp;"- "&amp;$AM48)*($N$84:$N$748=AN$1)*($Q$84:$Q$748))</f>
        <v>0</v>
      </c>
      <c r="AO48" s="18">
        <f t="shared" si="93"/>
        <v>0</v>
      </c>
      <c r="AP48" s="18">
        <f t="shared" si="93"/>
        <v>0</v>
      </c>
      <c r="AQ48" s="18">
        <f t="shared" si="93"/>
        <v>0</v>
      </c>
      <c r="AR48" s="18">
        <f t="shared" si="93"/>
        <v>0</v>
      </c>
      <c r="AS48" s="18">
        <f t="shared" si="93"/>
        <v>0</v>
      </c>
      <c r="AT48" s="18">
        <f t="shared" si="93"/>
        <v>0</v>
      </c>
      <c r="AU48" s="18">
        <f t="shared" si="93"/>
        <v>0</v>
      </c>
      <c r="AV48" s="18">
        <f t="shared" si="85"/>
        <v>0</v>
      </c>
      <c r="AW48" s="38"/>
      <c r="AX48" s="17">
        <f t="shared" si="86"/>
        <v>36</v>
      </c>
      <c r="AY48" s="26" t="str">
        <f t="shared" si="66"/>
        <v>Taxes environnementales sur les Stes forestières et Minières (+)</v>
      </c>
      <c r="AZ48" s="18">
        <f t="shared" ref="AZ48:BK49" ca="1" si="94">SUMPRODUCT(($C$10:$C$75=$AY48)*($N$10:$N$75=AZ$1)*($M$10:$M$75))</f>
        <v>0</v>
      </c>
      <c r="BA48" s="18">
        <f t="shared" ca="1" si="94"/>
        <v>0</v>
      </c>
      <c r="BB48" s="18">
        <f t="shared" ca="1" si="94"/>
        <v>0</v>
      </c>
      <c r="BC48" s="18">
        <f t="shared" ca="1" si="94"/>
        <v>0</v>
      </c>
      <c r="BD48" s="18">
        <f t="shared" ca="1" si="94"/>
        <v>0</v>
      </c>
      <c r="BE48" s="18">
        <f t="shared" ca="1" si="94"/>
        <v>0</v>
      </c>
      <c r="BF48" s="18">
        <f t="shared" ca="1" si="94"/>
        <v>0</v>
      </c>
      <c r="BG48" s="18">
        <f t="shared" ca="1" si="94"/>
        <v>0</v>
      </c>
      <c r="BH48" s="18">
        <f t="shared" ca="1" si="94"/>
        <v>0</v>
      </c>
      <c r="BI48" s="18">
        <f t="shared" ca="1" si="94"/>
        <v>0</v>
      </c>
      <c r="BJ48" s="18">
        <f t="shared" ca="1" si="94"/>
        <v>0</v>
      </c>
      <c r="BK48" s="18">
        <f t="shared" ca="1" si="94"/>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8"/>
        <v/>
      </c>
      <c r="Y49" s="15">
        <f t="shared" si="80"/>
        <v>0</v>
      </c>
      <c r="Z49" s="25" t="str">
        <f t="shared" si="62"/>
        <v>Affectations spéciales</v>
      </c>
      <c r="AA49" s="16">
        <f t="shared" si="92"/>
        <v>0</v>
      </c>
      <c r="AB49" s="16">
        <f t="shared" si="92"/>
        <v>0</v>
      </c>
      <c r="AC49" s="16">
        <f t="shared" si="92"/>
        <v>0</v>
      </c>
      <c r="AD49" s="16">
        <f t="shared" si="92"/>
        <v>0</v>
      </c>
      <c r="AE49" s="16">
        <f t="shared" si="92"/>
        <v>0</v>
      </c>
      <c r="AF49" s="16">
        <f t="shared" si="92"/>
        <v>0</v>
      </c>
      <c r="AG49" s="16">
        <f t="shared" si="92"/>
        <v>0</v>
      </c>
      <c r="AH49" s="16">
        <f t="shared" si="92"/>
        <v>0</v>
      </c>
      <c r="AI49" s="16">
        <f t="shared" si="92"/>
        <v>0</v>
      </c>
      <c r="AJ49" s="16">
        <f>SUM(AA49:AI49)</f>
        <v>0</v>
      </c>
      <c r="AL49" s="17">
        <f t="shared" si="83"/>
        <v>0</v>
      </c>
      <c r="AM49" s="26" t="str">
        <f t="shared" si="64"/>
        <v>Affectations spéciales</v>
      </c>
      <c r="AN49" s="18">
        <f t="shared" si="93"/>
        <v>0</v>
      </c>
      <c r="AO49" s="18">
        <f t="shared" si="93"/>
        <v>0</v>
      </c>
      <c r="AP49" s="18">
        <f t="shared" si="93"/>
        <v>0</v>
      </c>
      <c r="AQ49" s="18">
        <f t="shared" si="93"/>
        <v>0</v>
      </c>
      <c r="AR49" s="18">
        <f t="shared" si="93"/>
        <v>0</v>
      </c>
      <c r="AS49" s="18">
        <f t="shared" si="93"/>
        <v>0</v>
      </c>
      <c r="AT49" s="18">
        <f t="shared" si="93"/>
        <v>0</v>
      </c>
      <c r="AU49" s="18">
        <f t="shared" si="93"/>
        <v>0</v>
      </c>
      <c r="AV49" s="18">
        <f>SUM(AN49:AU49)</f>
        <v>0</v>
      </c>
      <c r="AW49" s="38"/>
      <c r="AX49" s="17">
        <f t="shared" si="86"/>
        <v>0</v>
      </c>
      <c r="AY49" s="26" t="str">
        <f t="shared" si="66"/>
        <v>Affectations spéciales</v>
      </c>
      <c r="AZ49" s="18">
        <f t="shared" ca="1" si="94"/>
        <v>0</v>
      </c>
      <c r="BA49" s="18">
        <f t="shared" ca="1" si="94"/>
        <v>0</v>
      </c>
      <c r="BB49" s="18">
        <f t="shared" ca="1" si="94"/>
        <v>0</v>
      </c>
      <c r="BC49" s="18">
        <f t="shared" ca="1" si="94"/>
        <v>0</v>
      </c>
      <c r="BD49" s="18">
        <f t="shared" ca="1" si="94"/>
        <v>0</v>
      </c>
      <c r="BE49" s="18">
        <f t="shared" ca="1" si="94"/>
        <v>0</v>
      </c>
      <c r="BF49" s="18">
        <f t="shared" ca="1" si="94"/>
        <v>0</v>
      </c>
      <c r="BG49" s="18">
        <f t="shared" ca="1" si="94"/>
        <v>0</v>
      </c>
      <c r="BH49" s="18">
        <f t="shared" ca="1" si="94"/>
        <v>0</v>
      </c>
      <c r="BI49" s="18">
        <f t="shared" ca="1" si="94"/>
        <v>0</v>
      </c>
      <c r="BJ49" s="18">
        <f t="shared" ca="1" si="94"/>
        <v>0</v>
      </c>
      <c r="BK49" s="18">
        <f t="shared" ca="1" si="94"/>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8"/>
        <v/>
      </c>
      <c r="Y50" s="28"/>
      <c r="Z50" s="28" t="str">
        <f t="shared" si="62"/>
        <v>Affectation au titre la taxe de reboisement (+)</v>
      </c>
      <c r="AA50" s="29">
        <f t="shared" ref="AA50:AJ50" si="95">SUM(AA51:AA59)</f>
        <v>0</v>
      </c>
      <c r="AB50" s="29">
        <f t="shared" si="95"/>
        <v>0</v>
      </c>
      <c r="AC50" s="29">
        <f t="shared" si="95"/>
        <v>0</v>
      </c>
      <c r="AD50" s="29">
        <f t="shared" si="95"/>
        <v>0</v>
      </c>
      <c r="AE50" s="29">
        <f t="shared" si="95"/>
        <v>0</v>
      </c>
      <c r="AF50" s="29">
        <f t="shared" si="95"/>
        <v>0</v>
      </c>
      <c r="AG50" s="29">
        <f t="shared" si="95"/>
        <v>0</v>
      </c>
      <c r="AH50" s="29">
        <f t="shared" si="95"/>
        <v>0</v>
      </c>
      <c r="AI50" s="29">
        <f t="shared" si="95"/>
        <v>0</v>
      </c>
      <c r="AJ50" s="29">
        <f t="shared" si="95"/>
        <v>0</v>
      </c>
      <c r="AL50" s="28"/>
      <c r="AM50" s="28" t="str">
        <f t="shared" si="64"/>
        <v>Affectation au titre la taxe de reboisement (+)</v>
      </c>
      <c r="AN50" s="29">
        <f t="shared" ref="AN50:AV50" si="96">SUM(AN51:AN59)</f>
        <v>0</v>
      </c>
      <c r="AO50" s="29">
        <f t="shared" si="96"/>
        <v>0</v>
      </c>
      <c r="AP50" s="29">
        <f t="shared" si="96"/>
        <v>0</v>
      </c>
      <c r="AQ50" s="29">
        <f t="shared" si="96"/>
        <v>0</v>
      </c>
      <c r="AR50" s="29">
        <f t="shared" si="96"/>
        <v>0</v>
      </c>
      <c r="AS50" s="29">
        <f t="shared" si="96"/>
        <v>0</v>
      </c>
      <c r="AT50" s="29">
        <f t="shared" si="96"/>
        <v>0</v>
      </c>
      <c r="AU50" s="29">
        <f t="shared" si="96"/>
        <v>0</v>
      </c>
      <c r="AV50" s="29">
        <f t="shared" si="96"/>
        <v>0</v>
      </c>
      <c r="AW50" s="18"/>
      <c r="AX50" s="28"/>
      <c r="AY50" s="28" t="str">
        <f t="shared" si="66"/>
        <v>Affectation au titre la taxe de reboisement (+)</v>
      </c>
      <c r="AZ50" s="29">
        <f t="shared" ref="AZ50:BK50" ca="1" si="97">SUM(AZ51:AZ59)</f>
        <v>0</v>
      </c>
      <c r="BA50" s="29">
        <f t="shared" ca="1" si="97"/>
        <v>0</v>
      </c>
      <c r="BB50" s="29">
        <f t="shared" ca="1" si="97"/>
        <v>0</v>
      </c>
      <c r="BC50" s="29">
        <f t="shared" ca="1" si="97"/>
        <v>0</v>
      </c>
      <c r="BD50" s="29">
        <f t="shared" ca="1" si="97"/>
        <v>0</v>
      </c>
      <c r="BE50" s="29">
        <f t="shared" ca="1" si="97"/>
        <v>0</v>
      </c>
      <c r="BF50" s="29">
        <f t="shared" ca="1" si="97"/>
        <v>0</v>
      </c>
      <c r="BG50" s="29">
        <f t="shared" ca="1" si="97"/>
        <v>0</v>
      </c>
      <c r="BH50" s="29">
        <f t="shared" ca="1" si="97"/>
        <v>0</v>
      </c>
      <c r="BI50" s="29">
        <f t="shared" ca="1" si="97"/>
        <v>0</v>
      </c>
      <c r="BJ50" s="29">
        <f t="shared" ca="1" si="97"/>
        <v>0</v>
      </c>
      <c r="BK50" s="29">
        <f t="shared" ca="1" si="97"/>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8"/>
        <v/>
      </c>
      <c r="Y51" s="15">
        <f t="shared" ref="Y51:Y58" si="98">B54</f>
        <v>38</v>
      </c>
      <c r="Z51" s="25" t="str">
        <f t="shared" si="62"/>
        <v>Affectation au titre de taxe d’abattage (+)</v>
      </c>
      <c r="AA51" s="16">
        <f t="shared" ref="AA51:AI59" si="99">SUMPRODUCT(($A$84:$A$751=$Y51&amp;"- "&amp;$Z51)*($C$84:$C$751=AA$1)*($G$84:$G$751))</f>
        <v>0</v>
      </c>
      <c r="AB51" s="16">
        <f t="shared" si="99"/>
        <v>0</v>
      </c>
      <c r="AC51" s="16">
        <f t="shared" si="99"/>
        <v>0</v>
      </c>
      <c r="AD51" s="16">
        <f t="shared" si="99"/>
        <v>0</v>
      </c>
      <c r="AE51" s="16">
        <f t="shared" si="99"/>
        <v>0</v>
      </c>
      <c r="AF51" s="16">
        <f t="shared" si="99"/>
        <v>0</v>
      </c>
      <c r="AG51" s="16">
        <f t="shared" si="99"/>
        <v>0</v>
      </c>
      <c r="AH51" s="16">
        <f t="shared" si="99"/>
        <v>0</v>
      </c>
      <c r="AI51" s="16">
        <f t="shared" si="99"/>
        <v>0</v>
      </c>
      <c r="AJ51" s="16">
        <f t="shared" ref="AJ51:AJ59" si="100">SUM(AA51:AI51)</f>
        <v>0</v>
      </c>
      <c r="AL51" s="17">
        <f t="shared" ref="AL51:AL57" si="101">+B54</f>
        <v>38</v>
      </c>
      <c r="AM51" s="26" t="str">
        <f t="shared" si="64"/>
        <v>Affectation au titre de taxe d’abattage (+)</v>
      </c>
      <c r="AN51" s="18">
        <f t="shared" ref="AN51:AU59" si="102">SUMPRODUCT(($J$84:$M$748=$AL51&amp;"- "&amp;$AM51)*($N$84:$N$748=AN$1)*($Q$84:$Q$748))</f>
        <v>0</v>
      </c>
      <c r="AO51" s="18">
        <f t="shared" si="102"/>
        <v>0</v>
      </c>
      <c r="AP51" s="18">
        <f t="shared" si="102"/>
        <v>0</v>
      </c>
      <c r="AQ51" s="18">
        <f t="shared" si="102"/>
        <v>0</v>
      </c>
      <c r="AR51" s="18">
        <f t="shared" si="102"/>
        <v>0</v>
      </c>
      <c r="AS51" s="18">
        <f t="shared" si="102"/>
        <v>0</v>
      </c>
      <c r="AT51" s="18">
        <f t="shared" si="102"/>
        <v>0</v>
      </c>
      <c r="AU51" s="18">
        <f t="shared" si="102"/>
        <v>0</v>
      </c>
      <c r="AV51" s="18">
        <f t="shared" ref="AV51:AV59" si="103">SUM(AN51:AU51)</f>
        <v>0</v>
      </c>
      <c r="AW51" s="18"/>
      <c r="AX51" s="17">
        <f t="shared" ref="AX51:AX57" si="104">B54</f>
        <v>38</v>
      </c>
      <c r="AY51" s="26" t="str">
        <f t="shared" si="66"/>
        <v>Affectation au titre de taxe d’abattage (+)</v>
      </c>
      <c r="AZ51" s="18">
        <f t="shared" ref="AZ51:BK59" ca="1" si="105">SUMPRODUCT(($C$10:$C$75=$AY51)*($N$10:$N$75=AZ$1)*($M$10:$M$75))</f>
        <v>0</v>
      </c>
      <c r="BA51" s="18">
        <f t="shared" ca="1" si="105"/>
        <v>0</v>
      </c>
      <c r="BB51" s="18">
        <f t="shared" ca="1" si="105"/>
        <v>0</v>
      </c>
      <c r="BC51" s="18">
        <f t="shared" ca="1" si="105"/>
        <v>0</v>
      </c>
      <c r="BD51" s="18">
        <f t="shared" ca="1" si="105"/>
        <v>0</v>
      </c>
      <c r="BE51" s="18">
        <f t="shared" ca="1" si="105"/>
        <v>0</v>
      </c>
      <c r="BF51" s="18">
        <f t="shared" ca="1" si="105"/>
        <v>0</v>
      </c>
      <c r="BG51" s="18">
        <f t="shared" ca="1" si="105"/>
        <v>0</v>
      </c>
      <c r="BH51" s="18">
        <f t="shared" ca="1" si="105"/>
        <v>0</v>
      </c>
      <c r="BI51" s="18">
        <f t="shared" ca="1" si="105"/>
        <v>0</v>
      </c>
      <c r="BJ51" s="18">
        <f t="shared" ca="1" si="105"/>
        <v>0</v>
      </c>
      <c r="BK51" s="18">
        <f t="shared" ca="1" si="105"/>
        <v>0</v>
      </c>
    </row>
    <row r="52" spans="1:63">
      <c r="A52" s="80"/>
      <c r="B52" s="163"/>
      <c r="C52" s="58" t="str">
        <f>+'Taxes RCA 2022'!B45</f>
        <v>Affectations spéciales</v>
      </c>
      <c r="E52" s="166">
        <f>+E53+E54</f>
        <v>0</v>
      </c>
      <c r="F52" s="166">
        <f t="shared" ref="F52:G52" si="106">+F53+F54</f>
        <v>0</v>
      </c>
      <c r="G52" s="166">
        <f t="shared" si="106"/>
        <v>0</v>
      </c>
      <c r="H52" s="114"/>
      <c r="I52" s="166">
        <f>+I53+I54</f>
        <v>0</v>
      </c>
      <c r="J52" s="166">
        <f t="shared" ref="J52" ca="1" si="107">+J53+J54</f>
        <v>0</v>
      </c>
      <c r="K52" s="166">
        <f t="shared" ref="K52" ca="1" si="108">+K53+K54</f>
        <v>0</v>
      </c>
      <c r="L52" s="114"/>
      <c r="M52" s="166">
        <f t="shared" ref="M52" ca="1" si="109">+M53+M54</f>
        <v>0</v>
      </c>
      <c r="N52" s="58"/>
      <c r="O52" s="38" t="str">
        <f ca="1">IF(M52=0,"",IF(N52=0,"ERROR",""))</f>
        <v/>
      </c>
      <c r="P52" s="39" t="str">
        <f ca="1">IF(O52="ERROR","Please insert comment","")</f>
        <v/>
      </c>
      <c r="Y52" s="15">
        <f t="shared" si="98"/>
        <v>0</v>
      </c>
      <c r="Z52" s="25" t="str">
        <f t="shared" si="62"/>
        <v xml:space="preserve">Transferts du Trésor aux communes </v>
      </c>
      <c r="AA52" s="16">
        <f t="shared" si="99"/>
        <v>0</v>
      </c>
      <c r="AB52" s="16">
        <f t="shared" si="99"/>
        <v>0</v>
      </c>
      <c r="AC52" s="16">
        <f t="shared" si="99"/>
        <v>0</v>
      </c>
      <c r="AD52" s="16">
        <f t="shared" si="99"/>
        <v>0</v>
      </c>
      <c r="AE52" s="16">
        <f t="shared" si="99"/>
        <v>0</v>
      </c>
      <c r="AF52" s="16">
        <f t="shared" si="99"/>
        <v>0</v>
      </c>
      <c r="AG52" s="16">
        <f t="shared" si="99"/>
        <v>0</v>
      </c>
      <c r="AH52" s="16">
        <f t="shared" si="99"/>
        <v>0</v>
      </c>
      <c r="AI52" s="16">
        <f t="shared" si="99"/>
        <v>0</v>
      </c>
      <c r="AJ52" s="16">
        <f t="shared" si="100"/>
        <v>0</v>
      </c>
      <c r="AL52" s="17">
        <f t="shared" si="101"/>
        <v>0</v>
      </c>
      <c r="AM52" s="26" t="str">
        <f t="shared" si="64"/>
        <v xml:space="preserve">Transferts du Trésor aux communes </v>
      </c>
      <c r="AN52" s="18">
        <f t="shared" si="102"/>
        <v>0</v>
      </c>
      <c r="AO52" s="18">
        <f t="shared" si="102"/>
        <v>0</v>
      </c>
      <c r="AP52" s="18">
        <f t="shared" si="102"/>
        <v>0</v>
      </c>
      <c r="AQ52" s="18">
        <f t="shared" si="102"/>
        <v>0</v>
      </c>
      <c r="AR52" s="18">
        <f t="shared" si="102"/>
        <v>0</v>
      </c>
      <c r="AS52" s="18">
        <f t="shared" si="102"/>
        <v>0</v>
      </c>
      <c r="AT52" s="18">
        <f t="shared" si="102"/>
        <v>0</v>
      </c>
      <c r="AU52" s="18">
        <f t="shared" si="102"/>
        <v>0</v>
      </c>
      <c r="AV52" s="18">
        <f t="shared" si="103"/>
        <v>0</v>
      </c>
      <c r="AW52" s="38"/>
      <c r="AX52" s="17">
        <f t="shared" si="104"/>
        <v>0</v>
      </c>
      <c r="AY52" s="26" t="str">
        <f t="shared" si="66"/>
        <v xml:space="preserve">Transferts du Trésor aux communes </v>
      </c>
      <c r="AZ52" s="18">
        <f t="shared" ca="1" si="105"/>
        <v>0</v>
      </c>
      <c r="BA52" s="18">
        <f t="shared" ca="1" si="105"/>
        <v>0</v>
      </c>
      <c r="BB52" s="18">
        <f t="shared" ca="1" si="105"/>
        <v>0</v>
      </c>
      <c r="BC52" s="18">
        <f t="shared" ca="1" si="105"/>
        <v>0</v>
      </c>
      <c r="BD52" s="18">
        <f t="shared" ca="1" si="105"/>
        <v>0</v>
      </c>
      <c r="BE52" s="18">
        <f t="shared" ca="1" si="105"/>
        <v>0</v>
      </c>
      <c r="BF52" s="18">
        <f t="shared" ca="1" si="105"/>
        <v>0</v>
      </c>
      <c r="BG52" s="18">
        <f t="shared" ca="1" si="105"/>
        <v>0</v>
      </c>
      <c r="BH52" s="18">
        <f t="shared" ca="1" si="105"/>
        <v>0</v>
      </c>
      <c r="BI52" s="18">
        <f t="shared" ca="1" si="105"/>
        <v>0</v>
      </c>
      <c r="BJ52" s="18">
        <f t="shared" ca="1" si="105"/>
        <v>0</v>
      </c>
      <c r="BK52" s="18">
        <f t="shared" ca="1" si="105"/>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8"/>
        <v>0</v>
      </c>
      <c r="Z53" s="25" t="str">
        <f t="shared" si="62"/>
        <v>Transfert du trésor aux communes</v>
      </c>
      <c r="AA53" s="16">
        <f t="shared" si="99"/>
        <v>0</v>
      </c>
      <c r="AB53" s="16">
        <f t="shared" si="99"/>
        <v>0</v>
      </c>
      <c r="AC53" s="16">
        <f t="shared" si="99"/>
        <v>0</v>
      </c>
      <c r="AD53" s="16">
        <f t="shared" si="99"/>
        <v>0</v>
      </c>
      <c r="AE53" s="16">
        <f t="shared" si="99"/>
        <v>0</v>
      </c>
      <c r="AF53" s="16">
        <f t="shared" si="99"/>
        <v>0</v>
      </c>
      <c r="AG53" s="16">
        <f t="shared" si="99"/>
        <v>0</v>
      </c>
      <c r="AH53" s="16">
        <f t="shared" si="99"/>
        <v>0</v>
      </c>
      <c r="AI53" s="16">
        <f t="shared" si="99"/>
        <v>0</v>
      </c>
      <c r="AJ53" s="16">
        <f t="shared" si="100"/>
        <v>0</v>
      </c>
      <c r="AL53" s="17">
        <f t="shared" si="101"/>
        <v>0</v>
      </c>
      <c r="AM53" s="26" t="str">
        <f t="shared" si="64"/>
        <v>Transfert du trésor aux communes</v>
      </c>
      <c r="AN53" s="18">
        <f t="shared" si="102"/>
        <v>0</v>
      </c>
      <c r="AO53" s="18">
        <f t="shared" si="102"/>
        <v>0</v>
      </c>
      <c r="AP53" s="18">
        <f t="shared" si="102"/>
        <v>0</v>
      </c>
      <c r="AQ53" s="18">
        <f t="shared" si="102"/>
        <v>0</v>
      </c>
      <c r="AR53" s="18">
        <f t="shared" si="102"/>
        <v>0</v>
      </c>
      <c r="AS53" s="18">
        <f t="shared" si="102"/>
        <v>0</v>
      </c>
      <c r="AT53" s="18">
        <f t="shared" si="102"/>
        <v>0</v>
      </c>
      <c r="AU53" s="18">
        <f t="shared" si="102"/>
        <v>0</v>
      </c>
      <c r="AV53" s="18">
        <f t="shared" si="103"/>
        <v>0</v>
      </c>
      <c r="AW53" s="18"/>
      <c r="AX53" s="17">
        <f t="shared" si="104"/>
        <v>0</v>
      </c>
      <c r="AY53" s="26" t="str">
        <f t="shared" si="66"/>
        <v>Transfert du trésor aux communes</v>
      </c>
      <c r="AZ53" s="18">
        <f t="shared" ca="1" si="105"/>
        <v>0</v>
      </c>
      <c r="BA53" s="18">
        <f t="shared" ca="1" si="105"/>
        <v>0</v>
      </c>
      <c r="BB53" s="18">
        <f t="shared" ca="1" si="105"/>
        <v>0</v>
      </c>
      <c r="BC53" s="18">
        <f t="shared" ca="1" si="105"/>
        <v>0</v>
      </c>
      <c r="BD53" s="18">
        <f t="shared" ca="1" si="105"/>
        <v>0</v>
      </c>
      <c r="BE53" s="18">
        <f t="shared" ca="1" si="105"/>
        <v>0</v>
      </c>
      <c r="BF53" s="18">
        <f t="shared" ca="1" si="105"/>
        <v>0</v>
      </c>
      <c r="BG53" s="18">
        <f t="shared" ca="1" si="105"/>
        <v>0</v>
      </c>
      <c r="BH53" s="18">
        <f t="shared" ca="1" si="105"/>
        <v>0</v>
      </c>
      <c r="BI53" s="18">
        <f t="shared" ca="1" si="105"/>
        <v>0</v>
      </c>
      <c r="BJ53" s="18">
        <f t="shared" ca="1" si="105"/>
        <v>0</v>
      </c>
      <c r="BK53" s="18">
        <f t="shared" ca="1" si="105"/>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ca="1">IF(M54=0,"",IF(N54=0,"ERROR",""))</f>
        <v/>
      </c>
      <c r="P54" s="39" t="str">
        <f ca="1">IF(O54="ERROR","Please insert comment","")</f>
        <v/>
      </c>
      <c r="Y54" s="15">
        <f t="shared" si="98"/>
        <v>39</v>
      </c>
      <c r="Z54" s="25" t="str">
        <f t="shared" ref="Z54:Z61" si="110">C57</f>
        <v>Transfert infranational au titre de la taxe d'abattage (+)</v>
      </c>
      <c r="AA54" s="16">
        <f t="shared" si="99"/>
        <v>0</v>
      </c>
      <c r="AB54" s="16">
        <f t="shared" si="99"/>
        <v>0</v>
      </c>
      <c r="AC54" s="16">
        <f t="shared" si="99"/>
        <v>0</v>
      </c>
      <c r="AD54" s="16">
        <f t="shared" si="99"/>
        <v>0</v>
      </c>
      <c r="AE54" s="16">
        <f t="shared" si="99"/>
        <v>0</v>
      </c>
      <c r="AF54" s="16">
        <f t="shared" si="99"/>
        <v>0</v>
      </c>
      <c r="AG54" s="16">
        <f t="shared" si="99"/>
        <v>0</v>
      </c>
      <c r="AH54" s="16">
        <f t="shared" si="99"/>
        <v>0</v>
      </c>
      <c r="AI54" s="16">
        <f t="shared" si="99"/>
        <v>0</v>
      </c>
      <c r="AJ54" s="16">
        <f t="shared" si="100"/>
        <v>0</v>
      </c>
      <c r="AL54" s="17">
        <f t="shared" si="101"/>
        <v>39</v>
      </c>
      <c r="AM54" s="26" t="str">
        <f t="shared" ref="AM54:AM61" si="111">+C57</f>
        <v>Transfert infranational au titre de la taxe d'abattage (+)</v>
      </c>
      <c r="AN54" s="18">
        <f t="shared" si="102"/>
        <v>0</v>
      </c>
      <c r="AO54" s="18">
        <f t="shared" si="102"/>
        <v>0</v>
      </c>
      <c r="AP54" s="18">
        <f t="shared" si="102"/>
        <v>0</v>
      </c>
      <c r="AQ54" s="18">
        <f t="shared" si="102"/>
        <v>0</v>
      </c>
      <c r="AR54" s="18">
        <f t="shared" si="102"/>
        <v>0</v>
      </c>
      <c r="AS54" s="18">
        <f t="shared" si="102"/>
        <v>0</v>
      </c>
      <c r="AT54" s="18">
        <f t="shared" si="102"/>
        <v>0</v>
      </c>
      <c r="AU54" s="18">
        <f t="shared" si="102"/>
        <v>0</v>
      </c>
      <c r="AV54" s="18">
        <f t="shared" si="103"/>
        <v>0</v>
      </c>
      <c r="AW54" s="18"/>
      <c r="AX54" s="17">
        <f t="shared" si="104"/>
        <v>39</v>
      </c>
      <c r="AY54" s="26" t="str">
        <f t="shared" ref="AY54:AY61" si="112">C57</f>
        <v>Transfert infranational au titre de la taxe d'abattage (+)</v>
      </c>
      <c r="AZ54" s="18">
        <f t="shared" ca="1" si="105"/>
        <v>0</v>
      </c>
      <c r="BA54" s="18">
        <f t="shared" ca="1" si="105"/>
        <v>0</v>
      </c>
      <c r="BB54" s="18">
        <f t="shared" ca="1" si="105"/>
        <v>0</v>
      </c>
      <c r="BC54" s="18">
        <f t="shared" ca="1" si="105"/>
        <v>0</v>
      </c>
      <c r="BD54" s="18">
        <f t="shared" ca="1" si="105"/>
        <v>0</v>
      </c>
      <c r="BE54" s="18">
        <f t="shared" ca="1" si="105"/>
        <v>0</v>
      </c>
      <c r="BF54" s="18">
        <f t="shared" ca="1" si="105"/>
        <v>0</v>
      </c>
      <c r="BG54" s="18">
        <f t="shared" ca="1" si="105"/>
        <v>0</v>
      </c>
      <c r="BH54" s="18">
        <f t="shared" ca="1" si="105"/>
        <v>0</v>
      </c>
      <c r="BI54" s="18">
        <f t="shared" ca="1" si="105"/>
        <v>0</v>
      </c>
      <c r="BJ54" s="18">
        <f t="shared" ca="1" si="105"/>
        <v>0</v>
      </c>
      <c r="BK54" s="18">
        <f t="shared" ca="1" si="105"/>
        <v>0</v>
      </c>
    </row>
    <row r="55" spans="1:63">
      <c r="A55" s="80">
        <f t="shared" si="29"/>
        <v>0</v>
      </c>
      <c r="B55" s="163"/>
      <c r="C55" s="58" t="str">
        <f>+'Taxes RCA 2022'!B48</f>
        <v xml:space="preserve">Transferts du Trésor aux communes </v>
      </c>
      <c r="E55" s="166">
        <f>SUM(E56:E61)</f>
        <v>0</v>
      </c>
      <c r="F55" s="166">
        <f t="shared" ref="F55:G55" si="113">SUM(F56:F61)</f>
        <v>0</v>
      </c>
      <c r="G55" s="166">
        <f t="shared" si="113"/>
        <v>0</v>
      </c>
      <c r="H55" s="114"/>
      <c r="I55" s="166">
        <f>SUM(I56:I61)</f>
        <v>0</v>
      </c>
      <c r="J55" s="166">
        <f t="shared" ref="J55" ca="1" si="114">SUM(J56:J61)</f>
        <v>0</v>
      </c>
      <c r="K55" s="166">
        <f t="shared" ref="K55" ca="1" si="115">SUM(K56:K61)</f>
        <v>0</v>
      </c>
      <c r="L55" s="114"/>
      <c r="M55" s="166">
        <f t="shared" ref="M55" ca="1" si="116">SUM(M56:M61)</f>
        <v>0</v>
      </c>
      <c r="N55" s="58"/>
      <c r="O55" s="38" t="str">
        <f ca="1">IF(M55=0,"",IF(N55=0,"ERROR",""))</f>
        <v/>
      </c>
      <c r="P55" s="39" t="str">
        <f ca="1">IF(O55="ERROR","Please insert comment","")</f>
        <v/>
      </c>
      <c r="Y55" s="15">
        <f t="shared" si="98"/>
        <v>40</v>
      </c>
      <c r="Z55" s="25" t="str">
        <f t="shared" si="110"/>
        <v>Transfert infranational au titre de la taxe reboisement (+)</v>
      </c>
      <c r="AA55" s="16">
        <f t="shared" si="99"/>
        <v>0</v>
      </c>
      <c r="AB55" s="16">
        <f t="shared" si="99"/>
        <v>0</v>
      </c>
      <c r="AC55" s="16">
        <f t="shared" si="99"/>
        <v>0</v>
      </c>
      <c r="AD55" s="16">
        <f t="shared" si="99"/>
        <v>0</v>
      </c>
      <c r="AE55" s="16">
        <f t="shared" si="99"/>
        <v>0</v>
      </c>
      <c r="AF55" s="16">
        <f t="shared" si="99"/>
        <v>0</v>
      </c>
      <c r="AG55" s="16">
        <f t="shared" si="99"/>
        <v>0</v>
      </c>
      <c r="AH55" s="16">
        <f t="shared" si="99"/>
        <v>0</v>
      </c>
      <c r="AI55" s="16">
        <f t="shared" si="99"/>
        <v>0</v>
      </c>
      <c r="AJ55" s="16">
        <f t="shared" si="100"/>
        <v>0</v>
      </c>
      <c r="AL55" s="17">
        <f t="shared" si="101"/>
        <v>40</v>
      </c>
      <c r="AM55" s="26" t="str">
        <f t="shared" si="111"/>
        <v>Transfert infranational au titre de la taxe reboisement (+)</v>
      </c>
      <c r="AN55" s="18">
        <f t="shared" si="102"/>
        <v>0</v>
      </c>
      <c r="AO55" s="18">
        <f t="shared" si="102"/>
        <v>0</v>
      </c>
      <c r="AP55" s="18">
        <f t="shared" si="102"/>
        <v>0</v>
      </c>
      <c r="AQ55" s="18">
        <f t="shared" si="102"/>
        <v>0</v>
      </c>
      <c r="AR55" s="18">
        <f t="shared" si="102"/>
        <v>0</v>
      </c>
      <c r="AS55" s="18">
        <f t="shared" si="102"/>
        <v>0</v>
      </c>
      <c r="AT55" s="18">
        <f t="shared" si="102"/>
        <v>0</v>
      </c>
      <c r="AU55" s="18">
        <f t="shared" si="102"/>
        <v>0</v>
      </c>
      <c r="AV55" s="18">
        <f t="shared" si="103"/>
        <v>0</v>
      </c>
      <c r="AW55" s="18"/>
      <c r="AX55" s="17">
        <f t="shared" si="104"/>
        <v>40</v>
      </c>
      <c r="AY55" s="26" t="str">
        <f t="shared" si="112"/>
        <v>Transfert infranational au titre de la taxe reboisement (+)</v>
      </c>
      <c r="AZ55" s="18">
        <f t="shared" ca="1" si="105"/>
        <v>0</v>
      </c>
      <c r="BA55" s="18">
        <f t="shared" ca="1" si="105"/>
        <v>0</v>
      </c>
      <c r="BB55" s="18">
        <f t="shared" ca="1" si="105"/>
        <v>0</v>
      </c>
      <c r="BC55" s="18">
        <f t="shared" ca="1" si="105"/>
        <v>0</v>
      </c>
      <c r="BD55" s="18">
        <f t="shared" ca="1" si="105"/>
        <v>0</v>
      </c>
      <c r="BE55" s="18">
        <f t="shared" ca="1" si="105"/>
        <v>0</v>
      </c>
      <c r="BF55" s="18">
        <f t="shared" ca="1" si="105"/>
        <v>0</v>
      </c>
      <c r="BG55" s="18">
        <f t="shared" ca="1" si="105"/>
        <v>0</v>
      </c>
      <c r="BH55" s="18">
        <f t="shared" ca="1" si="105"/>
        <v>0</v>
      </c>
      <c r="BI55" s="18">
        <f t="shared" ca="1" si="105"/>
        <v>0</v>
      </c>
      <c r="BJ55" s="18">
        <f t="shared" ca="1" si="105"/>
        <v>0</v>
      </c>
      <c r="BK55" s="18">
        <f t="shared" ca="1" si="105"/>
        <v>0</v>
      </c>
    </row>
    <row r="56" spans="1:63">
      <c r="A56" s="80"/>
      <c r="B56" s="53">
        <f>+'Taxes RCA 2022'!A49</f>
        <v>0</v>
      </c>
      <c r="C56" s="18" t="str">
        <f>+'Taxes RCA 2022'!B49</f>
        <v>Transfert du trésor aux communes</v>
      </c>
      <c r="E56" s="114"/>
      <c r="F56" s="114">
        <f t="shared" ref="F56:F61" si="117">SUMIF($A$84:$A$751,B56&amp;"- "&amp;C56,$G$84:$G$751)</f>
        <v>0</v>
      </c>
      <c r="G56" s="114">
        <f t="shared" ref="G56:G61" si="118">E56+F56</f>
        <v>0</v>
      </c>
      <c r="H56" s="114"/>
      <c r="I56" s="114"/>
      <c r="J56" s="114">
        <f t="shared" ref="J56:J61" ca="1" si="119">SUMIF($J$84:$M$749,B56&amp;"- "&amp;C56,$Q$84:$Q$749)</f>
        <v>0</v>
      </c>
      <c r="K56" s="114">
        <f t="shared" ref="K56:K61" ca="1" si="120">I56+J56</f>
        <v>0</v>
      </c>
      <c r="L56" s="114"/>
      <c r="M56" s="114">
        <f t="shared" ref="M56:M61" ca="1" si="121">+G56-K56</f>
        <v>0</v>
      </c>
      <c r="N56" s="18"/>
      <c r="O56" s="38" t="str">
        <f ca="1">IF(M56=0,"",IF(N56=0,"ERROR",""))</f>
        <v/>
      </c>
      <c r="P56" s="39" t="str">
        <f ca="1">IF(O56="ERROR","Please insert comment","")</f>
        <v/>
      </c>
      <c r="Y56" s="15">
        <f t="shared" si="98"/>
        <v>41</v>
      </c>
      <c r="Z56" s="25" t="str">
        <f t="shared" si="110"/>
        <v>Transfert infranational au titre de la taxe environnementale (+)</v>
      </c>
      <c r="AA56" s="16">
        <f t="shared" si="99"/>
        <v>0</v>
      </c>
      <c r="AB56" s="16">
        <f t="shared" si="99"/>
        <v>0</v>
      </c>
      <c r="AC56" s="16">
        <f t="shared" si="99"/>
        <v>0</v>
      </c>
      <c r="AD56" s="16">
        <f t="shared" si="99"/>
        <v>0</v>
      </c>
      <c r="AE56" s="16">
        <f t="shared" si="99"/>
        <v>0</v>
      </c>
      <c r="AF56" s="16">
        <f t="shared" si="99"/>
        <v>0</v>
      </c>
      <c r="AG56" s="16">
        <f t="shared" si="99"/>
        <v>0</v>
      </c>
      <c r="AH56" s="16">
        <f t="shared" si="99"/>
        <v>0</v>
      </c>
      <c r="AI56" s="16">
        <f t="shared" si="99"/>
        <v>0</v>
      </c>
      <c r="AJ56" s="16">
        <f t="shared" si="100"/>
        <v>0</v>
      </c>
      <c r="AL56" s="17">
        <f t="shared" si="101"/>
        <v>41</v>
      </c>
      <c r="AM56" s="26" t="str">
        <f t="shared" si="111"/>
        <v>Transfert infranational au titre de la taxe environnementale (+)</v>
      </c>
      <c r="AN56" s="18">
        <f t="shared" si="102"/>
        <v>0</v>
      </c>
      <c r="AO56" s="18">
        <f t="shared" si="102"/>
        <v>0</v>
      </c>
      <c r="AP56" s="18">
        <f t="shared" si="102"/>
        <v>0</v>
      </c>
      <c r="AQ56" s="18">
        <f t="shared" si="102"/>
        <v>0</v>
      </c>
      <c r="AR56" s="18">
        <f t="shared" si="102"/>
        <v>0</v>
      </c>
      <c r="AS56" s="18">
        <f t="shared" si="102"/>
        <v>0</v>
      </c>
      <c r="AT56" s="18">
        <f t="shared" si="102"/>
        <v>0</v>
      </c>
      <c r="AU56" s="18">
        <f t="shared" si="102"/>
        <v>0</v>
      </c>
      <c r="AV56" s="18">
        <f t="shared" si="103"/>
        <v>0</v>
      </c>
      <c r="AW56" s="18"/>
      <c r="AX56" s="17">
        <f t="shared" si="104"/>
        <v>41</v>
      </c>
      <c r="AY56" s="26" t="str">
        <f t="shared" si="112"/>
        <v>Transfert infranational au titre de la taxe environnementale (+)</v>
      </c>
      <c r="AZ56" s="18">
        <f t="shared" ca="1" si="105"/>
        <v>0</v>
      </c>
      <c r="BA56" s="18">
        <f t="shared" ca="1" si="105"/>
        <v>0</v>
      </c>
      <c r="BB56" s="18">
        <f t="shared" ca="1" si="105"/>
        <v>0</v>
      </c>
      <c r="BC56" s="18">
        <f t="shared" ca="1" si="105"/>
        <v>0</v>
      </c>
      <c r="BD56" s="18">
        <f t="shared" ca="1" si="105"/>
        <v>0</v>
      </c>
      <c r="BE56" s="18">
        <f t="shared" ca="1" si="105"/>
        <v>0</v>
      </c>
      <c r="BF56" s="18">
        <f t="shared" ca="1" si="105"/>
        <v>0</v>
      </c>
      <c r="BG56" s="18">
        <f t="shared" ca="1" si="105"/>
        <v>0</v>
      </c>
      <c r="BH56" s="18">
        <f t="shared" ca="1" si="105"/>
        <v>0</v>
      </c>
      <c r="BI56" s="18">
        <f t="shared" ca="1" si="105"/>
        <v>0</v>
      </c>
      <c r="BJ56" s="18">
        <f t="shared" ca="1" si="105"/>
        <v>0</v>
      </c>
      <c r="BK56" s="18">
        <f t="shared" ca="1" si="105"/>
        <v>0</v>
      </c>
    </row>
    <row r="57" spans="1:63">
      <c r="A57" s="80"/>
      <c r="B57" s="64">
        <f>+'Taxes RCA 2022'!A50</f>
        <v>39</v>
      </c>
      <c r="C57" s="68" t="str">
        <f>+'Taxes RCA 2022'!B50</f>
        <v>Transfert infranational au titre de la taxe d'abattage (+)</v>
      </c>
      <c r="E57" s="165"/>
      <c r="F57" s="165">
        <f t="shared" si="117"/>
        <v>0</v>
      </c>
      <c r="G57" s="165">
        <f t="shared" si="118"/>
        <v>0</v>
      </c>
      <c r="H57" s="114"/>
      <c r="I57" s="165"/>
      <c r="J57" s="165">
        <f t="shared" ca="1" si="119"/>
        <v>0</v>
      </c>
      <c r="K57" s="165">
        <f t="shared" ca="1" si="120"/>
        <v>0</v>
      </c>
      <c r="L57" s="114"/>
      <c r="M57" s="165">
        <f t="shared" ca="1" si="121"/>
        <v>0</v>
      </c>
      <c r="N57" s="68"/>
      <c r="O57" s="38" t="str">
        <f t="shared" ref="O57:O62" ca="1" si="122">IF(M57=0,"",IF(N57=0,"ERROR",""))</f>
        <v/>
      </c>
      <c r="P57" s="39" t="str">
        <f t="shared" ref="P57:P62" ca="1" si="123">IF(O57="ERROR","Please insert comment","")</f>
        <v/>
      </c>
      <c r="Y57" s="15">
        <f t="shared" si="98"/>
        <v>42</v>
      </c>
      <c r="Z57" s="25" t="str">
        <f t="shared" si="110"/>
        <v>Droit de sortie (DS)/Taxe Export (+)</v>
      </c>
      <c r="AA57" s="16">
        <f t="shared" si="99"/>
        <v>0</v>
      </c>
      <c r="AB57" s="16">
        <f t="shared" si="99"/>
        <v>0</v>
      </c>
      <c r="AC57" s="16">
        <f t="shared" si="99"/>
        <v>0</v>
      </c>
      <c r="AD57" s="16">
        <f t="shared" si="99"/>
        <v>0</v>
      </c>
      <c r="AE57" s="16">
        <f t="shared" si="99"/>
        <v>0</v>
      </c>
      <c r="AF57" s="16">
        <f t="shared" si="99"/>
        <v>0</v>
      </c>
      <c r="AG57" s="16">
        <f t="shared" si="99"/>
        <v>0</v>
      </c>
      <c r="AH57" s="16">
        <f t="shared" si="99"/>
        <v>0</v>
      </c>
      <c r="AI57" s="16">
        <f t="shared" si="99"/>
        <v>0</v>
      </c>
      <c r="AJ57" s="16">
        <f t="shared" si="100"/>
        <v>0</v>
      </c>
      <c r="AL57" s="17">
        <f t="shared" si="101"/>
        <v>42</v>
      </c>
      <c r="AM57" s="26" t="str">
        <f t="shared" si="111"/>
        <v>Droit de sortie (DS)/Taxe Export (+)</v>
      </c>
      <c r="AN57" s="18">
        <f t="shared" si="102"/>
        <v>0</v>
      </c>
      <c r="AO57" s="18">
        <f t="shared" si="102"/>
        <v>0</v>
      </c>
      <c r="AP57" s="18">
        <f t="shared" si="102"/>
        <v>0</v>
      </c>
      <c r="AQ57" s="18">
        <f t="shared" si="102"/>
        <v>0</v>
      </c>
      <c r="AR57" s="18">
        <f t="shared" si="102"/>
        <v>0</v>
      </c>
      <c r="AS57" s="18">
        <f t="shared" si="102"/>
        <v>0</v>
      </c>
      <c r="AT57" s="18">
        <f t="shared" si="102"/>
        <v>0</v>
      </c>
      <c r="AU57" s="18">
        <f t="shared" si="102"/>
        <v>0</v>
      </c>
      <c r="AV57" s="18">
        <f t="shared" si="103"/>
        <v>0</v>
      </c>
      <c r="AW57" s="18"/>
      <c r="AX57" s="17">
        <f t="shared" si="104"/>
        <v>42</v>
      </c>
      <c r="AY57" s="26" t="str">
        <f t="shared" si="112"/>
        <v>Droit de sortie (DS)/Taxe Export (+)</v>
      </c>
      <c r="AZ57" s="18">
        <f t="shared" ca="1" si="105"/>
        <v>0</v>
      </c>
      <c r="BA57" s="18">
        <f t="shared" ca="1" si="105"/>
        <v>0</v>
      </c>
      <c r="BB57" s="18">
        <f t="shared" ca="1" si="105"/>
        <v>0</v>
      </c>
      <c r="BC57" s="18">
        <f t="shared" ca="1" si="105"/>
        <v>0</v>
      </c>
      <c r="BD57" s="18">
        <f t="shared" ca="1" si="105"/>
        <v>0</v>
      </c>
      <c r="BE57" s="18">
        <f t="shared" ca="1" si="105"/>
        <v>0</v>
      </c>
      <c r="BF57" s="18">
        <f t="shared" ca="1" si="105"/>
        <v>0</v>
      </c>
      <c r="BG57" s="18">
        <f t="shared" ca="1" si="105"/>
        <v>0</v>
      </c>
      <c r="BH57" s="18">
        <f t="shared" ca="1" si="105"/>
        <v>0</v>
      </c>
      <c r="BI57" s="18">
        <f t="shared" ca="1" si="105"/>
        <v>0</v>
      </c>
      <c r="BJ57" s="18">
        <f t="shared" ca="1" si="105"/>
        <v>0</v>
      </c>
      <c r="BK57" s="18">
        <f t="shared" ca="1" si="105"/>
        <v>0</v>
      </c>
    </row>
    <row r="58" spans="1:63">
      <c r="A58" s="80"/>
      <c r="B58" s="53">
        <f>+'Taxes RCA 2022'!A51</f>
        <v>40</v>
      </c>
      <c r="C58" s="18" t="str">
        <f>+'Taxes RCA 2022'!B51</f>
        <v>Transfert infranational au titre de la taxe reboisement (+)</v>
      </c>
      <c r="E58" s="114"/>
      <c r="F58" s="114">
        <f t="shared" si="117"/>
        <v>0</v>
      </c>
      <c r="G58" s="114">
        <f t="shared" si="118"/>
        <v>0</v>
      </c>
      <c r="H58" s="114"/>
      <c r="I58" s="114"/>
      <c r="J58" s="114">
        <f t="shared" ca="1" si="119"/>
        <v>0</v>
      </c>
      <c r="K58" s="114">
        <f t="shared" ca="1" si="120"/>
        <v>0</v>
      </c>
      <c r="L58" s="114"/>
      <c r="M58" s="114">
        <f t="shared" ca="1" si="121"/>
        <v>0</v>
      </c>
      <c r="N58" s="18"/>
      <c r="O58" s="38" t="str">
        <f t="shared" ca="1" si="122"/>
        <v/>
      </c>
      <c r="P58" s="39" t="str">
        <f t="shared" ca="1" si="123"/>
        <v/>
      </c>
      <c r="Y58" s="15">
        <f t="shared" si="98"/>
        <v>43</v>
      </c>
      <c r="Z58" s="25" t="str">
        <f t="shared" si="110"/>
        <v xml:space="preserve">Autres transferts au profit des communes </v>
      </c>
      <c r="AA58" s="16">
        <f t="shared" si="99"/>
        <v>0</v>
      </c>
      <c r="AB58" s="16">
        <f t="shared" si="99"/>
        <v>0</v>
      </c>
      <c r="AC58" s="16">
        <f t="shared" si="99"/>
        <v>0</v>
      </c>
      <c r="AD58" s="16">
        <f t="shared" si="99"/>
        <v>0</v>
      </c>
      <c r="AE58" s="16">
        <f t="shared" si="99"/>
        <v>0</v>
      </c>
      <c r="AF58" s="16">
        <f t="shared" si="99"/>
        <v>0</v>
      </c>
      <c r="AG58" s="16">
        <f t="shared" si="99"/>
        <v>0</v>
      </c>
      <c r="AH58" s="16">
        <f t="shared" si="99"/>
        <v>0</v>
      </c>
      <c r="AI58" s="16">
        <f t="shared" si="99"/>
        <v>0</v>
      </c>
      <c r="AJ58" s="16">
        <f t="shared" si="100"/>
        <v>0</v>
      </c>
      <c r="AL58" s="17">
        <f>+B61</f>
        <v>43</v>
      </c>
      <c r="AM58" s="26" t="str">
        <f t="shared" si="111"/>
        <v xml:space="preserve">Autres transferts au profit des communes </v>
      </c>
      <c r="AN58" s="18">
        <f t="shared" si="102"/>
        <v>0</v>
      </c>
      <c r="AO58" s="18">
        <f t="shared" si="102"/>
        <v>0</v>
      </c>
      <c r="AP58" s="18">
        <f t="shared" si="102"/>
        <v>0</v>
      </c>
      <c r="AQ58" s="18">
        <f t="shared" si="102"/>
        <v>0</v>
      </c>
      <c r="AR58" s="18">
        <f t="shared" si="102"/>
        <v>0</v>
      </c>
      <c r="AS58" s="18">
        <f t="shared" si="102"/>
        <v>0</v>
      </c>
      <c r="AT58" s="18">
        <f t="shared" si="102"/>
        <v>0</v>
      </c>
      <c r="AU58" s="18">
        <f t="shared" si="102"/>
        <v>0</v>
      </c>
      <c r="AV58" s="18">
        <f t="shared" si="103"/>
        <v>0</v>
      </c>
      <c r="AW58" s="18"/>
      <c r="AX58" s="17">
        <f>B61</f>
        <v>43</v>
      </c>
      <c r="AY58" s="26" t="str">
        <f t="shared" si="112"/>
        <v xml:space="preserve">Autres transferts au profit des communes </v>
      </c>
      <c r="AZ58" s="18">
        <f t="shared" ca="1" si="105"/>
        <v>0</v>
      </c>
      <c r="BA58" s="18">
        <f t="shared" ca="1" si="105"/>
        <v>0</v>
      </c>
      <c r="BB58" s="18">
        <f t="shared" ca="1" si="105"/>
        <v>0</v>
      </c>
      <c r="BC58" s="18">
        <f t="shared" ca="1" si="105"/>
        <v>0</v>
      </c>
      <c r="BD58" s="18">
        <f t="shared" ca="1" si="105"/>
        <v>0</v>
      </c>
      <c r="BE58" s="18">
        <f t="shared" ca="1" si="105"/>
        <v>0</v>
      </c>
      <c r="BF58" s="18">
        <f t="shared" ca="1" si="105"/>
        <v>0</v>
      </c>
      <c r="BG58" s="18">
        <f t="shared" ca="1" si="105"/>
        <v>0</v>
      </c>
      <c r="BH58" s="18">
        <f t="shared" ca="1" si="105"/>
        <v>0</v>
      </c>
      <c r="BI58" s="18">
        <f t="shared" ca="1" si="105"/>
        <v>0</v>
      </c>
      <c r="BJ58" s="18">
        <f t="shared" ca="1" si="105"/>
        <v>0</v>
      </c>
      <c r="BK58" s="18">
        <f t="shared" ca="1" si="105"/>
        <v>0</v>
      </c>
    </row>
    <row r="59" spans="1:63">
      <c r="A59" s="80"/>
      <c r="B59" s="64">
        <f>+'Taxes RCA 2022'!A52</f>
        <v>41</v>
      </c>
      <c r="C59" s="68" t="str">
        <f>+'Taxes RCA 2022'!B52</f>
        <v>Transfert infranational au titre de la taxe environnementale (+)</v>
      </c>
      <c r="E59" s="165"/>
      <c r="F59" s="165">
        <f t="shared" si="117"/>
        <v>0</v>
      </c>
      <c r="G59" s="165">
        <f t="shared" si="118"/>
        <v>0</v>
      </c>
      <c r="H59" s="114"/>
      <c r="I59" s="165"/>
      <c r="J59" s="165">
        <f t="shared" ca="1" si="119"/>
        <v>0</v>
      </c>
      <c r="K59" s="165">
        <f t="shared" ca="1" si="120"/>
        <v>0</v>
      </c>
      <c r="L59" s="114"/>
      <c r="M59" s="165">
        <f t="shared" ca="1" si="121"/>
        <v>0</v>
      </c>
      <c r="N59" s="68"/>
      <c r="O59" s="38" t="str">
        <f t="shared" ca="1" si="122"/>
        <v/>
      </c>
      <c r="P59" s="39" t="str">
        <f t="shared" ca="1" si="123"/>
        <v/>
      </c>
      <c r="Y59" s="15">
        <f>B62</f>
        <v>0</v>
      </c>
      <c r="Z59" s="25" t="str">
        <f t="shared" si="110"/>
        <v>DGTCP (DGP)</v>
      </c>
      <c r="AA59" s="16">
        <f t="shared" si="99"/>
        <v>0</v>
      </c>
      <c r="AB59" s="16">
        <f t="shared" si="99"/>
        <v>0</v>
      </c>
      <c r="AC59" s="16">
        <f t="shared" si="99"/>
        <v>0</v>
      </c>
      <c r="AD59" s="16">
        <f t="shared" si="99"/>
        <v>0</v>
      </c>
      <c r="AE59" s="16">
        <f t="shared" si="99"/>
        <v>0</v>
      </c>
      <c r="AF59" s="16">
        <f t="shared" si="99"/>
        <v>0</v>
      </c>
      <c r="AG59" s="16">
        <f t="shared" si="99"/>
        <v>0</v>
      </c>
      <c r="AH59" s="16">
        <f t="shared" si="99"/>
        <v>0</v>
      </c>
      <c r="AI59" s="16">
        <f t="shared" si="99"/>
        <v>0</v>
      </c>
      <c r="AJ59" s="16">
        <f t="shared" si="100"/>
        <v>0</v>
      </c>
      <c r="AL59" s="17">
        <f>+B62</f>
        <v>0</v>
      </c>
      <c r="AM59" s="26" t="str">
        <f t="shared" si="111"/>
        <v>DGTCP (DGP)</v>
      </c>
      <c r="AN59" s="18">
        <f t="shared" si="102"/>
        <v>0</v>
      </c>
      <c r="AO59" s="18">
        <f t="shared" si="102"/>
        <v>0</v>
      </c>
      <c r="AP59" s="18">
        <f t="shared" si="102"/>
        <v>0</v>
      </c>
      <c r="AQ59" s="18">
        <f t="shared" si="102"/>
        <v>0</v>
      </c>
      <c r="AR59" s="18">
        <f t="shared" si="102"/>
        <v>0</v>
      </c>
      <c r="AS59" s="18">
        <f t="shared" si="102"/>
        <v>0</v>
      </c>
      <c r="AT59" s="18">
        <f t="shared" si="102"/>
        <v>0</v>
      </c>
      <c r="AU59" s="18">
        <f t="shared" si="102"/>
        <v>0</v>
      </c>
      <c r="AV59" s="18">
        <f t="shared" si="103"/>
        <v>0</v>
      </c>
      <c r="AW59" s="18"/>
      <c r="AX59" s="17">
        <f>B62</f>
        <v>0</v>
      </c>
      <c r="AY59" s="26" t="str">
        <f t="shared" si="112"/>
        <v>DGTCP (DGP)</v>
      </c>
      <c r="AZ59" s="18">
        <f t="shared" ca="1" si="105"/>
        <v>0</v>
      </c>
      <c r="BA59" s="18">
        <f t="shared" ca="1" si="105"/>
        <v>0</v>
      </c>
      <c r="BB59" s="18">
        <f t="shared" ca="1" si="105"/>
        <v>0</v>
      </c>
      <c r="BC59" s="18">
        <f t="shared" ca="1" si="105"/>
        <v>0</v>
      </c>
      <c r="BD59" s="18">
        <f t="shared" ca="1" si="105"/>
        <v>0</v>
      </c>
      <c r="BE59" s="18">
        <f t="shared" ca="1" si="105"/>
        <v>0</v>
      </c>
      <c r="BF59" s="18">
        <f t="shared" ca="1" si="105"/>
        <v>0</v>
      </c>
      <c r="BG59" s="18">
        <f t="shared" ca="1" si="105"/>
        <v>0</v>
      </c>
      <c r="BH59" s="18">
        <f t="shared" ca="1" si="105"/>
        <v>0</v>
      </c>
      <c r="BI59" s="18">
        <f t="shared" ca="1" si="105"/>
        <v>0</v>
      </c>
      <c r="BJ59" s="18">
        <f t="shared" ca="1" si="105"/>
        <v>0</v>
      </c>
      <c r="BK59" s="18">
        <f t="shared" ca="1" si="105"/>
        <v>0</v>
      </c>
    </row>
    <row r="60" spans="1:63">
      <c r="A60" s="80"/>
      <c r="B60" s="53">
        <f>+'Taxes RCA 2022'!A53</f>
        <v>42</v>
      </c>
      <c r="C60" s="18" t="str">
        <f>+'Taxes RCA 2022'!B53</f>
        <v>Droit de sortie (DS)/Taxe Export (+)</v>
      </c>
      <c r="E60" s="114"/>
      <c r="F60" s="114">
        <f t="shared" si="117"/>
        <v>0</v>
      </c>
      <c r="G60" s="114">
        <f t="shared" si="118"/>
        <v>0</v>
      </c>
      <c r="H60" s="114"/>
      <c r="I60" s="114"/>
      <c r="J60" s="114">
        <f t="shared" ca="1" si="119"/>
        <v>0</v>
      </c>
      <c r="K60" s="114">
        <f t="shared" ca="1" si="120"/>
        <v>0</v>
      </c>
      <c r="L60" s="114"/>
      <c r="M60" s="114">
        <f t="shared" ca="1" si="121"/>
        <v>0</v>
      </c>
      <c r="N60" s="18"/>
      <c r="O60" s="38" t="str">
        <f t="shared" ca="1" si="122"/>
        <v/>
      </c>
      <c r="P60" s="39" t="str">
        <f t="shared" ca="1" si="123"/>
        <v/>
      </c>
      <c r="Y60" s="15"/>
      <c r="Z60" s="25" t="str">
        <f t="shared" si="110"/>
        <v xml:space="preserve">Fonds du soutien à la Promotion Pétrolière </v>
      </c>
      <c r="AA60" s="16">
        <f>SUM(AA61:AA64)</f>
        <v>0</v>
      </c>
      <c r="AB60" s="16">
        <f t="shared" ref="AB60:AJ60" si="124">SUM(AB61:AB64)</f>
        <v>0</v>
      </c>
      <c r="AC60" s="16">
        <f t="shared" si="124"/>
        <v>0</v>
      </c>
      <c r="AD60" s="16">
        <f t="shared" si="124"/>
        <v>0</v>
      </c>
      <c r="AE60" s="16">
        <f t="shared" si="124"/>
        <v>0</v>
      </c>
      <c r="AF60" s="16">
        <f t="shared" si="124"/>
        <v>0</v>
      </c>
      <c r="AG60" s="16">
        <f t="shared" si="124"/>
        <v>0</v>
      </c>
      <c r="AH60" s="16">
        <f t="shared" si="124"/>
        <v>0</v>
      </c>
      <c r="AI60" s="16">
        <f t="shared" si="124"/>
        <v>0</v>
      </c>
      <c r="AJ60" s="16">
        <f t="shared" si="124"/>
        <v>0</v>
      </c>
      <c r="AL60" s="17"/>
      <c r="AM60" s="26" t="str">
        <f t="shared" si="111"/>
        <v xml:space="preserve">Fonds du soutien à la Promotion Pétrolière </v>
      </c>
      <c r="AN60" s="18">
        <f t="shared" ref="AN60:AV60" si="125">SUM(AN61:AN64)</f>
        <v>0</v>
      </c>
      <c r="AO60" s="18">
        <f t="shared" si="125"/>
        <v>0</v>
      </c>
      <c r="AP60" s="18">
        <f t="shared" si="125"/>
        <v>0</v>
      </c>
      <c r="AQ60" s="18">
        <f t="shared" si="125"/>
        <v>0</v>
      </c>
      <c r="AR60" s="18">
        <f t="shared" si="125"/>
        <v>0</v>
      </c>
      <c r="AS60" s="18">
        <f t="shared" si="125"/>
        <v>0</v>
      </c>
      <c r="AT60" s="18">
        <f t="shared" si="125"/>
        <v>0</v>
      </c>
      <c r="AU60" s="18">
        <f t="shared" si="125"/>
        <v>0</v>
      </c>
      <c r="AV60" s="18">
        <f t="shared" si="125"/>
        <v>0</v>
      </c>
      <c r="AW60" s="18"/>
      <c r="AX60" s="17"/>
      <c r="AY60" s="26" t="str">
        <f t="shared" si="112"/>
        <v xml:space="preserve">Fonds du soutien à la Promotion Pétrolière </v>
      </c>
      <c r="AZ60" s="18">
        <f t="shared" ref="AZ60:BK60" ca="1" si="126">SUM(AZ61:AZ64)</f>
        <v>0</v>
      </c>
      <c r="BA60" s="18">
        <f t="shared" ca="1" si="126"/>
        <v>0</v>
      </c>
      <c r="BB60" s="18">
        <f t="shared" ca="1" si="126"/>
        <v>0</v>
      </c>
      <c r="BC60" s="18">
        <f t="shared" ca="1" si="126"/>
        <v>0</v>
      </c>
      <c r="BD60" s="18">
        <f t="shared" ca="1" si="126"/>
        <v>0</v>
      </c>
      <c r="BE60" s="18">
        <f t="shared" ca="1" si="126"/>
        <v>0</v>
      </c>
      <c r="BF60" s="18">
        <f t="shared" ca="1" si="126"/>
        <v>0</v>
      </c>
      <c r="BG60" s="18">
        <f t="shared" ca="1" si="126"/>
        <v>0</v>
      </c>
      <c r="BH60" s="18">
        <f t="shared" ca="1" si="126"/>
        <v>0</v>
      </c>
      <c r="BI60" s="18">
        <f t="shared" ca="1" si="126"/>
        <v>0</v>
      </c>
      <c r="BJ60" s="18">
        <f t="shared" ca="1" si="126"/>
        <v>0</v>
      </c>
      <c r="BK60" s="18">
        <f t="shared" ca="1" si="126"/>
        <v>0</v>
      </c>
    </row>
    <row r="61" spans="1:63">
      <c r="A61" s="80"/>
      <c r="B61" s="64">
        <f>+'Taxes RCA 2022'!A54</f>
        <v>43</v>
      </c>
      <c r="C61" s="68" t="str">
        <f>+'Taxes RCA 2022'!B54</f>
        <v xml:space="preserve">Autres transferts au profit des communes </v>
      </c>
      <c r="E61" s="165"/>
      <c r="F61" s="165">
        <f t="shared" si="117"/>
        <v>0</v>
      </c>
      <c r="G61" s="165">
        <f t="shared" si="118"/>
        <v>0</v>
      </c>
      <c r="H61" s="114"/>
      <c r="I61" s="165"/>
      <c r="J61" s="165">
        <f t="shared" ca="1" si="119"/>
        <v>0</v>
      </c>
      <c r="K61" s="165">
        <f t="shared" ca="1" si="120"/>
        <v>0</v>
      </c>
      <c r="L61" s="114"/>
      <c r="M61" s="165">
        <f t="shared" ca="1" si="121"/>
        <v>0</v>
      </c>
      <c r="N61" s="68"/>
      <c r="O61" s="38"/>
      <c r="P61" s="39"/>
      <c r="Y61" s="15">
        <f>B64</f>
        <v>45</v>
      </c>
      <c r="Z61" s="25" t="str">
        <f t="shared" si="110"/>
        <v>Fonds de Soutien aux projets de Développement Communautaire</v>
      </c>
      <c r="AA61" s="16">
        <f t="shared" ref="AA61:AI61" si="127">SUMPRODUCT(($A$84:$A$751=$Y61&amp;"- "&amp;$Z61)*($C$84:$C$751=AA$1)*($G$84:$G$751))</f>
        <v>0</v>
      </c>
      <c r="AB61" s="16">
        <f t="shared" si="127"/>
        <v>0</v>
      </c>
      <c r="AC61" s="16">
        <f t="shared" si="127"/>
        <v>0</v>
      </c>
      <c r="AD61" s="16">
        <f t="shared" si="127"/>
        <v>0</v>
      </c>
      <c r="AE61" s="16">
        <f t="shared" si="127"/>
        <v>0</v>
      </c>
      <c r="AF61" s="16">
        <f t="shared" si="127"/>
        <v>0</v>
      </c>
      <c r="AG61" s="16">
        <f t="shared" si="127"/>
        <v>0</v>
      </c>
      <c r="AH61" s="16">
        <f t="shared" si="127"/>
        <v>0</v>
      </c>
      <c r="AI61" s="16">
        <f t="shared" si="127"/>
        <v>0</v>
      </c>
      <c r="AJ61" s="16">
        <f>SUM(AA61:AI61)</f>
        <v>0</v>
      </c>
      <c r="AL61" s="17">
        <f>+B64</f>
        <v>45</v>
      </c>
      <c r="AM61" s="26" t="str">
        <f t="shared" si="111"/>
        <v>Fonds de Soutien aux projets de Développement Communautaire</v>
      </c>
      <c r="AN61" s="18">
        <f t="shared" ref="AN61:AU61" si="128">SUMPRODUCT(($J$84:$M$748=$AL61&amp;"- "&amp;$AM61)*($N$84:$N$748=AN$1)*($Q$84:$Q$748))</f>
        <v>0</v>
      </c>
      <c r="AO61" s="18">
        <f t="shared" si="128"/>
        <v>0</v>
      </c>
      <c r="AP61" s="18">
        <f t="shared" si="128"/>
        <v>0</v>
      </c>
      <c r="AQ61" s="18">
        <f t="shared" si="128"/>
        <v>0</v>
      </c>
      <c r="AR61" s="18">
        <f t="shared" si="128"/>
        <v>0</v>
      </c>
      <c r="AS61" s="18">
        <f t="shared" si="128"/>
        <v>0</v>
      </c>
      <c r="AT61" s="18">
        <f t="shared" si="128"/>
        <v>0</v>
      </c>
      <c r="AU61" s="18">
        <f t="shared" si="128"/>
        <v>0</v>
      </c>
      <c r="AV61" s="18">
        <f>SUM(AN61:AU61)</f>
        <v>0</v>
      </c>
      <c r="AW61" s="18"/>
      <c r="AX61" s="17">
        <f>B64</f>
        <v>45</v>
      </c>
      <c r="AY61" s="26" t="str">
        <f t="shared" si="112"/>
        <v>Fonds de Soutien aux projets de Développement Communautaire</v>
      </c>
      <c r="AZ61" s="18">
        <f t="shared" ref="AZ61:BK61" ca="1" si="129">SUMPRODUCT(($C$10:$C$75=$AY61)*($N$10:$N$75=AZ$1)*($M$10:$M$75))</f>
        <v>0</v>
      </c>
      <c r="BA61" s="18">
        <f t="shared" ca="1" si="129"/>
        <v>0</v>
      </c>
      <c r="BB61" s="18">
        <f t="shared" ca="1" si="129"/>
        <v>0</v>
      </c>
      <c r="BC61" s="18">
        <f t="shared" ca="1" si="129"/>
        <v>0</v>
      </c>
      <c r="BD61" s="18">
        <f t="shared" ca="1" si="129"/>
        <v>0</v>
      </c>
      <c r="BE61" s="18">
        <f t="shared" ca="1" si="129"/>
        <v>0</v>
      </c>
      <c r="BF61" s="18">
        <f t="shared" ca="1" si="129"/>
        <v>0</v>
      </c>
      <c r="BG61" s="18">
        <f t="shared" ca="1" si="129"/>
        <v>0</v>
      </c>
      <c r="BH61" s="18">
        <f t="shared" ca="1" si="129"/>
        <v>0</v>
      </c>
      <c r="BI61" s="18">
        <f t="shared" ca="1" si="129"/>
        <v>0</v>
      </c>
      <c r="BJ61" s="18">
        <f t="shared" ca="1" si="129"/>
        <v>0</v>
      </c>
      <c r="BK61" s="18">
        <f t="shared" ca="1" si="129"/>
        <v>0</v>
      </c>
    </row>
    <row r="62" spans="1:63">
      <c r="A62" s="80"/>
      <c r="B62" s="163"/>
      <c r="C62" s="58" t="str">
        <f>+'Taxes RCA 2022'!B55</f>
        <v>DGTCP (DGP)</v>
      </c>
      <c r="E62" s="166">
        <f>+E64+E63</f>
        <v>0</v>
      </c>
      <c r="F62" s="166">
        <f t="shared" ref="F62:G62" si="130">+F64+F63</f>
        <v>0</v>
      </c>
      <c r="G62" s="166">
        <f t="shared" si="130"/>
        <v>0</v>
      </c>
      <c r="H62" s="114"/>
      <c r="I62" s="166">
        <f>+I64+I63</f>
        <v>0</v>
      </c>
      <c r="J62" s="166">
        <f t="shared" ref="J62" ca="1" si="131">+J64+J63</f>
        <v>0</v>
      </c>
      <c r="K62" s="166">
        <f t="shared" ref="K62" ca="1" si="132">+K64+K63</f>
        <v>0</v>
      </c>
      <c r="L62" s="114"/>
      <c r="M62" s="166">
        <f t="shared" ref="M62" ca="1" si="133">+M64+M63</f>
        <v>0</v>
      </c>
      <c r="N62" s="58"/>
      <c r="O62" s="38" t="str">
        <f t="shared" ca="1" si="122"/>
        <v/>
      </c>
      <c r="P62" s="39" t="str">
        <f t="shared" ca="1" si="123"/>
        <v/>
      </c>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4">SUMPRODUCT(($A$84:$A$751=$Y63&amp;"- "&amp;$Z63)*($C$84:$C$751=AA$1)*($G$84:$G$751))</f>
        <v>0</v>
      </c>
      <c r="AB63" s="16">
        <f t="shared" si="134"/>
        <v>0</v>
      </c>
      <c r="AC63" s="16">
        <f t="shared" si="134"/>
        <v>0</v>
      </c>
      <c r="AD63" s="16">
        <f t="shared" si="134"/>
        <v>0</v>
      </c>
      <c r="AE63" s="16">
        <f t="shared" si="134"/>
        <v>0</v>
      </c>
      <c r="AF63" s="16">
        <f t="shared" si="134"/>
        <v>0</v>
      </c>
      <c r="AG63" s="16">
        <f t="shared" si="134"/>
        <v>0</v>
      </c>
      <c r="AH63" s="16">
        <f t="shared" si="134"/>
        <v>0</v>
      </c>
      <c r="AI63" s="16">
        <f t="shared" si="134"/>
        <v>0</v>
      </c>
      <c r="AJ63" s="16">
        <f>SUM(AA63:AI63)</f>
        <v>0</v>
      </c>
      <c r="AL63" s="17">
        <f>+B65</f>
        <v>0</v>
      </c>
      <c r="AM63" s="26" t="str">
        <f>+C65</f>
        <v xml:space="preserve">Paiements Sociaux </v>
      </c>
      <c r="AN63" s="18">
        <f t="shared" ref="AN63:AU64" si="135">SUMPRODUCT(($J$84:$M$748=$AL63&amp;"- "&amp;$AM63)*($N$84:$N$748=AN$1)*($Q$84:$Q$748))</f>
        <v>0</v>
      </c>
      <c r="AO63" s="18">
        <f t="shared" si="135"/>
        <v>0</v>
      </c>
      <c r="AP63" s="18">
        <f t="shared" si="135"/>
        <v>0</v>
      </c>
      <c r="AQ63" s="18">
        <f t="shared" si="135"/>
        <v>0</v>
      </c>
      <c r="AR63" s="18">
        <f t="shared" si="135"/>
        <v>0</v>
      </c>
      <c r="AS63" s="18">
        <f t="shared" si="135"/>
        <v>0</v>
      </c>
      <c r="AT63" s="18">
        <f t="shared" si="135"/>
        <v>0</v>
      </c>
      <c r="AU63" s="18">
        <f t="shared" si="135"/>
        <v>0</v>
      </c>
      <c r="AV63" s="18">
        <f>SUM(AN63:AU63)</f>
        <v>0</v>
      </c>
      <c r="AW63" s="18"/>
      <c r="AX63" s="17">
        <f>B65</f>
        <v>0</v>
      </c>
      <c r="AY63" s="26" t="str">
        <f>C65</f>
        <v xml:space="preserve">Paiements Sociaux </v>
      </c>
      <c r="AZ63" s="18">
        <f t="shared" ref="AZ63:BK64" ca="1" si="136">SUMPRODUCT(($C$10:$C$75=$AY63)*($N$10:$N$75=AZ$1)*($M$10:$M$75))</f>
        <v>0</v>
      </c>
      <c r="BA63" s="18">
        <f t="shared" ca="1" si="136"/>
        <v>0</v>
      </c>
      <c r="BB63" s="18">
        <f t="shared" ca="1" si="136"/>
        <v>0</v>
      </c>
      <c r="BC63" s="18">
        <f t="shared" ca="1" si="136"/>
        <v>0</v>
      </c>
      <c r="BD63" s="18">
        <f t="shared" ca="1" si="136"/>
        <v>0</v>
      </c>
      <c r="BE63" s="18">
        <f t="shared" ca="1" si="136"/>
        <v>0</v>
      </c>
      <c r="BF63" s="18">
        <f t="shared" ca="1" si="136"/>
        <v>0</v>
      </c>
      <c r="BG63" s="18">
        <f t="shared" ca="1" si="136"/>
        <v>0</v>
      </c>
      <c r="BH63" s="18">
        <f t="shared" ca="1" si="136"/>
        <v>0</v>
      </c>
      <c r="BI63" s="18">
        <f t="shared" ca="1" si="136"/>
        <v>0</v>
      </c>
      <c r="BJ63" s="18">
        <f t="shared" ca="1" si="136"/>
        <v>0</v>
      </c>
      <c r="BK63" s="18">
        <f t="shared" ca="1" si="136"/>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4"/>
        <v>0</v>
      </c>
      <c r="AB64" s="16">
        <f t="shared" si="134"/>
        <v>0</v>
      </c>
      <c r="AC64" s="16">
        <f t="shared" si="134"/>
        <v>0</v>
      </c>
      <c r="AD64" s="16">
        <f t="shared" si="134"/>
        <v>0</v>
      </c>
      <c r="AE64" s="16">
        <f t="shared" si="134"/>
        <v>0</v>
      </c>
      <c r="AF64" s="16">
        <f t="shared" si="134"/>
        <v>0</v>
      </c>
      <c r="AG64" s="16">
        <f t="shared" si="134"/>
        <v>0</v>
      </c>
      <c r="AH64" s="16">
        <f t="shared" si="134"/>
        <v>0</v>
      </c>
      <c r="AI64" s="16">
        <f t="shared" si="134"/>
        <v>0</v>
      </c>
      <c r="AJ64" s="16">
        <f>SUM(AA64:AI64)</f>
        <v>0</v>
      </c>
      <c r="AL64" s="17">
        <f>+B66</f>
        <v>46</v>
      </c>
      <c r="AM64" s="26" t="str">
        <f>+C66</f>
        <v>Paiements sociaux obligatoires</v>
      </c>
      <c r="AN64" s="18">
        <f t="shared" si="135"/>
        <v>0</v>
      </c>
      <c r="AO64" s="18">
        <f t="shared" si="135"/>
        <v>0</v>
      </c>
      <c r="AP64" s="18">
        <f t="shared" si="135"/>
        <v>0</v>
      </c>
      <c r="AQ64" s="18">
        <f t="shared" si="135"/>
        <v>0</v>
      </c>
      <c r="AR64" s="18">
        <f t="shared" si="135"/>
        <v>0</v>
      </c>
      <c r="AS64" s="18">
        <f t="shared" si="135"/>
        <v>0</v>
      </c>
      <c r="AT64" s="18">
        <f t="shared" si="135"/>
        <v>0</v>
      </c>
      <c r="AU64" s="18">
        <f t="shared" si="135"/>
        <v>0</v>
      </c>
      <c r="AV64" s="18">
        <f>SUM(AN64:AU64)</f>
        <v>0</v>
      </c>
      <c r="AW64" s="38"/>
      <c r="AX64" s="17">
        <f>B66</f>
        <v>46</v>
      </c>
      <c r="AY64" s="26" t="str">
        <f>C66</f>
        <v>Paiements sociaux obligatoires</v>
      </c>
      <c r="AZ64" s="18">
        <f t="shared" ca="1" si="136"/>
        <v>0</v>
      </c>
      <c r="BA64" s="18">
        <f t="shared" ca="1" si="136"/>
        <v>0</v>
      </c>
      <c r="BB64" s="18">
        <f t="shared" ca="1" si="136"/>
        <v>0</v>
      </c>
      <c r="BC64" s="18">
        <f t="shared" ca="1" si="136"/>
        <v>0</v>
      </c>
      <c r="BD64" s="18">
        <f t="shared" ca="1" si="136"/>
        <v>0</v>
      </c>
      <c r="BE64" s="18">
        <f t="shared" ca="1" si="136"/>
        <v>0</v>
      </c>
      <c r="BF64" s="18">
        <f t="shared" ca="1" si="136"/>
        <v>0</v>
      </c>
      <c r="BG64" s="18">
        <f t="shared" ca="1" si="136"/>
        <v>0</v>
      </c>
      <c r="BH64" s="18">
        <f t="shared" ca="1" si="136"/>
        <v>0</v>
      </c>
      <c r="BI64" s="18">
        <f t="shared" ca="1" si="136"/>
        <v>0</v>
      </c>
      <c r="BJ64" s="18">
        <f t="shared" ca="1" si="136"/>
        <v>0</v>
      </c>
      <c r="BK64" s="18">
        <f t="shared" ca="1" si="136"/>
        <v>0</v>
      </c>
    </row>
    <row r="65" spans="1:64">
      <c r="A65" s="80">
        <f t="shared" si="29"/>
        <v>0</v>
      </c>
      <c r="B65" s="163"/>
      <c r="C65" s="58" t="str">
        <f>+'Taxes RCA 2022'!B58</f>
        <v xml:space="preserve">Paiements Sociaux </v>
      </c>
      <c r="E65" s="166">
        <f>+E67+E66</f>
        <v>0</v>
      </c>
      <c r="F65" s="166">
        <f t="shared" ref="F65:G65" si="137">+F67+F66</f>
        <v>0</v>
      </c>
      <c r="G65" s="166">
        <f t="shared" si="137"/>
        <v>0</v>
      </c>
      <c r="H65" s="114"/>
      <c r="I65" s="166">
        <f>+I67+I66</f>
        <v>0</v>
      </c>
      <c r="J65" s="166">
        <f t="shared" ref="J65" ca="1" si="138">+J67+J66</f>
        <v>0</v>
      </c>
      <c r="K65" s="166">
        <f t="shared" ref="K65" ca="1" si="139">+K67+K66</f>
        <v>0</v>
      </c>
      <c r="L65" s="114"/>
      <c r="M65" s="166">
        <f t="shared" ref="M65" ca="1" si="140">+M67+M66</f>
        <v>0</v>
      </c>
      <c r="N65" s="58"/>
      <c r="O65" s="38" t="str">
        <f t="shared" ca="1" si="46"/>
        <v/>
      </c>
      <c r="P65" s="39" t="str">
        <f ca="1">IF(O65="ERROR","Please insert comment","")</f>
        <v/>
      </c>
      <c r="Y65" s="15"/>
      <c r="Z65" s="25" t="str">
        <f t="shared" ref="Z65:Z73" si="141">C67</f>
        <v>Paiements sociaux volontaires</v>
      </c>
      <c r="AA65" s="16">
        <f>SUM(AA66:AA67)</f>
        <v>0</v>
      </c>
      <c r="AB65" s="16">
        <f t="shared" ref="AB65:AJ65" si="142">SUM(AB66:AB67)</f>
        <v>0</v>
      </c>
      <c r="AC65" s="16">
        <f t="shared" si="142"/>
        <v>0</v>
      </c>
      <c r="AD65" s="16">
        <f t="shared" si="142"/>
        <v>0</v>
      </c>
      <c r="AE65" s="16">
        <f t="shared" si="142"/>
        <v>0</v>
      </c>
      <c r="AF65" s="16">
        <f t="shared" si="142"/>
        <v>0</v>
      </c>
      <c r="AG65" s="16">
        <f t="shared" si="142"/>
        <v>0</v>
      </c>
      <c r="AH65" s="16">
        <f t="shared" si="142"/>
        <v>0</v>
      </c>
      <c r="AI65" s="16">
        <f t="shared" si="142"/>
        <v>0</v>
      </c>
      <c r="AJ65" s="16">
        <f t="shared" si="142"/>
        <v>0</v>
      </c>
      <c r="AL65" s="17"/>
      <c r="AM65" s="26" t="str">
        <f t="shared" ref="AM65:AM73" si="143">+C67</f>
        <v>Paiements sociaux volontaires</v>
      </c>
      <c r="AN65" s="18">
        <f>SUM(AN66:AN67)</f>
        <v>0</v>
      </c>
      <c r="AO65" s="18">
        <f t="shared" ref="AO65:AV65" si="144">SUM(AO66:AO67)</f>
        <v>0</v>
      </c>
      <c r="AP65" s="18">
        <f t="shared" si="144"/>
        <v>0</v>
      </c>
      <c r="AQ65" s="18">
        <f t="shared" si="144"/>
        <v>0</v>
      </c>
      <c r="AR65" s="18">
        <f t="shared" si="144"/>
        <v>0</v>
      </c>
      <c r="AS65" s="18">
        <f t="shared" si="144"/>
        <v>0</v>
      </c>
      <c r="AT65" s="18">
        <f t="shared" si="144"/>
        <v>0</v>
      </c>
      <c r="AU65" s="18">
        <f t="shared" si="144"/>
        <v>0</v>
      </c>
      <c r="AV65" s="18">
        <f t="shared" si="144"/>
        <v>0</v>
      </c>
      <c r="AW65" s="18"/>
      <c r="AX65" s="17"/>
      <c r="AY65" s="26" t="str">
        <f t="shared" ref="AY65:AY73" si="145">C67</f>
        <v>Paiements sociaux volontaires</v>
      </c>
      <c r="AZ65" s="18">
        <f ca="1">SUM(AZ66:AZ67)</f>
        <v>0</v>
      </c>
      <c r="BA65" s="18">
        <f t="shared" ref="BA65:BK65" ca="1" si="146">SUM(BA66:BA67)</f>
        <v>0</v>
      </c>
      <c r="BB65" s="18">
        <f t="shared" ca="1" si="146"/>
        <v>0</v>
      </c>
      <c r="BC65" s="18">
        <f t="shared" ca="1" si="146"/>
        <v>0</v>
      </c>
      <c r="BD65" s="18">
        <f t="shared" ca="1" si="146"/>
        <v>0</v>
      </c>
      <c r="BE65" s="18">
        <f t="shared" ca="1" si="146"/>
        <v>0</v>
      </c>
      <c r="BF65" s="18">
        <f t="shared" ca="1" si="146"/>
        <v>0</v>
      </c>
      <c r="BG65" s="18">
        <f t="shared" ca="1" si="146"/>
        <v>0</v>
      </c>
      <c r="BH65" s="18">
        <f t="shared" ca="1" si="146"/>
        <v>0</v>
      </c>
      <c r="BI65" s="18">
        <f t="shared" ca="1" si="146"/>
        <v>0</v>
      </c>
      <c r="BJ65" s="18">
        <f t="shared" ca="1" si="146"/>
        <v>0</v>
      </c>
      <c r="BK65" s="18">
        <f t="shared" ca="1" si="146"/>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41"/>
        <v>Paiements environnementaux - DGTCP (FNE)</v>
      </c>
      <c r="AA66" s="16">
        <f t="shared" ref="AA66:AI67" si="147">SUMPRODUCT(($A$84:$A$751=$Y66&amp;"- "&amp;$Z66)*($C$84:$C$751=AA$1)*($G$84:$G$751))</f>
        <v>0</v>
      </c>
      <c r="AB66" s="16">
        <f t="shared" si="147"/>
        <v>0</v>
      </c>
      <c r="AC66" s="16">
        <f t="shared" si="147"/>
        <v>0</v>
      </c>
      <c r="AD66" s="16">
        <f t="shared" si="147"/>
        <v>0</v>
      </c>
      <c r="AE66" s="16">
        <f t="shared" si="147"/>
        <v>0</v>
      </c>
      <c r="AF66" s="16">
        <f t="shared" si="147"/>
        <v>0</v>
      </c>
      <c r="AG66" s="16">
        <f t="shared" si="147"/>
        <v>0</v>
      </c>
      <c r="AH66" s="16">
        <f t="shared" si="147"/>
        <v>0</v>
      </c>
      <c r="AI66" s="16">
        <f t="shared" si="147"/>
        <v>0</v>
      </c>
      <c r="AJ66" s="16">
        <f>SUM(AA66:AI66)</f>
        <v>0</v>
      </c>
      <c r="AL66" s="17">
        <f>+B68</f>
        <v>0</v>
      </c>
      <c r="AM66" s="26" t="str">
        <f t="shared" si="143"/>
        <v>Paiements environnementaux - DGTCP (FNE)</v>
      </c>
      <c r="AN66" s="18">
        <f t="shared" ref="AN66:AU67" si="148">SUMPRODUCT(($J$84:$M$748=$AL66&amp;"- "&amp;$AM66)*($N$84:$N$748=AN$1)*($Q$84:$Q$748))</f>
        <v>0</v>
      </c>
      <c r="AO66" s="18">
        <f t="shared" si="148"/>
        <v>0</v>
      </c>
      <c r="AP66" s="18">
        <f t="shared" si="148"/>
        <v>0</v>
      </c>
      <c r="AQ66" s="18">
        <f t="shared" si="148"/>
        <v>0</v>
      </c>
      <c r="AR66" s="18">
        <f t="shared" si="148"/>
        <v>0</v>
      </c>
      <c r="AS66" s="18">
        <f t="shared" si="148"/>
        <v>0</v>
      </c>
      <c r="AT66" s="18">
        <f t="shared" si="148"/>
        <v>0</v>
      </c>
      <c r="AU66" s="18">
        <f t="shared" si="148"/>
        <v>0</v>
      </c>
      <c r="AV66" s="18">
        <f>SUM(AN66:AU66)</f>
        <v>0</v>
      </c>
      <c r="AW66" s="18"/>
      <c r="AX66" s="17">
        <f>B68</f>
        <v>0</v>
      </c>
      <c r="AY66" s="26" t="str">
        <f t="shared" si="145"/>
        <v>Paiements environnementaux - DGTCP (FNE)</v>
      </c>
      <c r="AZ66" s="18">
        <f t="shared" ref="AZ66:BK67" ca="1" si="149">SUMPRODUCT(($C$10:$C$75=$AY66)*($N$10:$N$75=AZ$1)*($M$10:$M$75))</f>
        <v>0</v>
      </c>
      <c r="BA66" s="18">
        <f t="shared" ca="1" si="149"/>
        <v>0</v>
      </c>
      <c r="BB66" s="18">
        <f t="shared" ca="1" si="149"/>
        <v>0</v>
      </c>
      <c r="BC66" s="18">
        <f t="shared" ca="1" si="149"/>
        <v>0</v>
      </c>
      <c r="BD66" s="18">
        <f t="shared" ca="1" si="149"/>
        <v>0</v>
      </c>
      <c r="BE66" s="18">
        <f t="shared" ca="1" si="149"/>
        <v>0</v>
      </c>
      <c r="BF66" s="18">
        <f t="shared" ca="1" si="149"/>
        <v>0</v>
      </c>
      <c r="BG66" s="18">
        <f t="shared" ca="1" si="149"/>
        <v>0</v>
      </c>
      <c r="BH66" s="18">
        <f t="shared" ca="1" si="149"/>
        <v>0</v>
      </c>
      <c r="BI66" s="18">
        <f t="shared" ca="1" si="149"/>
        <v>0</v>
      </c>
      <c r="BJ66" s="18">
        <f t="shared" ca="1" si="149"/>
        <v>0</v>
      </c>
      <c r="BK66" s="18">
        <f t="shared" ca="1" si="149"/>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41"/>
        <v>Taxes sur les appareils à pression de vapeur et de gaz (+)</v>
      </c>
      <c r="AA67" s="16">
        <f t="shared" si="147"/>
        <v>0</v>
      </c>
      <c r="AB67" s="16">
        <f t="shared" si="147"/>
        <v>0</v>
      </c>
      <c r="AC67" s="16">
        <f t="shared" si="147"/>
        <v>0</v>
      </c>
      <c r="AD67" s="16">
        <f t="shared" si="147"/>
        <v>0</v>
      </c>
      <c r="AE67" s="16">
        <f t="shared" si="147"/>
        <v>0</v>
      </c>
      <c r="AF67" s="16">
        <f t="shared" si="147"/>
        <v>0</v>
      </c>
      <c r="AG67" s="16">
        <f t="shared" si="147"/>
        <v>0</v>
      </c>
      <c r="AH67" s="16">
        <f t="shared" si="147"/>
        <v>0</v>
      </c>
      <c r="AI67" s="16">
        <f t="shared" si="147"/>
        <v>0</v>
      </c>
      <c r="AJ67" s="16">
        <f>SUM(AA67:AI67)</f>
        <v>0</v>
      </c>
      <c r="AL67" s="17">
        <f>+B69</f>
        <v>48</v>
      </c>
      <c r="AM67" s="26" t="str">
        <f t="shared" si="143"/>
        <v>Taxes sur les appareils à pression de vapeur et de gaz (+)</v>
      </c>
      <c r="AN67" s="18">
        <f t="shared" si="148"/>
        <v>0</v>
      </c>
      <c r="AO67" s="18">
        <f t="shared" si="148"/>
        <v>0</v>
      </c>
      <c r="AP67" s="18">
        <f t="shared" si="148"/>
        <v>0</v>
      </c>
      <c r="AQ67" s="18">
        <f t="shared" si="148"/>
        <v>0</v>
      </c>
      <c r="AR67" s="18">
        <f t="shared" si="148"/>
        <v>0</v>
      </c>
      <c r="AS67" s="18">
        <f t="shared" si="148"/>
        <v>0</v>
      </c>
      <c r="AT67" s="18">
        <f t="shared" si="148"/>
        <v>0</v>
      </c>
      <c r="AU67" s="18">
        <f t="shared" si="148"/>
        <v>0</v>
      </c>
      <c r="AV67" s="18">
        <f>SUM(AN67:AU67)</f>
        <v>0</v>
      </c>
      <c r="AW67" s="18"/>
      <c r="AX67" s="17">
        <f>B69</f>
        <v>48</v>
      </c>
      <c r="AY67" s="26" t="str">
        <f t="shared" si="145"/>
        <v>Taxes sur les appareils à pression de vapeur et de gaz (+)</v>
      </c>
      <c r="AZ67" s="18">
        <f t="shared" ca="1" si="149"/>
        <v>0</v>
      </c>
      <c r="BA67" s="18">
        <f t="shared" ca="1" si="149"/>
        <v>0</v>
      </c>
      <c r="BB67" s="18">
        <f t="shared" ca="1" si="149"/>
        <v>0</v>
      </c>
      <c r="BC67" s="18">
        <f t="shared" ca="1" si="149"/>
        <v>0</v>
      </c>
      <c r="BD67" s="18">
        <f t="shared" ca="1" si="149"/>
        <v>0</v>
      </c>
      <c r="BE67" s="18">
        <f t="shared" ca="1" si="149"/>
        <v>0</v>
      </c>
      <c r="BF67" s="18">
        <f t="shared" ca="1" si="149"/>
        <v>0</v>
      </c>
      <c r="BG67" s="18">
        <f t="shared" ca="1" si="149"/>
        <v>0</v>
      </c>
      <c r="BH67" s="18">
        <f t="shared" ca="1" si="149"/>
        <v>0</v>
      </c>
      <c r="BI67" s="18">
        <f t="shared" ca="1" si="149"/>
        <v>0</v>
      </c>
      <c r="BJ67" s="18">
        <f t="shared" ca="1" si="149"/>
        <v>0</v>
      </c>
      <c r="BK67" s="18">
        <f t="shared" ca="1" si="149"/>
        <v>0</v>
      </c>
    </row>
    <row r="68" spans="1:64">
      <c r="A68" s="80"/>
      <c r="B68" s="163"/>
      <c r="C68" s="58" t="str">
        <f>+'Taxes RCA 2022'!B61</f>
        <v>Paiements environnementaux - DGTCP (FNE)</v>
      </c>
      <c r="E68" s="166">
        <f>SUM(E69:E76)</f>
        <v>0</v>
      </c>
      <c r="F68" s="166">
        <f t="shared" ref="F68:G68" si="150">SUM(F69:F76)</f>
        <v>0</v>
      </c>
      <c r="G68" s="166">
        <f t="shared" si="150"/>
        <v>0</v>
      </c>
      <c r="H68" s="114"/>
      <c r="I68" s="166">
        <f>SUM(I69:I76)</f>
        <v>0</v>
      </c>
      <c r="J68" s="166">
        <f t="shared" ref="J68" ca="1" si="151">SUM(J69:J76)</f>
        <v>0</v>
      </c>
      <c r="K68" s="166">
        <f t="shared" ref="K68" ca="1" si="152">SUM(K69:K76)</f>
        <v>0</v>
      </c>
      <c r="L68" s="114"/>
      <c r="M68" s="166">
        <f t="shared" ref="M68" ca="1" si="153">SUM(M69:M76)</f>
        <v>0</v>
      </c>
      <c r="N68" s="58"/>
      <c r="O68" s="38"/>
      <c r="P68" s="39"/>
      <c r="Y68" s="28"/>
      <c r="Z68" s="28" t="str">
        <f t="shared" si="141"/>
        <v>Taxes à la pollution (+)</v>
      </c>
      <c r="AA68" s="29">
        <f>SUM(AA69:AA69)</f>
        <v>0</v>
      </c>
      <c r="AB68" s="29">
        <f t="shared" ref="AB68:AJ68" si="154">SUM(AB69:AB69)</f>
        <v>0</v>
      </c>
      <c r="AC68" s="29">
        <f t="shared" si="154"/>
        <v>0</v>
      </c>
      <c r="AD68" s="29">
        <f t="shared" si="154"/>
        <v>0</v>
      </c>
      <c r="AE68" s="29">
        <f t="shared" si="154"/>
        <v>0</v>
      </c>
      <c r="AF68" s="29">
        <f t="shared" si="154"/>
        <v>0</v>
      </c>
      <c r="AG68" s="29">
        <f t="shared" si="154"/>
        <v>0</v>
      </c>
      <c r="AH68" s="29">
        <f t="shared" si="154"/>
        <v>0</v>
      </c>
      <c r="AI68" s="29">
        <f t="shared" si="154"/>
        <v>0</v>
      </c>
      <c r="AJ68" s="29">
        <f t="shared" si="154"/>
        <v>0</v>
      </c>
      <c r="AL68" s="28"/>
      <c r="AM68" s="28" t="str">
        <f t="shared" si="143"/>
        <v>Taxes à la pollution (+)</v>
      </c>
      <c r="AN68" s="29">
        <f t="shared" ref="AN68:AV68" si="155">SUM(AN69:AN70)</f>
        <v>0</v>
      </c>
      <c r="AO68" s="29">
        <f t="shared" si="155"/>
        <v>0</v>
      </c>
      <c r="AP68" s="29">
        <f t="shared" si="155"/>
        <v>0</v>
      </c>
      <c r="AQ68" s="29">
        <f t="shared" si="155"/>
        <v>0</v>
      </c>
      <c r="AR68" s="29">
        <f t="shared" si="155"/>
        <v>0</v>
      </c>
      <c r="AS68" s="29">
        <f t="shared" si="155"/>
        <v>0</v>
      </c>
      <c r="AT68" s="29">
        <f t="shared" si="155"/>
        <v>0</v>
      </c>
      <c r="AU68" s="29">
        <f t="shared" si="155"/>
        <v>0</v>
      </c>
      <c r="AV68" s="29">
        <f t="shared" si="155"/>
        <v>0</v>
      </c>
      <c r="AW68" s="38"/>
      <c r="AX68" s="28"/>
      <c r="AY68" s="28" t="str">
        <f t="shared" si="145"/>
        <v>Taxes à la pollution (+)</v>
      </c>
      <c r="AZ68" s="29">
        <f t="shared" ref="AZ68:BK68" ca="1" si="156">SUM(AZ69:AZ70)</f>
        <v>0</v>
      </c>
      <c r="BA68" s="29">
        <f t="shared" ca="1" si="156"/>
        <v>0</v>
      </c>
      <c r="BB68" s="29">
        <f t="shared" ca="1" si="156"/>
        <v>0</v>
      </c>
      <c r="BC68" s="29">
        <f t="shared" ca="1" si="156"/>
        <v>0</v>
      </c>
      <c r="BD68" s="29">
        <f t="shared" ca="1" si="156"/>
        <v>0</v>
      </c>
      <c r="BE68" s="29">
        <f t="shared" ca="1" si="156"/>
        <v>0</v>
      </c>
      <c r="BF68" s="29">
        <f t="shared" ca="1" si="156"/>
        <v>0</v>
      </c>
      <c r="BG68" s="29">
        <f t="shared" ca="1" si="156"/>
        <v>0</v>
      </c>
      <c r="BH68" s="29">
        <f t="shared" ca="1" si="156"/>
        <v>0</v>
      </c>
      <c r="BI68" s="29">
        <f t="shared" ca="1" si="156"/>
        <v>0</v>
      </c>
      <c r="BJ68" s="29">
        <f t="shared" ca="1" si="156"/>
        <v>0</v>
      </c>
      <c r="BK68" s="29">
        <f t="shared" ca="1" si="156"/>
        <v>0</v>
      </c>
    </row>
    <row r="69" spans="1:64">
      <c r="A69" s="80"/>
      <c r="B69" s="53">
        <f>+'Taxes RCA 2022'!A62</f>
        <v>48</v>
      </c>
      <c r="C69" s="18" t="str">
        <f>+'Taxes RCA 2022'!B62</f>
        <v>Taxes sur les appareils à pression de vapeur et de gaz (+)</v>
      </c>
      <c r="E69" s="114"/>
      <c r="F69" s="114">
        <f t="shared" ref="F69:F76" si="157">SUMIF($A$84:$A$751,B69&amp;"- "&amp;C69,$G$84:$G$751)</f>
        <v>0</v>
      </c>
      <c r="G69" s="114">
        <f t="shared" ref="G69:G76" si="158">E69+F69</f>
        <v>0</v>
      </c>
      <c r="H69" s="114"/>
      <c r="I69" s="114"/>
      <c r="J69" s="114">
        <f t="shared" ref="J69:J76" ca="1" si="159">SUMIF($J$84:$M$749,B69&amp;"- "&amp;C69,$Q$84:$Q$749)</f>
        <v>0</v>
      </c>
      <c r="K69" s="114">
        <f t="shared" ref="K69:K76" ca="1" si="160">I69+J69</f>
        <v>0</v>
      </c>
      <c r="L69" s="114"/>
      <c r="M69" s="114">
        <f t="shared" ref="M69:M76" ca="1" si="161">+G69-K69</f>
        <v>0</v>
      </c>
      <c r="N69" s="18"/>
      <c r="O69" s="38"/>
      <c r="P69" s="39"/>
      <c r="Y69" s="15">
        <f>B71</f>
        <v>50</v>
      </c>
      <c r="Z69" s="25" t="str">
        <f t="shared" si="141"/>
        <v>Redevances annuelles résultant des inspections et contrôle des installations classées (+)</v>
      </c>
      <c r="AA69" s="16">
        <f t="shared" ref="AA69:AI69" si="162">SUMPRODUCT(($A$84:$A$751=$Y69&amp;"- "&amp;$Z69)*($C$84:$C$751=AA$1)*($G$84:$G$751))</f>
        <v>0</v>
      </c>
      <c r="AB69" s="16">
        <f t="shared" si="162"/>
        <v>0</v>
      </c>
      <c r="AC69" s="16">
        <f t="shared" si="162"/>
        <v>0</v>
      </c>
      <c r="AD69" s="16">
        <f t="shared" si="162"/>
        <v>0</v>
      </c>
      <c r="AE69" s="16">
        <f t="shared" si="162"/>
        <v>0</v>
      </c>
      <c r="AF69" s="16">
        <f t="shared" si="162"/>
        <v>0</v>
      </c>
      <c r="AG69" s="16">
        <f t="shared" si="162"/>
        <v>0</v>
      </c>
      <c r="AH69" s="16">
        <f t="shared" si="162"/>
        <v>0</v>
      </c>
      <c r="AI69" s="16">
        <f t="shared" si="162"/>
        <v>0</v>
      </c>
      <c r="AJ69" s="16">
        <f>SUM(AA69:AI69)</f>
        <v>0</v>
      </c>
      <c r="AL69" s="17">
        <f>+B71</f>
        <v>50</v>
      </c>
      <c r="AM69" s="26" t="str">
        <f t="shared" si="143"/>
        <v>Redevances annuelles résultant des inspections et contrôle des installations classées (+)</v>
      </c>
      <c r="AN69" s="18">
        <f t="shared" ref="AN69:AU69" si="163">SUMPRODUCT(($J$84:$M$748=$AL69&amp;"- "&amp;$AM69)*($N$84:$N$748=AN$1)*($Q$84:$Q$748))</f>
        <v>0</v>
      </c>
      <c r="AO69" s="18">
        <f t="shared" si="163"/>
        <v>0</v>
      </c>
      <c r="AP69" s="18">
        <f t="shared" si="163"/>
        <v>0</v>
      </c>
      <c r="AQ69" s="18">
        <f t="shared" si="163"/>
        <v>0</v>
      </c>
      <c r="AR69" s="18">
        <f t="shared" si="163"/>
        <v>0</v>
      </c>
      <c r="AS69" s="18">
        <f t="shared" si="163"/>
        <v>0</v>
      </c>
      <c r="AT69" s="18">
        <f t="shared" si="163"/>
        <v>0</v>
      </c>
      <c r="AU69" s="18">
        <f t="shared" si="163"/>
        <v>0</v>
      </c>
      <c r="AV69" s="18">
        <f>SUM(AN69:AU69)</f>
        <v>0</v>
      </c>
      <c r="AW69" s="18"/>
      <c r="AX69" s="17">
        <f>B71</f>
        <v>50</v>
      </c>
      <c r="AY69" s="26" t="str">
        <f t="shared" si="145"/>
        <v>Redevances annuelles résultant des inspections et contrôle des installations classées (+)</v>
      </c>
      <c r="AZ69" s="18">
        <f t="shared" ref="AZ69:BK69" ca="1" si="164">SUMPRODUCT(($C$10:$C$75=$AY69)*($N$10:$N$75=AZ$1)*($M$10:$M$75))</f>
        <v>0</v>
      </c>
      <c r="BA69" s="18">
        <f t="shared" ca="1" si="164"/>
        <v>0</v>
      </c>
      <c r="BB69" s="18">
        <f t="shared" ca="1" si="164"/>
        <v>0</v>
      </c>
      <c r="BC69" s="18">
        <f t="shared" ca="1" si="164"/>
        <v>0</v>
      </c>
      <c r="BD69" s="18">
        <f t="shared" ca="1" si="164"/>
        <v>0</v>
      </c>
      <c r="BE69" s="18">
        <f t="shared" ca="1" si="164"/>
        <v>0</v>
      </c>
      <c r="BF69" s="18">
        <f t="shared" ca="1" si="164"/>
        <v>0</v>
      </c>
      <c r="BG69" s="18">
        <f t="shared" ca="1" si="164"/>
        <v>0</v>
      </c>
      <c r="BH69" s="18">
        <f t="shared" ca="1" si="164"/>
        <v>0</v>
      </c>
      <c r="BI69" s="18">
        <f t="shared" ca="1" si="164"/>
        <v>0</v>
      </c>
      <c r="BJ69" s="18">
        <f t="shared" ca="1" si="164"/>
        <v>0</v>
      </c>
      <c r="BK69" s="18">
        <f t="shared" ca="1" si="164"/>
        <v>0</v>
      </c>
    </row>
    <row r="70" spans="1:64">
      <c r="A70" s="80">
        <f t="shared" si="29"/>
        <v>49</v>
      </c>
      <c r="B70" s="64">
        <f>+'Taxes RCA 2022'!A63</f>
        <v>49</v>
      </c>
      <c r="C70" s="68" t="str">
        <f>+'Taxes RCA 2022'!B63</f>
        <v>Taxes à la pollution (+)</v>
      </c>
      <c r="E70" s="165"/>
      <c r="F70" s="165">
        <f t="shared" si="157"/>
        <v>0</v>
      </c>
      <c r="G70" s="165">
        <f t="shared" si="158"/>
        <v>0</v>
      </c>
      <c r="H70" s="114"/>
      <c r="I70" s="165"/>
      <c r="J70" s="165">
        <f t="shared" ca="1" si="159"/>
        <v>0</v>
      </c>
      <c r="K70" s="165">
        <f t="shared" ca="1" si="160"/>
        <v>0</v>
      </c>
      <c r="L70" s="114"/>
      <c r="M70" s="165">
        <f t="shared" ca="1" si="161"/>
        <v>0</v>
      </c>
      <c r="N70" s="68"/>
      <c r="O70" s="38" t="str">
        <f t="shared" ca="1" si="46"/>
        <v/>
      </c>
      <c r="P70" s="39"/>
      <c r="Y70" s="15"/>
      <c r="Z70" s="25" t="str">
        <f t="shared" si="141"/>
        <v>Taxes superficiaires encaissées par le FNE (+)</v>
      </c>
      <c r="AA70" s="16">
        <f t="shared" ref="AA70:AJ70" si="165">SUM(AA71:AA71)</f>
        <v>0</v>
      </c>
      <c r="AB70" s="16">
        <f t="shared" si="165"/>
        <v>0</v>
      </c>
      <c r="AC70" s="16">
        <f t="shared" si="165"/>
        <v>0</v>
      </c>
      <c r="AD70" s="16">
        <f t="shared" si="165"/>
        <v>0</v>
      </c>
      <c r="AE70" s="16">
        <f t="shared" si="165"/>
        <v>0</v>
      </c>
      <c r="AF70" s="16">
        <f t="shared" si="165"/>
        <v>0</v>
      </c>
      <c r="AG70" s="16">
        <f t="shared" si="165"/>
        <v>0</v>
      </c>
      <c r="AH70" s="16">
        <f t="shared" si="165"/>
        <v>0</v>
      </c>
      <c r="AI70" s="16">
        <f t="shared" si="165"/>
        <v>0</v>
      </c>
      <c r="AJ70" s="16">
        <f t="shared" si="165"/>
        <v>0</v>
      </c>
      <c r="AL70" s="17"/>
      <c r="AM70" s="26" t="str">
        <f t="shared" si="143"/>
        <v>Taxes superficiaires encaissées par le FNE (+)</v>
      </c>
      <c r="AN70" s="18">
        <f t="shared" ref="AN70:AU70" si="166">SUM(AN71:AN71)</f>
        <v>0</v>
      </c>
      <c r="AO70" s="18">
        <f t="shared" si="166"/>
        <v>0</v>
      </c>
      <c r="AP70" s="18">
        <f t="shared" si="166"/>
        <v>0</v>
      </c>
      <c r="AQ70" s="18">
        <f t="shared" si="166"/>
        <v>0</v>
      </c>
      <c r="AR70" s="18">
        <f t="shared" si="166"/>
        <v>0</v>
      </c>
      <c r="AS70" s="18">
        <f t="shared" si="166"/>
        <v>0</v>
      </c>
      <c r="AT70" s="18">
        <f t="shared" si="166"/>
        <v>0</v>
      </c>
      <c r="AU70" s="18">
        <f t="shared" si="166"/>
        <v>0</v>
      </c>
      <c r="AV70" s="18">
        <f>SUM(AV71:AV71)</f>
        <v>0</v>
      </c>
      <c r="AW70" s="18"/>
      <c r="AX70" s="17"/>
      <c r="AY70" s="26" t="str">
        <f t="shared" si="145"/>
        <v>Taxes superficiaires encaissées par le FNE (+)</v>
      </c>
      <c r="AZ70" s="18">
        <f t="shared" ref="AZ70:BK70" ca="1" si="167">SUM(AZ71:AZ71)</f>
        <v>0</v>
      </c>
      <c r="BA70" s="18">
        <f t="shared" ca="1" si="167"/>
        <v>0</v>
      </c>
      <c r="BB70" s="18">
        <f t="shared" ca="1" si="167"/>
        <v>0</v>
      </c>
      <c r="BC70" s="18">
        <f t="shared" ca="1" si="167"/>
        <v>0</v>
      </c>
      <c r="BD70" s="18">
        <f t="shared" ca="1" si="167"/>
        <v>0</v>
      </c>
      <c r="BE70" s="18">
        <f t="shared" ca="1" si="167"/>
        <v>0</v>
      </c>
      <c r="BF70" s="18">
        <f t="shared" ca="1" si="167"/>
        <v>0</v>
      </c>
      <c r="BG70" s="18">
        <f t="shared" ca="1" si="167"/>
        <v>0</v>
      </c>
      <c r="BH70" s="18">
        <f t="shared" ca="1" si="167"/>
        <v>0</v>
      </c>
      <c r="BI70" s="18">
        <f t="shared" ca="1" si="167"/>
        <v>0</v>
      </c>
      <c r="BJ70" s="18">
        <f t="shared" ca="1" si="167"/>
        <v>0</v>
      </c>
      <c r="BK70" s="18">
        <f t="shared" ca="1" si="167"/>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7"/>
        <v>0</v>
      </c>
      <c r="G71" s="114">
        <f t="shared" si="158"/>
        <v>0</v>
      </c>
      <c r="H71" s="114"/>
      <c r="I71" s="114"/>
      <c r="J71" s="114">
        <f t="shared" ca="1" si="159"/>
        <v>0</v>
      </c>
      <c r="K71" s="114">
        <f t="shared" ca="1" si="160"/>
        <v>0</v>
      </c>
      <c r="L71" s="114"/>
      <c r="M71" s="114">
        <f t="shared" ca="1" si="161"/>
        <v>0</v>
      </c>
      <c r="N71" s="18"/>
      <c r="O71" s="38" t="str">
        <f t="shared" ca="1" si="46"/>
        <v/>
      </c>
      <c r="P71" s="39" t="str">
        <f ca="1">IF(O71="ERROR","Please insert comment","")</f>
        <v/>
      </c>
      <c r="Y71" s="15">
        <f>B73</f>
        <v>52</v>
      </c>
      <c r="Z71" s="25" t="str">
        <f t="shared" si="141"/>
        <v>Taxes de remise en état (+)</v>
      </c>
      <c r="AA71" s="16">
        <f t="shared" ref="AA71:AI73" si="168">SUMPRODUCT(($A$84:$A$751=$Y71&amp;"- "&amp;$Z71)*($C$84:$C$751=AA$1)*($G$84:$G$751))</f>
        <v>0</v>
      </c>
      <c r="AB71" s="16">
        <f t="shared" si="168"/>
        <v>0</v>
      </c>
      <c r="AC71" s="16">
        <f t="shared" si="168"/>
        <v>0</v>
      </c>
      <c r="AD71" s="16">
        <f t="shared" si="168"/>
        <v>0</v>
      </c>
      <c r="AE71" s="16">
        <f t="shared" si="168"/>
        <v>0</v>
      </c>
      <c r="AF71" s="16">
        <f t="shared" si="168"/>
        <v>0</v>
      </c>
      <c r="AG71" s="16">
        <f t="shared" si="168"/>
        <v>0</v>
      </c>
      <c r="AH71" s="16">
        <f t="shared" si="168"/>
        <v>0</v>
      </c>
      <c r="AI71" s="16">
        <f t="shared" si="168"/>
        <v>0</v>
      </c>
      <c r="AJ71" s="16">
        <f>SUM(AA71:AI71)</f>
        <v>0</v>
      </c>
      <c r="AL71" s="17">
        <f>+B73</f>
        <v>52</v>
      </c>
      <c r="AM71" s="26" t="str">
        <f t="shared" si="143"/>
        <v>Taxes de remise en état (+)</v>
      </c>
      <c r="AN71" s="18">
        <f t="shared" ref="AN71:AU71" si="169">SUMPRODUCT(($J$84:$M$748=$AL71&amp;"- "&amp;$AM71)*($N$84:$N$748=AN$1)*($Q$84:$Q$748))</f>
        <v>0</v>
      </c>
      <c r="AO71" s="18">
        <f t="shared" si="169"/>
        <v>0</v>
      </c>
      <c r="AP71" s="18">
        <f t="shared" si="169"/>
        <v>0</v>
      </c>
      <c r="AQ71" s="18">
        <f t="shared" si="169"/>
        <v>0</v>
      </c>
      <c r="AR71" s="18">
        <f t="shared" si="169"/>
        <v>0</v>
      </c>
      <c r="AS71" s="18">
        <f t="shared" si="169"/>
        <v>0</v>
      </c>
      <c r="AT71" s="18">
        <f t="shared" si="169"/>
        <v>0</v>
      </c>
      <c r="AU71" s="18">
        <f t="shared" si="169"/>
        <v>0</v>
      </c>
      <c r="AV71" s="18">
        <f>SUM(AN71:AU71)</f>
        <v>0</v>
      </c>
      <c r="AW71" s="18"/>
      <c r="AX71" s="17">
        <f>B73</f>
        <v>52</v>
      </c>
      <c r="AY71" s="26" t="str">
        <f t="shared" si="145"/>
        <v>Taxes de remise en état (+)</v>
      </c>
      <c r="AZ71" s="18">
        <f t="shared" ref="AZ71:BK71" ca="1" si="170">SUMPRODUCT(($C$10:$C$75=$AY71)*($N$10:$N$75=AZ$1)*($M$10:$M$75))</f>
        <v>0</v>
      </c>
      <c r="BA71" s="18">
        <f t="shared" ca="1" si="170"/>
        <v>0</v>
      </c>
      <c r="BB71" s="18">
        <f t="shared" ca="1" si="170"/>
        <v>0</v>
      </c>
      <c r="BC71" s="18">
        <f t="shared" ca="1" si="170"/>
        <v>0</v>
      </c>
      <c r="BD71" s="18">
        <f t="shared" ca="1" si="170"/>
        <v>0</v>
      </c>
      <c r="BE71" s="18">
        <f t="shared" ca="1" si="170"/>
        <v>0</v>
      </c>
      <c r="BF71" s="18">
        <f t="shared" ca="1" si="170"/>
        <v>0</v>
      </c>
      <c r="BG71" s="18">
        <f t="shared" ca="1" si="170"/>
        <v>0</v>
      </c>
      <c r="BH71" s="18">
        <f t="shared" ca="1" si="170"/>
        <v>0</v>
      </c>
      <c r="BI71" s="18">
        <f t="shared" ca="1" si="170"/>
        <v>0</v>
      </c>
      <c r="BJ71" s="18">
        <f t="shared" ca="1" si="170"/>
        <v>0</v>
      </c>
      <c r="BK71" s="18">
        <f t="shared" ca="1" si="170"/>
        <v>0</v>
      </c>
    </row>
    <row r="72" spans="1:64">
      <c r="A72" s="80">
        <f t="shared" si="29"/>
        <v>51</v>
      </c>
      <c r="B72" s="64">
        <f>+'Taxes RCA 2022'!A65</f>
        <v>51</v>
      </c>
      <c r="C72" s="68" t="str">
        <f>+'Taxes RCA 2022'!B65</f>
        <v>Taxes superficiaires encaissées par le FNE (+)</v>
      </c>
      <c r="E72" s="165"/>
      <c r="F72" s="165">
        <f t="shared" si="157"/>
        <v>0</v>
      </c>
      <c r="G72" s="165">
        <f t="shared" si="158"/>
        <v>0</v>
      </c>
      <c r="H72" s="114"/>
      <c r="I72" s="165"/>
      <c r="J72" s="165">
        <f t="shared" ca="1" si="159"/>
        <v>0</v>
      </c>
      <c r="K72" s="165">
        <f t="shared" ca="1" si="160"/>
        <v>0</v>
      </c>
      <c r="L72" s="114"/>
      <c r="M72" s="165">
        <f t="shared" ca="1" si="161"/>
        <v>0</v>
      </c>
      <c r="N72" s="68"/>
      <c r="Y72" s="15"/>
      <c r="Z72" s="25" t="str">
        <f t="shared" si="141"/>
        <v>Taxes environnementales sur les Stes forestières et Minières (+)</v>
      </c>
      <c r="AA72" s="16">
        <f t="shared" si="168"/>
        <v>0</v>
      </c>
      <c r="AB72" s="16">
        <f t="shared" si="168"/>
        <v>0</v>
      </c>
      <c r="AC72" s="16">
        <f t="shared" si="168"/>
        <v>0</v>
      </c>
      <c r="AD72" s="16">
        <f t="shared" si="168"/>
        <v>0</v>
      </c>
      <c r="AE72" s="16">
        <f t="shared" si="168"/>
        <v>0</v>
      </c>
      <c r="AF72" s="16">
        <f t="shared" si="168"/>
        <v>0</v>
      </c>
      <c r="AG72" s="16">
        <f t="shared" si="168"/>
        <v>0</v>
      </c>
      <c r="AH72" s="16">
        <f t="shared" si="168"/>
        <v>0</v>
      </c>
      <c r="AI72" s="16">
        <f t="shared" si="168"/>
        <v>0</v>
      </c>
      <c r="AJ72" s="16">
        <f>SUM(AA72:AI72)</f>
        <v>0</v>
      </c>
      <c r="AL72" s="17"/>
      <c r="AM72" s="26" t="str">
        <f t="shared" si="143"/>
        <v>Taxes environnementales sur les Stes forestières et Minières (+)</v>
      </c>
      <c r="AN72" s="18">
        <f t="shared" ref="AN72:AV72" si="171">SUM(AN73:AN73)</f>
        <v>0</v>
      </c>
      <c r="AO72" s="18">
        <f t="shared" si="171"/>
        <v>0</v>
      </c>
      <c r="AP72" s="18">
        <f t="shared" si="171"/>
        <v>0</v>
      </c>
      <c r="AQ72" s="18">
        <f t="shared" si="171"/>
        <v>0</v>
      </c>
      <c r="AR72" s="18">
        <f t="shared" si="171"/>
        <v>0</v>
      </c>
      <c r="AS72" s="18">
        <f t="shared" si="171"/>
        <v>0</v>
      </c>
      <c r="AT72" s="18">
        <f t="shared" si="171"/>
        <v>0</v>
      </c>
      <c r="AU72" s="18">
        <f t="shared" si="171"/>
        <v>0</v>
      </c>
      <c r="AV72" s="18">
        <f t="shared" si="171"/>
        <v>0</v>
      </c>
      <c r="AW72" s="18"/>
      <c r="AX72" s="17"/>
      <c r="AY72" s="26" t="str">
        <f t="shared" si="145"/>
        <v>Taxes environnementales sur les Stes forestières et Minières (+)</v>
      </c>
      <c r="AZ72" s="18">
        <f t="shared" ref="AZ72:BK72" ca="1" si="172">SUM(AZ73:AZ73)</f>
        <v>0</v>
      </c>
      <c r="BA72" s="18">
        <f t="shared" ca="1" si="172"/>
        <v>0</v>
      </c>
      <c r="BB72" s="18">
        <f t="shared" ca="1" si="172"/>
        <v>0</v>
      </c>
      <c r="BC72" s="18">
        <f t="shared" ca="1" si="172"/>
        <v>0</v>
      </c>
      <c r="BD72" s="18">
        <f t="shared" ca="1" si="172"/>
        <v>0</v>
      </c>
      <c r="BE72" s="18">
        <f t="shared" ca="1" si="172"/>
        <v>0</v>
      </c>
      <c r="BF72" s="18">
        <f t="shared" ca="1" si="172"/>
        <v>0</v>
      </c>
      <c r="BG72" s="18">
        <f t="shared" ca="1" si="172"/>
        <v>0</v>
      </c>
      <c r="BH72" s="18">
        <f t="shared" ca="1" si="172"/>
        <v>0</v>
      </c>
      <c r="BI72" s="18">
        <f t="shared" ca="1" si="172"/>
        <v>0</v>
      </c>
      <c r="BJ72" s="18">
        <f t="shared" ca="1" si="172"/>
        <v>0</v>
      </c>
      <c r="BK72" s="18">
        <f t="shared" ca="1" si="172"/>
        <v>0</v>
      </c>
      <c r="BL72" s="41"/>
    </row>
    <row r="73" spans="1:64">
      <c r="A73" s="80">
        <f t="shared" si="29"/>
        <v>52</v>
      </c>
      <c r="B73" s="53">
        <f>+'Taxes RCA 2022'!A66</f>
        <v>52</v>
      </c>
      <c r="C73" s="18" t="str">
        <f>+'Taxes RCA 2022'!B66</f>
        <v>Taxes de remise en état (+)</v>
      </c>
      <c r="E73" s="114"/>
      <c r="F73" s="114">
        <f t="shared" si="157"/>
        <v>0</v>
      </c>
      <c r="G73" s="114">
        <f t="shared" si="158"/>
        <v>0</v>
      </c>
      <c r="H73" s="114"/>
      <c r="I73" s="114"/>
      <c r="J73" s="114">
        <f t="shared" ca="1" si="159"/>
        <v>0</v>
      </c>
      <c r="K73" s="114">
        <f t="shared" ca="1" si="160"/>
        <v>0</v>
      </c>
      <c r="L73" s="114"/>
      <c r="M73" s="114">
        <f t="shared" ca="1" si="161"/>
        <v>0</v>
      </c>
      <c r="N73" s="18"/>
      <c r="O73" s="38" t="str">
        <f ca="1">IF(M73=0,"",IF(N73=0,"ERROR",""))</f>
        <v/>
      </c>
      <c r="P73" s="39" t="str">
        <f ca="1">IF(O73="ERROR","Please insert comment","")</f>
        <v/>
      </c>
      <c r="Y73" s="15">
        <v>58</v>
      </c>
      <c r="Z73" s="25" t="str">
        <f t="shared" si="141"/>
        <v xml:space="preserve">Amendes environnementales </v>
      </c>
      <c r="AA73" s="16">
        <f t="shared" si="168"/>
        <v>0</v>
      </c>
      <c r="AB73" s="16">
        <f t="shared" si="168"/>
        <v>0</v>
      </c>
      <c r="AC73" s="16">
        <f t="shared" si="168"/>
        <v>0</v>
      </c>
      <c r="AD73" s="16">
        <f t="shared" si="168"/>
        <v>0</v>
      </c>
      <c r="AE73" s="16">
        <f t="shared" si="168"/>
        <v>0</v>
      </c>
      <c r="AF73" s="16">
        <f t="shared" si="168"/>
        <v>0</v>
      </c>
      <c r="AG73" s="16">
        <f t="shared" si="168"/>
        <v>0</v>
      </c>
      <c r="AH73" s="16">
        <f t="shared" si="168"/>
        <v>0</v>
      </c>
      <c r="AI73" s="16">
        <f t="shared" si="168"/>
        <v>0</v>
      </c>
      <c r="AJ73" s="16">
        <f>SUM(AA73:AI73)</f>
        <v>0</v>
      </c>
      <c r="AL73" s="17">
        <f>+B75</f>
        <v>54</v>
      </c>
      <c r="AM73" s="26" t="str">
        <f t="shared" si="143"/>
        <v xml:space="preserve">Amendes environnementales </v>
      </c>
      <c r="AN73" s="18">
        <f t="shared" ref="AN73:AU73" si="173">SUMPRODUCT(($J$84:$M$748=$AL73&amp;"- "&amp;$AM73)*($N$84:$N$748=AN$1)*($Q$84:$Q$748))</f>
        <v>0</v>
      </c>
      <c r="AO73" s="18">
        <f t="shared" si="173"/>
        <v>0</v>
      </c>
      <c r="AP73" s="18">
        <f t="shared" si="173"/>
        <v>0</v>
      </c>
      <c r="AQ73" s="18">
        <f t="shared" si="173"/>
        <v>0</v>
      </c>
      <c r="AR73" s="18">
        <f t="shared" si="173"/>
        <v>0</v>
      </c>
      <c r="AS73" s="18">
        <f t="shared" si="173"/>
        <v>0</v>
      </c>
      <c r="AT73" s="18">
        <f t="shared" si="173"/>
        <v>0</v>
      </c>
      <c r="AU73" s="18">
        <f t="shared" si="173"/>
        <v>0</v>
      </c>
      <c r="AV73" s="18">
        <f>SUM(AN73:AU73)</f>
        <v>0</v>
      </c>
      <c r="AW73" s="18"/>
      <c r="AX73" s="17">
        <f>B75</f>
        <v>54</v>
      </c>
      <c r="AY73" s="26" t="str">
        <f t="shared" si="145"/>
        <v xml:space="preserve">Amendes environnementales </v>
      </c>
      <c r="AZ73" s="18">
        <f t="shared" ref="AZ73:BK73" ca="1" si="174">SUMPRODUCT(($C$10:$C$75=$AY73)*($N$10:$N$75=AZ$1)*($M$10:$M$75))</f>
        <v>0</v>
      </c>
      <c r="BA73" s="18">
        <f t="shared" ca="1" si="174"/>
        <v>0</v>
      </c>
      <c r="BB73" s="18">
        <f t="shared" ca="1" si="174"/>
        <v>0</v>
      </c>
      <c r="BC73" s="18">
        <f t="shared" ca="1" si="174"/>
        <v>0</v>
      </c>
      <c r="BD73" s="18">
        <f t="shared" ca="1" si="174"/>
        <v>0</v>
      </c>
      <c r="BE73" s="18">
        <f t="shared" ca="1" si="174"/>
        <v>0</v>
      </c>
      <c r="BF73" s="18">
        <f t="shared" ca="1" si="174"/>
        <v>0</v>
      </c>
      <c r="BG73" s="18">
        <f t="shared" ca="1" si="174"/>
        <v>0</v>
      </c>
      <c r="BH73" s="18">
        <f t="shared" ca="1" si="174"/>
        <v>0</v>
      </c>
      <c r="BI73" s="18">
        <f t="shared" ca="1" si="174"/>
        <v>0</v>
      </c>
      <c r="BJ73" s="18">
        <f t="shared" ca="1" si="174"/>
        <v>0</v>
      </c>
      <c r="BK73" s="18">
        <f t="shared" ca="1" si="174"/>
        <v>0</v>
      </c>
    </row>
    <row r="74" spans="1:64">
      <c r="A74" s="80"/>
      <c r="B74" s="64">
        <f>+'Taxes RCA 2022'!A67</f>
        <v>53</v>
      </c>
      <c r="C74" s="68" t="str">
        <f>+'Taxes RCA 2022'!B67</f>
        <v>Taxes environnementales sur les Stes forestières et Minières (+)</v>
      </c>
      <c r="E74" s="165"/>
      <c r="F74" s="165">
        <f t="shared" si="157"/>
        <v>0</v>
      </c>
      <c r="G74" s="165">
        <f t="shared" si="158"/>
        <v>0</v>
      </c>
      <c r="H74" s="167">
        <v>808920</v>
      </c>
      <c r="I74" s="165"/>
      <c r="J74" s="165">
        <f t="shared" ca="1" si="159"/>
        <v>0</v>
      </c>
      <c r="K74" s="165">
        <f t="shared" ca="1" si="160"/>
        <v>0</v>
      </c>
      <c r="L74" s="114"/>
      <c r="M74" s="165">
        <f t="shared" ca="1" si="161"/>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7"/>
        <v>0</v>
      </c>
      <c r="G75" s="114">
        <f t="shared" si="158"/>
        <v>0</v>
      </c>
      <c r="H75" s="114"/>
      <c r="I75" s="114"/>
      <c r="J75" s="114">
        <f t="shared" ca="1" si="159"/>
        <v>0</v>
      </c>
      <c r="K75" s="114">
        <f t="shared" ca="1" si="160"/>
        <v>0</v>
      </c>
      <c r="L75" s="114"/>
      <c r="M75" s="114">
        <f t="shared" ca="1" si="161"/>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7"/>
        <v>0</v>
      </c>
      <c r="G76" s="165">
        <f t="shared" si="158"/>
        <v>0</v>
      </c>
      <c r="H76" s="168"/>
      <c r="I76" s="165"/>
      <c r="J76" s="165">
        <f t="shared" ca="1" si="159"/>
        <v>0</v>
      </c>
      <c r="K76" s="165">
        <f t="shared" ca="1" si="160"/>
        <v>0</v>
      </c>
      <c r="L76" s="168"/>
      <c r="M76" s="165">
        <f t="shared" ca="1" si="161"/>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5">+F78+F79</f>
        <v>0</v>
      </c>
      <c r="G77" s="166">
        <f t="shared" si="175"/>
        <v>0</v>
      </c>
      <c r="H77" s="169"/>
      <c r="I77" s="166">
        <f t="shared" ref="I77:K77" si="176">+I78+I79</f>
        <v>1111246</v>
      </c>
      <c r="J77" s="166">
        <f t="shared" ca="1" si="176"/>
        <v>0</v>
      </c>
      <c r="K77" s="166">
        <f t="shared" ca="1" si="176"/>
        <v>1111246</v>
      </c>
      <c r="L77" s="169"/>
      <c r="M77" s="166">
        <f ca="1">+M78+M79</f>
        <v>-1111246</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v>1111246</v>
      </c>
      <c r="J78" s="114">
        <f ca="1">SUMIF($J$84:$M$749,B78&amp;"- "&amp;C78,$Q$84:$Q$749)</f>
        <v>0</v>
      </c>
      <c r="K78" s="114">
        <f ca="1">I78+J78</f>
        <v>1111246</v>
      </c>
      <c r="L78" s="114"/>
      <c r="M78" s="114">
        <f ca="1">+G78-K78</f>
        <v>-1111246</v>
      </c>
      <c r="N78" s="18"/>
      <c r="O78" s="38" t="str">
        <f ca="1">IF(M78=0,"",IF(N78=0,"ERROR",""))</f>
        <v>ERROR</v>
      </c>
      <c r="P78" s="39" t="str">
        <f ca="1">IF(O78="ERROR","Please insert comment","")</f>
        <v>Please insert comment</v>
      </c>
      <c r="Q78" s="35"/>
      <c r="Y78" s="15">
        <f>B45</f>
        <v>0</v>
      </c>
      <c r="Z78" s="25" t="str">
        <f>C45</f>
        <v xml:space="preserve">Paiements infranationaux au profit des communes </v>
      </c>
      <c r="AA78" s="16">
        <f t="shared" ref="AA78:AI78" si="177">SUMPRODUCT(($A$84:$A$751=$Y78&amp;"- "&amp;$Z78)*($C$84:$C$751=AA$1)*($G$84:$G$751))</f>
        <v>0</v>
      </c>
      <c r="AB78" s="16">
        <f t="shared" si="177"/>
        <v>0</v>
      </c>
      <c r="AC78" s="16">
        <f t="shared" si="177"/>
        <v>0</v>
      </c>
      <c r="AD78" s="16">
        <f t="shared" si="177"/>
        <v>0</v>
      </c>
      <c r="AE78" s="16">
        <f t="shared" si="177"/>
        <v>0</v>
      </c>
      <c r="AF78" s="16">
        <f t="shared" si="177"/>
        <v>0</v>
      </c>
      <c r="AG78" s="16">
        <f t="shared" si="177"/>
        <v>0</v>
      </c>
      <c r="AH78" s="16">
        <f t="shared" si="177"/>
        <v>0</v>
      </c>
      <c r="AI78" s="16">
        <f t="shared" si="177"/>
        <v>0</v>
      </c>
      <c r="AJ78" s="16">
        <f>SUM(AA78:AI78)</f>
        <v>0</v>
      </c>
      <c r="AL78" s="17">
        <f>+B45</f>
        <v>0</v>
      </c>
      <c r="AM78" s="26" t="str">
        <f>+C45</f>
        <v xml:space="preserve">Paiements infranationaux au profit des communes </v>
      </c>
      <c r="AN78" s="18">
        <f t="shared" ref="AN78:AU78" si="178">SUMPRODUCT(($J$84:$M$748=$AL78&amp;"- "&amp;$AM78)*($N$84:$N$748=AN$1)*($Q$84:$Q$748))</f>
        <v>0</v>
      </c>
      <c r="AO78" s="18">
        <f t="shared" si="178"/>
        <v>0</v>
      </c>
      <c r="AP78" s="18">
        <f t="shared" si="178"/>
        <v>0</v>
      </c>
      <c r="AQ78" s="18">
        <f t="shared" si="178"/>
        <v>0</v>
      </c>
      <c r="AR78" s="18">
        <f t="shared" si="178"/>
        <v>0</v>
      </c>
      <c r="AS78" s="18">
        <f t="shared" si="178"/>
        <v>0</v>
      </c>
      <c r="AT78" s="18">
        <f t="shared" si="178"/>
        <v>0</v>
      </c>
      <c r="AU78" s="18">
        <f t="shared" si="178"/>
        <v>0</v>
      </c>
      <c r="AV78" s="18">
        <f>SUM(AN78:AU78)</f>
        <v>0</v>
      </c>
      <c r="AW78" s="18"/>
      <c r="AX78" s="17">
        <f>B45</f>
        <v>0</v>
      </c>
      <c r="AY78" s="26" t="str">
        <f>C45</f>
        <v xml:space="preserve">Paiements infranationaux au profit des communes </v>
      </c>
      <c r="AZ78" s="18">
        <f t="shared" ref="AZ78:BK78" ca="1" si="179">SUMPRODUCT(($C$10:$C$75=$AY78)*($N$10:$N$75=AZ$1)*($M$10:$M$75))</f>
        <v>0</v>
      </c>
      <c r="BA78" s="18">
        <f t="shared" ca="1" si="179"/>
        <v>0</v>
      </c>
      <c r="BB78" s="18">
        <f t="shared" ca="1" si="179"/>
        <v>0</v>
      </c>
      <c r="BC78" s="18">
        <f t="shared" ca="1" si="179"/>
        <v>0</v>
      </c>
      <c r="BD78" s="18">
        <f t="shared" ca="1" si="179"/>
        <v>0</v>
      </c>
      <c r="BE78" s="18">
        <f t="shared" ca="1" si="179"/>
        <v>0</v>
      </c>
      <c r="BF78" s="18">
        <f t="shared" ca="1" si="179"/>
        <v>0</v>
      </c>
      <c r="BG78" s="18">
        <f t="shared" ca="1" si="179"/>
        <v>0</v>
      </c>
      <c r="BH78" s="18">
        <f t="shared" ca="1" si="179"/>
        <v>0</v>
      </c>
      <c r="BI78" s="18">
        <f t="shared" ca="1" si="179"/>
        <v>0</v>
      </c>
      <c r="BJ78" s="18">
        <f t="shared" ca="1" si="179"/>
        <v>0</v>
      </c>
      <c r="BK78" s="18">
        <f t="shared" ca="1" si="179"/>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L84" s="60"/>
      <c r="N84" s="97"/>
      <c r="O84" s="121"/>
      <c r="P84" s="129"/>
      <c r="Q84" s="14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L85" s="60"/>
      <c r="N85" s="97"/>
      <c r="O85" s="121"/>
      <c r="P85" s="129"/>
      <c r="Q85" s="145"/>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51" priority="6" operator="containsText" text="ERROR">
      <formula>NOT(ISERROR(SEARCH("ERROR",T17)))</formula>
    </cfRule>
  </conditionalFormatting>
  <conditionalFormatting sqref="T42">
    <cfRule type="containsText" dxfId="50" priority="5" operator="containsText" text="ERROR">
      <formula>NOT(ISERROR(SEARCH("ERROR",T42)))</formula>
    </cfRule>
  </conditionalFormatting>
  <conditionalFormatting sqref="W19">
    <cfRule type="containsText" dxfId="49" priority="1" operator="containsText" text="ERROR">
      <formula>NOT(ISERROR(SEARCH("ERROR",W19)))</formula>
    </cfRule>
  </conditionalFormatting>
  <conditionalFormatting sqref="BL72">
    <cfRule type="containsText" dxfId="48" priority="2" operator="containsText" text="ERROR">
      <formula>NOT(ISERROR(SEARCH("ERROR",BL72)))</formula>
    </cfRule>
  </conditionalFormatting>
  <dataValidations count="5">
    <dataValidation type="list" allowBlank="1" showInputMessage="1" showErrorMessage="1" sqref="M93:M95 M131:M748 L97:M98 L84:L96 L100:L748" xr:uid="{8FA89E6E-7FAD-4FD3-B6E1-95C6B40CDF4C}">
      <formula1>Taxes</formula1>
    </dataValidation>
    <dataValidation type="list" allowBlank="1" showInputMessage="1" showErrorMessage="1" sqref="N5:N8 N73 N75 N77:N79 N10:N71" xr:uid="{A1D37109-3595-4CA0-BFB8-66D767AD69D5}">
      <formula1>FinalDiff</formula1>
    </dataValidation>
    <dataValidation type="list" allowBlank="1" showInputMessage="1" showErrorMessage="1" sqref="C84:C752" xr:uid="{4B799BCD-C37B-4510-87B2-6D15F454687E}">
      <formula1>Compadjust</formula1>
    </dataValidation>
    <dataValidation type="list" allowBlank="1" showInputMessage="1" showErrorMessage="1" sqref="N84:N749" xr:uid="{681CB7A8-E4E9-4EFF-90BA-47DEEA623336}">
      <formula1>Govadjust</formula1>
    </dataValidation>
    <dataValidation type="list" allowBlank="1" showErrorMessage="1" errorTitle="Taxes" error="Non valid entry. Please check the tax list" promptTitle="Taxes" prompt="Please select the tax subject to adjustment" sqref="B84:B105" xr:uid="{B0A37B33-B4F2-45B6-B585-CCF8858A1257}">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982EEEFF-5A1A-44F1-9810-7F2889404F93}">
          <x14:formula1>
            <xm:f>Lists!$A$131:$A$132</xm:f>
          </x14:formula1>
          <xm:sqref>K84:K749</xm:sqref>
        </x14:dataValidation>
        <x14:dataValidation type="list" allowBlank="1" showInputMessage="1" showErrorMessage="1" xr:uid="{3CC88510-AA3C-48E7-A51A-627973AD4113}">
          <x14:formula1>
            <xm:f>Lists!$A$7:$A$64</xm:f>
          </x14:formula1>
          <xm:sqref>J84:J749</xm:sqref>
        </x14:dataValidation>
        <x14:dataValidation type="list" allowBlank="1" showErrorMessage="1" errorTitle="Taxes" error="Non valid entry. Please check the tax list" promptTitle="Taxes" prompt="Please select the tax subject to adjustment" xr:uid="{69783AC4-3A0D-482E-AF0F-92CAE2634530}">
          <x14:formula1>
            <xm:f>Lists!$A$7:$A$64</xm:f>
          </x14:formula1>
          <xm:sqref>A84:A751</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tabColor rgb="FFFFC000"/>
  </sheetPr>
  <dimension ref="A1:BL753"/>
  <sheetViews>
    <sheetView showGridLines="0" topLeftCell="B1" zoomScaleNormal="100" workbookViewId="0">
      <selection activeCell="J2" sqref="J2"/>
    </sheetView>
  </sheetViews>
  <sheetFormatPr baseColWidth="10" defaultColWidth="11.54296875" defaultRowHeight="12" outlineLevelCol="1"/>
  <cols>
    <col min="1" max="1" width="28.54296875" style="17" hidden="1" customWidth="1"/>
    <col min="2" max="2" width="4.453125" style="17" customWidth="1"/>
    <col min="3" max="3" width="49.81640625"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2.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Companies!B18</f>
        <v>Midas Ressources SARLU</v>
      </c>
      <c r="F1" s="32">
        <f>Companies!C18</f>
        <v>0</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0</v>
      </c>
      <c r="J8" s="164">
        <f ca="1">+J9+J13+J15+J17+J40+J45+J47+J52+J55+J62+J65+J68+J77</f>
        <v>0</v>
      </c>
      <c r="K8" s="164">
        <f ca="1">+K9+K13+K15+K17+K40+K45+K47+K52+K55+K62+K65+K68+K77</f>
        <v>0</v>
      </c>
      <c r="L8" s="114"/>
      <c r="M8" s="164">
        <f ca="1">+M9+M13+M15+M17+M40+M45+M52+M55+M62+M65+M68+M77+M47</f>
        <v>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SUMIF($J$84:$M$749,B18&amp;"- "&amp;C18,$Q$84:$Q$749)</f>
        <v>0</v>
      </c>
      <c r="K18" s="114">
        <f t="shared" ref="K18:K39" ca="1" si="58">I18+J18</f>
        <v>0</v>
      </c>
      <c r="L18" s="114"/>
      <c r="M18" s="114">
        <f t="shared" ref="M18:M39" ca="1" si="59">+G18-K18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46"/>
        <v/>
      </c>
      <c r="P19" s="39" t="str">
        <f t="shared" ca="1" si="47"/>
        <v/>
      </c>
      <c r="Q19" s="35"/>
      <c r="W19" s="41" t="str">
        <f ca="1">IF(M8=V15,"","ERROR")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6"/>
        <v/>
      </c>
      <c r="P22" s="39" t="str">
        <f t="shared" ca="1" si="47"/>
        <v/>
      </c>
      <c r="Q22" s="35"/>
      <c r="Y22" s="28"/>
      <c r="Z22" s="28" t="str">
        <f t="shared" ref="Z22:Z53"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53"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53"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SUMPRODUCT(($A$84:$A$751=$Y23&amp;"- "&amp;$Z23)*($C$84:$C$751=AA$1)*($G$84:$G$751))</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SUMPRODUCT(($J$84:$M$748=$AL23&amp;"- "&amp;$AM23)*($N$84:$N$748=AN$1)*($Q$84:$Q$748))</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t="shared" ca="1" si="46"/>
        <v/>
      </c>
      <c r="P24" s="39" t="str">
        <f t="shared" ca="1" si="47"/>
        <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6"/>
        <v/>
      </c>
      <c r="P25" s="39" t="str">
        <f t="shared" ca="1" si="47"/>
        <v/>
      </c>
      <c r="Q25" s="35"/>
      <c r="R25" s="21" t="str">
        <f>Lists!A80</f>
        <v>Taxes perçues non reportées par l'Etat</v>
      </c>
      <c r="S25" s="18">
        <f t="shared" ref="S25:S32" si="74">SUMIF($N$84:$N$749,R25,$Q$84:$Q$749)</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0"/>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2"/>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4"/>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78">B37</f>
        <v>25</v>
      </c>
      <c r="Z34" s="25" t="str">
        <f t="shared" si="60"/>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2"/>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4"/>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78"/>
        <v>26</v>
      </c>
      <c r="Z35" s="25" t="str">
        <f t="shared" si="60"/>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2"/>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4"/>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78"/>
        <v>27</v>
      </c>
      <c r="Z36" s="25" t="str">
        <f t="shared" si="60"/>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2"/>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4"/>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6">IF(O37="ERROR","Please insert comment","")</f>
        <v/>
      </c>
      <c r="Q37" s="35"/>
      <c r="Y37" s="15">
        <f t="shared" si="78"/>
        <v>0</v>
      </c>
      <c r="Z37" s="25" t="str">
        <f t="shared" si="60"/>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2"/>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4"/>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6"/>
        <v/>
      </c>
      <c r="Q38" s="35"/>
      <c r="Y38" s="15">
        <f t="shared" si="78"/>
        <v>28</v>
      </c>
      <c r="Z38" s="25" t="str">
        <f t="shared" si="60"/>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2"/>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4"/>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6"/>
        <v/>
      </c>
      <c r="Q39" s="35"/>
      <c r="Y39" s="15">
        <f t="shared" si="78"/>
        <v>29</v>
      </c>
      <c r="Z39" s="25" t="str">
        <f t="shared" si="60"/>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2"/>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4"/>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IF(J8=S33,"","ERROR")</f>
        <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60"/>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2"/>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4"/>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SUMIF($J$84:$M$749,B48&amp;"- "&amp;C48,$Q$84:$Q$749)</f>
        <v>0</v>
      </c>
      <c r="K48" s="114">
        <f ca="1">I48+J48</f>
        <v>0</v>
      </c>
      <c r="L48" s="114"/>
      <c r="M48" s="114">
        <f ca="1">+G48-K48</f>
        <v>0</v>
      </c>
      <c r="N48" s="18"/>
      <c r="O48" s="38" t="str">
        <f t="shared" ca="1" si="46"/>
        <v/>
      </c>
      <c r="P48" s="39" t="str">
        <f t="shared" ca="1" si="86"/>
        <v/>
      </c>
      <c r="Y48" s="15">
        <f t="shared" si="78"/>
        <v>36</v>
      </c>
      <c r="Z48" s="25" t="str">
        <f t="shared" si="60"/>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2"/>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4"/>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SUMIF($J$84:$M$749,B49&amp;"- "&amp;C49,$Q$84:$Q$749)</f>
        <v>0</v>
      </c>
      <c r="K49" s="165">
        <f ca="1">I49+J49</f>
        <v>0</v>
      </c>
      <c r="L49" s="114"/>
      <c r="M49" s="165">
        <f ca="1">+G49-K49</f>
        <v>0</v>
      </c>
      <c r="N49" s="68"/>
      <c r="O49" s="38" t="str">
        <f t="shared" ca="1" si="46"/>
        <v/>
      </c>
      <c r="P49" s="39" t="str">
        <f t="shared" ca="1" si="86"/>
        <v/>
      </c>
      <c r="Y49" s="15">
        <f t="shared" si="78"/>
        <v>0</v>
      </c>
      <c r="Z49" s="25" t="str">
        <f t="shared" si="60"/>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2"/>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4"/>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60"/>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2"/>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4"/>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60"/>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2"/>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4"/>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0</v>
      </c>
      <c r="J52" s="166">
        <f t="shared" ref="J52" ca="1" si="105">+J53+J54</f>
        <v>0</v>
      </c>
      <c r="K52" s="166">
        <f t="shared" ref="K52" ca="1" si="106">+K53+K54</f>
        <v>0</v>
      </c>
      <c r="L52" s="114"/>
      <c r="M52" s="166">
        <f t="shared" ref="M52" ca="1" si="107">+M53+M54</f>
        <v>0</v>
      </c>
      <c r="N52" s="58"/>
      <c r="O52" s="38" t="str">
        <f ca="1">IF(M52=0,"",IF(N52=0,"ERROR",""))</f>
        <v/>
      </c>
      <c r="P52" s="39" t="str">
        <f ca="1">IF(O52="ERROR","Please insert comment","")</f>
        <v/>
      </c>
      <c r="Y52" s="15">
        <f t="shared" si="96"/>
        <v>0</v>
      </c>
      <c r="Z52" s="25" t="str">
        <f t="shared" si="60"/>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2"/>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4"/>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SUMIF($J$84:$M$749,B53&amp;"- "&amp;C53,$Q$84:$Q$749)</f>
        <v>0</v>
      </c>
      <c r="K53" s="114">
        <f ca="1">I53+J53</f>
        <v>0</v>
      </c>
      <c r="L53" s="114"/>
      <c r="M53" s="114">
        <f ca="1">+G53-K53</f>
        <v>0</v>
      </c>
      <c r="N53" s="18"/>
      <c r="O53" s="38"/>
      <c r="P53" s="39"/>
      <c r="Y53" s="15">
        <f t="shared" si="96"/>
        <v>0</v>
      </c>
      <c r="Z53" s="25" t="str">
        <f t="shared" si="60"/>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2"/>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4"/>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SUMIF($J$84:$M$749,B54&amp;"- "&amp;C54,$Q$84:$Q$749)</f>
        <v>0</v>
      </c>
      <c r="K54" s="165">
        <f ca="1">I54+J54</f>
        <v>0</v>
      </c>
      <c r="L54" s="114"/>
      <c r="M54" s="165">
        <f ca="1">+G54-K54</f>
        <v>0</v>
      </c>
      <c r="N54" s="68"/>
      <c r="O54" s="38" t="str">
        <f t="shared" ca="1" si="46"/>
        <v/>
      </c>
      <c r="P54" s="39" t="str">
        <f ca="1">IF(O54="ERROR","Please insert comment","")</f>
        <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t="str">
        <f t="shared" ca="1" si="46"/>
        <v/>
      </c>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60"/>
      <c r="F84" s="130"/>
      <c r="G84" s="146"/>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6"/>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J86" s="61" t="s">
        <v>190</v>
      </c>
      <c r="L86" s="60"/>
      <c r="N86" s="97"/>
      <c r="P86" s="129"/>
      <c r="Q86" s="145">
        <f>-I38</f>
        <v>0</v>
      </c>
      <c r="R86" s="97"/>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J87" s="61" t="s">
        <v>178</v>
      </c>
      <c r="L87" s="60"/>
      <c r="N87" s="97"/>
      <c r="O87" s="121"/>
      <c r="P87" s="129"/>
      <c r="Q87" s="145">
        <f>-Q86</f>
        <v>0</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6"/>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6"/>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6"/>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6"/>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6"/>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0</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E84">
    <cfRule type="duplicateValues" dxfId="47" priority="1"/>
  </conditionalFormatting>
  <conditionalFormatting sqref="T17">
    <cfRule type="containsText" dxfId="46" priority="7" operator="containsText" text="ERROR">
      <formula>NOT(ISERROR(SEARCH("ERROR",T17)))</formula>
    </cfRule>
  </conditionalFormatting>
  <conditionalFormatting sqref="T42">
    <cfRule type="containsText" dxfId="45" priority="6" operator="containsText" text="ERROR">
      <formula>NOT(ISERROR(SEARCH("ERROR",T42)))</formula>
    </cfRule>
  </conditionalFormatting>
  <conditionalFormatting sqref="W19">
    <cfRule type="containsText" dxfId="44" priority="2" operator="containsText" text="ERROR">
      <formula>NOT(ISERROR(SEARCH("ERROR",W19)))</formula>
    </cfRule>
  </conditionalFormatting>
  <conditionalFormatting sqref="BL72">
    <cfRule type="containsText" dxfId="43" priority="3" operator="containsText" text="ERROR">
      <formula>NOT(ISERROR(SEARCH("ERROR",BL72)))</formula>
    </cfRule>
  </conditionalFormatting>
  <dataValidations count="5">
    <dataValidation type="list" allowBlank="1" showInputMessage="1" showErrorMessage="1" sqref="N5:N8 N73 N75 N77:N79 N10:N71" xr:uid="{87145BFF-B179-410B-8426-FF0D7A752D7C}">
      <formula1>FinalDiff</formula1>
    </dataValidation>
    <dataValidation type="list" allowBlank="1" showInputMessage="1" showErrorMessage="1" sqref="N84:N749" xr:uid="{9DB211A2-9523-4512-87BD-D0BA89632BF4}">
      <formula1>Govadjust</formula1>
    </dataValidation>
    <dataValidation type="list" allowBlank="1" showInputMessage="1" showErrorMessage="1" sqref="M93:M95 L100:L748 M131:M748 L97:M98 L84:L96" xr:uid="{0D5E0308-9A2F-42DB-991A-A541E9B739A7}">
      <formula1>Taxes</formula1>
    </dataValidation>
    <dataValidation type="list" allowBlank="1" showInputMessage="1" showErrorMessage="1" sqref="C84:C752" xr:uid="{9FE59D7B-4DBC-4C75-A517-EAF909E2D137}">
      <formula1>Compadjust</formula1>
    </dataValidation>
    <dataValidation type="list" allowBlank="1" showErrorMessage="1" errorTitle="Taxes" error="Non valid entry. Please check the tax list" promptTitle="Taxes" prompt="Please select the tax subject to adjustment" sqref="B85:B105" xr:uid="{B17DB84E-E754-4846-9B2E-9C3FB38AE813}">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E6EB8A0A-F90C-4A2E-9207-BC8C5A3479E0}">
          <x14:formula1>
            <xm:f>Lists!$A$131:$A$132</xm:f>
          </x14:formula1>
          <xm:sqref>B84 K84:K749</xm:sqref>
        </x14:dataValidation>
        <x14:dataValidation type="list" allowBlank="1" showInputMessage="1" showErrorMessage="1" xr:uid="{E2AF821B-D4C6-4B21-8BD5-DC436F10B52C}">
          <x14:formula1>
            <xm:f>Lists!$A$7:$A$64</xm:f>
          </x14:formula1>
          <xm:sqref>J84:J749</xm:sqref>
        </x14:dataValidation>
        <x14:dataValidation type="list" allowBlank="1" showErrorMessage="1" errorTitle="Taxes" error="Non valid entry. Please check the tax list" promptTitle="Taxes" prompt="Please select the tax subject to adjustment" xr:uid="{18594970-810B-4551-A5A0-15EEED8E813A}">
          <x14:formula1>
            <xm:f>Lists!$A$7:$A$64</xm:f>
          </x14:formula1>
          <xm:sqref>A84:A751</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2"/>
  <dimension ref="A1:BL753"/>
  <sheetViews>
    <sheetView showGridLines="0" topLeftCell="C1" zoomScaleNormal="100" workbookViewId="0">
      <selection activeCell="J26" sqref="J26"/>
    </sheetView>
  </sheetViews>
  <sheetFormatPr baseColWidth="10" defaultColWidth="11.54296875" defaultRowHeight="12" outlineLevelCol="1"/>
  <cols>
    <col min="1" max="1" width="28.54296875" style="17" hidden="1" customWidth="1"/>
    <col min="2" max="2" width="4.453125" style="17" customWidth="1"/>
    <col min="3" max="3" width="56.5429687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5.816406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17" hidden="1" customWidth="1"/>
    <col min="26" max="26" width="38.81640625" style="21" hidden="1" customWidth="1"/>
    <col min="27" max="36" width="11.7265625" style="21" hidden="1" customWidth="1" outlineLevel="1"/>
    <col min="37" max="37" width="5" style="21" hidden="1" customWidth="1" collapsed="1"/>
    <col min="38" max="38" width="5.1796875" style="17" hidden="1" customWidth="1"/>
    <col min="39" max="39" width="38.81640625" style="21" hidden="1" customWidth="1"/>
    <col min="40" max="48" width="11.7265625" style="21"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Companies!B19</f>
        <v xml:space="preserve">SOCIETE D'EXPLOITATION FORESTIERE CENTRAFRICAINE </v>
      </c>
      <c r="F1" s="32" t="str">
        <f>Companies!C19</f>
        <v>M197292P001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905" t="str">
        <f>B5</f>
        <v>Paiements en nature</v>
      </c>
      <c r="Z2" s="905"/>
      <c r="AA2" s="110">
        <f>AA3+AA4</f>
        <v>0</v>
      </c>
      <c r="AB2" s="110">
        <f t="shared" ref="AB2:AJ2" si="0">AB3+AB4</f>
        <v>0</v>
      </c>
      <c r="AC2" s="110">
        <f t="shared" si="0"/>
        <v>0</v>
      </c>
      <c r="AD2" s="110">
        <f t="shared" si="0"/>
        <v>0</v>
      </c>
      <c r="AE2" s="110">
        <f t="shared" si="0"/>
        <v>0</v>
      </c>
      <c r="AF2" s="110">
        <f t="shared" si="0"/>
        <v>0</v>
      </c>
      <c r="AG2" s="110">
        <f t="shared" si="0"/>
        <v>0</v>
      </c>
      <c r="AH2" s="110">
        <f t="shared" si="0"/>
        <v>0</v>
      </c>
      <c r="AI2" s="110">
        <f t="shared" si="0"/>
        <v>0</v>
      </c>
      <c r="AJ2" s="110">
        <f t="shared" si="0"/>
        <v>0</v>
      </c>
      <c r="AL2" s="906" t="str">
        <f>B5</f>
        <v>Paiements en nature</v>
      </c>
      <c r="AM2" s="906"/>
      <c r="AN2" s="110">
        <f>AN3+AN4</f>
        <v>0</v>
      </c>
      <c r="AO2" s="110">
        <f t="shared" ref="AO2:AV2" si="1">AO3+AO4</f>
        <v>0</v>
      </c>
      <c r="AP2" s="110">
        <f t="shared" si="1"/>
        <v>0</v>
      </c>
      <c r="AQ2" s="110">
        <f t="shared" si="1"/>
        <v>0</v>
      </c>
      <c r="AR2" s="110">
        <f t="shared" si="1"/>
        <v>0</v>
      </c>
      <c r="AS2" s="110">
        <f t="shared" si="1"/>
        <v>0</v>
      </c>
      <c r="AT2" s="110">
        <f t="shared" si="1"/>
        <v>0</v>
      </c>
      <c r="AU2" s="110">
        <f t="shared" si="1"/>
        <v>0</v>
      </c>
      <c r="AV2" s="110">
        <f t="shared" si="1"/>
        <v>0</v>
      </c>
      <c r="AW2" s="111"/>
      <c r="AX2" s="906" t="str">
        <f>B5</f>
        <v>Paiements en nature</v>
      </c>
      <c r="AY2" s="906"/>
      <c r="AZ2" s="110">
        <f ca="1">AZ3+AZ4</f>
        <v>0</v>
      </c>
      <c r="BA2" s="110">
        <f t="shared" ref="BA2:BK2" ca="1" si="2">BA3+BA4</f>
        <v>0</v>
      </c>
      <c r="BB2" s="110">
        <f t="shared" ca="1" si="2"/>
        <v>0</v>
      </c>
      <c r="BC2" s="110">
        <f t="shared" ca="1" si="2"/>
        <v>0</v>
      </c>
      <c r="BD2" s="110">
        <f t="shared" ca="1" si="2"/>
        <v>0</v>
      </c>
      <c r="BE2" s="110">
        <f t="shared" ca="1" si="2"/>
        <v>0</v>
      </c>
      <c r="BF2" s="110">
        <f t="shared" ca="1" si="2"/>
        <v>0</v>
      </c>
      <c r="BG2" s="110">
        <f t="shared" ca="1" si="2"/>
        <v>0</v>
      </c>
      <c r="BH2" s="110">
        <f t="shared" ca="1" si="2"/>
        <v>0</v>
      </c>
      <c r="BI2" s="110">
        <f t="shared" ca="1" si="2"/>
        <v>0</v>
      </c>
      <c r="BJ2" s="110">
        <f t="shared" ca="1" si="2"/>
        <v>0</v>
      </c>
      <c r="BK2" s="110">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21">
        <f>B6</f>
        <v>0</v>
      </c>
      <c r="Z3" s="21">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21">
        <f>B7</f>
        <v>0</v>
      </c>
      <c r="Z4" s="21">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906" t="str">
        <f t="shared" ref="Y5" si="12">B8</f>
        <v>Paiements en numéraire</v>
      </c>
      <c r="Z5" s="906"/>
      <c r="AA5" s="110">
        <f t="shared" ref="AA5:AJ5" si="13">AA6+AA12+AA22+AA33+AA50+AA60+AA68+AA70+AA72+AA65</f>
        <v>0</v>
      </c>
      <c r="AB5" s="110">
        <f t="shared" si="13"/>
        <v>0</v>
      </c>
      <c r="AC5" s="110">
        <f t="shared" si="13"/>
        <v>0</v>
      </c>
      <c r="AD5" s="110">
        <f t="shared" si="13"/>
        <v>0</v>
      </c>
      <c r="AE5" s="110">
        <f t="shared" si="13"/>
        <v>0</v>
      </c>
      <c r="AF5" s="110">
        <f t="shared" si="13"/>
        <v>0</v>
      </c>
      <c r="AG5" s="110">
        <f t="shared" si="13"/>
        <v>0</v>
      </c>
      <c r="AH5" s="110">
        <f t="shared" si="13"/>
        <v>0</v>
      </c>
      <c r="AI5" s="110">
        <f t="shared" si="13"/>
        <v>0</v>
      </c>
      <c r="AJ5" s="110">
        <f t="shared" si="13"/>
        <v>0</v>
      </c>
      <c r="AL5" s="906" t="str">
        <f>B8</f>
        <v>Paiements en numéraire</v>
      </c>
      <c r="AM5" s="906"/>
      <c r="AN5" s="110">
        <f t="shared" ref="AN5:AV5" si="14">AN6+AN12+AN22+AN33+AN50+AN60+AN68+AN70+AN72+AN65</f>
        <v>0</v>
      </c>
      <c r="AO5" s="110">
        <f t="shared" si="14"/>
        <v>0</v>
      </c>
      <c r="AP5" s="110">
        <f t="shared" si="14"/>
        <v>0</v>
      </c>
      <c r="AQ5" s="110">
        <f t="shared" si="14"/>
        <v>0</v>
      </c>
      <c r="AR5" s="110">
        <f t="shared" si="14"/>
        <v>0</v>
      </c>
      <c r="AS5" s="110">
        <f t="shared" si="14"/>
        <v>0</v>
      </c>
      <c r="AT5" s="110">
        <f t="shared" si="14"/>
        <v>0</v>
      </c>
      <c r="AU5" s="110">
        <f t="shared" si="14"/>
        <v>0</v>
      </c>
      <c r="AV5" s="110">
        <f t="shared" si="14"/>
        <v>0</v>
      </c>
      <c r="AW5" s="111"/>
      <c r="AX5" s="906" t="str">
        <f>B8</f>
        <v>Paiements en numéraire</v>
      </c>
      <c r="AY5" s="906"/>
      <c r="AZ5" s="110">
        <f t="shared" ref="AZ5:BK5" ca="1" si="15">AZ6+AZ12+AZ22+AZ33+AZ50+AZ60+AZ68+AZ70+AZ72+AZ65</f>
        <v>0</v>
      </c>
      <c r="BA5" s="110">
        <f t="shared" ca="1" si="15"/>
        <v>0</v>
      </c>
      <c r="BB5" s="110">
        <f t="shared" ca="1" si="15"/>
        <v>0</v>
      </c>
      <c r="BC5" s="110">
        <f t="shared" ca="1" si="15"/>
        <v>0</v>
      </c>
      <c r="BD5" s="110">
        <f t="shared" ca="1" si="15"/>
        <v>0</v>
      </c>
      <c r="BE5" s="110">
        <f t="shared" ca="1" si="15"/>
        <v>0</v>
      </c>
      <c r="BF5" s="110">
        <f t="shared" ca="1" si="15"/>
        <v>0</v>
      </c>
      <c r="BG5" s="110">
        <f t="shared" ca="1" si="15"/>
        <v>0</v>
      </c>
      <c r="BH5" s="110">
        <f t="shared" ca="1" si="15"/>
        <v>0</v>
      </c>
      <c r="BI5" s="110">
        <f t="shared" ca="1" si="15"/>
        <v>0</v>
      </c>
      <c r="BJ5" s="110">
        <f t="shared" ca="1" si="15"/>
        <v>0</v>
      </c>
      <c r="BK5" s="110">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1362116901.4784298</v>
      </c>
      <c r="J8" s="164">
        <f ca="1">+J9+J13+J15+J17+J40+J45+J47+J52+J55+J62+J65+J68+J77</f>
        <v>297150368.85714287</v>
      </c>
      <c r="K8" s="164">
        <f ca="1">+K9+K13+K15+K17+K40+K45+K47+K52+K55+K62+K65+K68+K77</f>
        <v>1659267270.3355727</v>
      </c>
      <c r="L8" s="114"/>
      <c r="M8" s="164">
        <f ca="1">+M9+M13+M15+M17+M40+M45+M52+M55+M62+M65+M68+M77+M47</f>
        <v>-1659267270.3355727</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199529516</v>
      </c>
      <c r="K9" s="166">
        <f t="shared" ref="K9" ca="1" si="27">SUM(K10:K12)</f>
        <v>199529516</v>
      </c>
      <c r="L9" s="114"/>
      <c r="M9" s="166">
        <f t="shared" ref="M9" ca="1" si="28">SUM(M10:M12)</f>
        <v>-199529516</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11558011</v>
      </c>
      <c r="K10" s="165">
        <f>I10+J10</f>
        <v>11558011</v>
      </c>
      <c r="L10" s="114"/>
      <c r="M10" s="165">
        <f>+G10-K10</f>
        <v>-11558011</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187971505</v>
      </c>
      <c r="K11" s="114">
        <f>I11+J11</f>
        <v>187971505</v>
      </c>
      <c r="L11" s="114"/>
      <c r="M11" s="114">
        <f>+G11-K11</f>
        <v>-187971505</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606738193</v>
      </c>
      <c r="J17" s="166">
        <f t="shared" ref="J17" ca="1" si="52">SUM(J18:J39)</f>
        <v>97620852.857142866</v>
      </c>
      <c r="K17" s="166">
        <f t="shared" ref="K17" ca="1" si="53">SUM(K18:K39)</f>
        <v>704359045.85714293</v>
      </c>
      <c r="L17" s="114"/>
      <c r="M17" s="166">
        <f t="shared" ref="M17" ca="1" si="54">SUM(M18:M39)</f>
        <v>-704359045.85714293</v>
      </c>
      <c r="N17" s="58"/>
      <c r="O17" s="38" t="str">
        <f t="shared" ca="1" si="46"/>
        <v>ERROR</v>
      </c>
      <c r="P17" s="39" t="str">
        <f t="shared" ca="1" si="47"/>
        <v>Please insert comment</v>
      </c>
      <c r="Q17" s="35"/>
      <c r="T17" s="17"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3037382</v>
      </c>
      <c r="J19" s="165">
        <f ca="1">SUMIF($J$84:$M$749,C19,$Q$84:$Q$749)</f>
        <v>0</v>
      </c>
      <c r="K19" s="165">
        <f t="shared" ca="1" si="57"/>
        <v>3037382</v>
      </c>
      <c r="L19" s="114"/>
      <c r="M19" s="165">
        <f t="shared" ca="1" si="58"/>
        <v>-3037382</v>
      </c>
      <c r="N19" s="68"/>
      <c r="O19" s="38" t="str">
        <f t="shared" ca="1" si="46"/>
        <v>ERROR</v>
      </c>
      <c r="P19" s="39" t="str">
        <f t="shared" ca="1" si="47"/>
        <v>Please insert comment</v>
      </c>
      <c r="Q19" s="35"/>
      <c r="W19" s="17"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9266264</v>
      </c>
      <c r="J21" s="165">
        <f ca="1">SUMIF($J$84:$M$749,B21&amp;"- "&amp;C21,$Q$84:$Q$749)</f>
        <v>0</v>
      </c>
      <c r="K21" s="165">
        <f t="shared" ca="1" si="57"/>
        <v>9266264</v>
      </c>
      <c r="L21" s="114"/>
      <c r="M21" s="165">
        <f t="shared" ca="1" si="58"/>
        <v>-9266264</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v>227781990</v>
      </c>
      <c r="J23" s="165">
        <f ca="1">SUMIF($J$84:$M$749,C23,$Q$84:$Q$749)</f>
        <v>97620852.857142851</v>
      </c>
      <c r="K23" s="165">
        <f t="shared" ca="1" si="57"/>
        <v>325402842.85714287</v>
      </c>
      <c r="L23" s="114"/>
      <c r="M23" s="165">
        <f t="shared" ca="1" si="58"/>
        <v>-325402842.85714287</v>
      </c>
      <c r="N23" s="68"/>
      <c r="O23" s="38" t="str">
        <f t="shared" ca="1" si="46"/>
        <v>ERROR</v>
      </c>
      <c r="P23" s="39" t="str">
        <f t="shared" ca="1" si="47"/>
        <v>Please insert comment</v>
      </c>
      <c r="Q23" s="35"/>
      <c r="Y23" s="15">
        <f t="shared" ref="Y23:Y32" si="65">B26</f>
        <v>14</v>
      </c>
      <c r="Z23" s="25" t="str">
        <f t="shared" si="59"/>
        <v xml:space="preserve">Taxe de reboisement  </v>
      </c>
      <c r="AA23" s="16">
        <f t="shared" ref="AA23:AI32" si="66">SUMPRODUCT(($A$84:$A$751=$Y23&amp;"- "&amp;$Z23)*($C$84:$C$751=AA$1)*($G$84:$G$751))</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c r="J24" s="114">
        <f ca="1">SUMIF($J$84:$M$749,B24&amp;"- "&amp;C24,$Q$84:$Q$749)</f>
        <v>0</v>
      </c>
      <c r="K24" s="114">
        <f t="shared" ca="1" si="57"/>
        <v>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217610186</v>
      </c>
      <c r="J25" s="165">
        <f ca="1">SUMIF($J$84:$M$749,C25,$Q$84:$Q$749)</f>
        <v>0</v>
      </c>
      <c r="K25" s="165">
        <f t="shared" ca="1" si="57"/>
        <v>217610186</v>
      </c>
      <c r="L25" s="114"/>
      <c r="M25" s="165">
        <f t="shared" ca="1" si="58"/>
        <v>-217610186</v>
      </c>
      <c r="N25" s="68"/>
      <c r="O25" s="38"/>
      <c r="P25" s="39"/>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142993897</v>
      </c>
      <c r="K26" s="114">
        <f t="shared" ca="1" si="57"/>
        <v>142993897</v>
      </c>
      <c r="L26" s="114"/>
      <c r="M26" s="114">
        <f t="shared" ca="1" si="58"/>
        <v>-142993897</v>
      </c>
      <c r="N26" s="18"/>
      <c r="O26" s="38" t="str">
        <f t="shared" ca="1" si="46"/>
        <v>ERROR</v>
      </c>
      <c r="P26" s="39" t="str">
        <f t="shared" ca="1" si="47"/>
        <v>Please insert comment</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74"/>
        <v>0</v>
      </c>
      <c r="K28" s="114">
        <f t="shared" ca="1" si="57"/>
        <v>0</v>
      </c>
      <c r="L28" s="114"/>
      <c r="M28" s="114">
        <f t="shared" ca="1" si="58"/>
        <v>0</v>
      </c>
      <c r="N28" s="18"/>
      <c r="O28" s="38" t="str">
        <f t="shared" ca="1" si="46"/>
        <v/>
      </c>
      <c r="P28" s="39" t="str">
        <f t="shared" ca="1" si="47"/>
        <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2740574</v>
      </c>
      <c r="J29" s="165">
        <f t="shared" ca="1" si="74"/>
        <v>0</v>
      </c>
      <c r="K29" s="165">
        <f t="shared" ca="1" si="57"/>
        <v>2740574</v>
      </c>
      <c r="L29" s="114"/>
      <c r="M29" s="165">
        <f t="shared" ca="1" si="58"/>
        <v>-2740574</v>
      </c>
      <c r="N29" s="68"/>
      <c r="O29" s="38" t="str">
        <f t="shared" ca="1" si="46"/>
        <v>ERROR</v>
      </c>
      <c r="P29" s="39" t="str">
        <f t="shared" ca="1" si="47"/>
        <v>Please insert comment</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v>3307900</v>
      </c>
      <c r="J30" s="114">
        <f t="shared" ca="1" si="74"/>
        <v>0</v>
      </c>
      <c r="K30" s="114">
        <f t="shared" ca="1" si="57"/>
        <v>3307900</v>
      </c>
      <c r="L30" s="114"/>
      <c r="M30" s="114">
        <f t="shared" ca="1" si="58"/>
        <v>-3307900</v>
      </c>
      <c r="N30" s="18"/>
      <c r="O30" s="38" t="str">
        <f t="shared" ca="1" si="46"/>
        <v>ERROR</v>
      </c>
      <c r="P30" s="39" t="str">
        <f t="shared" ca="1" si="47"/>
        <v>Please insert comment</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v>142993897</v>
      </c>
      <c r="J38" s="114">
        <f ca="1">SUMIF($J$84:$M$749,C38,$Q$84:$Q$749)</f>
        <v>-142993897</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17"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306192405</v>
      </c>
      <c r="J47" s="166">
        <f ca="1">SUM(J48:J51)</f>
        <v>0</v>
      </c>
      <c r="K47" s="166">
        <f ca="1">SUM(K48:K51)</f>
        <v>306192405</v>
      </c>
      <c r="L47" s="114"/>
      <c r="M47" s="166">
        <f ca="1">SUM(M48:M51)</f>
        <v>-306192405</v>
      </c>
      <c r="N47" s="58"/>
      <c r="O47" s="38"/>
      <c r="P47" s="39"/>
      <c r="Y47" s="15"/>
      <c r="Z47" s="25"/>
      <c r="AA47" s="16"/>
      <c r="AB47" s="16"/>
      <c r="AC47" s="16"/>
      <c r="AD47" s="16"/>
      <c r="AE47" s="16"/>
      <c r="AF47" s="16"/>
      <c r="AG47" s="16"/>
      <c r="AH47" s="16"/>
      <c r="AI47" s="16"/>
      <c r="AJ47" s="16"/>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v>163198506</v>
      </c>
      <c r="J48" s="114">
        <f ca="1">SUMIF($J$84:$M$749,B48&amp;"- "&amp;C48,$Q$84:$Q$749)</f>
        <v>0</v>
      </c>
      <c r="K48" s="114">
        <f ca="1">I48+J48</f>
        <v>163198506</v>
      </c>
      <c r="L48" s="114"/>
      <c r="M48" s="114">
        <f ca="1">+G48-K48</f>
        <v>-163198506</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v>142993899</v>
      </c>
      <c r="J49" s="165">
        <f ca="1">SUMIF($J$84:$M$749,B49&amp;"- "&amp;C49,$Q$84:$Q$749)</f>
        <v>0</v>
      </c>
      <c r="K49" s="165">
        <f ca="1">I49+J49</f>
        <v>142993899</v>
      </c>
      <c r="L49" s="114"/>
      <c r="M49" s="165">
        <f ca="1">+G49-K49</f>
        <v>-142993899</v>
      </c>
      <c r="N49" s="68"/>
      <c r="O49" s="38" t="str">
        <f t="shared" ca="1" si="46"/>
        <v>ERROR</v>
      </c>
      <c r="P49" s="39" t="str">
        <f t="shared" ca="1" si="86"/>
        <v>Please insert comment</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449186303.47842973</v>
      </c>
      <c r="J52" s="166">
        <f t="shared" ref="J52" ca="1" si="105">+J53+J54</f>
        <v>0</v>
      </c>
      <c r="K52" s="166">
        <f t="shared" ref="K52" ca="1" si="106">+K53+K54</f>
        <v>449186303.47842973</v>
      </c>
      <c r="L52" s="114"/>
      <c r="M52" s="166">
        <f t="shared" ref="M52" ca="1" si="107">+M53+M54</f>
        <v>-449186303.47842973</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v>285987797.47842973</v>
      </c>
      <c r="J53" s="114">
        <f ca="1">SUMIF($J$84:$M$749,B53&amp;"- "&amp;C53,$Q$84:$Q$749)</f>
        <v>0</v>
      </c>
      <c r="K53" s="114">
        <f ca="1">I53+J53</f>
        <v>285987797.47842973</v>
      </c>
      <c r="L53" s="114"/>
      <c r="M53" s="114">
        <f ca="1">+G53-K53</f>
        <v>-285987797.47842973</v>
      </c>
      <c r="N53" s="18"/>
      <c r="O53" s="38"/>
      <c r="P53" s="39"/>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v>163198506</v>
      </c>
      <c r="J54" s="165">
        <f ca="1">SUMIF($J$84:$M$749,B54&amp;"- "&amp;C54,$Q$84:$Q$749)</f>
        <v>0</v>
      </c>
      <c r="K54" s="165">
        <f ca="1">I54+J54</f>
        <v>163198506</v>
      </c>
      <c r="L54" s="114"/>
      <c r="M54" s="165">
        <f ca="1">+G54-K54</f>
        <v>-163198506</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17"/>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AL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AL79" s="21"/>
    </row>
    <row r="80" spans="1:64">
      <c r="B80" s="381"/>
      <c r="C80" s="16"/>
      <c r="D80" s="20"/>
      <c r="E80" s="382"/>
      <c r="F80" s="382" t="str">
        <f>IF(F8=G753,"","ERROR")</f>
        <v/>
      </c>
      <c r="G80" s="382"/>
      <c r="H80" s="382"/>
      <c r="I80" s="382"/>
      <c r="J80" s="382" t="str">
        <f ca="1">IF(J8=Q751,"","ERROR")</f>
        <v/>
      </c>
      <c r="K80" s="382"/>
      <c r="L80" s="382"/>
      <c r="M80" s="382"/>
      <c r="N80" s="16"/>
    </row>
    <row r="81" spans="1:18">
      <c r="B81" s="381"/>
      <c r="C81" s="16"/>
      <c r="D81" s="20"/>
      <c r="E81" s="382"/>
      <c r="F81" s="382"/>
      <c r="G81" s="382"/>
      <c r="H81" s="382"/>
      <c r="I81" s="382"/>
      <c r="J81" s="382"/>
      <c r="K81" s="382"/>
      <c r="L81" s="382"/>
      <c r="M81" s="382"/>
      <c r="N81" s="16"/>
    </row>
    <row r="82" spans="1:18">
      <c r="A82" s="812" t="s">
        <v>12</v>
      </c>
      <c r="B82" s="812"/>
      <c r="C82" s="812"/>
      <c r="D82" s="812"/>
      <c r="E82" s="812"/>
      <c r="F82" s="812"/>
      <c r="G82" s="812"/>
      <c r="J82" s="812" t="s">
        <v>13</v>
      </c>
      <c r="K82" s="812"/>
      <c r="L82" s="812"/>
      <c r="M82" s="812"/>
      <c r="N82" s="812"/>
      <c r="O82" s="812"/>
      <c r="P82" s="812"/>
      <c r="Q82" s="812"/>
    </row>
    <row r="83" spans="1:1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18" s="61" customFormat="1">
      <c r="C84" s="60"/>
      <c r="E84" s="125"/>
      <c r="F84" s="128"/>
      <c r="G84" s="150"/>
      <c r="J84" s="61" t="s">
        <v>171</v>
      </c>
      <c r="L84" s="60"/>
      <c r="N84" s="97"/>
      <c r="O84" s="121"/>
      <c r="P84" s="129"/>
      <c r="Q84" s="145">
        <f>+-I18</f>
        <v>0</v>
      </c>
      <c r="R84" s="152"/>
    </row>
    <row r="85" spans="1:18" s="61" customFormat="1">
      <c r="C85" s="60"/>
      <c r="E85" s="125"/>
      <c r="F85" s="128"/>
      <c r="G85" s="150"/>
      <c r="J85" s="61" t="s">
        <v>177</v>
      </c>
      <c r="L85" s="60"/>
      <c r="N85" s="97"/>
      <c r="P85" s="129"/>
      <c r="Q85" s="145">
        <f>-Q84</f>
        <v>0</v>
      </c>
      <c r="R85" s="152"/>
    </row>
    <row r="86" spans="1:18" s="61" customFormat="1">
      <c r="C86" s="60"/>
      <c r="E86" s="125"/>
      <c r="F86" s="120"/>
      <c r="G86" s="150"/>
      <c r="J86" s="61" t="s">
        <v>190</v>
      </c>
      <c r="L86" s="60"/>
      <c r="N86" s="97"/>
      <c r="P86" s="129"/>
      <c r="Q86" s="145">
        <f>-I38</f>
        <v>-142993897</v>
      </c>
      <c r="R86" s="152"/>
    </row>
    <row r="87" spans="1:18" s="61" customFormat="1">
      <c r="C87" s="60"/>
      <c r="F87" s="128"/>
      <c r="G87" s="150"/>
      <c r="I87" s="153"/>
      <c r="J87" s="61" t="s">
        <v>178</v>
      </c>
      <c r="L87" s="60"/>
      <c r="N87" s="97"/>
      <c r="O87" s="121"/>
      <c r="P87" s="129"/>
      <c r="Q87" s="145">
        <f>-Q86</f>
        <v>142993897</v>
      </c>
      <c r="R87" s="152"/>
    </row>
    <row r="88" spans="1:18" s="61" customFormat="1">
      <c r="C88" s="60"/>
      <c r="F88" s="120"/>
      <c r="G88" s="150"/>
      <c r="J88" s="61" t="s">
        <v>176</v>
      </c>
      <c r="L88" s="60"/>
      <c r="N88" s="97"/>
      <c r="O88" s="125"/>
      <c r="P88" s="122"/>
      <c r="Q88" s="146">
        <f>+I23/0.7*0.3</f>
        <v>97620852.857142851</v>
      </c>
      <c r="R88" s="152"/>
    </row>
    <row r="89" spans="1:18" s="61" customFormat="1">
      <c r="C89" s="60"/>
      <c r="E89" s="125"/>
      <c r="F89" s="129"/>
      <c r="G89" s="150"/>
      <c r="J89" s="61" t="s">
        <v>165</v>
      </c>
      <c r="L89" s="60"/>
      <c r="N89" s="97"/>
      <c r="O89" s="135"/>
      <c r="P89" s="129"/>
      <c r="Q89" s="151">
        <v>11558011</v>
      </c>
    </row>
    <row r="90" spans="1:18" s="61" customFormat="1">
      <c r="C90" s="60"/>
      <c r="E90" s="125"/>
      <c r="F90" s="128"/>
      <c r="G90" s="150"/>
      <c r="J90" s="61" t="s">
        <v>167</v>
      </c>
      <c r="L90" s="60"/>
      <c r="N90" s="97"/>
      <c r="O90" s="135"/>
      <c r="P90" s="129"/>
      <c r="Q90" s="151">
        <v>187971505</v>
      </c>
    </row>
    <row r="91" spans="1:18" s="61" customFormat="1">
      <c r="C91" s="60"/>
      <c r="E91" s="125"/>
      <c r="F91" s="128"/>
      <c r="G91" s="146"/>
      <c r="L91" s="60"/>
      <c r="N91" s="97"/>
      <c r="O91" s="135"/>
      <c r="P91" s="129"/>
      <c r="Q91" s="151"/>
    </row>
    <row r="92" spans="1:18" s="61" customFormat="1">
      <c r="C92" s="60"/>
      <c r="E92" s="125"/>
      <c r="F92" s="128"/>
      <c r="G92" s="146"/>
      <c r="L92" s="60"/>
      <c r="N92" s="97"/>
      <c r="O92" s="135"/>
      <c r="P92" s="129"/>
      <c r="Q92" s="151"/>
    </row>
    <row r="93" spans="1:18" s="61" customFormat="1">
      <c r="C93" s="60"/>
      <c r="E93" s="125"/>
      <c r="F93" s="128"/>
      <c r="G93" s="146"/>
      <c r="L93" s="60"/>
      <c r="N93" s="97"/>
      <c r="O93" s="135"/>
      <c r="P93" s="129"/>
      <c r="Q93" s="151"/>
    </row>
    <row r="94" spans="1:18" s="61" customFormat="1">
      <c r="C94" s="60"/>
      <c r="E94" s="125"/>
      <c r="F94" s="128"/>
      <c r="G94" s="146"/>
      <c r="L94" s="60"/>
      <c r="N94" s="97"/>
      <c r="O94" s="135"/>
      <c r="P94" s="129"/>
      <c r="Q94" s="151"/>
    </row>
    <row r="95" spans="1:18" s="61" customFormat="1">
      <c r="C95" s="60"/>
      <c r="E95" s="125"/>
      <c r="F95" s="128"/>
      <c r="G95" s="146"/>
      <c r="L95" s="60"/>
      <c r="N95" s="97"/>
      <c r="O95" s="135"/>
      <c r="P95" s="129"/>
      <c r="Q95" s="151"/>
    </row>
    <row r="96" spans="1:18" s="61" customFormat="1">
      <c r="C96" s="60"/>
      <c r="E96" s="125"/>
      <c r="F96" s="128"/>
      <c r="G96" s="146"/>
      <c r="L96" s="60"/>
      <c r="N96" s="97"/>
      <c r="O96" s="135"/>
      <c r="P96" s="129"/>
      <c r="Q96" s="151"/>
    </row>
    <row r="97" spans="3:17" s="61" customFormat="1">
      <c r="C97" s="60"/>
      <c r="E97" s="125"/>
      <c r="F97" s="128"/>
      <c r="G97" s="146"/>
      <c r="L97" s="60"/>
      <c r="N97" s="97"/>
      <c r="O97" s="135"/>
      <c r="P97" s="129"/>
      <c r="Q97" s="151"/>
    </row>
    <row r="98" spans="3:17" s="61" customFormat="1">
      <c r="C98" s="60"/>
      <c r="E98" s="125"/>
      <c r="F98" s="128"/>
      <c r="G98" s="146"/>
      <c r="L98" s="60"/>
      <c r="N98" s="97"/>
      <c r="O98" s="135"/>
      <c r="P98" s="129"/>
      <c r="Q98" s="151"/>
    </row>
    <row r="99" spans="3:17" s="61" customFormat="1">
      <c r="C99" s="60"/>
      <c r="E99" s="125"/>
      <c r="F99" s="128"/>
      <c r="G99" s="146"/>
      <c r="L99" s="60"/>
      <c r="N99" s="97"/>
      <c r="O99" s="135"/>
      <c r="P99" s="129"/>
      <c r="Q99" s="151"/>
    </row>
    <row r="100" spans="3:17" s="61" customFormat="1">
      <c r="C100" s="60"/>
      <c r="E100" s="125"/>
      <c r="F100" s="128"/>
      <c r="G100" s="146"/>
      <c r="L100" s="60"/>
      <c r="N100" s="97"/>
      <c r="O100" s="135"/>
      <c r="P100" s="129"/>
      <c r="Q100" s="151"/>
    </row>
    <row r="101" spans="3:17" s="61" customFormat="1">
      <c r="C101" s="60"/>
      <c r="E101" s="125"/>
      <c r="F101" s="128"/>
      <c r="G101" s="146"/>
      <c r="L101" s="60"/>
      <c r="N101" s="97"/>
      <c r="O101" s="135"/>
      <c r="P101" s="129"/>
      <c r="Q101" s="151"/>
    </row>
    <row r="102" spans="3:17" s="61" customFormat="1">
      <c r="C102" s="60"/>
      <c r="E102" s="125"/>
      <c r="F102" s="128"/>
      <c r="G102" s="146"/>
      <c r="L102" s="60"/>
      <c r="N102" s="97"/>
      <c r="O102" s="135"/>
      <c r="P102" s="129"/>
      <c r="Q102" s="151"/>
    </row>
    <row r="103" spans="3:17" s="61" customFormat="1">
      <c r="C103" s="60"/>
      <c r="E103" s="125"/>
      <c r="F103" s="128"/>
      <c r="G103" s="146"/>
      <c r="L103" s="60"/>
      <c r="N103" s="97"/>
      <c r="O103" s="135"/>
      <c r="P103" s="129"/>
      <c r="Q103" s="151"/>
    </row>
    <row r="104" spans="3:17" s="61" customFormat="1">
      <c r="C104" s="60"/>
      <c r="E104" s="125"/>
      <c r="F104" s="128"/>
      <c r="G104" s="146"/>
      <c r="L104" s="60"/>
      <c r="N104" s="97"/>
      <c r="O104" s="135"/>
      <c r="P104" s="129"/>
      <c r="Q104" s="151"/>
    </row>
    <row r="105" spans="3:17" s="61" customFormat="1">
      <c r="C105" s="60"/>
      <c r="E105" s="125"/>
      <c r="F105" s="128"/>
      <c r="G105" s="146"/>
      <c r="L105" s="60"/>
      <c r="N105" s="97"/>
      <c r="O105" s="135"/>
      <c r="P105" s="129"/>
      <c r="Q105" s="151"/>
    </row>
    <row r="106" spans="3:17" s="61" customFormat="1">
      <c r="C106" s="60"/>
      <c r="E106" s="125"/>
      <c r="F106" s="128"/>
      <c r="G106" s="146"/>
      <c r="L106" s="60"/>
      <c r="N106" s="97"/>
      <c r="O106" s="135"/>
      <c r="P106" s="129"/>
      <c r="Q106" s="151"/>
    </row>
    <row r="107" spans="3:17" s="61" customFormat="1">
      <c r="C107" s="60"/>
      <c r="E107" s="125"/>
      <c r="F107" s="128"/>
      <c r="G107" s="146"/>
      <c r="L107" s="60"/>
      <c r="N107" s="97"/>
      <c r="O107" s="135"/>
      <c r="P107" s="129"/>
      <c r="Q107" s="151"/>
    </row>
    <row r="108" spans="3:17" s="61" customFormat="1">
      <c r="C108" s="60"/>
      <c r="E108" s="125"/>
      <c r="F108" s="128"/>
      <c r="G108" s="146"/>
      <c r="L108" s="60"/>
      <c r="N108" s="97"/>
      <c r="O108" s="135"/>
      <c r="P108" s="129"/>
      <c r="Q108" s="151"/>
    </row>
    <row r="109" spans="3:17" s="61" customFormat="1">
      <c r="C109" s="60"/>
      <c r="E109" s="125"/>
      <c r="F109" s="128"/>
      <c r="G109" s="146"/>
      <c r="L109" s="60"/>
      <c r="N109" s="97"/>
      <c r="O109" s="135"/>
      <c r="P109" s="129"/>
      <c r="Q109" s="151"/>
    </row>
    <row r="110" spans="3:17" s="61" customFormat="1">
      <c r="C110" s="60"/>
      <c r="E110" s="125"/>
      <c r="F110" s="128"/>
      <c r="G110" s="146"/>
      <c r="L110" s="60"/>
      <c r="N110" s="97"/>
      <c r="O110" s="135"/>
      <c r="P110" s="129"/>
      <c r="Q110" s="151"/>
    </row>
    <row r="111" spans="3:17" s="61" customFormat="1">
      <c r="C111" s="60"/>
      <c r="E111" s="125"/>
      <c r="F111" s="128"/>
      <c r="G111" s="146"/>
      <c r="L111" s="60"/>
      <c r="N111" s="97"/>
      <c r="O111" s="135"/>
      <c r="P111" s="129"/>
      <c r="Q111" s="151"/>
    </row>
    <row r="112" spans="3:17" s="61" customFormat="1">
      <c r="C112" s="60"/>
      <c r="E112" s="125"/>
      <c r="F112" s="128"/>
      <c r="G112" s="146"/>
      <c r="L112" s="60"/>
      <c r="N112" s="97"/>
      <c r="O112" s="135"/>
      <c r="P112" s="129"/>
      <c r="Q112" s="151"/>
    </row>
    <row r="113" spans="3:17" s="61" customFormat="1">
      <c r="C113" s="60"/>
      <c r="E113" s="125"/>
      <c r="F113" s="128"/>
      <c r="G113" s="146"/>
      <c r="L113" s="60"/>
      <c r="N113" s="97"/>
      <c r="O113" s="135"/>
      <c r="P113" s="129"/>
      <c r="Q113" s="151"/>
    </row>
    <row r="114" spans="3:17" s="61" customFormat="1">
      <c r="C114" s="60"/>
      <c r="E114" s="125"/>
      <c r="F114" s="128"/>
      <c r="G114" s="146"/>
      <c r="L114" s="60"/>
      <c r="N114" s="97"/>
      <c r="O114" s="135"/>
      <c r="P114" s="129"/>
      <c r="Q114" s="151"/>
    </row>
    <row r="115" spans="3:17" s="61" customFormat="1">
      <c r="C115" s="60"/>
      <c r="E115" s="125"/>
      <c r="F115" s="128"/>
      <c r="G115" s="146"/>
      <c r="L115" s="60"/>
      <c r="N115" s="97"/>
      <c r="O115" s="135"/>
      <c r="P115" s="129"/>
      <c r="Q115" s="151"/>
    </row>
    <row r="116" spans="3:17" s="61" customFormat="1">
      <c r="C116" s="60"/>
      <c r="E116" s="125"/>
      <c r="F116" s="128"/>
      <c r="G116" s="146"/>
      <c r="L116" s="60"/>
      <c r="N116" s="97"/>
      <c r="O116" s="135"/>
      <c r="P116" s="129"/>
      <c r="Q116" s="151"/>
    </row>
    <row r="117" spans="3:17" s="61" customFormat="1">
      <c r="C117" s="60"/>
      <c r="E117" s="125"/>
      <c r="F117" s="128"/>
      <c r="G117" s="146"/>
      <c r="L117" s="60"/>
      <c r="N117" s="97"/>
      <c r="O117" s="135"/>
      <c r="P117" s="129"/>
      <c r="Q117" s="151"/>
    </row>
    <row r="118" spans="3:17" s="61" customFormat="1">
      <c r="C118" s="60"/>
      <c r="E118" s="125"/>
      <c r="F118" s="128"/>
      <c r="G118" s="146"/>
      <c r="L118" s="60"/>
      <c r="N118" s="97"/>
      <c r="O118" s="135"/>
      <c r="P118" s="129"/>
      <c r="Q118" s="151"/>
    </row>
    <row r="119" spans="3:17" s="61" customFormat="1">
      <c r="C119" s="60"/>
      <c r="E119" s="125"/>
      <c r="F119" s="128"/>
      <c r="G119" s="146"/>
      <c r="L119" s="60"/>
      <c r="N119" s="97"/>
      <c r="O119" s="135"/>
      <c r="P119" s="129"/>
      <c r="Q119" s="151"/>
    </row>
    <row r="120" spans="3:17" s="61" customFormat="1">
      <c r="C120" s="60"/>
      <c r="E120" s="125"/>
      <c r="F120" s="128"/>
      <c r="G120" s="146"/>
      <c r="L120" s="60"/>
      <c r="N120" s="97"/>
      <c r="O120" s="135"/>
      <c r="P120" s="129"/>
      <c r="Q120" s="151"/>
    </row>
    <row r="121" spans="3:17" s="61" customFormat="1">
      <c r="C121" s="60"/>
      <c r="E121" s="125"/>
      <c r="F121" s="128"/>
      <c r="G121" s="146"/>
      <c r="L121" s="60"/>
      <c r="N121" s="97"/>
      <c r="O121" s="135"/>
      <c r="P121" s="129"/>
      <c r="Q121" s="151"/>
    </row>
    <row r="122" spans="3:17" s="61" customFormat="1">
      <c r="C122" s="60"/>
      <c r="E122" s="125"/>
      <c r="F122" s="128"/>
      <c r="G122" s="146"/>
      <c r="L122" s="60"/>
      <c r="N122" s="97"/>
      <c r="O122" s="135"/>
      <c r="P122" s="129"/>
      <c r="Q122" s="151"/>
    </row>
    <row r="123" spans="3:17" s="61" customFormat="1">
      <c r="C123" s="60"/>
      <c r="E123" s="125"/>
      <c r="F123" s="128"/>
      <c r="G123" s="146"/>
      <c r="L123" s="60"/>
      <c r="N123" s="97"/>
      <c r="O123" s="135"/>
      <c r="P123" s="129"/>
      <c r="Q123" s="151"/>
    </row>
    <row r="124" spans="3:17" s="61" customFormat="1">
      <c r="C124" s="60"/>
      <c r="E124" s="125"/>
      <c r="F124" s="128"/>
      <c r="G124" s="146"/>
      <c r="L124" s="60"/>
      <c r="N124" s="97"/>
      <c r="O124" s="135"/>
      <c r="P124" s="129"/>
      <c r="Q124" s="151"/>
    </row>
    <row r="125" spans="3:17" s="61" customFormat="1">
      <c r="C125" s="60"/>
      <c r="E125" s="125"/>
      <c r="F125" s="128"/>
      <c r="G125" s="146"/>
      <c r="L125" s="60"/>
      <c r="N125" s="97"/>
      <c r="O125" s="135"/>
      <c r="P125" s="129"/>
      <c r="Q125" s="151"/>
    </row>
    <row r="126" spans="3:17" s="61" customFormat="1">
      <c r="C126" s="60"/>
      <c r="E126" s="125"/>
      <c r="F126" s="128"/>
      <c r="G126" s="146"/>
      <c r="L126" s="60"/>
      <c r="N126" s="97"/>
      <c r="O126" s="135"/>
      <c r="P126" s="129"/>
      <c r="Q126" s="151"/>
    </row>
    <row r="127" spans="3:17" s="61" customFormat="1">
      <c r="C127" s="60"/>
      <c r="E127" s="125"/>
      <c r="F127" s="128"/>
      <c r="G127" s="146"/>
      <c r="L127" s="60"/>
      <c r="N127" s="97"/>
      <c r="O127" s="135"/>
      <c r="P127" s="129"/>
      <c r="Q127" s="151"/>
    </row>
    <row r="128" spans="3:17" s="61" customFormat="1">
      <c r="C128" s="60"/>
      <c r="E128" s="125"/>
      <c r="F128" s="128"/>
      <c r="G128" s="146"/>
      <c r="L128" s="60"/>
      <c r="N128" s="97"/>
      <c r="O128" s="135"/>
      <c r="P128" s="129"/>
      <c r="Q128" s="151"/>
    </row>
    <row r="129" spans="3:17" s="61" customFormat="1">
      <c r="C129" s="60"/>
      <c r="E129" s="125"/>
      <c r="F129" s="128"/>
      <c r="G129" s="146"/>
      <c r="L129" s="60"/>
      <c r="N129" s="97"/>
      <c r="O129" s="135"/>
      <c r="P129" s="129"/>
      <c r="Q129" s="151"/>
    </row>
    <row r="130" spans="3:17" s="61" customFormat="1">
      <c r="C130" s="60"/>
      <c r="E130" s="125"/>
      <c r="F130" s="128"/>
      <c r="G130" s="146"/>
      <c r="L130" s="60"/>
      <c r="N130" s="97"/>
      <c r="O130" s="135"/>
      <c r="P130" s="129"/>
      <c r="Q130" s="151"/>
    </row>
    <row r="131" spans="3:17" s="61" customFormat="1">
      <c r="C131" s="60"/>
      <c r="E131" s="125"/>
      <c r="F131" s="128"/>
      <c r="G131" s="146"/>
      <c r="L131" s="60"/>
      <c r="N131" s="97"/>
      <c r="O131" s="135"/>
      <c r="P131" s="129"/>
      <c r="Q131" s="151"/>
    </row>
    <row r="132" spans="3:17" s="61" customFormat="1">
      <c r="C132" s="60"/>
      <c r="E132" s="125"/>
      <c r="F132" s="128"/>
      <c r="G132" s="146"/>
      <c r="L132" s="60"/>
      <c r="N132" s="97"/>
      <c r="O132" s="135"/>
      <c r="P132" s="129"/>
      <c r="Q132" s="151"/>
    </row>
    <row r="133" spans="3:17" s="61" customFormat="1">
      <c r="C133" s="60"/>
      <c r="E133" s="125"/>
      <c r="F133" s="128"/>
      <c r="G133" s="146"/>
      <c r="L133" s="60"/>
      <c r="N133" s="97"/>
      <c r="O133" s="135"/>
      <c r="P133" s="129"/>
      <c r="Q133" s="151"/>
    </row>
    <row r="134" spans="3:17" s="61" customFormat="1">
      <c r="C134" s="60"/>
      <c r="E134" s="125"/>
      <c r="F134" s="128"/>
      <c r="G134" s="146"/>
      <c r="L134" s="60"/>
      <c r="N134" s="97"/>
      <c r="O134" s="135"/>
      <c r="P134" s="129"/>
      <c r="Q134" s="151"/>
    </row>
    <row r="135" spans="3:17" s="61" customFormat="1">
      <c r="C135" s="60"/>
      <c r="E135" s="125"/>
      <c r="F135" s="128"/>
      <c r="G135" s="146"/>
      <c r="L135" s="60"/>
      <c r="N135" s="97"/>
      <c r="O135" s="135"/>
      <c r="P135" s="129"/>
      <c r="Q135" s="151"/>
    </row>
    <row r="136" spans="3:17" s="61" customFormat="1">
      <c r="C136" s="60"/>
      <c r="E136" s="125"/>
      <c r="F136" s="128"/>
      <c r="G136" s="146"/>
      <c r="L136" s="60"/>
      <c r="N136" s="97"/>
      <c r="O136" s="135"/>
      <c r="P136" s="129"/>
      <c r="Q136" s="151"/>
    </row>
    <row r="137" spans="3:17" s="61" customFormat="1">
      <c r="C137" s="60"/>
      <c r="E137" s="125"/>
      <c r="F137" s="128"/>
      <c r="G137" s="146"/>
      <c r="L137" s="60"/>
      <c r="N137" s="97"/>
      <c r="O137" s="135"/>
      <c r="P137" s="129"/>
      <c r="Q137" s="151"/>
    </row>
    <row r="138" spans="3:17" s="61" customFormat="1">
      <c r="C138" s="60"/>
      <c r="E138" s="125"/>
      <c r="F138" s="128"/>
      <c r="G138" s="146"/>
      <c r="L138" s="60"/>
      <c r="N138" s="97"/>
      <c r="O138" s="135"/>
      <c r="P138" s="129"/>
      <c r="Q138" s="151"/>
    </row>
    <row r="139" spans="3:17" s="61" customFormat="1">
      <c r="C139" s="60"/>
      <c r="E139" s="125"/>
      <c r="F139" s="128"/>
      <c r="G139" s="146"/>
      <c r="L139" s="60"/>
      <c r="N139" s="97"/>
      <c r="O139" s="135"/>
      <c r="P139" s="129"/>
      <c r="Q139" s="151"/>
    </row>
    <row r="140" spans="3:17" s="61" customFormat="1">
      <c r="C140" s="60"/>
      <c r="E140" s="125"/>
      <c r="F140" s="128"/>
      <c r="G140" s="146"/>
      <c r="L140" s="60"/>
      <c r="N140" s="97"/>
      <c r="O140" s="135"/>
      <c r="P140" s="129"/>
      <c r="Q140" s="151"/>
    </row>
    <row r="141" spans="3:17" s="61" customFormat="1">
      <c r="C141" s="60"/>
      <c r="E141" s="125"/>
      <c r="F141" s="128"/>
      <c r="G141" s="146"/>
      <c r="L141" s="60"/>
      <c r="N141" s="97"/>
      <c r="O141" s="135"/>
      <c r="P141" s="129"/>
      <c r="Q141" s="151"/>
    </row>
    <row r="142" spans="3:17" s="61" customFormat="1">
      <c r="C142" s="60"/>
      <c r="E142" s="125"/>
      <c r="F142" s="128"/>
      <c r="G142" s="146"/>
      <c r="L142" s="60"/>
      <c r="N142" s="97"/>
      <c r="O142" s="135"/>
      <c r="P142" s="129"/>
      <c r="Q142" s="151"/>
    </row>
    <row r="143" spans="3:17" s="61" customFormat="1">
      <c r="C143" s="60"/>
      <c r="E143" s="125"/>
      <c r="F143" s="128"/>
      <c r="G143" s="146"/>
      <c r="L143" s="60"/>
      <c r="N143" s="97"/>
      <c r="O143" s="135"/>
      <c r="P143" s="129"/>
      <c r="Q143" s="151"/>
    </row>
    <row r="144" spans="3:17" s="61" customFormat="1">
      <c r="C144" s="60"/>
      <c r="E144" s="125"/>
      <c r="F144" s="128"/>
      <c r="G144" s="146"/>
      <c r="L144" s="60"/>
      <c r="N144" s="97"/>
      <c r="O144" s="135"/>
      <c r="P144" s="129"/>
      <c r="Q144" s="151"/>
    </row>
    <row r="145" spans="3:17" s="61" customFormat="1">
      <c r="C145" s="60"/>
      <c r="E145" s="125"/>
      <c r="F145" s="128"/>
      <c r="G145" s="146"/>
      <c r="L145" s="60"/>
      <c r="N145" s="97"/>
      <c r="O145" s="135"/>
      <c r="P145" s="129"/>
      <c r="Q145" s="151"/>
    </row>
    <row r="146" spans="3:17" s="61" customFormat="1">
      <c r="C146" s="60"/>
      <c r="E146" s="125"/>
      <c r="F146" s="128"/>
      <c r="G146" s="146"/>
      <c r="L146" s="60"/>
      <c r="N146" s="97"/>
      <c r="O146" s="135"/>
      <c r="P146" s="129"/>
      <c r="Q146" s="151"/>
    </row>
    <row r="147" spans="3:17" s="61" customFormat="1">
      <c r="C147" s="60"/>
      <c r="E147" s="125"/>
      <c r="F147" s="128"/>
      <c r="G147" s="146"/>
      <c r="L147" s="60"/>
      <c r="N147" s="97"/>
      <c r="O147" s="135"/>
      <c r="P147" s="129"/>
      <c r="Q147" s="151"/>
    </row>
    <row r="148" spans="3:17" s="61" customFormat="1">
      <c r="C148" s="60"/>
      <c r="E148" s="125"/>
      <c r="F148" s="128"/>
      <c r="G148" s="146"/>
      <c r="L148" s="60"/>
      <c r="N148" s="97"/>
      <c r="O148" s="135"/>
      <c r="P148" s="129"/>
      <c r="Q148" s="151"/>
    </row>
    <row r="149" spans="3:17" s="61" customFormat="1">
      <c r="C149" s="60"/>
      <c r="E149" s="125"/>
      <c r="F149" s="128"/>
      <c r="G149" s="146"/>
      <c r="L149" s="60"/>
      <c r="N149" s="97"/>
      <c r="O149" s="135"/>
      <c r="P149" s="129"/>
      <c r="Q149" s="151"/>
    </row>
    <row r="150" spans="3:17" s="61" customFormat="1">
      <c r="C150" s="60"/>
      <c r="E150" s="125"/>
      <c r="F150" s="128"/>
      <c r="G150" s="146"/>
      <c r="L150" s="60"/>
      <c r="N150" s="97"/>
      <c r="O150" s="135"/>
      <c r="P150" s="129"/>
      <c r="Q150" s="151"/>
    </row>
    <row r="151" spans="3:17" s="61" customFormat="1">
      <c r="C151" s="60"/>
      <c r="E151" s="125"/>
      <c r="F151" s="128"/>
      <c r="G151" s="146"/>
      <c r="L151" s="60"/>
      <c r="N151" s="97"/>
      <c r="O151" s="135"/>
      <c r="P151" s="129"/>
      <c r="Q151" s="151"/>
    </row>
    <row r="152" spans="3:17" s="61" customFormat="1">
      <c r="C152" s="60"/>
      <c r="E152" s="125"/>
      <c r="F152" s="128"/>
      <c r="G152" s="146"/>
      <c r="L152" s="60"/>
      <c r="N152" s="97"/>
      <c r="O152" s="135"/>
      <c r="P152" s="129"/>
      <c r="Q152" s="151"/>
    </row>
    <row r="153" spans="3:17" s="61" customFormat="1">
      <c r="C153" s="60"/>
      <c r="E153" s="125"/>
      <c r="F153" s="128"/>
      <c r="G153" s="146"/>
      <c r="L153" s="60"/>
      <c r="N153" s="97"/>
      <c r="O153" s="135"/>
      <c r="P153" s="129"/>
      <c r="Q153" s="151"/>
    </row>
    <row r="154" spans="3:17" s="61" customFormat="1">
      <c r="C154" s="60"/>
      <c r="E154" s="125"/>
      <c r="F154" s="128"/>
      <c r="G154" s="146"/>
      <c r="L154" s="60"/>
      <c r="N154" s="97"/>
      <c r="O154" s="135"/>
      <c r="P154" s="129"/>
      <c r="Q154" s="151"/>
    </row>
    <row r="155" spans="3:17" s="61" customFormat="1">
      <c r="C155" s="60"/>
      <c r="E155" s="125"/>
      <c r="F155" s="128"/>
      <c r="G155" s="146"/>
      <c r="L155" s="60"/>
      <c r="N155" s="97"/>
      <c r="O155" s="135"/>
      <c r="P155" s="129"/>
      <c r="Q155" s="151"/>
    </row>
    <row r="156" spans="3:17" s="61" customFormat="1">
      <c r="C156" s="60"/>
      <c r="E156" s="125"/>
      <c r="F156" s="128"/>
      <c r="G156" s="146"/>
      <c r="L156" s="60"/>
      <c r="N156" s="97"/>
      <c r="O156" s="135"/>
      <c r="P156" s="129"/>
      <c r="Q156" s="151"/>
    </row>
    <row r="157" spans="3:17" s="61" customFormat="1">
      <c r="C157" s="60"/>
      <c r="E157" s="125"/>
      <c r="F157" s="128"/>
      <c r="G157" s="146"/>
      <c r="L157" s="60"/>
      <c r="N157" s="97"/>
      <c r="O157" s="135"/>
      <c r="P157" s="129"/>
      <c r="Q157" s="151"/>
    </row>
    <row r="158" spans="3:17" s="61" customFormat="1">
      <c r="C158" s="60"/>
      <c r="E158" s="125"/>
      <c r="F158" s="128"/>
      <c r="G158" s="146"/>
      <c r="L158" s="60"/>
      <c r="N158" s="97"/>
      <c r="O158" s="135"/>
      <c r="P158" s="129"/>
      <c r="Q158" s="151"/>
    </row>
    <row r="159" spans="3:17" s="61" customFormat="1">
      <c r="C159" s="60"/>
      <c r="E159" s="125"/>
      <c r="F159" s="128"/>
      <c r="G159" s="146"/>
      <c r="L159" s="60"/>
      <c r="N159" s="97"/>
      <c r="O159" s="135"/>
      <c r="P159" s="129"/>
      <c r="Q159" s="151"/>
    </row>
    <row r="160" spans="3:17" s="61" customFormat="1">
      <c r="C160" s="60"/>
      <c r="E160" s="125"/>
      <c r="F160" s="128"/>
      <c r="G160" s="146"/>
      <c r="L160" s="60"/>
      <c r="N160" s="97"/>
      <c r="O160" s="135"/>
      <c r="P160" s="129"/>
      <c r="Q160" s="151"/>
    </row>
    <row r="161" spans="3:17" s="61" customFormat="1">
      <c r="C161" s="60"/>
      <c r="E161" s="125"/>
      <c r="F161" s="128"/>
      <c r="G161" s="146"/>
      <c r="L161" s="60"/>
      <c r="N161" s="97"/>
      <c r="O161" s="135"/>
      <c r="P161" s="129"/>
      <c r="Q161" s="151"/>
    </row>
    <row r="162" spans="3:17" s="61" customFormat="1">
      <c r="C162" s="60"/>
      <c r="E162" s="125"/>
      <c r="F162" s="128"/>
      <c r="G162" s="146"/>
      <c r="L162" s="60"/>
      <c r="N162" s="97"/>
      <c r="O162" s="135"/>
      <c r="P162" s="129"/>
      <c r="Q162" s="151"/>
    </row>
    <row r="163" spans="3:17" s="61" customFormat="1">
      <c r="C163" s="60"/>
      <c r="E163" s="125"/>
      <c r="F163" s="128"/>
      <c r="G163" s="146"/>
      <c r="L163" s="60"/>
      <c r="N163" s="97"/>
      <c r="O163" s="135"/>
      <c r="P163" s="129"/>
      <c r="Q163" s="151"/>
    </row>
    <row r="164" spans="3:17" s="61" customFormat="1">
      <c r="C164" s="60"/>
      <c r="E164" s="125"/>
      <c r="F164" s="128"/>
      <c r="G164" s="146"/>
      <c r="L164" s="60"/>
      <c r="N164" s="97"/>
      <c r="O164" s="135"/>
      <c r="P164" s="129"/>
      <c r="Q164" s="151"/>
    </row>
    <row r="165" spans="3:17" s="61" customFormat="1">
      <c r="C165" s="60"/>
      <c r="E165" s="125"/>
      <c r="F165" s="128"/>
      <c r="G165" s="146"/>
      <c r="L165" s="60"/>
      <c r="N165" s="97"/>
      <c r="O165" s="135"/>
      <c r="P165" s="129"/>
      <c r="Q165" s="151"/>
    </row>
    <row r="166" spans="3:17" s="61" customFormat="1">
      <c r="C166" s="60"/>
      <c r="E166" s="125"/>
      <c r="F166" s="128"/>
      <c r="G166" s="146"/>
      <c r="L166" s="60"/>
      <c r="N166" s="97"/>
      <c r="O166" s="135"/>
      <c r="P166" s="129"/>
      <c r="Q166" s="151"/>
    </row>
    <row r="167" spans="3:17" s="61" customFormat="1">
      <c r="C167" s="60"/>
      <c r="E167" s="125"/>
      <c r="F167" s="128"/>
      <c r="G167" s="146"/>
      <c r="L167" s="60"/>
      <c r="N167" s="97"/>
      <c r="O167" s="135"/>
      <c r="P167" s="129"/>
      <c r="Q167" s="151"/>
    </row>
    <row r="168" spans="3:17" s="61" customFormat="1">
      <c r="C168" s="60"/>
      <c r="E168" s="125"/>
      <c r="F168" s="128"/>
      <c r="G168" s="146"/>
      <c r="L168" s="60"/>
      <c r="N168" s="97"/>
      <c r="O168" s="135"/>
      <c r="P168" s="129"/>
      <c r="Q168" s="151"/>
    </row>
    <row r="169" spans="3:17" s="61" customFormat="1">
      <c r="C169" s="60"/>
      <c r="E169" s="125"/>
      <c r="F169" s="128"/>
      <c r="G169" s="146"/>
      <c r="L169" s="60"/>
      <c r="N169" s="97"/>
      <c r="O169" s="135"/>
      <c r="P169" s="129"/>
      <c r="Q169" s="151"/>
    </row>
    <row r="170" spans="3:17" s="61" customFormat="1">
      <c r="C170" s="60"/>
      <c r="E170" s="125"/>
      <c r="F170" s="128"/>
      <c r="G170" s="146"/>
      <c r="L170" s="60"/>
      <c r="N170" s="97"/>
      <c r="O170" s="135"/>
      <c r="P170" s="129"/>
      <c r="Q170" s="151"/>
    </row>
    <row r="171" spans="3:17" s="61" customFormat="1">
      <c r="C171" s="60"/>
      <c r="E171" s="125"/>
      <c r="F171" s="128"/>
      <c r="G171" s="146"/>
      <c r="L171" s="60"/>
      <c r="N171" s="97"/>
      <c r="O171" s="135"/>
      <c r="P171" s="129"/>
      <c r="Q171" s="151"/>
    </row>
    <row r="172" spans="3:17" s="61" customFormat="1">
      <c r="C172" s="60"/>
      <c r="E172" s="125"/>
      <c r="F172" s="128"/>
      <c r="G172" s="146"/>
      <c r="L172" s="60"/>
      <c r="N172" s="97"/>
      <c r="O172" s="135"/>
      <c r="P172" s="129"/>
      <c r="Q172" s="151"/>
    </row>
    <row r="173" spans="3:17" s="61" customFormat="1">
      <c r="C173" s="60"/>
      <c r="E173" s="125"/>
      <c r="F173" s="128"/>
      <c r="G173" s="146"/>
      <c r="L173" s="60"/>
      <c r="N173" s="97"/>
      <c r="O173" s="135"/>
      <c r="P173" s="129"/>
      <c r="Q173" s="151"/>
    </row>
    <row r="174" spans="3:17" s="61" customFormat="1">
      <c r="C174" s="60"/>
      <c r="E174" s="125"/>
      <c r="F174" s="128"/>
      <c r="G174" s="146"/>
      <c r="L174" s="60"/>
      <c r="N174" s="97"/>
      <c r="O174" s="135"/>
      <c r="P174" s="129"/>
      <c r="Q174" s="151"/>
    </row>
    <row r="175" spans="3:17" s="61" customFormat="1">
      <c r="C175" s="60"/>
      <c r="E175" s="125"/>
      <c r="F175" s="128"/>
      <c r="G175" s="146"/>
      <c r="L175" s="60"/>
      <c r="N175" s="97"/>
      <c r="O175" s="135"/>
      <c r="P175" s="129"/>
      <c r="Q175" s="151"/>
    </row>
    <row r="176" spans="3:17" s="61" customFormat="1">
      <c r="C176" s="60"/>
      <c r="E176" s="125"/>
      <c r="F176" s="128"/>
      <c r="G176" s="146"/>
      <c r="L176" s="60"/>
      <c r="N176" s="97"/>
      <c r="O176" s="135"/>
      <c r="P176" s="129"/>
      <c r="Q176" s="151"/>
    </row>
    <row r="177" spans="3:17" s="61" customFormat="1">
      <c r="C177" s="60"/>
      <c r="E177" s="125"/>
      <c r="F177" s="128"/>
      <c r="G177" s="146"/>
      <c r="L177" s="60"/>
      <c r="N177" s="97"/>
      <c r="O177" s="135"/>
      <c r="P177" s="129"/>
      <c r="Q177" s="151"/>
    </row>
    <row r="178" spans="3:17" s="61" customFormat="1">
      <c r="C178" s="60"/>
      <c r="E178" s="125"/>
      <c r="F178" s="128"/>
      <c r="G178" s="146"/>
      <c r="L178" s="60"/>
      <c r="N178" s="97"/>
      <c r="O178" s="135"/>
      <c r="P178" s="129"/>
      <c r="Q178" s="151"/>
    </row>
    <row r="179" spans="3:17" s="61" customFormat="1">
      <c r="C179" s="60"/>
      <c r="E179" s="125"/>
      <c r="F179" s="128"/>
      <c r="G179" s="146"/>
      <c r="L179" s="60"/>
      <c r="N179" s="97"/>
      <c r="O179" s="135"/>
      <c r="P179" s="129"/>
      <c r="Q179" s="151"/>
    </row>
    <row r="180" spans="3:17" s="61" customFormat="1">
      <c r="C180" s="60"/>
      <c r="E180" s="125"/>
      <c r="F180" s="128"/>
      <c r="G180" s="146"/>
      <c r="L180" s="60"/>
      <c r="N180" s="97"/>
      <c r="O180" s="135"/>
      <c r="P180" s="129"/>
      <c r="Q180" s="151"/>
    </row>
    <row r="181" spans="3:17" s="61" customFormat="1">
      <c r="C181" s="60"/>
      <c r="E181" s="125"/>
      <c r="F181" s="128"/>
      <c r="G181" s="146"/>
      <c r="L181" s="60"/>
      <c r="N181" s="97"/>
      <c r="O181" s="135"/>
      <c r="P181" s="129"/>
      <c r="Q181" s="151"/>
    </row>
    <row r="182" spans="3:17" s="61" customFormat="1">
      <c r="C182" s="60"/>
      <c r="E182" s="125"/>
      <c r="F182" s="128"/>
      <c r="G182" s="146"/>
      <c r="L182" s="60"/>
      <c r="N182" s="97"/>
      <c r="O182" s="135"/>
      <c r="P182" s="129"/>
      <c r="Q182" s="151"/>
    </row>
    <row r="183" spans="3:17" s="61" customFormat="1">
      <c r="C183" s="60"/>
      <c r="E183" s="125"/>
      <c r="F183" s="128"/>
      <c r="G183" s="146"/>
      <c r="L183" s="60"/>
      <c r="N183" s="97"/>
      <c r="O183" s="135"/>
      <c r="P183" s="129"/>
      <c r="Q183" s="151"/>
    </row>
    <row r="184" spans="3:17" s="61" customFormat="1">
      <c r="C184" s="60"/>
      <c r="E184" s="125"/>
      <c r="F184" s="128"/>
      <c r="G184" s="146"/>
      <c r="L184" s="60"/>
      <c r="N184" s="97"/>
      <c r="O184" s="135"/>
      <c r="P184" s="129"/>
      <c r="Q184" s="151"/>
    </row>
    <row r="185" spans="3:17" s="61" customFormat="1">
      <c r="C185" s="60"/>
      <c r="E185" s="125"/>
      <c r="F185" s="128"/>
      <c r="G185" s="146"/>
      <c r="L185" s="60"/>
      <c r="N185" s="97"/>
      <c r="O185" s="135"/>
      <c r="P185" s="129"/>
      <c r="Q185" s="151"/>
    </row>
    <row r="186" spans="3:17" s="61" customFormat="1">
      <c r="C186" s="60"/>
      <c r="E186" s="125"/>
      <c r="F186" s="128"/>
      <c r="G186" s="146"/>
      <c r="L186" s="60"/>
      <c r="N186" s="97"/>
      <c r="O186" s="135"/>
      <c r="P186" s="129"/>
      <c r="Q186" s="151"/>
    </row>
    <row r="187" spans="3:17" s="61" customFormat="1">
      <c r="C187" s="60"/>
      <c r="E187" s="125"/>
      <c r="F187" s="128"/>
      <c r="G187" s="146"/>
      <c r="L187" s="60"/>
      <c r="N187" s="97"/>
      <c r="O187" s="135"/>
      <c r="P187" s="129"/>
      <c r="Q187" s="151"/>
    </row>
    <row r="188" spans="3:17" s="61" customFormat="1">
      <c r="C188" s="60"/>
      <c r="E188" s="125"/>
      <c r="F188" s="128"/>
      <c r="G188" s="146"/>
      <c r="L188" s="60"/>
      <c r="N188" s="97"/>
      <c r="O188" s="135"/>
      <c r="P188" s="129"/>
      <c r="Q188" s="151"/>
    </row>
    <row r="189" spans="3:17" s="61" customFormat="1">
      <c r="C189" s="60"/>
      <c r="E189" s="125"/>
      <c r="F189" s="128"/>
      <c r="G189" s="146"/>
      <c r="L189" s="60"/>
      <c r="N189" s="97"/>
      <c r="O189" s="135"/>
      <c r="P189" s="129"/>
      <c r="Q189" s="151"/>
    </row>
    <row r="190" spans="3:17" s="61" customFormat="1">
      <c r="C190" s="60"/>
      <c r="E190" s="125"/>
      <c r="F190" s="128"/>
      <c r="G190" s="146"/>
      <c r="L190" s="60"/>
      <c r="N190" s="97"/>
      <c r="O190" s="135"/>
      <c r="P190" s="129"/>
      <c r="Q190" s="151"/>
    </row>
    <row r="191" spans="3:17" s="61" customFormat="1">
      <c r="C191" s="60"/>
      <c r="E191" s="125"/>
      <c r="F191" s="128"/>
      <c r="G191" s="146"/>
      <c r="L191" s="60"/>
      <c r="N191" s="97"/>
      <c r="O191" s="135"/>
      <c r="P191" s="129"/>
      <c r="Q191" s="151"/>
    </row>
    <row r="192" spans="3:17" s="61" customFormat="1">
      <c r="C192" s="60"/>
      <c r="E192" s="125"/>
      <c r="F192" s="128"/>
      <c r="G192" s="146"/>
      <c r="L192" s="60"/>
      <c r="N192" s="97"/>
      <c r="O192" s="135"/>
      <c r="P192" s="129"/>
      <c r="Q192" s="151"/>
    </row>
    <row r="193" spans="1:38" s="61" customFormat="1">
      <c r="C193" s="60"/>
      <c r="E193" s="125"/>
      <c r="F193" s="128"/>
      <c r="G193" s="146"/>
      <c r="L193" s="60"/>
      <c r="N193" s="97"/>
      <c r="O193" s="135"/>
      <c r="P193" s="129"/>
      <c r="Q193" s="151"/>
    </row>
    <row r="194" spans="1:38" s="61" customFormat="1">
      <c r="C194" s="60"/>
      <c r="E194" s="125"/>
      <c r="F194" s="128"/>
      <c r="G194" s="146"/>
      <c r="L194" s="60"/>
      <c r="N194" s="97"/>
      <c r="O194" s="135"/>
      <c r="P194" s="129"/>
      <c r="Q194" s="151"/>
    </row>
    <row r="195" spans="1:38" s="61" customFormat="1">
      <c r="C195" s="60"/>
      <c r="E195" s="125"/>
      <c r="F195" s="128"/>
      <c r="G195" s="146"/>
      <c r="L195" s="60"/>
      <c r="N195" s="97"/>
      <c r="O195" s="135"/>
      <c r="P195" s="129"/>
      <c r="Q195" s="151"/>
    </row>
    <row r="196" spans="1:38" s="63" customFormat="1">
      <c r="A196" s="61"/>
      <c r="B196" s="61"/>
      <c r="C196" s="60"/>
      <c r="E196" s="125"/>
      <c r="F196" s="128"/>
      <c r="G196" s="132"/>
      <c r="J196" s="61"/>
      <c r="K196" s="61"/>
      <c r="L196" s="62"/>
      <c r="N196" s="97"/>
      <c r="O196" s="135"/>
      <c r="P196" s="129"/>
      <c r="Q196" s="140"/>
      <c r="Y196" s="94"/>
      <c r="AL196" s="94"/>
    </row>
    <row r="197" spans="1:38" s="63" customFormat="1">
      <c r="A197" s="61"/>
      <c r="B197" s="61"/>
      <c r="C197" s="60"/>
      <c r="E197" s="125"/>
      <c r="F197" s="128"/>
      <c r="G197" s="132"/>
      <c r="J197" s="61"/>
      <c r="K197" s="61"/>
      <c r="L197" s="62"/>
      <c r="N197" s="97"/>
      <c r="O197" s="135"/>
      <c r="P197" s="129"/>
      <c r="Q197" s="140"/>
      <c r="Y197" s="94"/>
      <c r="AL197" s="94"/>
    </row>
    <row r="198" spans="1:38" s="63" customFormat="1">
      <c r="A198" s="61"/>
      <c r="B198" s="61"/>
      <c r="C198" s="60"/>
      <c r="E198" s="125"/>
      <c r="F198" s="128"/>
      <c r="G198" s="132"/>
      <c r="J198" s="61"/>
      <c r="K198" s="61"/>
      <c r="L198" s="62"/>
      <c r="N198" s="97"/>
      <c r="O198" s="135"/>
      <c r="P198" s="129"/>
      <c r="Q198" s="140"/>
      <c r="Y198" s="94"/>
      <c r="AL198" s="94"/>
    </row>
    <row r="199" spans="1:38" s="63" customFormat="1">
      <c r="A199" s="61"/>
      <c r="B199" s="61"/>
      <c r="C199" s="60"/>
      <c r="E199" s="125"/>
      <c r="F199" s="128"/>
      <c r="G199" s="132"/>
      <c r="J199" s="61"/>
      <c r="K199" s="61"/>
      <c r="L199" s="62"/>
      <c r="N199" s="97"/>
      <c r="O199" s="135"/>
      <c r="P199" s="129"/>
      <c r="Q199" s="140"/>
      <c r="Y199" s="94"/>
      <c r="AL199" s="94"/>
    </row>
    <row r="200" spans="1:38" s="63" customFormat="1">
      <c r="A200" s="61"/>
      <c r="B200" s="61"/>
      <c r="C200" s="60"/>
      <c r="E200" s="125"/>
      <c r="F200" s="128"/>
      <c r="G200" s="132"/>
      <c r="J200" s="61"/>
      <c r="K200" s="61"/>
      <c r="L200" s="62"/>
      <c r="N200" s="97"/>
      <c r="O200" s="135"/>
      <c r="P200" s="129"/>
      <c r="Q200" s="140"/>
      <c r="Y200" s="94"/>
      <c r="AL200" s="94"/>
    </row>
    <row r="201" spans="1:38" s="63" customFormat="1">
      <c r="A201" s="61"/>
      <c r="B201" s="61"/>
      <c r="C201" s="60"/>
      <c r="E201" s="125"/>
      <c r="F201" s="128"/>
      <c r="G201" s="132"/>
      <c r="J201" s="61"/>
      <c r="K201" s="61"/>
      <c r="L201" s="62"/>
      <c r="N201" s="97"/>
      <c r="O201" s="135"/>
      <c r="P201" s="129"/>
      <c r="Q201" s="140"/>
      <c r="Y201" s="94"/>
      <c r="AL201" s="94"/>
    </row>
    <row r="202" spans="1:38" s="63" customFormat="1">
      <c r="A202" s="61"/>
      <c r="B202" s="61"/>
      <c r="C202" s="60"/>
      <c r="E202" s="125"/>
      <c r="F202" s="128"/>
      <c r="G202" s="132"/>
      <c r="J202" s="61"/>
      <c r="K202" s="61"/>
      <c r="L202" s="62"/>
      <c r="N202" s="97"/>
      <c r="O202" s="135"/>
      <c r="P202" s="129"/>
      <c r="Q202" s="140"/>
      <c r="Y202" s="94"/>
      <c r="AL202" s="94"/>
    </row>
    <row r="203" spans="1:38" s="63" customFormat="1">
      <c r="A203" s="61"/>
      <c r="B203" s="61"/>
      <c r="C203" s="60"/>
      <c r="E203" s="125"/>
      <c r="F203" s="128"/>
      <c r="G203" s="132"/>
      <c r="J203" s="61"/>
      <c r="K203" s="61"/>
      <c r="L203" s="62"/>
      <c r="N203" s="97"/>
      <c r="O203" s="135"/>
      <c r="P203" s="129"/>
      <c r="Q203" s="140"/>
      <c r="Y203" s="94"/>
      <c r="AL203" s="94"/>
    </row>
    <row r="204" spans="1:38" s="63" customFormat="1">
      <c r="A204" s="61"/>
      <c r="B204" s="61"/>
      <c r="C204" s="60"/>
      <c r="E204" s="125"/>
      <c r="F204" s="128"/>
      <c r="G204" s="132"/>
      <c r="J204" s="61"/>
      <c r="K204" s="61"/>
      <c r="L204" s="62"/>
      <c r="N204" s="97"/>
      <c r="O204" s="135"/>
      <c r="P204" s="129"/>
      <c r="Q204" s="140"/>
      <c r="Y204" s="94"/>
      <c r="AL204" s="94"/>
    </row>
    <row r="205" spans="1:38" s="63" customFormat="1">
      <c r="A205" s="61"/>
      <c r="B205" s="61"/>
      <c r="C205" s="60"/>
      <c r="E205" s="125"/>
      <c r="F205" s="128"/>
      <c r="G205" s="132"/>
      <c r="J205" s="61"/>
      <c r="K205" s="61"/>
      <c r="L205" s="62"/>
      <c r="N205" s="97"/>
      <c r="O205" s="135"/>
      <c r="P205" s="129"/>
      <c r="Q205" s="140"/>
      <c r="Y205" s="94"/>
      <c r="AL205" s="94"/>
    </row>
    <row r="206" spans="1:38" s="63" customFormat="1">
      <c r="A206" s="61"/>
      <c r="B206" s="61"/>
      <c r="C206" s="60"/>
      <c r="E206" s="125"/>
      <c r="F206" s="128"/>
      <c r="G206" s="132"/>
      <c r="J206" s="61"/>
      <c r="K206" s="61"/>
      <c r="L206" s="62"/>
      <c r="N206" s="97"/>
      <c r="O206" s="135"/>
      <c r="P206" s="129"/>
      <c r="Q206" s="140"/>
      <c r="Y206" s="94"/>
      <c r="AL206" s="94"/>
    </row>
    <row r="207" spans="1:38" s="63" customFormat="1">
      <c r="A207" s="61"/>
      <c r="B207" s="61"/>
      <c r="C207" s="60"/>
      <c r="E207" s="125"/>
      <c r="F207" s="128"/>
      <c r="G207" s="132"/>
      <c r="J207" s="61"/>
      <c r="K207" s="61"/>
      <c r="L207" s="62"/>
      <c r="N207" s="97"/>
      <c r="O207" s="135"/>
      <c r="P207" s="129"/>
      <c r="Q207" s="140"/>
      <c r="Y207" s="94"/>
      <c r="AL207" s="94"/>
    </row>
    <row r="208" spans="1:38" s="63" customFormat="1">
      <c r="A208" s="61"/>
      <c r="B208" s="61"/>
      <c r="C208" s="60"/>
      <c r="E208" s="125"/>
      <c r="F208" s="128"/>
      <c r="G208" s="132"/>
      <c r="J208" s="61"/>
      <c r="K208" s="61"/>
      <c r="L208" s="62"/>
      <c r="N208" s="97"/>
      <c r="O208" s="135"/>
      <c r="P208" s="129"/>
      <c r="Q208" s="140"/>
      <c r="Y208" s="94"/>
      <c r="AL208" s="94"/>
    </row>
    <row r="209" spans="1:38" s="63" customFormat="1">
      <c r="A209" s="61"/>
      <c r="B209" s="61"/>
      <c r="C209" s="60"/>
      <c r="E209" s="125"/>
      <c r="F209" s="128"/>
      <c r="G209" s="132"/>
      <c r="J209" s="61"/>
      <c r="K209" s="61"/>
      <c r="L209" s="62"/>
      <c r="N209" s="97"/>
      <c r="O209" s="135"/>
      <c r="P209" s="129"/>
      <c r="Q209" s="140"/>
      <c r="Y209" s="94"/>
      <c r="AL209" s="94"/>
    </row>
    <row r="210" spans="1:38" s="63" customFormat="1">
      <c r="A210" s="61"/>
      <c r="B210" s="61"/>
      <c r="C210" s="60"/>
      <c r="E210" s="125"/>
      <c r="F210" s="128"/>
      <c r="G210" s="132"/>
      <c r="J210" s="61"/>
      <c r="K210" s="61"/>
      <c r="L210" s="62"/>
      <c r="N210" s="97"/>
      <c r="O210" s="135"/>
      <c r="P210" s="129"/>
      <c r="Q210" s="140"/>
      <c r="Y210" s="94"/>
      <c r="AL210" s="94"/>
    </row>
    <row r="211" spans="1:38" s="63" customFormat="1">
      <c r="A211" s="61"/>
      <c r="B211" s="61"/>
      <c r="C211" s="60"/>
      <c r="E211" s="125"/>
      <c r="F211" s="128"/>
      <c r="G211" s="132"/>
      <c r="J211" s="61"/>
      <c r="K211" s="61"/>
      <c r="L211" s="62"/>
      <c r="N211" s="97"/>
      <c r="O211" s="135"/>
      <c r="P211" s="129"/>
      <c r="Q211" s="140"/>
      <c r="Y211" s="94"/>
      <c r="AL211" s="94"/>
    </row>
    <row r="212" spans="1:38" s="63" customFormat="1">
      <c r="A212" s="61"/>
      <c r="B212" s="61"/>
      <c r="C212" s="60"/>
      <c r="E212" s="125"/>
      <c r="F212" s="128"/>
      <c r="G212" s="132"/>
      <c r="J212" s="61"/>
      <c r="K212" s="61"/>
      <c r="L212" s="62"/>
      <c r="N212" s="97"/>
      <c r="O212" s="135"/>
      <c r="P212" s="129"/>
      <c r="Q212" s="140"/>
      <c r="Y212" s="94"/>
      <c r="AL212" s="94"/>
    </row>
    <row r="213" spans="1:38" s="63" customFormat="1">
      <c r="A213" s="61"/>
      <c r="B213" s="61"/>
      <c r="C213" s="60"/>
      <c r="E213" s="125"/>
      <c r="F213" s="128"/>
      <c r="G213" s="132"/>
      <c r="J213" s="61"/>
      <c r="K213" s="61"/>
      <c r="L213" s="62"/>
      <c r="N213" s="97"/>
      <c r="O213" s="135"/>
      <c r="P213" s="129"/>
      <c r="Q213" s="140"/>
      <c r="Y213" s="94"/>
      <c r="AL213" s="94"/>
    </row>
    <row r="214" spans="1:38" s="63" customFormat="1">
      <c r="A214" s="61"/>
      <c r="B214" s="61"/>
      <c r="C214" s="60"/>
      <c r="E214" s="125"/>
      <c r="F214" s="128"/>
      <c r="G214" s="132"/>
      <c r="J214" s="61"/>
      <c r="K214" s="61"/>
      <c r="L214" s="62"/>
      <c r="N214" s="97"/>
      <c r="O214" s="135"/>
      <c r="P214" s="129"/>
      <c r="Q214" s="140"/>
      <c r="Y214" s="94"/>
      <c r="AL214" s="94"/>
    </row>
    <row r="215" spans="1:38" s="63" customFormat="1">
      <c r="A215" s="61"/>
      <c r="B215" s="61"/>
      <c r="C215" s="60"/>
      <c r="E215" s="125"/>
      <c r="F215" s="128"/>
      <c r="G215" s="132"/>
      <c r="J215" s="61"/>
      <c r="K215" s="61"/>
      <c r="L215" s="62"/>
      <c r="N215" s="97"/>
      <c r="O215" s="135"/>
      <c r="P215" s="129"/>
      <c r="Q215" s="140"/>
      <c r="Y215" s="94"/>
      <c r="AL215" s="94"/>
    </row>
    <row r="216" spans="1:38" s="63" customFormat="1">
      <c r="A216" s="61"/>
      <c r="B216" s="61"/>
      <c r="C216" s="60"/>
      <c r="E216" s="125"/>
      <c r="F216" s="128"/>
      <c r="G216" s="132"/>
      <c r="J216" s="61"/>
      <c r="K216" s="61"/>
      <c r="L216" s="62"/>
      <c r="N216" s="97"/>
      <c r="O216" s="135"/>
      <c r="P216" s="129"/>
      <c r="Q216" s="140"/>
      <c r="Y216" s="94"/>
      <c r="AL216" s="94"/>
    </row>
    <row r="217" spans="1:38" s="63" customFormat="1">
      <c r="A217" s="61"/>
      <c r="B217" s="61"/>
      <c r="C217" s="60"/>
      <c r="E217" s="125"/>
      <c r="F217" s="128"/>
      <c r="G217" s="132"/>
      <c r="J217" s="61"/>
      <c r="K217" s="61"/>
      <c r="L217" s="62"/>
      <c r="N217" s="97"/>
      <c r="O217" s="135"/>
      <c r="P217" s="129"/>
      <c r="Q217" s="140"/>
      <c r="Y217" s="94"/>
      <c r="AL217" s="94"/>
    </row>
    <row r="218" spans="1:38" s="63" customFormat="1">
      <c r="A218" s="61"/>
      <c r="B218" s="61"/>
      <c r="C218" s="60"/>
      <c r="E218" s="125"/>
      <c r="F218" s="128"/>
      <c r="G218" s="132"/>
      <c r="J218" s="61"/>
      <c r="K218" s="61"/>
      <c r="L218" s="62"/>
      <c r="N218" s="97"/>
      <c r="O218" s="135"/>
      <c r="P218" s="129"/>
      <c r="Q218" s="140"/>
      <c r="Y218" s="94"/>
      <c r="AL218" s="94"/>
    </row>
    <row r="219" spans="1:38" s="63" customFormat="1">
      <c r="A219" s="61"/>
      <c r="B219" s="61"/>
      <c r="C219" s="60"/>
      <c r="E219" s="125"/>
      <c r="F219" s="128"/>
      <c r="G219" s="132"/>
      <c r="J219" s="61"/>
      <c r="K219" s="61"/>
      <c r="L219" s="62"/>
      <c r="N219" s="97"/>
      <c r="O219" s="135"/>
      <c r="P219" s="129"/>
      <c r="Q219" s="140"/>
      <c r="Y219" s="94"/>
      <c r="AL219" s="94"/>
    </row>
    <row r="220" spans="1:38" s="63" customFormat="1">
      <c r="A220" s="61"/>
      <c r="B220" s="61"/>
      <c r="C220" s="60"/>
      <c r="E220" s="125"/>
      <c r="F220" s="128"/>
      <c r="G220" s="132"/>
      <c r="J220" s="61"/>
      <c r="K220" s="61"/>
      <c r="L220" s="62"/>
      <c r="N220" s="97"/>
      <c r="O220" s="135"/>
      <c r="P220" s="129"/>
      <c r="Q220" s="140"/>
      <c r="Y220" s="94"/>
      <c r="AL220" s="94"/>
    </row>
    <row r="221" spans="1:38" s="63" customFormat="1">
      <c r="A221" s="61"/>
      <c r="B221" s="61"/>
      <c r="C221" s="60"/>
      <c r="E221" s="125"/>
      <c r="F221" s="128"/>
      <c r="G221" s="132"/>
      <c r="J221" s="61"/>
      <c r="K221" s="61"/>
      <c r="L221" s="62"/>
      <c r="N221" s="97"/>
      <c r="O221" s="135"/>
      <c r="P221" s="129"/>
      <c r="Q221" s="140"/>
      <c r="Y221" s="94"/>
      <c r="AL221" s="94"/>
    </row>
    <row r="222" spans="1:38" s="63" customFormat="1">
      <c r="A222" s="61"/>
      <c r="B222" s="61"/>
      <c r="C222" s="60"/>
      <c r="E222" s="125"/>
      <c r="F222" s="128"/>
      <c r="G222" s="132"/>
      <c r="J222" s="61"/>
      <c r="K222" s="61"/>
      <c r="L222" s="62"/>
      <c r="N222" s="97"/>
      <c r="O222" s="135"/>
      <c r="P222" s="129"/>
      <c r="Q222" s="140"/>
      <c r="Y222" s="94"/>
      <c r="AL222" s="94"/>
    </row>
    <row r="223" spans="1:38" s="63" customFormat="1">
      <c r="A223" s="61"/>
      <c r="B223" s="61"/>
      <c r="C223" s="60"/>
      <c r="E223" s="125"/>
      <c r="F223" s="128"/>
      <c r="G223" s="132"/>
      <c r="J223" s="61"/>
      <c r="K223" s="61"/>
      <c r="L223" s="62"/>
      <c r="N223" s="97"/>
      <c r="O223" s="135"/>
      <c r="P223" s="129"/>
      <c r="Q223" s="140"/>
      <c r="Y223" s="94"/>
      <c r="AL223" s="94"/>
    </row>
    <row r="224" spans="1:38" s="63" customFormat="1">
      <c r="A224" s="61"/>
      <c r="B224" s="61"/>
      <c r="C224" s="60"/>
      <c r="E224" s="93"/>
      <c r="F224" s="128"/>
      <c r="G224" s="132"/>
      <c r="J224" s="61"/>
      <c r="K224" s="61"/>
      <c r="L224" s="62"/>
      <c r="N224" s="97"/>
      <c r="O224" s="135"/>
      <c r="P224" s="129"/>
      <c r="Q224" s="140"/>
      <c r="Y224" s="94"/>
      <c r="AL224" s="94"/>
    </row>
    <row r="225" spans="1:38" s="63" customFormat="1">
      <c r="A225" s="61"/>
      <c r="B225" s="61"/>
      <c r="C225" s="60"/>
      <c r="E225" s="93"/>
      <c r="F225" s="128"/>
      <c r="G225" s="132"/>
      <c r="J225" s="61"/>
      <c r="K225" s="61"/>
      <c r="L225" s="62"/>
      <c r="N225" s="97"/>
      <c r="O225" s="135"/>
      <c r="P225" s="129"/>
      <c r="Q225" s="140"/>
      <c r="Y225" s="94"/>
      <c r="AL225" s="94"/>
    </row>
    <row r="226" spans="1:38" s="63" customFormat="1">
      <c r="A226" s="61"/>
      <c r="B226" s="61"/>
      <c r="C226" s="60"/>
      <c r="E226" s="93"/>
      <c r="F226" s="128"/>
      <c r="G226" s="132"/>
      <c r="J226" s="61"/>
      <c r="K226" s="61"/>
      <c r="L226" s="62"/>
      <c r="N226" s="97"/>
      <c r="O226" s="135"/>
      <c r="P226" s="129"/>
      <c r="Q226" s="140"/>
      <c r="Y226" s="94"/>
      <c r="AL226" s="94"/>
    </row>
    <row r="227" spans="1:38" s="63" customFormat="1">
      <c r="A227" s="61"/>
      <c r="B227" s="61"/>
      <c r="C227" s="60"/>
      <c r="E227" s="93"/>
      <c r="F227" s="128"/>
      <c r="G227" s="132"/>
      <c r="J227" s="61"/>
      <c r="K227" s="61"/>
      <c r="L227" s="62"/>
      <c r="N227" s="97"/>
      <c r="O227" s="135"/>
      <c r="P227" s="129"/>
      <c r="Q227" s="140"/>
      <c r="Y227" s="94"/>
      <c r="AL227" s="94"/>
    </row>
    <row r="228" spans="1:38" s="63" customFormat="1">
      <c r="A228" s="61"/>
      <c r="B228" s="61"/>
      <c r="C228" s="60"/>
      <c r="E228" s="93"/>
      <c r="F228" s="128"/>
      <c r="G228" s="132"/>
      <c r="J228" s="61"/>
      <c r="K228" s="61"/>
      <c r="L228" s="62"/>
      <c r="N228" s="97"/>
      <c r="O228" s="135"/>
      <c r="P228" s="129"/>
      <c r="Q228" s="140"/>
      <c r="Y228" s="94"/>
      <c r="AL228" s="94"/>
    </row>
    <row r="229" spans="1:38" s="63" customFormat="1">
      <c r="A229" s="61"/>
      <c r="B229" s="61"/>
      <c r="C229" s="60"/>
      <c r="E229" s="93"/>
      <c r="F229" s="128"/>
      <c r="G229" s="132"/>
      <c r="J229" s="61"/>
      <c r="K229" s="61"/>
      <c r="L229" s="62"/>
      <c r="N229" s="97"/>
      <c r="O229" s="135"/>
      <c r="P229" s="129"/>
      <c r="Q229" s="140"/>
      <c r="Y229" s="94"/>
      <c r="AL229" s="94"/>
    </row>
    <row r="230" spans="1:38" s="63" customFormat="1">
      <c r="A230" s="61"/>
      <c r="B230" s="61"/>
      <c r="C230" s="60"/>
      <c r="E230" s="93"/>
      <c r="F230" s="128"/>
      <c r="G230" s="132"/>
      <c r="J230" s="61"/>
      <c r="K230" s="61"/>
      <c r="L230" s="62"/>
      <c r="N230" s="97"/>
      <c r="O230" s="135"/>
      <c r="P230" s="129"/>
      <c r="Q230" s="140"/>
      <c r="Y230" s="94"/>
      <c r="AL230" s="94"/>
    </row>
    <row r="231" spans="1:38" s="63" customFormat="1">
      <c r="A231" s="61"/>
      <c r="B231" s="61"/>
      <c r="C231" s="60"/>
      <c r="E231" s="93"/>
      <c r="F231" s="128"/>
      <c r="G231" s="132"/>
      <c r="J231" s="61"/>
      <c r="K231" s="61"/>
      <c r="L231" s="62"/>
      <c r="N231" s="97"/>
      <c r="O231" s="135"/>
      <c r="P231" s="129"/>
      <c r="Q231" s="140"/>
      <c r="Y231" s="94"/>
      <c r="AL231" s="94"/>
    </row>
    <row r="232" spans="1:38" s="63" customFormat="1">
      <c r="A232" s="61"/>
      <c r="B232" s="61"/>
      <c r="C232" s="60"/>
      <c r="E232" s="93"/>
      <c r="F232" s="128"/>
      <c r="G232" s="132"/>
      <c r="J232" s="61"/>
      <c r="K232" s="61"/>
      <c r="L232" s="62"/>
      <c r="N232" s="97"/>
      <c r="O232" s="135"/>
      <c r="P232" s="129"/>
      <c r="Q232" s="140"/>
      <c r="Y232" s="94"/>
      <c r="AL232" s="94"/>
    </row>
    <row r="233" spans="1:38" s="63" customFormat="1">
      <c r="A233" s="61"/>
      <c r="B233" s="61"/>
      <c r="C233" s="60"/>
      <c r="E233" s="93"/>
      <c r="F233" s="128"/>
      <c r="G233" s="132"/>
      <c r="J233" s="61"/>
      <c r="K233" s="61"/>
      <c r="L233" s="62"/>
      <c r="N233" s="97"/>
      <c r="O233" s="135"/>
      <c r="P233" s="129"/>
      <c r="Q233" s="140"/>
      <c r="Y233" s="94"/>
      <c r="AL233" s="94"/>
    </row>
    <row r="234" spans="1:38" s="63" customFormat="1">
      <c r="A234" s="61"/>
      <c r="B234" s="61"/>
      <c r="C234" s="60"/>
      <c r="E234" s="93"/>
      <c r="F234" s="128"/>
      <c r="G234" s="132"/>
      <c r="J234" s="61"/>
      <c r="K234" s="61"/>
      <c r="L234" s="62"/>
      <c r="N234" s="97"/>
      <c r="O234" s="135"/>
      <c r="P234" s="129"/>
      <c r="Q234" s="140"/>
      <c r="Y234" s="94"/>
      <c r="AL234" s="94"/>
    </row>
    <row r="235" spans="1:38" s="63" customFormat="1">
      <c r="A235" s="61"/>
      <c r="B235" s="61"/>
      <c r="C235" s="60"/>
      <c r="E235" s="93"/>
      <c r="F235" s="128"/>
      <c r="G235" s="132"/>
      <c r="J235" s="61"/>
      <c r="K235" s="61"/>
      <c r="L235" s="62"/>
      <c r="N235" s="97"/>
      <c r="O235" s="135"/>
      <c r="P235" s="129"/>
      <c r="Q235" s="140"/>
      <c r="Y235" s="94"/>
      <c r="AL235" s="94"/>
    </row>
    <row r="236" spans="1:38" s="63" customFormat="1">
      <c r="A236" s="61"/>
      <c r="B236" s="61"/>
      <c r="C236" s="60"/>
      <c r="E236" s="93"/>
      <c r="F236" s="128"/>
      <c r="G236" s="132"/>
      <c r="J236" s="61"/>
      <c r="K236" s="61"/>
      <c r="L236" s="62"/>
      <c r="N236" s="97"/>
      <c r="O236" s="135"/>
      <c r="P236" s="129"/>
      <c r="Q236" s="140"/>
      <c r="Y236" s="94"/>
      <c r="AL236" s="94"/>
    </row>
    <row r="237" spans="1:38" s="63" customFormat="1">
      <c r="A237" s="61"/>
      <c r="B237" s="61"/>
      <c r="C237" s="60"/>
      <c r="E237" s="93"/>
      <c r="F237" s="128"/>
      <c r="G237" s="132"/>
      <c r="J237" s="61"/>
      <c r="K237" s="61"/>
      <c r="L237" s="62"/>
      <c r="N237" s="97"/>
      <c r="O237" s="135"/>
      <c r="P237" s="129"/>
      <c r="Q237" s="140"/>
      <c r="Y237" s="94"/>
      <c r="AL237" s="94"/>
    </row>
    <row r="238" spans="1:38" s="63" customFormat="1">
      <c r="A238" s="61"/>
      <c r="B238" s="61"/>
      <c r="C238" s="60"/>
      <c r="E238" s="93"/>
      <c r="F238" s="128"/>
      <c r="G238" s="132"/>
      <c r="J238" s="61"/>
      <c r="K238" s="61"/>
      <c r="L238" s="62"/>
      <c r="N238" s="97"/>
      <c r="O238" s="135"/>
      <c r="P238" s="129"/>
      <c r="Q238" s="140"/>
      <c r="Y238" s="94"/>
      <c r="AL238" s="94"/>
    </row>
    <row r="239" spans="1:38" s="63" customFormat="1">
      <c r="A239" s="61"/>
      <c r="B239" s="61"/>
      <c r="C239" s="60"/>
      <c r="E239" s="93"/>
      <c r="F239" s="128"/>
      <c r="G239" s="132"/>
      <c r="J239" s="61"/>
      <c r="K239" s="61"/>
      <c r="L239" s="62"/>
      <c r="N239" s="97"/>
      <c r="O239" s="135"/>
      <c r="P239" s="129"/>
      <c r="Q239" s="140"/>
      <c r="Y239" s="94"/>
      <c r="AL239" s="94"/>
    </row>
    <row r="240" spans="1:38" s="63" customFormat="1">
      <c r="A240" s="61"/>
      <c r="B240" s="61"/>
      <c r="C240" s="60"/>
      <c r="E240" s="93"/>
      <c r="F240" s="128"/>
      <c r="G240" s="132"/>
      <c r="J240" s="61"/>
      <c r="K240" s="61"/>
      <c r="L240" s="62"/>
      <c r="N240" s="97"/>
      <c r="O240" s="135"/>
      <c r="P240" s="129"/>
      <c r="Q240" s="140"/>
      <c r="Y240" s="94"/>
      <c r="AL240" s="94"/>
    </row>
    <row r="241" spans="1:38" s="63" customFormat="1">
      <c r="A241" s="61"/>
      <c r="B241" s="61"/>
      <c r="C241" s="60"/>
      <c r="E241" s="93"/>
      <c r="F241" s="128"/>
      <c r="G241" s="132"/>
      <c r="J241" s="61"/>
      <c r="K241" s="61"/>
      <c r="L241" s="62"/>
      <c r="N241" s="97"/>
      <c r="O241" s="135"/>
      <c r="P241" s="129"/>
      <c r="Q241" s="140"/>
      <c r="Y241" s="94"/>
      <c r="AL241" s="94"/>
    </row>
    <row r="242" spans="1:38" s="63" customFormat="1">
      <c r="A242" s="61"/>
      <c r="B242" s="61"/>
      <c r="C242" s="60"/>
      <c r="E242" s="93"/>
      <c r="F242" s="128"/>
      <c r="G242" s="132"/>
      <c r="J242" s="61"/>
      <c r="K242" s="61"/>
      <c r="L242" s="62"/>
      <c r="N242" s="97"/>
      <c r="O242" s="135"/>
      <c r="P242" s="129"/>
      <c r="Q242" s="140"/>
      <c r="Y242" s="94"/>
      <c r="AL242" s="94"/>
    </row>
    <row r="243" spans="1:38" s="63" customFormat="1">
      <c r="A243" s="61"/>
      <c r="B243" s="61"/>
      <c r="C243" s="60"/>
      <c r="E243" s="93"/>
      <c r="F243" s="128"/>
      <c r="G243" s="132"/>
      <c r="J243" s="61"/>
      <c r="K243" s="61"/>
      <c r="L243" s="62"/>
      <c r="N243" s="97"/>
      <c r="O243" s="135"/>
      <c r="P243" s="129"/>
      <c r="Q243" s="140"/>
      <c r="Y243" s="94"/>
      <c r="AL243" s="94"/>
    </row>
    <row r="244" spans="1:38" s="63" customFormat="1">
      <c r="A244" s="61"/>
      <c r="B244" s="61"/>
      <c r="C244" s="60"/>
      <c r="E244" s="93"/>
      <c r="F244" s="128"/>
      <c r="G244" s="132"/>
      <c r="J244" s="61"/>
      <c r="K244" s="61"/>
      <c r="L244" s="62"/>
      <c r="N244" s="97"/>
      <c r="O244" s="135"/>
      <c r="P244" s="129"/>
      <c r="Q244" s="140"/>
      <c r="Y244" s="94"/>
      <c r="AL244" s="94"/>
    </row>
    <row r="245" spans="1:38" s="63" customFormat="1">
      <c r="A245" s="61"/>
      <c r="B245" s="61"/>
      <c r="C245" s="60"/>
      <c r="E245" s="93"/>
      <c r="F245" s="128"/>
      <c r="G245" s="132"/>
      <c r="J245" s="61"/>
      <c r="K245" s="61"/>
      <c r="L245" s="62"/>
      <c r="N245" s="97"/>
      <c r="O245" s="135"/>
      <c r="P245" s="129"/>
      <c r="Q245" s="140"/>
      <c r="Y245" s="94"/>
      <c r="AL245" s="94"/>
    </row>
    <row r="246" spans="1:38" s="63" customFormat="1">
      <c r="A246" s="61"/>
      <c r="B246" s="61"/>
      <c r="C246" s="60"/>
      <c r="E246" s="93"/>
      <c r="F246" s="128"/>
      <c r="G246" s="132"/>
      <c r="J246" s="61"/>
      <c r="K246" s="61"/>
      <c r="L246" s="62"/>
      <c r="N246" s="97"/>
      <c r="O246" s="135"/>
      <c r="P246" s="129"/>
      <c r="Q246" s="140"/>
      <c r="Y246" s="94"/>
      <c r="AL246" s="94"/>
    </row>
    <row r="247" spans="1:38" s="63" customFormat="1">
      <c r="A247" s="61"/>
      <c r="B247" s="61"/>
      <c r="C247" s="60"/>
      <c r="E247" s="93"/>
      <c r="F247" s="128"/>
      <c r="G247" s="132"/>
      <c r="J247" s="61"/>
      <c r="K247" s="61"/>
      <c r="L247" s="62"/>
      <c r="N247" s="97"/>
      <c r="O247" s="135"/>
      <c r="P247" s="129"/>
      <c r="Q247" s="140"/>
      <c r="Y247" s="94"/>
      <c r="AL247" s="94"/>
    </row>
    <row r="248" spans="1:38" s="63" customFormat="1">
      <c r="A248" s="61"/>
      <c r="B248" s="61"/>
      <c r="C248" s="60"/>
      <c r="E248" s="93"/>
      <c r="F248" s="128"/>
      <c r="G248" s="132"/>
      <c r="J248" s="61"/>
      <c r="K248" s="61"/>
      <c r="L248" s="62"/>
      <c r="N248" s="97"/>
      <c r="O248" s="135"/>
      <c r="P248" s="129"/>
      <c r="Q248" s="140"/>
      <c r="Y248" s="94"/>
      <c r="AL248" s="94"/>
    </row>
    <row r="249" spans="1:38" s="63" customFormat="1">
      <c r="A249" s="61"/>
      <c r="B249" s="61"/>
      <c r="C249" s="60"/>
      <c r="E249" s="93"/>
      <c r="F249" s="117"/>
      <c r="G249" s="93"/>
      <c r="J249" s="61"/>
      <c r="K249" s="61"/>
      <c r="L249" s="62"/>
      <c r="N249" s="97"/>
      <c r="O249" s="135"/>
      <c r="P249" s="129"/>
      <c r="Q249" s="140"/>
      <c r="Y249" s="94"/>
      <c r="AL249" s="94"/>
    </row>
    <row r="250" spans="1:38" s="63" customFormat="1">
      <c r="A250" s="61"/>
      <c r="B250" s="61"/>
      <c r="C250" s="60"/>
      <c r="E250" s="93"/>
      <c r="F250" s="117"/>
      <c r="G250" s="93"/>
      <c r="J250" s="61"/>
      <c r="K250" s="61"/>
      <c r="L250" s="62"/>
      <c r="N250" s="97"/>
      <c r="O250" s="135"/>
      <c r="P250" s="129"/>
      <c r="Q250" s="140"/>
      <c r="Y250" s="94"/>
      <c r="AL250" s="94"/>
    </row>
    <row r="251" spans="1:38" s="63" customFormat="1">
      <c r="A251" s="61"/>
      <c r="B251" s="61"/>
      <c r="C251" s="60"/>
      <c r="E251" s="93"/>
      <c r="F251" s="117"/>
      <c r="G251" s="93"/>
      <c r="J251" s="61"/>
      <c r="K251" s="61"/>
      <c r="L251" s="62"/>
      <c r="N251" s="97"/>
      <c r="O251" s="135"/>
      <c r="P251" s="129"/>
      <c r="Q251" s="140"/>
      <c r="Y251" s="94"/>
      <c r="AL251" s="94"/>
    </row>
    <row r="252" spans="1:38" s="63" customFormat="1">
      <c r="A252" s="61"/>
      <c r="B252" s="61"/>
      <c r="C252" s="60"/>
      <c r="E252" s="93"/>
      <c r="F252" s="117"/>
      <c r="G252" s="93"/>
      <c r="J252" s="61"/>
      <c r="K252" s="61"/>
      <c r="L252" s="62"/>
      <c r="N252" s="97"/>
      <c r="O252" s="135"/>
      <c r="P252" s="129"/>
      <c r="Q252" s="140"/>
      <c r="Y252" s="94"/>
      <c r="AL252" s="94"/>
    </row>
    <row r="253" spans="1:38" s="63" customFormat="1">
      <c r="A253" s="61"/>
      <c r="B253" s="61"/>
      <c r="C253" s="60"/>
      <c r="E253" s="93"/>
      <c r="F253" s="117"/>
      <c r="G253" s="93"/>
      <c r="J253" s="61"/>
      <c r="K253" s="61"/>
      <c r="L253" s="62"/>
      <c r="N253" s="97"/>
      <c r="O253" s="135"/>
      <c r="P253" s="129"/>
      <c r="Q253" s="140"/>
      <c r="Y253" s="94"/>
      <c r="AL253" s="94"/>
    </row>
    <row r="254" spans="1:38" s="63" customFormat="1">
      <c r="A254" s="61"/>
      <c r="B254" s="61"/>
      <c r="C254" s="60"/>
      <c r="E254" s="93"/>
      <c r="F254" s="117"/>
      <c r="G254" s="93"/>
      <c r="J254" s="61"/>
      <c r="K254" s="61"/>
      <c r="L254" s="62"/>
      <c r="N254" s="97"/>
      <c r="O254" s="135"/>
      <c r="P254" s="129"/>
      <c r="Q254" s="140"/>
      <c r="Y254" s="94"/>
      <c r="AL254" s="94"/>
    </row>
    <row r="255" spans="1:38" s="63" customFormat="1">
      <c r="A255" s="61"/>
      <c r="B255" s="61"/>
      <c r="C255" s="60"/>
      <c r="E255" s="93"/>
      <c r="F255" s="117"/>
      <c r="G255" s="93"/>
      <c r="J255" s="61"/>
      <c r="K255" s="61"/>
      <c r="L255" s="62"/>
      <c r="N255" s="97"/>
      <c r="O255" s="135"/>
      <c r="P255" s="129"/>
      <c r="Q255" s="140"/>
      <c r="Y255" s="94"/>
      <c r="AL255" s="94"/>
    </row>
    <row r="256" spans="1:38" s="63" customFormat="1">
      <c r="A256" s="61"/>
      <c r="B256" s="61"/>
      <c r="C256" s="60"/>
      <c r="E256" s="93"/>
      <c r="F256" s="117"/>
      <c r="G256" s="93"/>
      <c r="J256" s="61"/>
      <c r="K256" s="61"/>
      <c r="L256" s="62"/>
      <c r="N256" s="97"/>
      <c r="O256" s="135"/>
      <c r="P256" s="129"/>
      <c r="Q256" s="140"/>
      <c r="Y256" s="94"/>
      <c r="AL256" s="94"/>
    </row>
    <row r="257" spans="1:38" s="63" customFormat="1">
      <c r="A257" s="61"/>
      <c r="B257" s="61"/>
      <c r="C257" s="60"/>
      <c r="E257" s="93"/>
      <c r="F257" s="117"/>
      <c r="G257" s="93"/>
      <c r="J257" s="61"/>
      <c r="K257" s="61"/>
      <c r="L257" s="62"/>
      <c r="N257" s="97"/>
      <c r="O257" s="135"/>
      <c r="P257" s="129"/>
      <c r="Q257" s="140"/>
      <c r="Y257" s="94"/>
      <c r="AL257" s="94"/>
    </row>
    <row r="258" spans="1:38" s="63" customFormat="1">
      <c r="A258" s="61"/>
      <c r="B258" s="61"/>
      <c r="C258" s="60"/>
      <c r="E258" s="93"/>
      <c r="F258" s="117"/>
      <c r="G258" s="93"/>
      <c r="J258" s="61"/>
      <c r="K258" s="61"/>
      <c r="L258" s="62"/>
      <c r="N258" s="97"/>
      <c r="O258" s="135"/>
      <c r="P258" s="129"/>
      <c r="Q258" s="140"/>
      <c r="Y258" s="94"/>
      <c r="AL258" s="94"/>
    </row>
    <row r="259" spans="1:38" s="63" customFormat="1">
      <c r="A259" s="61"/>
      <c r="B259" s="61"/>
      <c r="C259" s="60"/>
      <c r="E259" s="93"/>
      <c r="F259" s="117"/>
      <c r="G259" s="93"/>
      <c r="J259" s="61"/>
      <c r="K259" s="61"/>
      <c r="L259" s="62"/>
      <c r="N259" s="97"/>
      <c r="O259" s="135"/>
      <c r="P259" s="129"/>
      <c r="Q259" s="140"/>
      <c r="Y259" s="94"/>
      <c r="AL259" s="94"/>
    </row>
    <row r="260" spans="1:38" s="63" customFormat="1">
      <c r="A260" s="61"/>
      <c r="B260" s="61"/>
      <c r="C260" s="60"/>
      <c r="E260" s="93"/>
      <c r="F260" s="117"/>
      <c r="G260" s="93"/>
      <c r="J260" s="61"/>
      <c r="K260" s="61"/>
      <c r="L260" s="62"/>
      <c r="N260" s="97"/>
      <c r="O260" s="135"/>
      <c r="P260" s="129"/>
      <c r="Q260" s="140"/>
      <c r="Y260" s="94"/>
      <c r="AL260" s="94"/>
    </row>
    <row r="261" spans="1:38" s="63" customFormat="1">
      <c r="A261" s="61"/>
      <c r="B261" s="61"/>
      <c r="C261" s="60"/>
      <c r="E261" s="93"/>
      <c r="F261" s="117"/>
      <c r="G261" s="93"/>
      <c r="J261" s="61"/>
      <c r="K261" s="61"/>
      <c r="L261" s="62"/>
      <c r="N261" s="97"/>
      <c r="O261" s="135"/>
      <c r="P261" s="129"/>
      <c r="Q261" s="133"/>
      <c r="Y261" s="94"/>
      <c r="AL261" s="94"/>
    </row>
    <row r="262" spans="1:38" s="63" customFormat="1">
      <c r="A262" s="61"/>
      <c r="B262" s="61"/>
      <c r="C262" s="60"/>
      <c r="E262" s="93"/>
      <c r="F262" s="117"/>
      <c r="G262" s="93"/>
      <c r="J262" s="61"/>
      <c r="K262" s="61"/>
      <c r="L262" s="62"/>
      <c r="N262" s="97"/>
      <c r="O262" s="135"/>
      <c r="P262" s="129"/>
      <c r="Q262" s="133"/>
      <c r="Y262" s="94"/>
      <c r="AL262" s="94"/>
    </row>
    <row r="263" spans="1:38" s="63" customFormat="1">
      <c r="A263" s="61"/>
      <c r="B263" s="61"/>
      <c r="C263" s="60"/>
      <c r="E263" s="93"/>
      <c r="F263" s="117"/>
      <c r="G263" s="93"/>
      <c r="J263" s="61"/>
      <c r="K263" s="61"/>
      <c r="L263" s="62"/>
      <c r="N263" s="97"/>
      <c r="O263" s="135"/>
      <c r="P263" s="129"/>
      <c r="Q263" s="133"/>
      <c r="Y263" s="94"/>
      <c r="AL263" s="94"/>
    </row>
    <row r="264" spans="1:38" s="63" customFormat="1">
      <c r="A264" s="61"/>
      <c r="B264" s="61"/>
      <c r="C264" s="60"/>
      <c r="E264" s="93"/>
      <c r="F264" s="117"/>
      <c r="G264" s="93"/>
      <c r="J264" s="61"/>
      <c r="K264" s="61"/>
      <c r="L264" s="62"/>
      <c r="N264" s="97"/>
      <c r="O264" s="135"/>
      <c r="P264" s="129"/>
      <c r="Q264" s="133"/>
      <c r="Y264" s="94"/>
      <c r="AL264" s="94"/>
    </row>
    <row r="265" spans="1:38" s="63" customFormat="1">
      <c r="A265" s="61"/>
      <c r="B265" s="61"/>
      <c r="C265" s="60"/>
      <c r="E265" s="93"/>
      <c r="F265" s="117"/>
      <c r="G265" s="93"/>
      <c r="J265" s="61"/>
      <c r="K265" s="61"/>
      <c r="L265" s="62"/>
      <c r="N265" s="97"/>
      <c r="O265" s="135"/>
      <c r="P265" s="129"/>
      <c r="Q265" s="133"/>
      <c r="Y265" s="94"/>
      <c r="AL265" s="94"/>
    </row>
    <row r="266" spans="1:38" s="63" customFormat="1">
      <c r="A266" s="61"/>
      <c r="B266" s="61"/>
      <c r="C266" s="60"/>
      <c r="E266" s="93"/>
      <c r="F266" s="117"/>
      <c r="G266" s="93"/>
      <c r="J266" s="61"/>
      <c r="K266" s="61"/>
      <c r="L266" s="62"/>
      <c r="N266" s="97"/>
      <c r="O266" s="135"/>
      <c r="P266" s="129"/>
      <c r="Q266" s="133"/>
      <c r="Y266" s="94"/>
      <c r="AL266" s="94"/>
    </row>
    <row r="267" spans="1:38" s="63" customFormat="1">
      <c r="A267" s="61"/>
      <c r="B267" s="61"/>
      <c r="C267" s="60"/>
      <c r="E267" s="93"/>
      <c r="F267" s="117"/>
      <c r="G267" s="93"/>
      <c r="J267" s="61"/>
      <c r="K267" s="61"/>
      <c r="L267" s="62"/>
      <c r="N267" s="97"/>
      <c r="O267" s="135"/>
      <c r="P267" s="129"/>
      <c r="Q267" s="133"/>
      <c r="Y267" s="94"/>
      <c r="AL267" s="94"/>
    </row>
    <row r="268" spans="1:38" s="63" customFormat="1">
      <c r="A268" s="61"/>
      <c r="B268" s="61"/>
      <c r="C268" s="60"/>
      <c r="E268" s="93"/>
      <c r="F268" s="117"/>
      <c r="G268" s="93"/>
      <c r="J268" s="61"/>
      <c r="K268" s="61"/>
      <c r="L268" s="62"/>
      <c r="N268" s="97"/>
      <c r="O268" s="135"/>
      <c r="P268" s="129"/>
      <c r="Q268" s="133"/>
      <c r="Y268" s="94"/>
      <c r="AL268" s="94"/>
    </row>
    <row r="269" spans="1:38" s="63" customFormat="1">
      <c r="A269" s="61"/>
      <c r="B269" s="61"/>
      <c r="C269" s="60"/>
      <c r="E269" s="93"/>
      <c r="F269" s="117"/>
      <c r="G269" s="93"/>
      <c r="J269" s="61"/>
      <c r="K269" s="61"/>
      <c r="L269" s="62"/>
      <c r="N269" s="97"/>
      <c r="O269" s="135"/>
      <c r="P269" s="129"/>
      <c r="Q269" s="133"/>
      <c r="Y269" s="94"/>
      <c r="AL269" s="94"/>
    </row>
    <row r="270" spans="1:38" s="63" customFormat="1">
      <c r="A270" s="61"/>
      <c r="B270" s="61"/>
      <c r="C270" s="60"/>
      <c r="E270" s="93"/>
      <c r="F270" s="117"/>
      <c r="G270" s="93"/>
      <c r="J270" s="61"/>
      <c r="K270" s="61"/>
      <c r="L270" s="62"/>
      <c r="N270" s="97"/>
      <c r="O270" s="135"/>
      <c r="P270" s="129"/>
      <c r="Q270" s="133"/>
      <c r="Y270" s="94"/>
      <c r="AL270" s="94"/>
    </row>
    <row r="271" spans="1:38" s="63" customFormat="1">
      <c r="A271" s="61"/>
      <c r="B271" s="61"/>
      <c r="C271" s="60"/>
      <c r="E271" s="93"/>
      <c r="F271" s="117"/>
      <c r="G271" s="93"/>
      <c r="J271" s="61"/>
      <c r="K271" s="61"/>
      <c r="L271" s="62"/>
      <c r="N271" s="97"/>
      <c r="O271" s="135"/>
      <c r="P271" s="129"/>
      <c r="Q271" s="133"/>
      <c r="Y271" s="94"/>
      <c r="AL271" s="94"/>
    </row>
    <row r="272" spans="1:38" s="63" customFormat="1">
      <c r="A272" s="61"/>
      <c r="B272" s="61"/>
      <c r="C272" s="60"/>
      <c r="E272" s="93"/>
      <c r="F272" s="117"/>
      <c r="G272" s="93"/>
      <c r="J272" s="61"/>
      <c r="K272" s="61"/>
      <c r="L272" s="62"/>
      <c r="N272" s="97"/>
      <c r="O272" s="135"/>
      <c r="P272" s="129"/>
      <c r="Q272" s="133"/>
      <c r="Y272" s="94"/>
      <c r="AL272" s="94"/>
    </row>
    <row r="273" spans="1:38" s="63" customFormat="1">
      <c r="A273" s="61"/>
      <c r="B273" s="61"/>
      <c r="C273" s="60"/>
      <c r="E273" s="93"/>
      <c r="F273" s="117"/>
      <c r="G273" s="93"/>
      <c r="J273" s="61"/>
      <c r="K273" s="61"/>
      <c r="L273" s="62"/>
      <c r="N273" s="97"/>
      <c r="O273" s="135"/>
      <c r="P273" s="129"/>
      <c r="Q273" s="133"/>
      <c r="Y273" s="94"/>
      <c r="AL273" s="94"/>
    </row>
    <row r="274" spans="1:38" s="63" customFormat="1">
      <c r="A274" s="61"/>
      <c r="B274" s="61"/>
      <c r="C274" s="60"/>
      <c r="E274" s="93"/>
      <c r="F274" s="117"/>
      <c r="G274" s="93"/>
      <c r="J274" s="61"/>
      <c r="K274" s="61"/>
      <c r="L274" s="62"/>
      <c r="N274" s="97"/>
      <c r="O274" s="135"/>
      <c r="P274" s="129"/>
      <c r="Q274" s="133"/>
      <c r="Y274" s="94"/>
      <c r="AL274" s="94"/>
    </row>
    <row r="275" spans="1:38" s="63" customFormat="1">
      <c r="A275" s="61"/>
      <c r="B275" s="61"/>
      <c r="C275" s="60"/>
      <c r="E275" s="93"/>
      <c r="F275" s="117"/>
      <c r="G275" s="93"/>
      <c r="J275" s="61"/>
      <c r="K275" s="61"/>
      <c r="L275" s="62"/>
      <c r="N275" s="97"/>
      <c r="O275" s="135"/>
      <c r="P275" s="129"/>
      <c r="Q275" s="133"/>
      <c r="Y275" s="94"/>
      <c r="AL275" s="94"/>
    </row>
    <row r="276" spans="1:38" s="63" customFormat="1">
      <c r="A276" s="61"/>
      <c r="B276" s="61"/>
      <c r="C276" s="60"/>
      <c r="E276" s="93"/>
      <c r="F276" s="117"/>
      <c r="G276" s="93"/>
      <c r="J276" s="61"/>
      <c r="K276" s="61"/>
      <c r="L276" s="62"/>
      <c r="N276" s="97"/>
      <c r="O276" s="135"/>
      <c r="P276" s="129"/>
      <c r="Q276" s="133"/>
      <c r="Y276" s="94"/>
      <c r="AL276" s="94"/>
    </row>
    <row r="277" spans="1:38" s="63" customFormat="1">
      <c r="A277" s="61"/>
      <c r="B277" s="61"/>
      <c r="C277" s="60"/>
      <c r="E277" s="93"/>
      <c r="F277" s="117"/>
      <c r="G277" s="93"/>
      <c r="J277" s="61"/>
      <c r="K277" s="61"/>
      <c r="L277" s="62"/>
      <c r="N277" s="97"/>
      <c r="O277" s="135"/>
      <c r="P277" s="129"/>
      <c r="Q277" s="133"/>
      <c r="Y277" s="94"/>
      <c r="AL277" s="94"/>
    </row>
    <row r="278" spans="1:38" s="63" customFormat="1">
      <c r="A278" s="61"/>
      <c r="B278" s="61"/>
      <c r="C278" s="60"/>
      <c r="E278" s="93"/>
      <c r="F278" s="117"/>
      <c r="G278" s="93"/>
      <c r="J278" s="61"/>
      <c r="K278" s="61"/>
      <c r="L278" s="62"/>
      <c r="N278" s="97"/>
      <c r="O278" s="135"/>
      <c r="P278" s="129"/>
      <c r="Q278" s="133"/>
      <c r="Y278" s="94"/>
      <c r="AL278" s="94"/>
    </row>
    <row r="279" spans="1:38" s="63" customFormat="1">
      <c r="A279" s="61"/>
      <c r="B279" s="61"/>
      <c r="C279" s="60"/>
      <c r="E279" s="93"/>
      <c r="F279" s="117"/>
      <c r="G279" s="93"/>
      <c r="J279" s="61"/>
      <c r="K279" s="61"/>
      <c r="L279" s="62"/>
      <c r="N279" s="97"/>
      <c r="O279" s="135"/>
      <c r="P279" s="129"/>
      <c r="Q279" s="133"/>
      <c r="Y279" s="94"/>
      <c r="AL279" s="94"/>
    </row>
    <row r="280" spans="1:38" s="63" customFormat="1">
      <c r="A280" s="61"/>
      <c r="B280" s="61"/>
      <c r="C280" s="60"/>
      <c r="E280" s="93"/>
      <c r="F280" s="117"/>
      <c r="G280" s="93"/>
      <c r="J280" s="61"/>
      <c r="K280" s="61"/>
      <c r="L280" s="62"/>
      <c r="N280" s="97"/>
      <c r="O280" s="135"/>
      <c r="P280" s="129"/>
      <c r="Q280" s="133"/>
      <c r="Y280" s="94"/>
      <c r="AL280" s="94"/>
    </row>
    <row r="281" spans="1:38" s="63" customFormat="1">
      <c r="A281" s="61"/>
      <c r="B281" s="61"/>
      <c r="C281" s="60"/>
      <c r="E281" s="93"/>
      <c r="F281" s="117"/>
      <c r="G281" s="93"/>
      <c r="J281" s="61"/>
      <c r="K281" s="61"/>
      <c r="L281" s="62"/>
      <c r="N281" s="97"/>
      <c r="O281" s="135"/>
      <c r="P281" s="129"/>
      <c r="Q281" s="133"/>
      <c r="Y281" s="94"/>
      <c r="AL281" s="94"/>
    </row>
    <row r="282" spans="1:38" s="63" customFormat="1">
      <c r="A282" s="61"/>
      <c r="B282" s="61"/>
      <c r="C282" s="60"/>
      <c r="E282" s="93"/>
      <c r="F282" s="117"/>
      <c r="G282" s="93"/>
      <c r="J282" s="61"/>
      <c r="K282" s="61"/>
      <c r="L282" s="62"/>
      <c r="N282" s="97"/>
      <c r="O282" s="135"/>
      <c r="P282" s="129"/>
      <c r="Q282" s="133"/>
      <c r="Y282" s="94"/>
      <c r="AL282" s="94"/>
    </row>
    <row r="283" spans="1:38" s="63" customFormat="1">
      <c r="A283" s="61"/>
      <c r="B283" s="61"/>
      <c r="C283" s="60"/>
      <c r="E283" s="93"/>
      <c r="F283" s="117"/>
      <c r="G283" s="93"/>
      <c r="J283" s="61"/>
      <c r="K283" s="61"/>
      <c r="L283" s="62"/>
      <c r="N283" s="97"/>
      <c r="O283" s="135"/>
      <c r="P283" s="129"/>
      <c r="Q283" s="133"/>
      <c r="Y283" s="94"/>
      <c r="AL283" s="94"/>
    </row>
    <row r="284" spans="1:38" s="63" customFormat="1">
      <c r="A284" s="61"/>
      <c r="B284" s="61"/>
      <c r="C284" s="60"/>
      <c r="E284" s="93"/>
      <c r="F284" s="117"/>
      <c r="G284" s="93"/>
      <c r="J284" s="61"/>
      <c r="K284" s="61"/>
      <c r="L284" s="62"/>
      <c r="N284" s="97"/>
      <c r="O284" s="135"/>
      <c r="P284" s="129"/>
      <c r="Q284" s="133"/>
      <c r="Y284" s="94"/>
      <c r="AL284" s="94"/>
    </row>
    <row r="285" spans="1:38" s="63" customFormat="1">
      <c r="A285" s="61"/>
      <c r="B285" s="61"/>
      <c r="C285" s="60"/>
      <c r="E285" s="93"/>
      <c r="F285" s="117"/>
      <c r="G285" s="93"/>
      <c r="J285" s="61"/>
      <c r="K285" s="61"/>
      <c r="L285" s="62"/>
      <c r="N285" s="97"/>
      <c r="O285" s="135"/>
      <c r="P285" s="129"/>
      <c r="Q285" s="133"/>
      <c r="Y285" s="94"/>
      <c r="AL285" s="94"/>
    </row>
    <row r="286" spans="1:38" s="63" customFormat="1">
      <c r="A286" s="61"/>
      <c r="B286" s="61"/>
      <c r="C286" s="60"/>
      <c r="E286" s="93"/>
      <c r="F286" s="117"/>
      <c r="G286" s="93"/>
      <c r="J286" s="61"/>
      <c r="K286" s="61"/>
      <c r="L286" s="62"/>
      <c r="N286" s="97"/>
      <c r="O286" s="135"/>
      <c r="P286" s="129"/>
      <c r="Q286" s="133"/>
      <c r="Y286" s="94"/>
      <c r="AL286" s="94"/>
    </row>
    <row r="287" spans="1:38" s="63" customFormat="1">
      <c r="A287" s="61"/>
      <c r="B287" s="61"/>
      <c r="C287" s="60"/>
      <c r="E287" s="93"/>
      <c r="F287" s="117"/>
      <c r="G287" s="93"/>
      <c r="J287" s="61"/>
      <c r="K287" s="61"/>
      <c r="L287" s="62"/>
      <c r="N287" s="97"/>
      <c r="O287" s="135"/>
      <c r="P287" s="129"/>
      <c r="Q287" s="133"/>
      <c r="Y287" s="94"/>
      <c r="AL287" s="94"/>
    </row>
    <row r="288" spans="1:38" s="63" customFormat="1">
      <c r="A288" s="61"/>
      <c r="B288" s="61"/>
      <c r="C288" s="60"/>
      <c r="E288" s="93"/>
      <c r="F288" s="117"/>
      <c r="G288" s="93"/>
      <c r="J288" s="61"/>
      <c r="K288" s="61"/>
      <c r="L288" s="62"/>
      <c r="N288" s="97"/>
      <c r="O288" s="135"/>
      <c r="P288" s="129"/>
      <c r="Q288" s="133"/>
      <c r="Y288" s="94"/>
      <c r="AL288" s="94"/>
    </row>
    <row r="289" spans="1:38" s="63" customFormat="1">
      <c r="A289" s="61"/>
      <c r="B289" s="61"/>
      <c r="C289" s="60"/>
      <c r="E289" s="93"/>
      <c r="F289" s="117"/>
      <c r="G289" s="93"/>
      <c r="J289" s="61"/>
      <c r="K289" s="61"/>
      <c r="L289" s="62"/>
      <c r="N289" s="97"/>
      <c r="O289" s="135"/>
      <c r="P289" s="129"/>
      <c r="Q289" s="133"/>
      <c r="Y289" s="94"/>
      <c r="AL289" s="94"/>
    </row>
    <row r="290" spans="1:38" s="63" customFormat="1">
      <c r="A290" s="61"/>
      <c r="B290" s="61"/>
      <c r="C290" s="60"/>
      <c r="E290" s="93"/>
      <c r="F290" s="117"/>
      <c r="G290" s="93"/>
      <c r="J290" s="61"/>
      <c r="K290" s="61"/>
      <c r="L290" s="62"/>
      <c r="N290" s="97"/>
      <c r="O290" s="135"/>
      <c r="P290" s="129"/>
      <c r="Q290" s="133"/>
      <c r="Y290" s="94"/>
      <c r="AL290" s="94"/>
    </row>
    <row r="291" spans="1:38" s="63" customFormat="1">
      <c r="A291" s="61"/>
      <c r="B291" s="61"/>
      <c r="C291" s="60"/>
      <c r="E291" s="93"/>
      <c r="F291" s="117"/>
      <c r="G291" s="93"/>
      <c r="J291" s="61"/>
      <c r="K291" s="61"/>
      <c r="L291" s="62"/>
      <c r="N291" s="97"/>
      <c r="O291" s="135"/>
      <c r="P291" s="129"/>
      <c r="Q291" s="133"/>
      <c r="Y291" s="94"/>
      <c r="AL291" s="94"/>
    </row>
    <row r="292" spans="1:38" s="63" customFormat="1">
      <c r="A292" s="61"/>
      <c r="B292" s="61"/>
      <c r="C292" s="60"/>
      <c r="E292" s="93"/>
      <c r="F292" s="117"/>
      <c r="G292" s="93"/>
      <c r="J292" s="61"/>
      <c r="K292" s="61"/>
      <c r="L292" s="62"/>
      <c r="N292" s="97"/>
      <c r="O292" s="135"/>
      <c r="P292" s="129"/>
      <c r="Q292" s="133"/>
      <c r="Y292" s="94"/>
      <c r="AL292" s="94"/>
    </row>
    <row r="293" spans="1:38" s="63" customFormat="1">
      <c r="A293" s="61"/>
      <c r="B293" s="61"/>
      <c r="C293" s="60"/>
      <c r="E293" s="93"/>
      <c r="F293" s="117"/>
      <c r="G293" s="93"/>
      <c r="J293" s="61"/>
      <c r="K293" s="61"/>
      <c r="L293" s="62"/>
      <c r="N293" s="97"/>
      <c r="O293" s="135"/>
      <c r="P293" s="129"/>
      <c r="Q293" s="133"/>
      <c r="Y293" s="94"/>
      <c r="AL293" s="94"/>
    </row>
    <row r="294" spans="1:38" s="63" customFormat="1">
      <c r="A294" s="61"/>
      <c r="B294" s="61"/>
      <c r="C294" s="60"/>
      <c r="E294" s="93"/>
      <c r="F294" s="117"/>
      <c r="G294" s="93"/>
      <c r="J294" s="61"/>
      <c r="K294" s="61"/>
      <c r="L294" s="62"/>
      <c r="N294" s="97"/>
      <c r="O294" s="135"/>
      <c r="P294" s="129"/>
      <c r="Q294" s="133"/>
      <c r="Y294" s="94"/>
      <c r="AL294" s="94"/>
    </row>
    <row r="295" spans="1:38" s="63" customFormat="1">
      <c r="A295" s="61"/>
      <c r="B295" s="61"/>
      <c r="C295" s="60"/>
      <c r="E295" s="93"/>
      <c r="F295" s="117"/>
      <c r="G295" s="93"/>
      <c r="J295" s="61"/>
      <c r="K295" s="61"/>
      <c r="L295" s="62"/>
      <c r="N295" s="97"/>
      <c r="O295" s="135"/>
      <c r="P295" s="129"/>
      <c r="Q295" s="133"/>
      <c r="Y295" s="94"/>
      <c r="AL295" s="94"/>
    </row>
    <row r="296" spans="1:38" s="63" customFormat="1">
      <c r="A296" s="61"/>
      <c r="B296" s="61"/>
      <c r="C296" s="60"/>
      <c r="E296" s="93"/>
      <c r="F296" s="117"/>
      <c r="G296" s="93"/>
      <c r="J296" s="61"/>
      <c r="K296" s="61"/>
      <c r="L296" s="62"/>
      <c r="N296" s="97"/>
      <c r="O296" s="135"/>
      <c r="P296" s="129"/>
      <c r="Q296" s="133"/>
      <c r="Y296" s="94"/>
      <c r="AL296" s="94"/>
    </row>
    <row r="297" spans="1:38" s="63" customFormat="1">
      <c r="A297" s="61"/>
      <c r="B297" s="61"/>
      <c r="C297" s="60"/>
      <c r="E297" s="93"/>
      <c r="F297" s="117"/>
      <c r="G297" s="93"/>
      <c r="J297" s="61"/>
      <c r="K297" s="61"/>
      <c r="L297" s="62"/>
      <c r="N297" s="97"/>
      <c r="O297" s="135"/>
      <c r="P297" s="129"/>
      <c r="Q297" s="133"/>
      <c r="Y297" s="94"/>
      <c r="AL297" s="94"/>
    </row>
    <row r="298" spans="1:38" s="63" customFormat="1">
      <c r="A298" s="61"/>
      <c r="B298" s="61"/>
      <c r="C298" s="60"/>
      <c r="E298" s="93"/>
      <c r="F298" s="117"/>
      <c r="G298" s="93"/>
      <c r="J298" s="61"/>
      <c r="K298" s="61"/>
      <c r="L298" s="62"/>
      <c r="N298" s="97"/>
      <c r="O298" s="135"/>
      <c r="P298" s="129"/>
      <c r="Q298" s="133"/>
      <c r="Y298" s="94"/>
      <c r="AL298" s="94"/>
    </row>
    <row r="299" spans="1:38" s="63" customFormat="1">
      <c r="A299" s="61"/>
      <c r="B299" s="61"/>
      <c r="C299" s="60"/>
      <c r="E299" s="93"/>
      <c r="F299" s="117"/>
      <c r="G299" s="93"/>
      <c r="J299" s="61"/>
      <c r="K299" s="61"/>
      <c r="L299" s="62"/>
      <c r="N299" s="97"/>
      <c r="O299" s="117"/>
      <c r="P299" s="129"/>
      <c r="Q299" s="133"/>
      <c r="Y299" s="94"/>
      <c r="AL299" s="94"/>
    </row>
    <row r="300" spans="1:38" s="63" customFormat="1">
      <c r="A300" s="61"/>
      <c r="B300" s="61"/>
      <c r="C300" s="60"/>
      <c r="E300" s="93"/>
      <c r="F300" s="117"/>
      <c r="G300" s="93"/>
      <c r="J300" s="61"/>
      <c r="K300" s="61"/>
      <c r="L300" s="62"/>
      <c r="N300" s="97"/>
      <c r="O300" s="117"/>
      <c r="P300" s="129"/>
      <c r="Q300" s="133"/>
      <c r="Y300" s="94"/>
      <c r="AL300" s="94"/>
    </row>
    <row r="301" spans="1:38" s="63" customFormat="1">
      <c r="A301" s="61"/>
      <c r="B301" s="61"/>
      <c r="C301" s="60"/>
      <c r="E301" s="93"/>
      <c r="F301" s="117"/>
      <c r="G301" s="93"/>
      <c r="J301" s="61"/>
      <c r="K301" s="61"/>
      <c r="L301" s="62"/>
      <c r="N301" s="97"/>
      <c r="O301" s="117"/>
      <c r="P301" s="129"/>
      <c r="Q301" s="133"/>
      <c r="Y301" s="94"/>
      <c r="AL301" s="94"/>
    </row>
    <row r="302" spans="1:38" s="63" customFormat="1">
      <c r="A302" s="61"/>
      <c r="B302" s="61"/>
      <c r="C302" s="60"/>
      <c r="E302" s="93"/>
      <c r="F302" s="117"/>
      <c r="G302" s="93"/>
      <c r="J302" s="61"/>
      <c r="K302" s="61"/>
      <c r="L302" s="62"/>
      <c r="N302" s="97"/>
      <c r="O302" s="117"/>
      <c r="P302" s="129"/>
      <c r="Q302" s="133"/>
      <c r="Y302" s="94"/>
      <c r="AL302" s="94"/>
    </row>
    <row r="303" spans="1:38" s="63" customFormat="1">
      <c r="A303" s="61"/>
      <c r="B303" s="61"/>
      <c r="C303" s="60"/>
      <c r="E303" s="93"/>
      <c r="F303" s="117"/>
      <c r="G303" s="93"/>
      <c r="J303" s="61"/>
      <c r="K303" s="61"/>
      <c r="L303" s="62"/>
      <c r="N303" s="97"/>
      <c r="O303" s="117"/>
      <c r="P303" s="129"/>
      <c r="Q303" s="133"/>
      <c r="Y303" s="94"/>
      <c r="AL303" s="94"/>
    </row>
    <row r="304" spans="1:38" s="63" customFormat="1">
      <c r="A304" s="61"/>
      <c r="B304" s="61"/>
      <c r="C304" s="60"/>
      <c r="E304" s="93"/>
      <c r="F304" s="117"/>
      <c r="G304" s="93"/>
      <c r="J304" s="61"/>
      <c r="K304" s="61"/>
      <c r="L304" s="62"/>
      <c r="N304" s="97"/>
      <c r="O304" s="117"/>
      <c r="P304" s="129"/>
      <c r="Q304" s="133"/>
      <c r="Y304" s="94"/>
      <c r="AL304" s="94"/>
    </row>
    <row r="305" spans="1:38" s="63" customFormat="1">
      <c r="A305" s="61"/>
      <c r="B305" s="61"/>
      <c r="C305" s="60"/>
      <c r="E305" s="93"/>
      <c r="F305" s="117"/>
      <c r="G305" s="93"/>
      <c r="J305" s="61"/>
      <c r="K305" s="61"/>
      <c r="L305" s="62"/>
      <c r="N305" s="97"/>
      <c r="O305" s="117"/>
      <c r="P305" s="129"/>
      <c r="Q305" s="133"/>
      <c r="Y305" s="94"/>
      <c r="AL305" s="94"/>
    </row>
    <row r="306" spans="1:38" s="63" customFormat="1">
      <c r="A306" s="61"/>
      <c r="B306" s="61"/>
      <c r="C306" s="60"/>
      <c r="E306" s="93"/>
      <c r="F306" s="117"/>
      <c r="G306" s="93"/>
      <c r="J306" s="61"/>
      <c r="K306" s="61"/>
      <c r="L306" s="62"/>
      <c r="N306" s="97"/>
      <c r="O306" s="117"/>
      <c r="P306" s="129"/>
      <c r="Q306" s="133"/>
      <c r="Y306" s="94"/>
      <c r="AL306" s="94"/>
    </row>
    <row r="307" spans="1:38" s="63" customFormat="1">
      <c r="A307" s="61"/>
      <c r="B307" s="61"/>
      <c r="C307" s="60"/>
      <c r="E307" s="93"/>
      <c r="F307" s="117"/>
      <c r="G307" s="93"/>
      <c r="J307" s="61"/>
      <c r="K307" s="61"/>
      <c r="L307" s="62"/>
      <c r="N307" s="97"/>
      <c r="O307" s="117"/>
      <c r="P307" s="129"/>
      <c r="Q307" s="133"/>
      <c r="Y307" s="94"/>
      <c r="AL307" s="94"/>
    </row>
    <row r="308" spans="1:38" s="63" customFormat="1">
      <c r="A308" s="61"/>
      <c r="B308" s="61"/>
      <c r="C308" s="60"/>
      <c r="E308" s="93"/>
      <c r="F308" s="117"/>
      <c r="G308" s="93"/>
      <c r="J308" s="61"/>
      <c r="K308" s="61"/>
      <c r="L308" s="62"/>
      <c r="N308" s="97"/>
      <c r="O308" s="117"/>
      <c r="P308" s="129"/>
      <c r="Q308" s="133"/>
      <c r="Y308" s="94"/>
      <c r="AL308" s="94"/>
    </row>
    <row r="309" spans="1:38" s="63" customFormat="1">
      <c r="A309" s="61"/>
      <c r="B309" s="61"/>
      <c r="C309" s="60"/>
      <c r="E309" s="93"/>
      <c r="F309" s="117"/>
      <c r="G309" s="93"/>
      <c r="J309" s="61"/>
      <c r="K309" s="61"/>
      <c r="L309" s="62"/>
      <c r="N309" s="97"/>
      <c r="O309" s="117"/>
      <c r="P309" s="129"/>
      <c r="Q309" s="133"/>
      <c r="Y309" s="94"/>
      <c r="AL309" s="94"/>
    </row>
    <row r="310" spans="1:38" s="63" customFormat="1">
      <c r="A310" s="61"/>
      <c r="B310" s="61"/>
      <c r="C310" s="60"/>
      <c r="E310" s="93"/>
      <c r="F310" s="117"/>
      <c r="G310" s="93"/>
      <c r="J310" s="61"/>
      <c r="K310" s="61"/>
      <c r="L310" s="62"/>
      <c r="N310" s="97"/>
      <c r="O310" s="117"/>
      <c r="P310" s="129"/>
      <c r="Q310" s="133"/>
      <c r="Y310" s="94"/>
      <c r="AL310" s="94"/>
    </row>
    <row r="311" spans="1:38" s="63" customFormat="1">
      <c r="A311" s="61"/>
      <c r="B311" s="61"/>
      <c r="C311" s="60"/>
      <c r="E311" s="93"/>
      <c r="F311" s="117"/>
      <c r="G311" s="93"/>
      <c r="J311" s="61"/>
      <c r="K311" s="61"/>
      <c r="L311" s="62"/>
      <c r="N311" s="97"/>
      <c r="O311" s="117"/>
      <c r="P311" s="129"/>
      <c r="Q311" s="133"/>
      <c r="Y311" s="94"/>
      <c r="AL311" s="94"/>
    </row>
    <row r="312" spans="1:38" s="63" customFormat="1">
      <c r="A312" s="61"/>
      <c r="B312" s="61"/>
      <c r="C312" s="60"/>
      <c r="E312" s="93"/>
      <c r="F312" s="117"/>
      <c r="G312" s="93"/>
      <c r="J312" s="61"/>
      <c r="K312" s="61"/>
      <c r="L312" s="62"/>
      <c r="N312" s="97"/>
      <c r="O312" s="117"/>
      <c r="P312" s="129"/>
      <c r="Q312" s="133"/>
      <c r="Y312" s="94"/>
      <c r="AL312" s="94"/>
    </row>
    <row r="313" spans="1:38" s="63" customFormat="1">
      <c r="A313" s="61"/>
      <c r="B313" s="61"/>
      <c r="C313" s="60"/>
      <c r="E313" s="93"/>
      <c r="F313" s="117"/>
      <c r="G313" s="93"/>
      <c r="J313" s="61"/>
      <c r="K313" s="61"/>
      <c r="L313" s="62"/>
      <c r="N313" s="97"/>
      <c r="O313" s="117"/>
      <c r="P313" s="129"/>
      <c r="Q313" s="133"/>
      <c r="Y313" s="94"/>
      <c r="AL313" s="94"/>
    </row>
    <row r="314" spans="1:38" s="63" customFormat="1">
      <c r="A314" s="61"/>
      <c r="B314" s="61"/>
      <c r="C314" s="60"/>
      <c r="E314" s="93"/>
      <c r="F314" s="117"/>
      <c r="G314" s="93"/>
      <c r="J314" s="61"/>
      <c r="K314" s="61"/>
      <c r="L314" s="62"/>
      <c r="N314" s="97"/>
      <c r="O314" s="117"/>
      <c r="P314" s="129"/>
      <c r="Q314" s="133"/>
      <c r="Y314" s="94"/>
      <c r="AL314" s="94"/>
    </row>
    <row r="315" spans="1:38" s="63" customFormat="1">
      <c r="A315" s="61"/>
      <c r="B315" s="61"/>
      <c r="C315" s="60"/>
      <c r="E315" s="93"/>
      <c r="F315" s="117"/>
      <c r="G315" s="93"/>
      <c r="J315" s="61"/>
      <c r="K315" s="61"/>
      <c r="L315" s="62"/>
      <c r="N315" s="97"/>
      <c r="O315" s="117"/>
      <c r="P315" s="129"/>
      <c r="Q315" s="133"/>
      <c r="Y315" s="94"/>
      <c r="AL315" s="94"/>
    </row>
    <row r="316" spans="1:38" s="63" customFormat="1">
      <c r="A316" s="61"/>
      <c r="B316" s="61"/>
      <c r="C316" s="60"/>
      <c r="E316" s="93"/>
      <c r="F316" s="117"/>
      <c r="G316" s="93"/>
      <c r="J316" s="61"/>
      <c r="K316" s="61"/>
      <c r="L316" s="62"/>
      <c r="N316" s="97"/>
      <c r="O316" s="117"/>
      <c r="P316" s="129"/>
      <c r="Q316" s="133"/>
      <c r="Y316" s="94"/>
      <c r="AL316" s="94"/>
    </row>
    <row r="317" spans="1:38" s="63" customFormat="1">
      <c r="A317" s="61"/>
      <c r="B317" s="61"/>
      <c r="C317" s="60"/>
      <c r="E317" s="93"/>
      <c r="F317" s="117"/>
      <c r="G317" s="93"/>
      <c r="J317" s="61"/>
      <c r="K317" s="61"/>
      <c r="L317" s="62"/>
      <c r="N317" s="97"/>
      <c r="O317" s="117"/>
      <c r="P317" s="129"/>
      <c r="Q317" s="133"/>
      <c r="Y317" s="94"/>
      <c r="AL317" s="94"/>
    </row>
    <row r="318" spans="1:38" s="63" customFormat="1">
      <c r="A318" s="61"/>
      <c r="B318" s="61"/>
      <c r="C318" s="60"/>
      <c r="E318" s="93"/>
      <c r="F318" s="117"/>
      <c r="G318" s="93"/>
      <c r="J318" s="61"/>
      <c r="K318" s="61"/>
      <c r="L318" s="62"/>
      <c r="N318" s="97"/>
      <c r="O318" s="117"/>
      <c r="P318" s="129"/>
      <c r="Q318" s="133"/>
      <c r="Y318" s="94"/>
      <c r="AL318" s="94"/>
    </row>
    <row r="319" spans="1:38" s="63" customFormat="1">
      <c r="A319" s="61"/>
      <c r="B319" s="61"/>
      <c r="C319" s="60"/>
      <c r="E319" s="93"/>
      <c r="F319" s="117"/>
      <c r="G319" s="93"/>
      <c r="J319" s="61"/>
      <c r="K319" s="61"/>
      <c r="L319" s="62"/>
      <c r="N319" s="97"/>
      <c r="O319" s="117"/>
      <c r="P319" s="93"/>
      <c r="Q319" s="61"/>
      <c r="Y319" s="94"/>
      <c r="AL319" s="94"/>
    </row>
    <row r="320" spans="1:38" s="63" customFormat="1">
      <c r="A320" s="61"/>
      <c r="B320" s="61"/>
      <c r="C320" s="60"/>
      <c r="E320" s="93"/>
      <c r="F320" s="117"/>
      <c r="G320" s="93"/>
      <c r="J320" s="61"/>
      <c r="K320" s="61"/>
      <c r="L320" s="62"/>
      <c r="N320" s="97"/>
      <c r="O320" s="117"/>
      <c r="P320" s="93"/>
      <c r="Q320" s="61"/>
      <c r="Y320" s="94"/>
      <c r="AL320" s="94"/>
    </row>
    <row r="321" spans="1:38" s="63" customFormat="1">
      <c r="A321" s="61"/>
      <c r="B321" s="61"/>
      <c r="C321" s="60"/>
      <c r="E321" s="93"/>
      <c r="F321" s="117"/>
      <c r="G321" s="93"/>
      <c r="J321" s="61"/>
      <c r="K321" s="61"/>
      <c r="L321" s="62"/>
      <c r="N321" s="97"/>
      <c r="O321" s="117"/>
      <c r="P321" s="93"/>
      <c r="Q321" s="61"/>
      <c r="Y321" s="94"/>
      <c r="AL321" s="94"/>
    </row>
    <row r="322" spans="1:38" s="63" customFormat="1">
      <c r="A322" s="61"/>
      <c r="B322" s="61"/>
      <c r="C322" s="60"/>
      <c r="E322" s="93"/>
      <c r="F322" s="117"/>
      <c r="G322" s="93"/>
      <c r="J322" s="61"/>
      <c r="K322" s="61"/>
      <c r="L322" s="62"/>
      <c r="N322" s="97"/>
      <c r="O322" s="117"/>
      <c r="P322" s="93"/>
      <c r="Q322" s="61"/>
      <c r="Y322" s="94"/>
      <c r="AL322" s="94"/>
    </row>
    <row r="323" spans="1:38" s="63" customFormat="1">
      <c r="A323" s="61"/>
      <c r="B323" s="61"/>
      <c r="C323" s="60"/>
      <c r="E323" s="93"/>
      <c r="F323" s="117"/>
      <c r="G323" s="93"/>
      <c r="J323" s="61"/>
      <c r="K323" s="61"/>
      <c r="L323" s="62"/>
      <c r="N323" s="97"/>
      <c r="O323" s="117"/>
      <c r="P323" s="93"/>
      <c r="Q323" s="61"/>
      <c r="Y323" s="94"/>
      <c r="AL323" s="94"/>
    </row>
    <row r="324" spans="1:38" s="63" customFormat="1">
      <c r="A324" s="61"/>
      <c r="B324" s="61"/>
      <c r="C324" s="60"/>
      <c r="E324" s="93"/>
      <c r="F324" s="117"/>
      <c r="G324" s="93"/>
      <c r="J324" s="61"/>
      <c r="K324" s="61"/>
      <c r="L324" s="62"/>
      <c r="N324" s="97"/>
      <c r="O324" s="117"/>
      <c r="P324" s="93"/>
      <c r="Q324" s="61"/>
      <c r="Y324" s="94"/>
      <c r="AL324" s="94"/>
    </row>
    <row r="325" spans="1:38" s="63" customFormat="1">
      <c r="A325" s="61"/>
      <c r="B325" s="61"/>
      <c r="C325" s="60"/>
      <c r="E325" s="93"/>
      <c r="F325" s="117"/>
      <c r="G325" s="93"/>
      <c r="J325" s="61"/>
      <c r="K325" s="61"/>
      <c r="L325" s="62"/>
      <c r="N325" s="97"/>
      <c r="O325" s="117"/>
      <c r="P325" s="93"/>
      <c r="Q325" s="61"/>
      <c r="Y325" s="94"/>
      <c r="AL325" s="94"/>
    </row>
    <row r="326" spans="1:38" s="63" customFormat="1">
      <c r="A326" s="61"/>
      <c r="B326" s="61"/>
      <c r="C326" s="60"/>
      <c r="E326" s="93"/>
      <c r="F326" s="117"/>
      <c r="G326" s="93"/>
      <c r="J326" s="61"/>
      <c r="K326" s="61"/>
      <c r="L326" s="62"/>
      <c r="N326" s="97"/>
      <c r="O326" s="117"/>
      <c r="P326" s="93"/>
      <c r="Q326" s="61"/>
      <c r="Y326" s="94"/>
      <c r="AL326" s="94"/>
    </row>
    <row r="327" spans="1:38" s="63" customFormat="1">
      <c r="A327" s="61"/>
      <c r="B327" s="61"/>
      <c r="C327" s="60"/>
      <c r="E327" s="93"/>
      <c r="F327" s="117"/>
      <c r="G327" s="93"/>
      <c r="J327" s="61"/>
      <c r="K327" s="61"/>
      <c r="L327" s="62"/>
      <c r="N327" s="97"/>
      <c r="O327" s="117"/>
      <c r="P327" s="93"/>
      <c r="Q327" s="61"/>
      <c r="Y327" s="94"/>
      <c r="AL327" s="94"/>
    </row>
    <row r="328" spans="1:38" s="63" customFormat="1">
      <c r="A328" s="61"/>
      <c r="B328" s="61"/>
      <c r="C328" s="60"/>
      <c r="E328" s="93"/>
      <c r="F328" s="117"/>
      <c r="G328" s="93"/>
      <c r="J328" s="61"/>
      <c r="K328" s="61"/>
      <c r="L328" s="62"/>
      <c r="N328" s="97"/>
      <c r="O328" s="117"/>
      <c r="P328" s="93"/>
      <c r="Q328" s="61"/>
      <c r="Y328" s="94"/>
      <c r="AL328" s="94"/>
    </row>
    <row r="329" spans="1:38" s="63" customFormat="1">
      <c r="A329" s="61"/>
      <c r="B329" s="61"/>
      <c r="C329" s="60"/>
      <c r="E329" s="93"/>
      <c r="F329" s="117"/>
      <c r="G329" s="93"/>
      <c r="J329" s="61"/>
      <c r="K329" s="61"/>
      <c r="L329" s="62"/>
      <c r="N329" s="97"/>
      <c r="O329" s="117"/>
      <c r="P329" s="93"/>
      <c r="Q329" s="61"/>
      <c r="Y329" s="94"/>
      <c r="AL329" s="94"/>
    </row>
    <row r="330" spans="1:38" s="63" customFormat="1">
      <c r="A330" s="61"/>
      <c r="B330" s="61"/>
      <c r="C330" s="60"/>
      <c r="E330" s="93"/>
      <c r="F330" s="117"/>
      <c r="G330" s="93"/>
      <c r="J330" s="61"/>
      <c r="K330" s="61"/>
      <c r="L330" s="62"/>
      <c r="N330" s="97"/>
      <c r="O330" s="117"/>
      <c r="P330" s="93"/>
      <c r="Q330" s="61"/>
      <c r="Y330" s="94"/>
      <c r="AL330" s="94"/>
    </row>
    <row r="331" spans="1:38" s="63" customFormat="1">
      <c r="A331" s="61"/>
      <c r="B331" s="61"/>
      <c r="C331" s="60"/>
      <c r="E331" s="93"/>
      <c r="F331" s="117"/>
      <c r="G331" s="93"/>
      <c r="J331" s="61"/>
      <c r="K331" s="61"/>
      <c r="L331" s="62"/>
      <c r="N331" s="97"/>
      <c r="O331" s="117"/>
      <c r="P331" s="93"/>
      <c r="Q331" s="61"/>
      <c r="Y331" s="94"/>
      <c r="AL331" s="94"/>
    </row>
    <row r="332" spans="1:38" s="63" customFormat="1">
      <c r="A332" s="61"/>
      <c r="B332" s="61"/>
      <c r="C332" s="60"/>
      <c r="E332" s="93"/>
      <c r="F332" s="117"/>
      <c r="G332" s="93"/>
      <c r="J332" s="61"/>
      <c r="K332" s="61"/>
      <c r="L332" s="62"/>
      <c r="N332" s="97"/>
      <c r="O332" s="117"/>
      <c r="P332" s="93"/>
      <c r="Q332" s="61"/>
      <c r="Y332" s="94"/>
      <c r="AL332" s="94"/>
    </row>
    <row r="333" spans="1:38" s="63" customFormat="1">
      <c r="A333" s="61"/>
      <c r="B333" s="61"/>
      <c r="C333" s="60"/>
      <c r="E333" s="93"/>
      <c r="F333" s="117"/>
      <c r="G333" s="93"/>
      <c r="J333" s="61"/>
      <c r="K333" s="61"/>
      <c r="L333" s="62"/>
      <c r="N333" s="97"/>
      <c r="O333" s="117"/>
      <c r="P333" s="93"/>
      <c r="Q333" s="61"/>
      <c r="Y333" s="94"/>
      <c r="AL333" s="94"/>
    </row>
    <row r="334" spans="1:38" s="63" customFormat="1">
      <c r="A334" s="61"/>
      <c r="B334" s="61"/>
      <c r="C334" s="60"/>
      <c r="E334" s="93"/>
      <c r="F334" s="117"/>
      <c r="G334" s="93"/>
      <c r="J334" s="61"/>
      <c r="K334" s="61"/>
      <c r="L334" s="62"/>
      <c r="N334" s="97"/>
      <c r="O334" s="117"/>
      <c r="P334" s="93"/>
      <c r="Q334" s="61"/>
      <c r="Y334" s="94"/>
      <c r="AL334" s="94"/>
    </row>
    <row r="335" spans="1:38" s="63" customFormat="1">
      <c r="A335" s="61"/>
      <c r="B335" s="61"/>
      <c r="C335" s="60"/>
      <c r="E335" s="93"/>
      <c r="F335" s="117"/>
      <c r="G335" s="93"/>
      <c r="J335" s="61"/>
      <c r="K335" s="61"/>
      <c r="L335" s="62"/>
      <c r="N335" s="97"/>
      <c r="O335" s="117"/>
      <c r="P335" s="93"/>
      <c r="Q335" s="61"/>
      <c r="Y335" s="94"/>
      <c r="AL335" s="94"/>
    </row>
    <row r="336" spans="1:38" s="63" customFormat="1">
      <c r="A336" s="61"/>
      <c r="B336" s="61"/>
      <c r="C336" s="60"/>
      <c r="E336" s="93"/>
      <c r="F336" s="117"/>
      <c r="G336" s="93"/>
      <c r="J336" s="61"/>
      <c r="K336" s="61"/>
      <c r="L336" s="62"/>
      <c r="N336" s="97"/>
      <c r="O336" s="117"/>
      <c r="P336" s="93"/>
      <c r="Q336" s="61"/>
      <c r="Y336" s="94"/>
      <c r="AL336" s="94"/>
    </row>
    <row r="337" spans="1:38" s="63" customFormat="1">
      <c r="A337" s="61"/>
      <c r="B337" s="61"/>
      <c r="C337" s="60"/>
      <c r="E337" s="93"/>
      <c r="F337" s="117"/>
      <c r="G337" s="93"/>
      <c r="J337" s="61"/>
      <c r="K337" s="61"/>
      <c r="L337" s="62"/>
      <c r="N337" s="97"/>
      <c r="O337" s="117"/>
      <c r="P337" s="93"/>
      <c r="Q337" s="61"/>
      <c r="Y337" s="94"/>
      <c r="AL337" s="94"/>
    </row>
    <row r="338" spans="1:38" s="63" customFormat="1">
      <c r="A338" s="61"/>
      <c r="B338" s="61"/>
      <c r="C338" s="60"/>
      <c r="E338" s="93"/>
      <c r="F338" s="117"/>
      <c r="G338" s="93"/>
      <c r="J338" s="61"/>
      <c r="K338" s="61"/>
      <c r="L338" s="62"/>
      <c r="N338" s="97"/>
      <c r="O338" s="117"/>
      <c r="P338" s="93"/>
      <c r="Q338" s="61"/>
      <c r="Y338" s="94"/>
      <c r="AL338" s="94"/>
    </row>
    <row r="339" spans="1:38" s="63" customFormat="1">
      <c r="A339" s="61"/>
      <c r="B339" s="61"/>
      <c r="C339" s="60"/>
      <c r="E339" s="93"/>
      <c r="F339" s="117"/>
      <c r="G339" s="93"/>
      <c r="J339" s="61"/>
      <c r="K339" s="61"/>
      <c r="L339" s="62"/>
      <c r="N339" s="97"/>
      <c r="O339" s="117"/>
      <c r="P339" s="93"/>
      <c r="Q339" s="61"/>
      <c r="Y339" s="94"/>
      <c r="AL339" s="94"/>
    </row>
    <row r="340" spans="1:38" s="63" customFormat="1">
      <c r="A340" s="61"/>
      <c r="B340" s="61"/>
      <c r="C340" s="60"/>
      <c r="E340" s="93"/>
      <c r="F340" s="117"/>
      <c r="G340" s="93"/>
      <c r="J340" s="61"/>
      <c r="K340" s="61"/>
      <c r="L340" s="62"/>
      <c r="N340" s="97"/>
      <c r="O340" s="117"/>
      <c r="P340" s="93"/>
      <c r="Q340" s="61"/>
      <c r="Y340" s="94"/>
      <c r="AL340" s="94"/>
    </row>
    <row r="341" spans="1:38" s="63" customFormat="1">
      <c r="A341" s="61"/>
      <c r="B341" s="61"/>
      <c r="C341" s="60"/>
      <c r="E341" s="93"/>
      <c r="F341" s="117"/>
      <c r="G341" s="93"/>
      <c r="J341" s="61"/>
      <c r="K341" s="61"/>
      <c r="L341" s="62"/>
      <c r="N341" s="97"/>
      <c r="O341" s="117"/>
      <c r="P341" s="93"/>
      <c r="Q341" s="61"/>
      <c r="Y341" s="94"/>
      <c r="AL341" s="94"/>
    </row>
    <row r="342" spans="1:38">
      <c r="A342" s="61"/>
      <c r="B342" s="24"/>
      <c r="C342" s="60"/>
      <c r="E342" s="47"/>
      <c r="F342" s="112"/>
      <c r="G342" s="47"/>
      <c r="J342" s="61"/>
      <c r="K342" s="61"/>
      <c r="L342" s="30"/>
      <c r="N342" s="97"/>
      <c r="O342" s="112"/>
      <c r="P342" s="47"/>
      <c r="Q342" s="24"/>
    </row>
    <row r="343" spans="1:38">
      <c r="A343" s="61"/>
      <c r="B343" s="24"/>
      <c r="C343" s="60"/>
      <c r="E343" s="47"/>
      <c r="F343" s="112"/>
      <c r="G343" s="47"/>
      <c r="J343" s="61"/>
      <c r="K343" s="61"/>
      <c r="L343" s="30"/>
      <c r="N343" s="97"/>
      <c r="O343" s="112"/>
      <c r="P343" s="47"/>
      <c r="Q343" s="24"/>
    </row>
    <row r="344" spans="1:38">
      <c r="A344" s="61"/>
      <c r="B344" s="24"/>
      <c r="C344" s="60"/>
      <c r="E344" s="47"/>
      <c r="F344" s="112"/>
      <c r="G344" s="47"/>
      <c r="J344" s="61"/>
      <c r="K344" s="61"/>
      <c r="L344" s="30"/>
      <c r="N344" s="97"/>
      <c r="O344" s="112"/>
      <c r="P344" s="47"/>
      <c r="Q344" s="24"/>
    </row>
    <row r="345" spans="1:38">
      <c r="A345" s="61"/>
      <c r="B345" s="24"/>
      <c r="C345" s="60"/>
      <c r="E345" s="47"/>
      <c r="F345" s="112"/>
      <c r="G345" s="47"/>
      <c r="J345" s="61"/>
      <c r="K345" s="61"/>
      <c r="L345" s="30"/>
      <c r="N345" s="97"/>
      <c r="O345" s="112"/>
      <c r="P345" s="47"/>
      <c r="Q345" s="24"/>
    </row>
    <row r="346" spans="1:38">
      <c r="A346" s="61"/>
      <c r="B346" s="24"/>
      <c r="C346" s="60"/>
      <c r="E346" s="47"/>
      <c r="F346" s="112"/>
      <c r="G346" s="47"/>
      <c r="J346" s="61"/>
      <c r="K346" s="61"/>
      <c r="L346" s="30"/>
      <c r="N346" s="97"/>
      <c r="O346" s="112"/>
      <c r="P346" s="47"/>
      <c r="Q346" s="24"/>
    </row>
    <row r="347" spans="1:38">
      <c r="A347" s="61"/>
      <c r="B347" s="24"/>
      <c r="C347" s="60"/>
      <c r="E347" s="47"/>
      <c r="F347" s="112"/>
      <c r="G347" s="47"/>
      <c r="J347" s="61"/>
      <c r="K347" s="61"/>
      <c r="L347" s="30"/>
      <c r="N347" s="97"/>
      <c r="O347" s="112"/>
      <c r="P347" s="47"/>
      <c r="Q347" s="24"/>
    </row>
    <row r="348" spans="1:38">
      <c r="A348" s="61"/>
      <c r="B348" s="24"/>
      <c r="C348" s="60"/>
      <c r="E348" s="47"/>
      <c r="F348" s="112"/>
      <c r="G348" s="47"/>
      <c r="J348" s="61"/>
      <c r="K348" s="61"/>
      <c r="L348" s="30"/>
      <c r="N348" s="97"/>
      <c r="O348" s="112"/>
      <c r="P348" s="47"/>
      <c r="Q348" s="24"/>
    </row>
    <row r="349" spans="1:38">
      <c r="A349" s="61"/>
      <c r="B349" s="24"/>
      <c r="C349" s="60"/>
      <c r="E349" s="47"/>
      <c r="F349" s="112"/>
      <c r="G349" s="47"/>
      <c r="J349" s="61"/>
      <c r="K349" s="61"/>
      <c r="L349" s="30"/>
      <c r="N349" s="97"/>
      <c r="O349" s="112"/>
      <c r="P349" s="47"/>
      <c r="Q349" s="24"/>
    </row>
    <row r="350" spans="1:38">
      <c r="A350" s="61"/>
      <c r="B350" s="24"/>
      <c r="C350" s="60"/>
      <c r="E350" s="47"/>
      <c r="F350" s="112"/>
      <c r="G350" s="47"/>
      <c r="J350" s="61"/>
      <c r="K350" s="61"/>
      <c r="L350" s="30"/>
      <c r="N350" s="97"/>
      <c r="O350" s="112"/>
      <c r="P350" s="47"/>
      <c r="Q350" s="24"/>
    </row>
    <row r="351" spans="1:38">
      <c r="A351" s="61"/>
      <c r="B351" s="24"/>
      <c r="C351" s="60"/>
      <c r="E351" s="47"/>
      <c r="F351" s="112"/>
      <c r="G351" s="47"/>
      <c r="J351" s="61"/>
      <c r="K351" s="61"/>
      <c r="L351" s="30"/>
      <c r="N351" s="97"/>
      <c r="O351" s="112"/>
      <c r="P351" s="47"/>
      <c r="Q351" s="24"/>
    </row>
    <row r="352" spans="1:38">
      <c r="A352" s="61"/>
      <c r="B352" s="24"/>
      <c r="C352" s="60"/>
      <c r="E352" s="47"/>
      <c r="F352" s="112"/>
      <c r="G352" s="47"/>
      <c r="J352" s="61"/>
      <c r="K352" s="61"/>
      <c r="L352" s="30"/>
      <c r="N352" s="97"/>
      <c r="O352" s="112"/>
      <c r="P352" s="47"/>
      <c r="Q352" s="24"/>
    </row>
    <row r="353" spans="1:17">
      <c r="A353" s="61"/>
      <c r="B353" s="24"/>
      <c r="C353" s="60"/>
      <c r="E353" s="47"/>
      <c r="F353" s="112"/>
      <c r="G353" s="47"/>
      <c r="J353" s="61"/>
      <c r="K353" s="61"/>
      <c r="L353" s="30"/>
      <c r="N353" s="97"/>
      <c r="O353" s="112"/>
      <c r="P353" s="47"/>
      <c r="Q353" s="24"/>
    </row>
    <row r="354" spans="1:17">
      <c r="A354" s="61"/>
      <c r="B354" s="24"/>
      <c r="C354" s="60"/>
      <c r="E354" s="47"/>
      <c r="F354" s="112"/>
      <c r="G354" s="47"/>
      <c r="J354" s="61"/>
      <c r="K354" s="61"/>
      <c r="L354" s="30"/>
      <c r="N354" s="97"/>
      <c r="O354" s="112"/>
      <c r="P354" s="47"/>
      <c r="Q354" s="24"/>
    </row>
    <row r="355" spans="1:17">
      <c r="A355" s="61"/>
      <c r="B355" s="24"/>
      <c r="C355" s="60"/>
      <c r="E355" s="47"/>
      <c r="F355" s="112"/>
      <c r="G355" s="47"/>
      <c r="J355" s="61"/>
      <c r="K355" s="61"/>
      <c r="L355" s="30"/>
      <c r="N355" s="97"/>
      <c r="O355" s="112"/>
      <c r="P355" s="47"/>
      <c r="Q355" s="24"/>
    </row>
    <row r="356" spans="1:17">
      <c r="A356" s="61"/>
      <c r="B356" s="24"/>
      <c r="C356" s="60"/>
      <c r="E356" s="47"/>
      <c r="F356" s="112"/>
      <c r="G356" s="47"/>
      <c r="J356" s="61"/>
      <c r="K356" s="61"/>
      <c r="L356" s="30"/>
      <c r="N356" s="97"/>
      <c r="O356" s="112"/>
      <c r="P356" s="47"/>
      <c r="Q356" s="24"/>
    </row>
    <row r="357" spans="1:17">
      <c r="A357" s="61"/>
      <c r="B357" s="24"/>
      <c r="C357" s="60"/>
      <c r="E357" s="47"/>
      <c r="F357" s="112"/>
      <c r="G357" s="47"/>
      <c r="J357" s="61"/>
      <c r="K357" s="61"/>
      <c r="L357" s="30"/>
      <c r="N357" s="97"/>
      <c r="O357" s="112"/>
      <c r="P357" s="47"/>
      <c r="Q357" s="24"/>
    </row>
    <row r="358" spans="1:17">
      <c r="A358" s="61"/>
      <c r="B358" s="24"/>
      <c r="C358" s="60"/>
      <c r="E358" s="47"/>
      <c r="F358" s="112"/>
      <c r="G358" s="47"/>
      <c r="J358" s="61"/>
      <c r="K358" s="61"/>
      <c r="L358" s="30"/>
      <c r="N358" s="97"/>
      <c r="O358" s="112"/>
      <c r="P358" s="47"/>
      <c r="Q358" s="24"/>
    </row>
    <row r="359" spans="1:17">
      <c r="A359" s="61"/>
      <c r="B359" s="24"/>
      <c r="C359" s="60"/>
      <c r="E359" s="47"/>
      <c r="F359" s="112"/>
      <c r="G359" s="47"/>
      <c r="J359" s="61"/>
      <c r="K359" s="61"/>
      <c r="L359" s="30"/>
      <c r="N359" s="97"/>
      <c r="O359" s="112"/>
      <c r="P359" s="47"/>
      <c r="Q359" s="24"/>
    </row>
    <row r="360" spans="1:17">
      <c r="A360" s="61"/>
      <c r="B360" s="24"/>
      <c r="C360" s="60"/>
      <c r="E360" s="47"/>
      <c r="F360" s="112"/>
      <c r="G360" s="47"/>
      <c r="J360" s="61"/>
      <c r="K360" s="61"/>
      <c r="L360" s="30"/>
      <c r="N360" s="97"/>
      <c r="O360" s="112"/>
      <c r="P360" s="47"/>
      <c r="Q360" s="24"/>
    </row>
    <row r="361" spans="1:17">
      <c r="A361" s="61"/>
      <c r="B361" s="24"/>
      <c r="C361" s="60"/>
      <c r="E361" s="47"/>
      <c r="F361" s="112"/>
      <c r="G361" s="47"/>
      <c r="J361" s="61"/>
      <c r="K361" s="61"/>
      <c r="L361" s="30"/>
      <c r="N361" s="97"/>
      <c r="O361" s="112"/>
      <c r="P361" s="47"/>
      <c r="Q361" s="24"/>
    </row>
    <row r="362" spans="1:17">
      <c r="A362" s="61"/>
      <c r="B362" s="24"/>
      <c r="C362" s="60"/>
      <c r="E362" s="47"/>
      <c r="F362" s="112"/>
      <c r="G362" s="47"/>
      <c r="J362" s="61"/>
      <c r="K362" s="61"/>
      <c r="L362" s="30"/>
      <c r="N362" s="97"/>
      <c r="O362" s="112"/>
      <c r="P362" s="47"/>
      <c r="Q362" s="24"/>
    </row>
    <row r="363" spans="1:17">
      <c r="A363" s="61"/>
      <c r="B363" s="24"/>
      <c r="C363" s="60"/>
      <c r="E363" s="47"/>
      <c r="F363" s="112"/>
      <c r="G363" s="47"/>
      <c r="J363" s="61"/>
      <c r="K363" s="61"/>
      <c r="L363" s="30"/>
      <c r="N363" s="97"/>
      <c r="O363" s="112"/>
      <c r="P363" s="47"/>
      <c r="Q363" s="24"/>
    </row>
    <row r="364" spans="1:17">
      <c r="A364" s="61"/>
      <c r="B364" s="24"/>
      <c r="C364" s="60"/>
      <c r="E364" s="47"/>
      <c r="F364" s="112"/>
      <c r="G364" s="47"/>
      <c r="J364" s="61"/>
      <c r="K364" s="61"/>
      <c r="L364" s="30"/>
      <c r="N364" s="97"/>
      <c r="O364" s="112"/>
      <c r="P364" s="47"/>
      <c r="Q364" s="24"/>
    </row>
    <row r="365" spans="1:17">
      <c r="A365" s="61"/>
      <c r="B365" s="24"/>
      <c r="C365" s="60"/>
      <c r="E365" s="47"/>
      <c r="F365" s="112"/>
      <c r="G365" s="47"/>
      <c r="J365" s="61"/>
      <c r="K365" s="61"/>
      <c r="L365" s="30"/>
      <c r="N365" s="97"/>
      <c r="O365" s="112"/>
      <c r="P365" s="47"/>
      <c r="Q365" s="24"/>
    </row>
    <row r="366" spans="1:17">
      <c r="A366" s="61"/>
      <c r="B366" s="24"/>
      <c r="C366" s="60"/>
      <c r="E366" s="47"/>
      <c r="F366" s="112"/>
      <c r="G366" s="47"/>
      <c r="J366" s="61"/>
      <c r="K366" s="61"/>
      <c r="L366" s="30"/>
      <c r="N366" s="97"/>
      <c r="O366" s="112"/>
      <c r="P366" s="47"/>
      <c r="Q366" s="24"/>
    </row>
    <row r="367" spans="1:17">
      <c r="A367" s="61"/>
      <c r="B367" s="24"/>
      <c r="C367" s="60"/>
      <c r="E367" s="47"/>
      <c r="F367" s="112"/>
      <c r="G367" s="47"/>
      <c r="J367" s="61"/>
      <c r="K367" s="61"/>
      <c r="L367" s="30"/>
      <c r="N367" s="97"/>
      <c r="O367" s="112"/>
      <c r="P367" s="47"/>
      <c r="Q367" s="24"/>
    </row>
    <row r="368" spans="1:17">
      <c r="A368" s="61"/>
      <c r="B368" s="24"/>
      <c r="C368" s="60"/>
      <c r="E368" s="47"/>
      <c r="F368" s="112"/>
      <c r="G368" s="47"/>
      <c r="J368" s="61"/>
      <c r="K368" s="61"/>
      <c r="L368" s="30"/>
      <c r="N368" s="97"/>
      <c r="O368" s="112"/>
      <c r="P368" s="47"/>
      <c r="Q368" s="24"/>
    </row>
    <row r="369" spans="1:17">
      <c r="A369" s="61"/>
      <c r="B369" s="24"/>
      <c r="C369" s="60"/>
      <c r="E369" s="47"/>
      <c r="F369" s="112"/>
      <c r="G369" s="47"/>
      <c r="J369" s="61"/>
      <c r="K369" s="61"/>
      <c r="L369" s="30"/>
      <c r="N369" s="97"/>
      <c r="O369" s="112"/>
      <c r="P369" s="47"/>
      <c r="Q369" s="24"/>
    </row>
    <row r="370" spans="1:17">
      <c r="A370" s="61"/>
      <c r="B370" s="24"/>
      <c r="C370" s="60"/>
      <c r="E370" s="47"/>
      <c r="F370" s="112"/>
      <c r="G370" s="47"/>
      <c r="J370" s="61"/>
      <c r="K370" s="61"/>
      <c r="L370" s="30"/>
      <c r="N370" s="97"/>
      <c r="O370" s="112"/>
      <c r="P370" s="47"/>
      <c r="Q370" s="24"/>
    </row>
    <row r="371" spans="1:17">
      <c r="A371" s="61"/>
      <c r="B371" s="24"/>
      <c r="C371" s="60"/>
      <c r="E371" s="47"/>
      <c r="F371" s="112"/>
      <c r="G371" s="47"/>
      <c r="J371" s="61"/>
      <c r="K371" s="61"/>
      <c r="L371" s="30"/>
      <c r="N371" s="97"/>
      <c r="O371" s="112"/>
      <c r="P371" s="47"/>
      <c r="Q371" s="24"/>
    </row>
    <row r="372" spans="1:17">
      <c r="A372" s="61"/>
      <c r="B372" s="24"/>
      <c r="C372" s="60"/>
      <c r="E372" s="47"/>
      <c r="F372" s="112"/>
      <c r="G372" s="47"/>
      <c r="J372" s="61"/>
      <c r="K372" s="61"/>
      <c r="L372" s="30"/>
      <c r="N372" s="97"/>
      <c r="O372" s="112"/>
      <c r="P372" s="47"/>
      <c r="Q372" s="24"/>
    </row>
    <row r="373" spans="1:17">
      <c r="A373" s="61"/>
      <c r="B373" s="24"/>
      <c r="C373" s="60"/>
      <c r="E373" s="47"/>
      <c r="F373" s="112"/>
      <c r="G373" s="47"/>
      <c r="J373" s="61"/>
      <c r="K373" s="61"/>
      <c r="L373" s="30"/>
      <c r="N373" s="97"/>
      <c r="O373" s="112"/>
      <c r="P373" s="47"/>
      <c r="Q373" s="24"/>
    </row>
    <row r="374" spans="1:17">
      <c r="A374" s="61"/>
      <c r="B374" s="24"/>
      <c r="C374" s="60"/>
      <c r="E374" s="47"/>
      <c r="F374" s="112"/>
      <c r="G374" s="47"/>
      <c r="J374" s="61"/>
      <c r="K374" s="61"/>
      <c r="L374" s="30"/>
      <c r="N374" s="97"/>
      <c r="O374" s="112"/>
      <c r="P374" s="47"/>
      <c r="Q374" s="24"/>
    </row>
    <row r="375" spans="1:17">
      <c r="A375" s="61"/>
      <c r="B375" s="24"/>
      <c r="C375" s="60"/>
      <c r="E375" s="47"/>
      <c r="F375" s="112"/>
      <c r="G375" s="47"/>
      <c r="J375" s="61"/>
      <c r="K375" s="61"/>
      <c r="L375" s="30"/>
      <c r="N375" s="97"/>
      <c r="O375" s="112"/>
      <c r="P375" s="47"/>
      <c r="Q375" s="24"/>
    </row>
    <row r="376" spans="1:17">
      <c r="A376" s="61"/>
      <c r="B376" s="24"/>
      <c r="C376" s="60"/>
      <c r="E376" s="47"/>
      <c r="F376" s="112"/>
      <c r="G376" s="47"/>
      <c r="J376" s="61"/>
      <c r="K376" s="61"/>
      <c r="L376" s="30"/>
      <c r="N376" s="97"/>
      <c r="O376" s="112"/>
      <c r="P376" s="47"/>
      <c r="Q376" s="24"/>
    </row>
    <row r="377" spans="1:17">
      <c r="A377" s="61"/>
      <c r="B377" s="24"/>
      <c r="C377" s="60"/>
      <c r="E377" s="47"/>
      <c r="F377" s="112"/>
      <c r="G377" s="47"/>
      <c r="J377" s="61"/>
      <c r="K377" s="61"/>
      <c r="L377" s="30"/>
      <c r="N377" s="97"/>
      <c r="O377" s="112"/>
      <c r="P377" s="47"/>
      <c r="Q377" s="24"/>
    </row>
    <row r="378" spans="1:17">
      <c r="A378" s="61"/>
      <c r="B378" s="24"/>
      <c r="C378" s="60"/>
      <c r="E378" s="47"/>
      <c r="F378" s="112"/>
      <c r="G378" s="47"/>
      <c r="J378" s="61"/>
      <c r="K378" s="61"/>
      <c r="L378" s="30"/>
      <c r="N378" s="97"/>
      <c r="O378" s="112"/>
      <c r="P378" s="47"/>
      <c r="Q378" s="24"/>
    </row>
    <row r="379" spans="1:17">
      <c r="A379" s="61"/>
      <c r="B379" s="24"/>
      <c r="C379" s="60"/>
      <c r="E379" s="47"/>
      <c r="F379" s="112"/>
      <c r="G379" s="47"/>
      <c r="J379" s="61"/>
      <c r="K379" s="61"/>
      <c r="L379" s="30"/>
      <c r="N379" s="97"/>
      <c r="O379" s="112"/>
      <c r="P379" s="47"/>
      <c r="Q379" s="24"/>
    </row>
    <row r="380" spans="1:17">
      <c r="A380" s="61"/>
      <c r="B380" s="24"/>
      <c r="C380" s="60"/>
      <c r="E380" s="47"/>
      <c r="F380" s="112"/>
      <c r="G380" s="47"/>
      <c r="J380" s="61"/>
      <c r="K380" s="61"/>
      <c r="L380" s="30"/>
      <c r="N380" s="97"/>
      <c r="O380" s="112"/>
      <c r="P380" s="47"/>
      <c r="Q380" s="24"/>
    </row>
    <row r="381" spans="1:17">
      <c r="A381" s="61"/>
      <c r="B381" s="24"/>
      <c r="C381" s="60"/>
      <c r="E381" s="47"/>
      <c r="F381" s="112"/>
      <c r="G381" s="47"/>
      <c r="J381" s="61"/>
      <c r="K381" s="61"/>
      <c r="L381" s="30"/>
      <c r="N381" s="97"/>
      <c r="O381" s="112"/>
      <c r="P381" s="47"/>
      <c r="Q381" s="24"/>
    </row>
    <row r="382" spans="1:17">
      <c r="A382" s="61"/>
      <c r="B382" s="24"/>
      <c r="C382" s="60"/>
      <c r="E382" s="47"/>
      <c r="F382" s="112"/>
      <c r="G382" s="47"/>
      <c r="J382" s="61"/>
      <c r="K382" s="61"/>
      <c r="L382" s="30"/>
      <c r="N382" s="97"/>
      <c r="O382" s="112"/>
      <c r="P382" s="47"/>
      <c r="Q382" s="24"/>
    </row>
    <row r="383" spans="1:17">
      <c r="A383" s="61"/>
      <c r="B383" s="24"/>
      <c r="C383" s="60"/>
      <c r="E383" s="47"/>
      <c r="F383" s="112"/>
      <c r="G383" s="47"/>
      <c r="J383" s="61"/>
      <c r="K383" s="61"/>
      <c r="L383" s="30"/>
      <c r="N383" s="97"/>
      <c r="O383" s="112"/>
      <c r="P383" s="47"/>
      <c r="Q383" s="24"/>
    </row>
    <row r="384" spans="1:17">
      <c r="A384" s="61"/>
      <c r="B384" s="24"/>
      <c r="C384" s="60"/>
      <c r="E384" s="47"/>
      <c r="F384" s="112"/>
      <c r="G384" s="47"/>
      <c r="J384" s="61"/>
      <c r="K384" s="61"/>
      <c r="L384" s="30"/>
      <c r="N384" s="97"/>
      <c r="O384" s="112"/>
      <c r="P384" s="47"/>
      <c r="Q384" s="24"/>
    </row>
    <row r="385" spans="1:17">
      <c r="A385" s="61"/>
      <c r="B385" s="24"/>
      <c r="C385" s="60"/>
      <c r="E385" s="47"/>
      <c r="F385" s="112"/>
      <c r="G385" s="47"/>
      <c r="J385" s="61"/>
      <c r="K385" s="61"/>
      <c r="L385" s="30"/>
      <c r="N385" s="97"/>
      <c r="O385" s="112"/>
      <c r="P385" s="47"/>
      <c r="Q385" s="24"/>
    </row>
    <row r="386" spans="1:17">
      <c r="A386" s="61"/>
      <c r="B386" s="24"/>
      <c r="C386" s="60"/>
      <c r="E386" s="47"/>
      <c r="F386" s="112"/>
      <c r="G386" s="47"/>
      <c r="J386" s="61"/>
      <c r="K386" s="61"/>
      <c r="L386" s="30"/>
      <c r="N386" s="97"/>
      <c r="O386" s="112"/>
      <c r="P386" s="47"/>
      <c r="Q386" s="24"/>
    </row>
    <row r="387" spans="1:17">
      <c r="A387" s="61"/>
      <c r="B387" s="24"/>
      <c r="C387" s="60"/>
      <c r="E387" s="47"/>
      <c r="F387" s="112"/>
      <c r="G387" s="47"/>
      <c r="J387" s="61"/>
      <c r="K387" s="61"/>
      <c r="L387" s="30"/>
      <c r="N387" s="97"/>
      <c r="O387" s="112"/>
      <c r="P387" s="47"/>
      <c r="Q387" s="24"/>
    </row>
    <row r="388" spans="1:17">
      <c r="A388" s="61"/>
      <c r="B388" s="24"/>
      <c r="C388" s="60"/>
      <c r="E388" s="47"/>
      <c r="F388" s="112"/>
      <c r="G388" s="47"/>
      <c r="J388" s="61"/>
      <c r="K388" s="61"/>
      <c r="L388" s="30"/>
      <c r="N388" s="97"/>
      <c r="O388" s="112"/>
      <c r="P388" s="47"/>
      <c r="Q388" s="24"/>
    </row>
    <row r="389" spans="1:17">
      <c r="A389" s="61"/>
      <c r="B389" s="24"/>
      <c r="C389" s="60"/>
      <c r="E389" s="47"/>
      <c r="F389" s="112"/>
      <c r="G389" s="47"/>
      <c r="J389" s="61"/>
      <c r="K389" s="61"/>
      <c r="L389" s="30"/>
      <c r="N389" s="97"/>
      <c r="O389" s="112"/>
      <c r="P389" s="47"/>
      <c r="Q389" s="24"/>
    </row>
    <row r="390" spans="1:17">
      <c r="A390" s="61"/>
      <c r="B390" s="24"/>
      <c r="C390" s="60"/>
      <c r="E390" s="47"/>
      <c r="F390" s="112"/>
      <c r="G390" s="47"/>
      <c r="J390" s="61"/>
      <c r="K390" s="61"/>
      <c r="L390" s="30"/>
      <c r="N390" s="97"/>
      <c r="O390" s="112"/>
      <c r="P390" s="47"/>
      <c r="Q390" s="24"/>
    </row>
    <row r="391" spans="1:17">
      <c r="A391" s="61"/>
      <c r="B391" s="24"/>
      <c r="C391" s="60"/>
      <c r="E391" s="47"/>
      <c r="F391" s="112"/>
      <c r="G391" s="47"/>
      <c r="J391" s="61"/>
      <c r="K391" s="61"/>
      <c r="L391" s="30"/>
      <c r="N391" s="97"/>
      <c r="O391" s="112"/>
      <c r="P391" s="47"/>
      <c r="Q391" s="24"/>
    </row>
    <row r="392" spans="1:17">
      <c r="A392" s="61"/>
      <c r="B392" s="24"/>
      <c r="C392" s="60"/>
      <c r="E392" s="47"/>
      <c r="F392" s="112"/>
      <c r="G392" s="47"/>
      <c r="J392" s="61"/>
      <c r="K392" s="61"/>
      <c r="L392" s="30"/>
      <c r="N392" s="97"/>
      <c r="O392" s="112"/>
      <c r="P392" s="47"/>
      <c r="Q392" s="24"/>
    </row>
    <row r="393" spans="1:17">
      <c r="A393" s="61"/>
      <c r="B393" s="24"/>
      <c r="C393" s="60"/>
      <c r="E393" s="47"/>
      <c r="F393" s="112"/>
      <c r="G393" s="47"/>
      <c r="J393" s="61"/>
      <c r="K393" s="61"/>
      <c r="L393" s="30"/>
      <c r="N393" s="97"/>
      <c r="O393" s="112"/>
      <c r="P393" s="47"/>
      <c r="Q393" s="24"/>
    </row>
    <row r="394" spans="1:17">
      <c r="A394" s="61"/>
      <c r="B394" s="24"/>
      <c r="C394" s="60"/>
      <c r="E394" s="47"/>
      <c r="F394" s="112"/>
      <c r="G394" s="47"/>
      <c r="J394" s="61"/>
      <c r="K394" s="61"/>
      <c r="L394" s="30"/>
      <c r="N394" s="97"/>
      <c r="O394" s="112"/>
      <c r="P394" s="47"/>
      <c r="Q394" s="24"/>
    </row>
    <row r="395" spans="1:17">
      <c r="A395" s="61"/>
      <c r="B395" s="24"/>
      <c r="C395" s="60"/>
      <c r="E395" s="47"/>
      <c r="F395" s="112"/>
      <c r="G395" s="47"/>
      <c r="J395" s="61"/>
      <c r="K395" s="61"/>
      <c r="L395" s="30"/>
      <c r="N395" s="97"/>
      <c r="O395" s="112"/>
      <c r="P395" s="47"/>
      <c r="Q395" s="24"/>
    </row>
    <row r="396" spans="1:17">
      <c r="A396" s="61"/>
      <c r="B396" s="24"/>
      <c r="C396" s="60"/>
      <c r="E396" s="47"/>
      <c r="F396" s="112"/>
      <c r="G396" s="47"/>
      <c r="J396" s="61"/>
      <c r="K396" s="61"/>
      <c r="L396" s="30"/>
      <c r="N396" s="97"/>
      <c r="O396" s="112"/>
      <c r="P396" s="47"/>
      <c r="Q396" s="24"/>
    </row>
    <row r="397" spans="1:17">
      <c r="A397" s="61"/>
      <c r="B397" s="24"/>
      <c r="C397" s="60"/>
      <c r="E397" s="47"/>
      <c r="F397" s="112"/>
      <c r="G397" s="47"/>
      <c r="J397" s="61"/>
      <c r="K397" s="61"/>
      <c r="L397" s="30"/>
      <c r="N397" s="97"/>
      <c r="O397" s="112"/>
      <c r="P397" s="47"/>
      <c r="Q397" s="24"/>
    </row>
    <row r="398" spans="1:17">
      <c r="A398" s="61"/>
      <c r="B398" s="24"/>
      <c r="C398" s="60"/>
      <c r="E398" s="47"/>
      <c r="F398" s="112"/>
      <c r="G398" s="47"/>
      <c r="J398" s="61"/>
      <c r="K398" s="61"/>
      <c r="L398" s="30"/>
      <c r="N398" s="97"/>
      <c r="O398" s="112"/>
      <c r="P398" s="47"/>
      <c r="Q398" s="24"/>
    </row>
    <row r="399" spans="1:17">
      <c r="A399" s="61"/>
      <c r="B399" s="24"/>
      <c r="C399" s="60"/>
      <c r="E399" s="47"/>
      <c r="F399" s="112"/>
      <c r="G399" s="47"/>
      <c r="J399" s="61"/>
      <c r="K399" s="61"/>
      <c r="L399" s="30"/>
      <c r="N399" s="97"/>
      <c r="O399" s="112"/>
      <c r="P399" s="47"/>
      <c r="Q399" s="24"/>
    </row>
    <row r="400" spans="1:17">
      <c r="A400" s="61"/>
      <c r="B400" s="24"/>
      <c r="C400" s="60"/>
      <c r="E400" s="47"/>
      <c r="F400" s="112"/>
      <c r="G400" s="47"/>
      <c r="J400" s="61"/>
      <c r="K400" s="61"/>
      <c r="L400" s="30"/>
      <c r="N400" s="97"/>
      <c r="O400" s="112"/>
      <c r="P400" s="47"/>
      <c r="Q400" s="24"/>
    </row>
    <row r="401" spans="1:17">
      <c r="A401" s="61"/>
      <c r="B401" s="24"/>
      <c r="C401" s="60"/>
      <c r="E401" s="47"/>
      <c r="F401" s="112"/>
      <c r="G401" s="47"/>
      <c r="J401" s="61"/>
      <c r="K401" s="61"/>
      <c r="L401" s="30"/>
      <c r="N401" s="97"/>
      <c r="O401" s="112"/>
      <c r="P401" s="47"/>
      <c r="Q401" s="24"/>
    </row>
    <row r="402" spans="1:17">
      <c r="A402" s="61"/>
      <c r="B402" s="24"/>
      <c r="C402" s="60"/>
      <c r="E402" s="47"/>
      <c r="F402" s="112"/>
      <c r="G402" s="47"/>
      <c r="J402" s="61"/>
      <c r="K402" s="61"/>
      <c r="L402" s="30"/>
      <c r="N402" s="97"/>
      <c r="O402" s="112"/>
      <c r="P402" s="47"/>
      <c r="Q402" s="24"/>
    </row>
    <row r="403" spans="1:17">
      <c r="A403" s="61"/>
      <c r="B403" s="24"/>
      <c r="C403" s="60"/>
      <c r="E403" s="47"/>
      <c r="F403" s="112"/>
      <c r="G403" s="47"/>
      <c r="J403" s="61"/>
      <c r="K403" s="61"/>
      <c r="L403" s="30"/>
      <c r="N403" s="97"/>
      <c r="O403" s="112"/>
      <c r="P403" s="47"/>
      <c r="Q403" s="24"/>
    </row>
    <row r="404" spans="1:17">
      <c r="A404" s="61"/>
      <c r="B404" s="24"/>
      <c r="C404" s="60"/>
      <c r="E404" s="47"/>
      <c r="F404" s="112"/>
      <c r="G404" s="47"/>
      <c r="J404" s="61"/>
      <c r="K404" s="61"/>
      <c r="L404" s="30"/>
      <c r="N404" s="97"/>
      <c r="O404" s="112"/>
      <c r="P404" s="47"/>
      <c r="Q404" s="24"/>
    </row>
    <row r="405" spans="1:17">
      <c r="A405" s="61"/>
      <c r="B405" s="24"/>
      <c r="C405" s="60"/>
      <c r="E405" s="47"/>
      <c r="F405" s="112"/>
      <c r="G405" s="47"/>
      <c r="J405" s="61"/>
      <c r="K405" s="61"/>
      <c r="L405" s="30"/>
      <c r="N405" s="97"/>
      <c r="O405" s="112"/>
      <c r="P405" s="47"/>
      <c r="Q405" s="24"/>
    </row>
    <row r="406" spans="1:17">
      <c r="A406" s="61"/>
      <c r="B406" s="24"/>
      <c r="C406" s="60"/>
      <c r="E406" s="47"/>
      <c r="F406" s="112"/>
      <c r="G406" s="47"/>
      <c r="J406" s="61"/>
      <c r="K406" s="61"/>
      <c r="L406" s="30"/>
      <c r="N406" s="97"/>
      <c r="O406" s="112"/>
      <c r="P406" s="47"/>
      <c r="Q406" s="24"/>
    </row>
    <row r="407" spans="1:17">
      <c r="A407" s="61"/>
      <c r="B407" s="24"/>
      <c r="C407" s="60"/>
      <c r="E407" s="47"/>
      <c r="F407" s="112"/>
      <c r="G407" s="47"/>
      <c r="J407" s="61"/>
      <c r="K407" s="61"/>
      <c r="L407" s="30"/>
      <c r="N407" s="97"/>
      <c r="O407" s="112"/>
      <c r="P407" s="47"/>
      <c r="Q407" s="24"/>
    </row>
    <row r="408" spans="1:17">
      <c r="A408" s="61"/>
      <c r="B408" s="24"/>
      <c r="C408" s="60"/>
      <c r="E408" s="47"/>
      <c r="F408" s="112"/>
      <c r="G408" s="47"/>
      <c r="J408" s="61"/>
      <c r="K408" s="61"/>
      <c r="L408" s="30"/>
      <c r="N408" s="97"/>
      <c r="O408" s="112"/>
      <c r="P408" s="47"/>
      <c r="Q408" s="24"/>
    </row>
    <row r="409" spans="1:17">
      <c r="A409" s="61"/>
      <c r="B409" s="24"/>
      <c r="C409" s="60"/>
      <c r="E409" s="47"/>
      <c r="F409" s="112"/>
      <c r="G409" s="47"/>
      <c r="J409" s="61"/>
      <c r="K409" s="61"/>
      <c r="L409" s="30"/>
      <c r="N409" s="97"/>
      <c r="O409" s="112"/>
      <c r="P409" s="47"/>
      <c r="Q409" s="24"/>
    </row>
    <row r="410" spans="1:17">
      <c r="A410" s="61"/>
      <c r="B410" s="24"/>
      <c r="C410" s="60"/>
      <c r="E410" s="47"/>
      <c r="F410" s="112"/>
      <c r="G410" s="47"/>
      <c r="J410" s="61"/>
      <c r="K410" s="61"/>
      <c r="L410" s="30"/>
      <c r="N410" s="97"/>
      <c r="O410" s="112"/>
      <c r="P410" s="47"/>
      <c r="Q410" s="24"/>
    </row>
    <row r="411" spans="1:17">
      <c r="A411" s="61"/>
      <c r="B411" s="24"/>
      <c r="C411" s="60"/>
      <c r="E411" s="47"/>
      <c r="F411" s="112"/>
      <c r="G411" s="47"/>
      <c r="J411" s="61"/>
      <c r="K411" s="61"/>
      <c r="L411" s="30"/>
      <c r="N411" s="97"/>
      <c r="O411" s="112"/>
      <c r="P411" s="47"/>
      <c r="Q411" s="24"/>
    </row>
    <row r="412" spans="1:17">
      <c r="A412" s="61"/>
      <c r="B412" s="24"/>
      <c r="C412" s="60"/>
      <c r="E412" s="47"/>
      <c r="F412" s="112"/>
      <c r="G412" s="47"/>
      <c r="J412" s="61"/>
      <c r="K412" s="61"/>
      <c r="L412" s="30"/>
      <c r="N412" s="97"/>
      <c r="O412" s="112"/>
      <c r="P412" s="47"/>
      <c r="Q412" s="24"/>
    </row>
    <row r="413" spans="1:17">
      <c r="A413" s="61"/>
      <c r="B413" s="24"/>
      <c r="C413" s="60"/>
      <c r="E413" s="47"/>
      <c r="F413" s="112"/>
      <c r="G413" s="47"/>
      <c r="J413" s="61"/>
      <c r="K413" s="61"/>
      <c r="L413" s="30"/>
      <c r="N413" s="97"/>
      <c r="O413" s="112"/>
      <c r="P413" s="47"/>
      <c r="Q413" s="24"/>
    </row>
    <row r="414" spans="1:17">
      <c r="A414" s="61"/>
      <c r="B414" s="24"/>
      <c r="C414" s="60"/>
      <c r="E414" s="47"/>
      <c r="F414" s="112"/>
      <c r="G414" s="47"/>
      <c r="J414" s="61"/>
      <c r="K414" s="61"/>
      <c r="L414" s="30"/>
      <c r="N414" s="97"/>
      <c r="O414" s="112"/>
      <c r="P414" s="47"/>
      <c r="Q414" s="24"/>
    </row>
    <row r="415" spans="1:17">
      <c r="A415" s="61"/>
      <c r="B415" s="24"/>
      <c r="C415" s="60"/>
      <c r="E415" s="47"/>
      <c r="F415" s="112"/>
      <c r="G415" s="47"/>
      <c r="J415" s="61"/>
      <c r="K415" s="61"/>
      <c r="L415" s="30"/>
      <c r="N415" s="97"/>
      <c r="O415" s="112"/>
      <c r="P415" s="47"/>
      <c r="Q415" s="24"/>
    </row>
    <row r="416" spans="1:17">
      <c r="A416" s="61"/>
      <c r="B416" s="24"/>
      <c r="C416" s="60"/>
      <c r="E416" s="47"/>
      <c r="F416" s="112"/>
      <c r="G416" s="47"/>
      <c r="J416" s="61"/>
      <c r="K416" s="61"/>
      <c r="L416" s="30"/>
      <c r="N416" s="97"/>
      <c r="O416" s="112"/>
      <c r="P416" s="47"/>
      <c r="Q416" s="24"/>
    </row>
    <row r="417" spans="1:17">
      <c r="A417" s="61"/>
      <c r="B417" s="24"/>
      <c r="C417" s="60"/>
      <c r="E417" s="47"/>
      <c r="F417" s="112"/>
      <c r="G417" s="47"/>
      <c r="J417" s="61"/>
      <c r="K417" s="61"/>
      <c r="L417" s="30"/>
      <c r="N417" s="97"/>
      <c r="O417" s="112"/>
      <c r="P417" s="47"/>
      <c r="Q417" s="24"/>
    </row>
    <row r="418" spans="1:17">
      <c r="A418" s="61"/>
      <c r="B418" s="24"/>
      <c r="C418" s="60"/>
      <c r="E418" s="47"/>
      <c r="F418" s="112"/>
      <c r="G418" s="47"/>
      <c r="J418" s="61"/>
      <c r="K418" s="61"/>
      <c r="L418" s="30"/>
      <c r="N418" s="97"/>
      <c r="O418" s="112"/>
      <c r="P418" s="47"/>
      <c r="Q418" s="24"/>
    </row>
    <row r="419" spans="1:17">
      <c r="A419" s="61"/>
      <c r="B419" s="24"/>
      <c r="C419" s="60"/>
      <c r="E419" s="47"/>
      <c r="F419" s="112"/>
      <c r="G419" s="47"/>
      <c r="J419" s="61"/>
      <c r="K419" s="61"/>
      <c r="L419" s="30"/>
      <c r="N419" s="97"/>
      <c r="O419" s="112"/>
      <c r="P419" s="47"/>
      <c r="Q419" s="24"/>
    </row>
    <row r="420" spans="1:17">
      <c r="A420" s="61"/>
      <c r="B420" s="24"/>
      <c r="C420" s="60"/>
      <c r="E420" s="47"/>
      <c r="F420" s="112"/>
      <c r="G420" s="47"/>
      <c r="J420" s="61"/>
      <c r="K420" s="61"/>
      <c r="L420" s="30"/>
      <c r="N420" s="97"/>
      <c r="O420" s="112"/>
      <c r="P420" s="47"/>
      <c r="Q420" s="24"/>
    </row>
    <row r="421" spans="1:17">
      <c r="A421" s="61"/>
      <c r="B421" s="24"/>
      <c r="C421" s="60"/>
      <c r="E421" s="47"/>
      <c r="F421" s="112"/>
      <c r="G421" s="47"/>
      <c r="J421" s="61"/>
      <c r="K421" s="61"/>
      <c r="L421" s="30"/>
      <c r="N421" s="97"/>
      <c r="O421" s="112"/>
      <c r="P421" s="47"/>
      <c r="Q421" s="24"/>
    </row>
    <row r="422" spans="1:17">
      <c r="A422" s="61"/>
      <c r="B422" s="24"/>
      <c r="C422" s="60"/>
      <c r="E422" s="47"/>
      <c r="F422" s="112"/>
      <c r="G422" s="47"/>
      <c r="J422" s="61"/>
      <c r="K422" s="61"/>
      <c r="L422" s="30"/>
      <c r="N422" s="97"/>
      <c r="O422" s="112"/>
      <c r="P422" s="47"/>
      <c r="Q422" s="24"/>
    </row>
    <row r="423" spans="1:17">
      <c r="A423" s="61"/>
      <c r="B423" s="24"/>
      <c r="C423" s="60"/>
      <c r="E423" s="47"/>
      <c r="F423" s="112"/>
      <c r="G423" s="47"/>
      <c r="J423" s="61"/>
      <c r="K423" s="61"/>
      <c r="L423" s="30"/>
      <c r="N423" s="97"/>
      <c r="O423" s="112"/>
      <c r="P423" s="47"/>
      <c r="Q423" s="24"/>
    </row>
    <row r="424" spans="1:17">
      <c r="A424" s="61"/>
      <c r="B424" s="24"/>
      <c r="C424" s="60"/>
      <c r="E424" s="47"/>
      <c r="F424" s="112"/>
      <c r="G424" s="47"/>
      <c r="J424" s="61"/>
      <c r="K424" s="61"/>
      <c r="L424" s="30"/>
      <c r="N424" s="97"/>
      <c r="O424" s="112"/>
      <c r="P424" s="47"/>
      <c r="Q424" s="24"/>
    </row>
    <row r="425" spans="1:17">
      <c r="A425" s="61"/>
      <c r="B425" s="24"/>
      <c r="C425" s="60"/>
      <c r="E425" s="47"/>
      <c r="F425" s="112"/>
      <c r="G425" s="47"/>
      <c r="J425" s="61"/>
      <c r="K425" s="61"/>
      <c r="L425" s="30"/>
      <c r="N425" s="97"/>
      <c r="O425" s="112"/>
      <c r="P425" s="47"/>
      <c r="Q425" s="24"/>
    </row>
    <row r="426" spans="1:17">
      <c r="A426" s="61"/>
      <c r="B426" s="24"/>
      <c r="C426" s="60"/>
      <c r="E426" s="47"/>
      <c r="F426" s="112"/>
      <c r="G426" s="47"/>
      <c r="J426" s="61"/>
      <c r="K426" s="61"/>
      <c r="L426" s="30"/>
      <c r="N426" s="97"/>
      <c r="O426" s="112"/>
      <c r="P426" s="47"/>
      <c r="Q426" s="24"/>
    </row>
    <row r="427" spans="1:17">
      <c r="A427" s="61"/>
      <c r="B427" s="24"/>
      <c r="C427" s="60"/>
      <c r="E427" s="47"/>
      <c r="F427" s="112"/>
      <c r="G427" s="47"/>
      <c r="J427" s="61"/>
      <c r="K427" s="61"/>
      <c r="L427" s="30"/>
      <c r="N427" s="97"/>
      <c r="O427" s="112"/>
      <c r="P427" s="47"/>
      <c r="Q427" s="24"/>
    </row>
    <row r="428" spans="1:17">
      <c r="A428" s="61"/>
      <c r="B428" s="24"/>
      <c r="C428" s="60"/>
      <c r="E428" s="47"/>
      <c r="F428" s="112"/>
      <c r="G428" s="47"/>
      <c r="J428" s="61"/>
      <c r="K428" s="61"/>
      <c r="L428" s="30"/>
      <c r="N428" s="97"/>
      <c r="O428" s="112"/>
      <c r="P428" s="47"/>
      <c r="Q428" s="24"/>
    </row>
    <row r="429" spans="1:17">
      <c r="A429" s="61"/>
      <c r="B429" s="24"/>
      <c r="C429" s="60"/>
      <c r="E429" s="47"/>
      <c r="F429" s="112"/>
      <c r="G429" s="47"/>
      <c r="J429" s="61"/>
      <c r="K429" s="61"/>
      <c r="L429" s="30"/>
      <c r="N429" s="97"/>
      <c r="O429" s="112"/>
      <c r="P429" s="47"/>
      <c r="Q429" s="24"/>
    </row>
    <row r="430" spans="1:17">
      <c r="A430" s="61"/>
      <c r="B430" s="24"/>
      <c r="C430" s="60"/>
      <c r="E430" s="47"/>
      <c r="F430" s="112"/>
      <c r="G430" s="47"/>
      <c r="J430" s="61"/>
      <c r="K430" s="61"/>
      <c r="L430" s="30"/>
      <c r="N430" s="97"/>
      <c r="O430" s="112"/>
      <c r="P430" s="47"/>
      <c r="Q430" s="24"/>
    </row>
    <row r="431" spans="1:17">
      <c r="A431" s="61"/>
      <c r="B431" s="24"/>
      <c r="C431" s="60"/>
      <c r="E431" s="47"/>
      <c r="F431" s="112"/>
      <c r="G431" s="47"/>
      <c r="J431" s="61"/>
      <c r="K431" s="61"/>
      <c r="L431" s="30"/>
      <c r="N431" s="97"/>
      <c r="O431" s="112"/>
      <c r="P431" s="47"/>
      <c r="Q431" s="24"/>
    </row>
    <row r="432" spans="1:17">
      <c r="A432" s="61"/>
      <c r="B432" s="24"/>
      <c r="C432" s="60"/>
      <c r="E432" s="47"/>
      <c r="F432" s="112"/>
      <c r="G432" s="47"/>
      <c r="J432" s="61"/>
      <c r="K432" s="61"/>
      <c r="L432" s="30"/>
      <c r="N432" s="97"/>
      <c r="O432" s="112"/>
      <c r="P432" s="47"/>
      <c r="Q432" s="24"/>
    </row>
    <row r="433" spans="1:17">
      <c r="A433" s="61"/>
      <c r="B433" s="24"/>
      <c r="C433" s="60"/>
      <c r="E433" s="47"/>
      <c r="F433" s="112"/>
      <c r="G433" s="47"/>
      <c r="J433" s="61"/>
      <c r="K433" s="61"/>
      <c r="L433" s="30"/>
      <c r="N433" s="97"/>
      <c r="O433" s="112"/>
      <c r="P433" s="47"/>
      <c r="Q433" s="24"/>
    </row>
    <row r="434" spans="1:17">
      <c r="A434" s="61"/>
      <c r="B434" s="24"/>
      <c r="C434" s="60"/>
      <c r="E434" s="47"/>
      <c r="F434" s="112"/>
      <c r="G434" s="47"/>
      <c r="J434" s="61"/>
      <c r="K434" s="61"/>
      <c r="L434" s="30"/>
      <c r="N434" s="97"/>
      <c r="O434" s="112"/>
      <c r="P434" s="47"/>
      <c r="Q434" s="24"/>
    </row>
    <row r="435" spans="1:17">
      <c r="A435" s="61"/>
      <c r="B435" s="24"/>
      <c r="C435" s="60"/>
      <c r="E435" s="47"/>
      <c r="F435" s="112"/>
      <c r="G435" s="47"/>
      <c r="J435" s="61"/>
      <c r="K435" s="61"/>
      <c r="L435" s="30"/>
      <c r="N435" s="97"/>
      <c r="O435" s="112"/>
      <c r="P435" s="47"/>
      <c r="Q435" s="24"/>
    </row>
    <row r="436" spans="1:17">
      <c r="A436" s="61"/>
      <c r="B436" s="24"/>
      <c r="C436" s="60"/>
      <c r="E436" s="47"/>
      <c r="F436" s="112"/>
      <c r="G436" s="47"/>
      <c r="J436" s="61"/>
      <c r="K436" s="61"/>
      <c r="L436" s="30"/>
      <c r="N436" s="97"/>
      <c r="O436" s="112"/>
      <c r="P436" s="47"/>
      <c r="Q436" s="24"/>
    </row>
    <row r="437" spans="1:17">
      <c r="A437" s="61"/>
      <c r="B437" s="24"/>
      <c r="C437" s="60"/>
      <c r="E437" s="47"/>
      <c r="F437" s="112"/>
      <c r="G437" s="47"/>
      <c r="J437" s="61"/>
      <c r="K437" s="61"/>
      <c r="L437" s="30"/>
      <c r="N437" s="97"/>
      <c r="O437" s="112"/>
      <c r="P437" s="47"/>
      <c r="Q437" s="24"/>
    </row>
    <row r="438" spans="1:17">
      <c r="A438" s="61"/>
      <c r="B438" s="24"/>
      <c r="C438" s="60"/>
      <c r="E438" s="47"/>
      <c r="F438" s="112"/>
      <c r="G438" s="47"/>
      <c r="J438" s="61"/>
      <c r="K438" s="61"/>
      <c r="L438" s="30"/>
      <c r="N438" s="97"/>
      <c r="O438" s="112"/>
      <c r="P438" s="47"/>
      <c r="Q438" s="24"/>
    </row>
    <row r="439" spans="1:17">
      <c r="A439" s="61"/>
      <c r="B439" s="24"/>
      <c r="C439" s="60"/>
      <c r="E439" s="47"/>
      <c r="F439" s="112"/>
      <c r="G439" s="47"/>
      <c r="J439" s="61"/>
      <c r="K439" s="61"/>
      <c r="L439" s="30"/>
      <c r="N439" s="97"/>
      <c r="O439" s="112"/>
      <c r="P439" s="47"/>
      <c r="Q439" s="24"/>
    </row>
    <row r="440" spans="1:17">
      <c r="A440" s="61"/>
      <c r="B440" s="24"/>
      <c r="C440" s="60"/>
      <c r="E440" s="47"/>
      <c r="F440" s="112"/>
      <c r="G440" s="47"/>
      <c r="J440" s="61"/>
      <c r="K440" s="61"/>
      <c r="L440" s="30"/>
      <c r="N440" s="97"/>
      <c r="O440" s="112"/>
      <c r="P440" s="47"/>
      <c r="Q440" s="24"/>
    </row>
    <row r="441" spans="1:17">
      <c r="A441" s="61"/>
      <c r="B441" s="24"/>
      <c r="C441" s="60"/>
      <c r="E441" s="47"/>
      <c r="F441" s="112"/>
      <c r="G441" s="47"/>
      <c r="J441" s="61"/>
      <c r="K441" s="61"/>
      <c r="L441" s="30"/>
      <c r="N441" s="97"/>
      <c r="O441" s="112"/>
      <c r="P441" s="47"/>
      <c r="Q441" s="24"/>
    </row>
    <row r="442" spans="1:17">
      <c r="A442" s="61"/>
      <c r="B442" s="24"/>
      <c r="C442" s="60"/>
      <c r="E442" s="47"/>
      <c r="F442" s="112"/>
      <c r="G442" s="47"/>
      <c r="J442" s="61"/>
      <c r="K442" s="61"/>
      <c r="L442" s="30"/>
      <c r="N442" s="97"/>
      <c r="O442" s="112"/>
      <c r="P442" s="47"/>
      <c r="Q442" s="24"/>
    </row>
    <row r="443" spans="1:17">
      <c r="A443" s="61"/>
      <c r="B443" s="24"/>
      <c r="C443" s="60"/>
      <c r="E443" s="47"/>
      <c r="F443" s="112"/>
      <c r="G443" s="47"/>
      <c r="J443" s="61"/>
      <c r="K443" s="61"/>
      <c r="L443" s="30"/>
      <c r="N443" s="97"/>
      <c r="O443" s="112"/>
      <c r="P443" s="47"/>
      <c r="Q443" s="24"/>
    </row>
    <row r="444" spans="1:17">
      <c r="A444" s="61"/>
      <c r="B444" s="24"/>
      <c r="C444" s="60"/>
      <c r="E444" s="47"/>
      <c r="F444" s="112"/>
      <c r="G444" s="47"/>
      <c r="J444" s="61"/>
      <c r="K444" s="61"/>
      <c r="L444" s="30"/>
      <c r="N444" s="97"/>
      <c r="O444" s="112"/>
      <c r="P444" s="47"/>
      <c r="Q444" s="24"/>
    </row>
    <row r="445" spans="1:17">
      <c r="A445" s="61"/>
      <c r="B445" s="24"/>
      <c r="C445" s="60"/>
      <c r="E445" s="47"/>
      <c r="F445" s="112"/>
      <c r="G445" s="47"/>
      <c r="J445" s="61"/>
      <c r="K445" s="61"/>
      <c r="L445" s="30"/>
      <c r="N445" s="97"/>
      <c r="O445" s="112"/>
      <c r="P445" s="47"/>
      <c r="Q445" s="24"/>
    </row>
    <row r="446" spans="1:17">
      <c r="A446" s="61"/>
      <c r="B446" s="24"/>
      <c r="C446" s="60"/>
      <c r="E446" s="47"/>
      <c r="F446" s="112"/>
      <c r="G446" s="47"/>
      <c r="J446" s="61"/>
      <c r="K446" s="61"/>
      <c r="L446" s="30"/>
      <c r="N446" s="97"/>
      <c r="O446" s="112"/>
      <c r="P446" s="47"/>
      <c r="Q446" s="24"/>
    </row>
    <row r="447" spans="1:17">
      <c r="A447" s="61"/>
      <c r="B447" s="24"/>
      <c r="C447" s="60"/>
      <c r="E447" s="47"/>
      <c r="F447" s="112"/>
      <c r="G447" s="47"/>
      <c r="J447" s="61"/>
      <c r="K447" s="61"/>
      <c r="L447" s="30"/>
      <c r="N447" s="97"/>
      <c r="O447" s="112"/>
      <c r="P447" s="47"/>
      <c r="Q447" s="24"/>
    </row>
    <row r="448" spans="1:17">
      <c r="A448" s="61"/>
      <c r="B448" s="24"/>
      <c r="C448" s="60"/>
      <c r="E448" s="47"/>
      <c r="F448" s="112"/>
      <c r="G448" s="47"/>
      <c r="J448" s="61"/>
      <c r="K448" s="61"/>
      <c r="L448" s="30"/>
      <c r="N448" s="97"/>
      <c r="O448" s="112"/>
      <c r="P448" s="47"/>
      <c r="Q448" s="24"/>
    </row>
    <row r="449" spans="1:17">
      <c r="A449" s="61"/>
      <c r="B449" s="24"/>
      <c r="C449" s="60"/>
      <c r="E449" s="47"/>
      <c r="F449" s="112"/>
      <c r="G449" s="47"/>
      <c r="J449" s="61"/>
      <c r="K449" s="61"/>
      <c r="L449" s="30"/>
      <c r="N449" s="97"/>
      <c r="O449" s="112"/>
      <c r="P449" s="47"/>
      <c r="Q449" s="24"/>
    </row>
    <row r="450" spans="1:17">
      <c r="A450" s="61"/>
      <c r="B450" s="24"/>
      <c r="C450" s="60"/>
      <c r="E450" s="47"/>
      <c r="F450" s="112"/>
      <c r="G450" s="47"/>
      <c r="J450" s="61"/>
      <c r="K450" s="61"/>
      <c r="L450" s="30"/>
      <c r="N450" s="97"/>
      <c r="O450" s="112"/>
      <c r="P450" s="47"/>
      <c r="Q450" s="24"/>
    </row>
    <row r="451" spans="1:17">
      <c r="A451" s="61"/>
      <c r="B451" s="24"/>
      <c r="C451" s="60"/>
      <c r="E451" s="47"/>
      <c r="F451" s="112"/>
      <c r="G451" s="47"/>
      <c r="J451" s="61"/>
      <c r="K451" s="61"/>
      <c r="L451" s="30"/>
      <c r="N451" s="97"/>
      <c r="O451" s="112"/>
      <c r="P451" s="47"/>
      <c r="Q451" s="24"/>
    </row>
    <row r="452" spans="1:17">
      <c r="A452" s="61"/>
      <c r="B452" s="24"/>
      <c r="C452" s="60"/>
      <c r="E452" s="47"/>
      <c r="F452" s="112"/>
      <c r="G452" s="47"/>
      <c r="J452" s="61"/>
      <c r="K452" s="61"/>
      <c r="L452" s="30"/>
      <c r="N452" s="97"/>
      <c r="O452" s="112"/>
      <c r="P452" s="47"/>
      <c r="Q452" s="24"/>
    </row>
    <row r="453" spans="1:17">
      <c r="A453" s="61"/>
      <c r="B453" s="24"/>
      <c r="C453" s="60"/>
      <c r="E453" s="47"/>
      <c r="F453" s="112"/>
      <c r="G453" s="47"/>
      <c r="J453" s="61"/>
      <c r="K453" s="61"/>
      <c r="L453" s="30"/>
      <c r="N453" s="97"/>
      <c r="O453" s="112"/>
      <c r="P453" s="47"/>
      <c r="Q453" s="24"/>
    </row>
    <row r="454" spans="1:17">
      <c r="A454" s="61"/>
      <c r="B454" s="24"/>
      <c r="C454" s="60"/>
      <c r="E454" s="47"/>
      <c r="F454" s="112"/>
      <c r="G454" s="47"/>
      <c r="J454" s="61"/>
      <c r="K454" s="61"/>
      <c r="L454" s="30"/>
      <c r="N454" s="97"/>
      <c r="O454" s="112"/>
      <c r="P454" s="47"/>
      <c r="Q454" s="24"/>
    </row>
    <row r="455" spans="1:17">
      <c r="A455" s="61"/>
      <c r="B455" s="24"/>
      <c r="C455" s="60"/>
      <c r="E455" s="47"/>
      <c r="F455" s="112"/>
      <c r="G455" s="47"/>
      <c r="J455" s="61"/>
      <c r="K455" s="61"/>
      <c r="L455" s="30"/>
      <c r="N455" s="97"/>
      <c r="O455" s="112"/>
      <c r="P455" s="47"/>
      <c r="Q455" s="24"/>
    </row>
    <row r="456" spans="1:17">
      <c r="A456" s="61"/>
      <c r="B456" s="24"/>
      <c r="C456" s="60"/>
      <c r="E456" s="47"/>
      <c r="F456" s="112"/>
      <c r="G456" s="47"/>
      <c r="J456" s="61"/>
      <c r="K456" s="61"/>
      <c r="L456" s="30"/>
      <c r="N456" s="97"/>
      <c r="O456" s="112"/>
      <c r="P456" s="47"/>
      <c r="Q456" s="24"/>
    </row>
    <row r="457" spans="1:17">
      <c r="A457" s="61"/>
      <c r="B457" s="24"/>
      <c r="C457" s="60"/>
      <c r="E457" s="47"/>
      <c r="F457" s="112"/>
      <c r="G457" s="47"/>
      <c r="J457" s="61"/>
      <c r="K457" s="61"/>
      <c r="L457" s="30"/>
      <c r="N457" s="97"/>
      <c r="O457" s="112"/>
      <c r="P457" s="47"/>
      <c r="Q457" s="24"/>
    </row>
    <row r="458" spans="1:17">
      <c r="A458" s="61"/>
      <c r="B458" s="24"/>
      <c r="C458" s="60"/>
      <c r="E458" s="47"/>
      <c r="F458" s="112"/>
      <c r="G458" s="47"/>
      <c r="J458" s="61"/>
      <c r="K458" s="61"/>
      <c r="L458" s="30"/>
      <c r="N458" s="97"/>
      <c r="O458" s="112"/>
      <c r="P458" s="47"/>
      <c r="Q458" s="24"/>
    </row>
    <row r="459" spans="1:17">
      <c r="A459" s="61"/>
      <c r="B459" s="24"/>
      <c r="C459" s="60"/>
      <c r="E459" s="47"/>
      <c r="F459" s="112"/>
      <c r="G459" s="47"/>
      <c r="J459" s="61"/>
      <c r="K459" s="61"/>
      <c r="L459" s="30"/>
      <c r="N459" s="97"/>
      <c r="O459" s="112"/>
      <c r="P459" s="47"/>
      <c r="Q459" s="24"/>
    </row>
    <row r="460" spans="1:17">
      <c r="A460" s="61"/>
      <c r="B460" s="24"/>
      <c r="C460" s="60"/>
      <c r="E460" s="47"/>
      <c r="F460" s="112"/>
      <c r="G460" s="47"/>
      <c r="J460" s="61"/>
      <c r="K460" s="61"/>
      <c r="L460" s="30"/>
      <c r="N460" s="97"/>
      <c r="O460" s="112"/>
      <c r="P460" s="47"/>
      <c r="Q460" s="24"/>
    </row>
    <row r="461" spans="1:17">
      <c r="A461" s="61"/>
      <c r="B461" s="24"/>
      <c r="C461" s="60"/>
      <c r="E461" s="47"/>
      <c r="F461" s="112"/>
      <c r="G461" s="47"/>
      <c r="J461" s="61"/>
      <c r="K461" s="61"/>
      <c r="L461" s="30"/>
      <c r="N461" s="97"/>
      <c r="O461" s="112"/>
      <c r="P461" s="47"/>
      <c r="Q461" s="24"/>
    </row>
    <row r="462" spans="1:17">
      <c r="A462" s="61"/>
      <c r="B462" s="24"/>
      <c r="C462" s="60"/>
      <c r="E462" s="47"/>
      <c r="F462" s="112"/>
      <c r="G462" s="47"/>
      <c r="J462" s="61"/>
      <c r="K462" s="61"/>
      <c r="L462" s="30"/>
      <c r="N462" s="97"/>
      <c r="O462" s="112"/>
      <c r="P462" s="47"/>
      <c r="Q462" s="24"/>
    </row>
    <row r="463" spans="1:17">
      <c r="A463" s="61"/>
      <c r="B463" s="24"/>
      <c r="C463" s="60"/>
      <c r="E463" s="47"/>
      <c r="F463" s="112"/>
      <c r="G463" s="47"/>
      <c r="J463" s="61"/>
      <c r="K463" s="61"/>
      <c r="L463" s="30"/>
      <c r="N463" s="97"/>
      <c r="O463" s="112"/>
      <c r="P463" s="47"/>
      <c r="Q463" s="24"/>
    </row>
    <row r="464" spans="1:17">
      <c r="A464" s="61"/>
      <c r="B464" s="24"/>
      <c r="C464" s="60"/>
      <c r="E464" s="47"/>
      <c r="F464" s="112"/>
      <c r="G464" s="47"/>
      <c r="J464" s="61"/>
      <c r="K464" s="61"/>
      <c r="L464" s="30"/>
      <c r="N464" s="97"/>
      <c r="O464" s="112"/>
      <c r="P464" s="47"/>
      <c r="Q464" s="24"/>
    </row>
    <row r="465" spans="1:17">
      <c r="A465" s="61"/>
      <c r="B465" s="24"/>
      <c r="C465" s="60"/>
      <c r="E465" s="47"/>
      <c r="F465" s="112"/>
      <c r="G465" s="47"/>
      <c r="J465" s="61"/>
      <c r="K465" s="61"/>
      <c r="L465" s="30"/>
      <c r="N465" s="97"/>
      <c r="O465" s="112"/>
      <c r="P465" s="47"/>
      <c r="Q465" s="24"/>
    </row>
    <row r="466" spans="1:17">
      <c r="A466" s="61"/>
      <c r="B466" s="24"/>
      <c r="C466" s="60"/>
      <c r="E466" s="47"/>
      <c r="F466" s="112"/>
      <c r="G466" s="47"/>
      <c r="J466" s="61"/>
      <c r="K466" s="61"/>
      <c r="L466" s="30"/>
      <c r="N466" s="97"/>
      <c r="O466" s="112"/>
      <c r="P466" s="47"/>
      <c r="Q466" s="24"/>
    </row>
    <row r="467" spans="1:17">
      <c r="A467" s="61"/>
      <c r="B467" s="24"/>
      <c r="C467" s="60"/>
      <c r="E467" s="47"/>
      <c r="F467" s="112"/>
      <c r="G467" s="47"/>
      <c r="J467" s="61"/>
      <c r="K467" s="61"/>
      <c r="L467" s="30"/>
      <c r="N467" s="97"/>
      <c r="O467" s="112"/>
      <c r="P467" s="47"/>
      <c r="Q467" s="24"/>
    </row>
    <row r="468" spans="1:17">
      <c r="A468" s="61"/>
      <c r="B468" s="24"/>
      <c r="C468" s="60"/>
      <c r="E468" s="47"/>
      <c r="F468" s="112"/>
      <c r="G468" s="47"/>
      <c r="J468" s="61"/>
      <c r="K468" s="61"/>
      <c r="L468" s="30"/>
      <c r="N468" s="97"/>
      <c r="O468" s="112"/>
      <c r="P468" s="47"/>
      <c r="Q468" s="24"/>
    </row>
    <row r="469" spans="1:17">
      <c r="A469" s="61"/>
      <c r="B469" s="24"/>
      <c r="C469" s="60"/>
      <c r="E469" s="47"/>
      <c r="F469" s="112"/>
      <c r="G469" s="47"/>
      <c r="J469" s="61"/>
      <c r="K469" s="61"/>
      <c r="L469" s="30"/>
      <c r="N469" s="97"/>
      <c r="O469" s="112"/>
      <c r="P469" s="47"/>
      <c r="Q469" s="24"/>
    </row>
    <row r="470" spans="1:17">
      <c r="A470" s="61"/>
      <c r="B470" s="24"/>
      <c r="C470" s="60"/>
      <c r="E470" s="47"/>
      <c r="F470" s="112"/>
      <c r="G470" s="47"/>
      <c r="J470" s="61"/>
      <c r="K470" s="61"/>
      <c r="L470" s="30"/>
      <c r="N470" s="97"/>
      <c r="O470" s="112"/>
      <c r="P470" s="47"/>
      <c r="Q470" s="24"/>
    </row>
    <row r="471" spans="1:17">
      <c r="A471" s="61"/>
      <c r="B471" s="24"/>
      <c r="C471" s="60"/>
      <c r="E471" s="47"/>
      <c r="F471" s="112"/>
      <c r="G471" s="47"/>
      <c r="J471" s="61"/>
      <c r="K471" s="61"/>
      <c r="L471" s="30"/>
      <c r="N471" s="97"/>
      <c r="O471" s="112"/>
      <c r="P471" s="47"/>
      <c r="Q471" s="24"/>
    </row>
    <row r="472" spans="1:17">
      <c r="A472" s="61"/>
      <c r="B472" s="24"/>
      <c r="C472" s="60"/>
      <c r="E472" s="47"/>
      <c r="F472" s="112"/>
      <c r="G472" s="47"/>
      <c r="J472" s="61"/>
      <c r="K472" s="61"/>
      <c r="L472" s="30"/>
      <c r="N472" s="97"/>
      <c r="O472" s="112"/>
      <c r="P472" s="47"/>
      <c r="Q472" s="24"/>
    </row>
    <row r="473" spans="1:17">
      <c r="A473" s="61"/>
      <c r="B473" s="24"/>
      <c r="C473" s="60"/>
      <c r="E473" s="47"/>
      <c r="F473" s="112"/>
      <c r="G473" s="47"/>
      <c r="J473" s="61"/>
      <c r="K473" s="61"/>
      <c r="L473" s="30"/>
      <c r="N473" s="97"/>
      <c r="O473" s="112"/>
      <c r="P473" s="47"/>
      <c r="Q473" s="24"/>
    </row>
    <row r="474" spans="1:17">
      <c r="A474" s="61"/>
      <c r="B474" s="24"/>
      <c r="C474" s="60"/>
      <c r="E474" s="47"/>
      <c r="F474" s="112"/>
      <c r="G474" s="47"/>
      <c r="J474" s="61"/>
      <c r="K474" s="61"/>
      <c r="L474" s="30"/>
      <c r="N474" s="97"/>
      <c r="O474" s="112"/>
      <c r="P474" s="47"/>
      <c r="Q474" s="24"/>
    </row>
    <row r="475" spans="1:17">
      <c r="A475" s="61"/>
      <c r="B475" s="24"/>
      <c r="C475" s="60"/>
      <c r="E475" s="47"/>
      <c r="F475" s="112"/>
      <c r="G475" s="47"/>
      <c r="J475" s="61"/>
      <c r="K475" s="61"/>
      <c r="L475" s="30"/>
      <c r="N475" s="97"/>
      <c r="O475" s="112"/>
      <c r="P475" s="47"/>
      <c r="Q475" s="24"/>
    </row>
    <row r="476" spans="1:17">
      <c r="A476" s="61"/>
      <c r="B476" s="24"/>
      <c r="C476" s="60"/>
      <c r="E476" s="47"/>
      <c r="F476" s="112"/>
      <c r="G476" s="47"/>
      <c r="J476" s="61"/>
      <c r="K476" s="61"/>
      <c r="L476" s="30"/>
      <c r="N476" s="97"/>
      <c r="O476" s="112"/>
      <c r="P476" s="47"/>
      <c r="Q476" s="24"/>
    </row>
    <row r="477" spans="1:17">
      <c r="A477" s="61"/>
      <c r="B477" s="24"/>
      <c r="C477" s="60"/>
      <c r="E477" s="47"/>
      <c r="F477" s="112"/>
      <c r="G477" s="47"/>
      <c r="J477" s="61"/>
      <c r="K477" s="61"/>
      <c r="L477" s="30"/>
      <c r="N477" s="97"/>
      <c r="O477" s="112"/>
      <c r="P477" s="47"/>
      <c r="Q477" s="24"/>
    </row>
    <row r="478" spans="1:17">
      <c r="A478" s="61"/>
      <c r="B478" s="24"/>
      <c r="C478" s="60"/>
      <c r="E478" s="47"/>
      <c r="F478" s="112"/>
      <c r="G478" s="47"/>
      <c r="J478" s="61"/>
      <c r="K478" s="61"/>
      <c r="L478" s="30"/>
      <c r="N478" s="97"/>
      <c r="O478" s="112"/>
      <c r="P478" s="47"/>
      <c r="Q478" s="24"/>
    </row>
    <row r="479" spans="1:17">
      <c r="A479" s="61"/>
      <c r="B479" s="24"/>
      <c r="C479" s="60"/>
      <c r="E479" s="47"/>
      <c r="F479" s="112"/>
      <c r="G479" s="47"/>
      <c r="J479" s="61"/>
      <c r="K479" s="61"/>
      <c r="L479" s="30"/>
      <c r="N479" s="97"/>
      <c r="O479" s="112"/>
      <c r="P479" s="47"/>
      <c r="Q479" s="24"/>
    </row>
    <row r="480" spans="1:17">
      <c r="A480" s="61"/>
      <c r="B480" s="24"/>
      <c r="C480" s="60"/>
      <c r="E480" s="47"/>
      <c r="F480" s="112"/>
      <c r="G480" s="47"/>
      <c r="J480" s="61"/>
      <c r="K480" s="61"/>
      <c r="L480" s="30"/>
      <c r="N480" s="97"/>
      <c r="O480" s="112"/>
      <c r="P480" s="47"/>
      <c r="Q480" s="24"/>
    </row>
    <row r="481" spans="1:17">
      <c r="A481" s="61"/>
      <c r="B481" s="24"/>
      <c r="C481" s="60"/>
      <c r="E481" s="47"/>
      <c r="F481" s="112"/>
      <c r="G481" s="47"/>
      <c r="J481" s="61"/>
      <c r="K481" s="61"/>
      <c r="L481" s="30"/>
      <c r="N481" s="97"/>
      <c r="O481" s="112"/>
      <c r="P481" s="47"/>
      <c r="Q481" s="24"/>
    </row>
    <row r="482" spans="1:17">
      <c r="A482" s="61"/>
      <c r="B482" s="24"/>
      <c r="C482" s="60"/>
      <c r="E482" s="47"/>
      <c r="F482" s="112"/>
      <c r="G482" s="47"/>
      <c r="J482" s="61"/>
      <c r="K482" s="61"/>
      <c r="L482" s="30"/>
      <c r="N482" s="97"/>
      <c r="O482" s="112"/>
      <c r="P482" s="47"/>
      <c r="Q482" s="24"/>
    </row>
    <row r="483" spans="1:17">
      <c r="A483" s="61"/>
      <c r="B483" s="24"/>
      <c r="C483" s="60"/>
      <c r="E483" s="47"/>
      <c r="F483" s="112"/>
      <c r="G483" s="47"/>
      <c r="J483" s="61"/>
      <c r="K483" s="61"/>
      <c r="L483" s="30"/>
      <c r="N483" s="97"/>
      <c r="O483" s="112"/>
      <c r="P483" s="47"/>
      <c r="Q483" s="24"/>
    </row>
    <row r="484" spans="1:17">
      <c r="A484" s="61"/>
      <c r="B484" s="24"/>
      <c r="C484" s="60"/>
      <c r="E484" s="47"/>
      <c r="F484" s="112"/>
      <c r="G484" s="47"/>
      <c r="J484" s="61"/>
      <c r="K484" s="61"/>
      <c r="L484" s="30"/>
      <c r="N484" s="97"/>
      <c r="O484" s="112"/>
      <c r="P484" s="47"/>
      <c r="Q484" s="24"/>
    </row>
    <row r="485" spans="1:17">
      <c r="A485" s="61"/>
      <c r="B485" s="24"/>
      <c r="C485" s="60"/>
      <c r="E485" s="47"/>
      <c r="F485" s="112"/>
      <c r="G485" s="47"/>
      <c r="J485" s="61"/>
      <c r="K485" s="61"/>
      <c r="L485" s="30"/>
      <c r="N485" s="97"/>
      <c r="O485" s="112"/>
      <c r="P485" s="47"/>
      <c r="Q485" s="24"/>
    </row>
    <row r="486" spans="1:17">
      <c r="A486" s="61"/>
      <c r="B486" s="24"/>
      <c r="C486" s="60"/>
      <c r="E486" s="47"/>
      <c r="F486" s="112"/>
      <c r="G486" s="47"/>
      <c r="J486" s="61"/>
      <c r="K486" s="61"/>
      <c r="L486" s="30"/>
      <c r="N486" s="97"/>
      <c r="O486" s="112"/>
      <c r="P486" s="47"/>
      <c r="Q486" s="24"/>
    </row>
    <row r="487" spans="1:17">
      <c r="A487" s="61"/>
      <c r="B487" s="24"/>
      <c r="C487" s="60"/>
      <c r="E487" s="47"/>
      <c r="F487" s="112"/>
      <c r="G487" s="47"/>
      <c r="J487" s="61"/>
      <c r="K487" s="61"/>
      <c r="L487" s="30"/>
      <c r="N487" s="97"/>
      <c r="O487" s="112"/>
      <c r="P487" s="47"/>
      <c r="Q487" s="24"/>
    </row>
    <row r="488" spans="1:17">
      <c r="A488" s="61"/>
      <c r="B488" s="24"/>
      <c r="C488" s="60"/>
      <c r="E488" s="47"/>
      <c r="F488" s="112"/>
      <c r="G488" s="47"/>
      <c r="J488" s="61"/>
      <c r="K488" s="61"/>
      <c r="L488" s="30"/>
      <c r="N488" s="97"/>
      <c r="O488" s="112"/>
      <c r="P488" s="47"/>
      <c r="Q488" s="24"/>
    </row>
    <row r="489" spans="1:17">
      <c r="A489" s="61"/>
      <c r="B489" s="24"/>
      <c r="C489" s="60"/>
      <c r="E489" s="47"/>
      <c r="F489" s="112"/>
      <c r="G489" s="47"/>
      <c r="J489" s="61"/>
      <c r="K489" s="61"/>
      <c r="L489" s="30"/>
      <c r="N489" s="97"/>
      <c r="O489" s="112"/>
      <c r="P489" s="47"/>
      <c r="Q489" s="24"/>
    </row>
    <row r="490" spans="1:17">
      <c r="A490" s="61"/>
      <c r="B490" s="24"/>
      <c r="C490" s="60"/>
      <c r="E490" s="47"/>
      <c r="F490" s="112"/>
      <c r="G490" s="47"/>
      <c r="J490" s="61"/>
      <c r="K490" s="61"/>
      <c r="L490" s="30"/>
      <c r="N490" s="97"/>
      <c r="O490" s="112"/>
      <c r="P490" s="47"/>
      <c r="Q490" s="24"/>
    </row>
    <row r="491" spans="1:17">
      <c r="A491" s="61"/>
      <c r="B491" s="24"/>
      <c r="C491" s="60"/>
      <c r="E491" s="47"/>
      <c r="F491" s="112"/>
      <c r="G491" s="47"/>
      <c r="J491" s="61"/>
      <c r="K491" s="61"/>
      <c r="L491" s="30"/>
      <c r="N491" s="97"/>
      <c r="O491" s="112"/>
      <c r="P491" s="47"/>
      <c r="Q491" s="24"/>
    </row>
    <row r="492" spans="1:17">
      <c r="A492" s="61"/>
      <c r="B492" s="24"/>
      <c r="C492" s="60"/>
      <c r="E492" s="47"/>
      <c r="F492" s="112"/>
      <c r="G492" s="47"/>
      <c r="J492" s="61"/>
      <c r="K492" s="61"/>
      <c r="L492" s="30"/>
      <c r="N492" s="97"/>
      <c r="O492" s="112"/>
      <c r="P492" s="47"/>
      <c r="Q492" s="24"/>
    </row>
    <row r="493" spans="1:17">
      <c r="A493" s="61"/>
      <c r="B493" s="24"/>
      <c r="C493" s="60"/>
      <c r="E493" s="47"/>
      <c r="F493" s="112"/>
      <c r="G493" s="47"/>
      <c r="J493" s="61"/>
      <c r="K493" s="61"/>
      <c r="L493" s="30"/>
      <c r="N493" s="97"/>
      <c r="O493" s="112"/>
      <c r="P493" s="47"/>
      <c r="Q493" s="24"/>
    </row>
    <row r="494" spans="1:17">
      <c r="A494" s="61"/>
      <c r="B494" s="24"/>
      <c r="C494" s="60"/>
      <c r="E494" s="47"/>
      <c r="F494" s="112"/>
      <c r="G494" s="47"/>
      <c r="J494" s="61"/>
      <c r="K494" s="61"/>
      <c r="L494" s="30"/>
      <c r="N494" s="97"/>
      <c r="O494" s="112"/>
      <c r="P494" s="47"/>
      <c r="Q494" s="24"/>
    </row>
    <row r="495" spans="1:17">
      <c r="A495" s="61"/>
      <c r="B495" s="24"/>
      <c r="C495" s="60"/>
      <c r="E495" s="47"/>
      <c r="F495" s="112"/>
      <c r="G495" s="47"/>
      <c r="J495" s="61"/>
      <c r="K495" s="61"/>
      <c r="L495" s="30"/>
      <c r="N495" s="97"/>
      <c r="O495" s="112"/>
      <c r="P495" s="47"/>
      <c r="Q495" s="24"/>
    </row>
    <row r="496" spans="1:17">
      <c r="A496" s="61"/>
      <c r="B496" s="24"/>
      <c r="C496" s="60"/>
      <c r="E496" s="47"/>
      <c r="F496" s="112"/>
      <c r="G496" s="47"/>
      <c r="J496" s="61"/>
      <c r="K496" s="61"/>
      <c r="L496" s="30"/>
      <c r="N496" s="97"/>
      <c r="O496" s="112"/>
      <c r="P496" s="47"/>
      <c r="Q496" s="24"/>
    </row>
    <row r="497" spans="1:17">
      <c r="A497" s="61"/>
      <c r="B497" s="24"/>
      <c r="C497" s="60"/>
      <c r="E497" s="47"/>
      <c r="F497" s="112"/>
      <c r="G497" s="47"/>
      <c r="J497" s="61"/>
      <c r="K497" s="61"/>
      <c r="L497" s="30"/>
      <c r="N497" s="97"/>
      <c r="O497" s="112"/>
      <c r="P497" s="47"/>
      <c r="Q497" s="24"/>
    </row>
    <row r="498" spans="1:17">
      <c r="A498" s="61"/>
      <c r="B498" s="24"/>
      <c r="C498" s="60"/>
      <c r="E498" s="47"/>
      <c r="F498" s="112"/>
      <c r="G498" s="47"/>
      <c r="J498" s="61"/>
      <c r="K498" s="61"/>
      <c r="L498" s="30"/>
      <c r="N498" s="97"/>
      <c r="O498" s="112"/>
      <c r="P498" s="47"/>
      <c r="Q498" s="24"/>
    </row>
    <row r="499" spans="1:17">
      <c r="A499" s="61"/>
      <c r="B499" s="24"/>
      <c r="C499" s="60"/>
      <c r="E499" s="47"/>
      <c r="F499" s="112"/>
      <c r="G499" s="47"/>
      <c r="J499" s="61"/>
      <c r="K499" s="61"/>
      <c r="L499" s="30"/>
      <c r="N499" s="97"/>
      <c r="O499" s="112"/>
      <c r="P499" s="47"/>
      <c r="Q499" s="24"/>
    </row>
    <row r="500" spans="1:17">
      <c r="A500" s="61"/>
      <c r="B500" s="24"/>
      <c r="C500" s="60"/>
      <c r="E500" s="47"/>
      <c r="F500" s="112"/>
      <c r="G500" s="47"/>
      <c r="J500" s="61"/>
      <c r="K500" s="61"/>
      <c r="L500" s="30"/>
      <c r="N500" s="97"/>
      <c r="O500" s="112"/>
      <c r="P500" s="47"/>
      <c r="Q500" s="24"/>
    </row>
    <row r="501" spans="1:17">
      <c r="A501" s="61"/>
      <c r="B501" s="24"/>
      <c r="C501" s="60"/>
      <c r="E501" s="47"/>
      <c r="F501" s="112"/>
      <c r="G501" s="47"/>
      <c r="J501" s="61"/>
      <c r="K501" s="61"/>
      <c r="L501" s="30"/>
      <c r="N501" s="97"/>
      <c r="O501" s="112"/>
      <c r="P501" s="47"/>
      <c r="Q501" s="24"/>
    </row>
    <row r="502" spans="1:17">
      <c r="A502" s="61"/>
      <c r="B502" s="24"/>
      <c r="C502" s="60"/>
      <c r="E502" s="47"/>
      <c r="F502" s="112"/>
      <c r="G502" s="47"/>
      <c r="J502" s="61"/>
      <c r="K502" s="61"/>
      <c r="L502" s="30"/>
      <c r="N502" s="97"/>
      <c r="O502" s="112"/>
      <c r="P502" s="47"/>
      <c r="Q502" s="24"/>
    </row>
    <row r="503" spans="1:17">
      <c r="A503" s="61"/>
      <c r="B503" s="24"/>
      <c r="C503" s="60"/>
      <c r="E503" s="47"/>
      <c r="F503" s="112"/>
      <c r="G503" s="47"/>
      <c r="J503" s="61"/>
      <c r="K503" s="61"/>
      <c r="L503" s="30"/>
      <c r="N503" s="97"/>
      <c r="O503" s="112"/>
      <c r="P503" s="47"/>
      <c r="Q503" s="24"/>
    </row>
    <row r="504" spans="1:17">
      <c r="A504" s="61"/>
      <c r="B504" s="24"/>
      <c r="C504" s="60"/>
      <c r="E504" s="47"/>
      <c r="F504" s="112"/>
      <c r="G504" s="47"/>
      <c r="J504" s="61"/>
      <c r="K504" s="61"/>
      <c r="L504" s="30"/>
      <c r="N504" s="97"/>
      <c r="O504" s="112"/>
      <c r="P504" s="47"/>
      <c r="Q504" s="24"/>
    </row>
    <row r="505" spans="1:17">
      <c r="A505" s="61"/>
      <c r="B505" s="24"/>
      <c r="C505" s="60"/>
      <c r="E505" s="47"/>
      <c r="F505" s="112"/>
      <c r="G505" s="47"/>
      <c r="J505" s="61"/>
      <c r="K505" s="61"/>
      <c r="L505" s="30"/>
      <c r="N505" s="97"/>
      <c r="O505" s="112"/>
      <c r="P505" s="47"/>
      <c r="Q505" s="24"/>
    </row>
    <row r="506" spans="1:17">
      <c r="A506" s="61"/>
      <c r="B506" s="24"/>
      <c r="C506" s="60"/>
      <c r="E506" s="47"/>
      <c r="F506" s="112"/>
      <c r="G506" s="47"/>
      <c r="J506" s="61"/>
      <c r="K506" s="61"/>
      <c r="L506" s="30"/>
      <c r="N506" s="97"/>
      <c r="O506" s="112"/>
      <c r="P506" s="47"/>
      <c r="Q506" s="24"/>
    </row>
    <row r="507" spans="1:17">
      <c r="A507" s="61"/>
      <c r="B507" s="24"/>
      <c r="C507" s="60"/>
      <c r="E507" s="47"/>
      <c r="F507" s="112"/>
      <c r="G507" s="47"/>
      <c r="J507" s="61"/>
      <c r="K507" s="61"/>
      <c r="L507" s="30"/>
      <c r="N507" s="97"/>
      <c r="O507" s="112"/>
      <c r="P507" s="47"/>
      <c r="Q507" s="24"/>
    </row>
    <row r="508" spans="1:17">
      <c r="A508" s="61"/>
      <c r="B508" s="24"/>
      <c r="C508" s="60"/>
      <c r="E508" s="47"/>
      <c r="F508" s="112"/>
      <c r="G508" s="47"/>
      <c r="J508" s="61"/>
      <c r="K508" s="61"/>
      <c r="L508" s="30"/>
      <c r="N508" s="97"/>
      <c r="O508" s="112"/>
      <c r="P508" s="47"/>
      <c r="Q508" s="24"/>
    </row>
    <row r="509" spans="1:17">
      <c r="A509" s="61"/>
      <c r="B509" s="24"/>
      <c r="C509" s="60"/>
      <c r="E509" s="47"/>
      <c r="F509" s="112"/>
      <c r="G509" s="47"/>
      <c r="J509" s="61"/>
      <c r="K509" s="61"/>
      <c r="L509" s="30"/>
      <c r="N509" s="97"/>
      <c r="O509" s="112"/>
      <c r="P509" s="47"/>
      <c r="Q509" s="24"/>
    </row>
    <row r="510" spans="1:17">
      <c r="A510" s="61"/>
      <c r="B510" s="24"/>
      <c r="C510" s="60"/>
      <c r="E510" s="47"/>
      <c r="F510" s="112"/>
      <c r="G510" s="47"/>
      <c r="J510" s="61"/>
      <c r="K510" s="61"/>
      <c r="L510" s="30"/>
      <c r="N510" s="97"/>
      <c r="O510" s="112"/>
      <c r="P510" s="47"/>
      <c r="Q510" s="24"/>
    </row>
    <row r="511" spans="1:17">
      <c r="A511" s="61"/>
      <c r="B511" s="24"/>
      <c r="C511" s="60"/>
      <c r="E511" s="47"/>
      <c r="F511" s="112"/>
      <c r="G511" s="47"/>
      <c r="J511" s="61"/>
      <c r="K511" s="61"/>
      <c r="L511" s="30"/>
      <c r="N511" s="97"/>
      <c r="O511" s="112"/>
      <c r="P511" s="47"/>
      <c r="Q511" s="24"/>
    </row>
    <row r="512" spans="1:17">
      <c r="A512" s="61"/>
      <c r="B512" s="24"/>
      <c r="C512" s="60"/>
      <c r="E512" s="47"/>
      <c r="F512" s="112"/>
      <c r="G512" s="47"/>
      <c r="J512" s="61"/>
      <c r="K512" s="61"/>
      <c r="L512" s="30"/>
      <c r="N512" s="97"/>
      <c r="O512" s="112"/>
      <c r="P512" s="47"/>
      <c r="Q512" s="24"/>
    </row>
    <row r="513" spans="1:17">
      <c r="A513" s="61"/>
      <c r="B513" s="24"/>
      <c r="C513" s="60"/>
      <c r="E513" s="47"/>
      <c r="F513" s="112"/>
      <c r="G513" s="47"/>
      <c r="J513" s="61"/>
      <c r="K513" s="61"/>
      <c r="L513" s="30"/>
      <c r="N513" s="97"/>
      <c r="O513" s="112"/>
      <c r="P513" s="47"/>
      <c r="Q513" s="24"/>
    </row>
    <row r="514" spans="1:17">
      <c r="A514" s="61"/>
      <c r="B514" s="24"/>
      <c r="C514" s="60"/>
      <c r="E514" s="47"/>
      <c r="F514" s="112"/>
      <c r="G514" s="47"/>
      <c r="J514" s="61"/>
      <c r="K514" s="61"/>
      <c r="L514" s="30"/>
      <c r="N514" s="97"/>
      <c r="O514" s="112"/>
      <c r="P514" s="47"/>
      <c r="Q514" s="24"/>
    </row>
    <row r="515" spans="1:17">
      <c r="A515" s="61"/>
      <c r="B515" s="24"/>
      <c r="C515" s="60"/>
      <c r="E515" s="47"/>
      <c r="F515" s="112"/>
      <c r="G515" s="47"/>
      <c r="J515" s="61"/>
      <c r="K515" s="61"/>
      <c r="L515" s="30"/>
      <c r="N515" s="97"/>
      <c r="O515" s="112"/>
      <c r="P515" s="47"/>
      <c r="Q515" s="24"/>
    </row>
    <row r="516" spans="1:17">
      <c r="A516" s="61"/>
      <c r="B516" s="24"/>
      <c r="C516" s="60"/>
      <c r="E516" s="47"/>
      <c r="F516" s="112"/>
      <c r="G516" s="47"/>
      <c r="J516" s="61"/>
      <c r="K516" s="61"/>
      <c r="L516" s="30"/>
      <c r="N516" s="97"/>
      <c r="O516" s="112"/>
      <c r="P516" s="47"/>
      <c r="Q516" s="24"/>
    </row>
    <row r="517" spans="1:17">
      <c r="A517" s="61"/>
      <c r="B517" s="24"/>
      <c r="C517" s="60"/>
      <c r="E517" s="47"/>
      <c r="F517" s="112"/>
      <c r="G517" s="47"/>
      <c r="J517" s="61"/>
      <c r="K517" s="61"/>
      <c r="L517" s="30"/>
      <c r="N517" s="97"/>
      <c r="O517" s="112"/>
      <c r="P517" s="47"/>
      <c r="Q517" s="24"/>
    </row>
    <row r="518" spans="1:17">
      <c r="A518" s="61"/>
      <c r="B518" s="24"/>
      <c r="C518" s="60"/>
      <c r="E518" s="47"/>
      <c r="F518" s="112"/>
      <c r="G518" s="47"/>
      <c r="J518" s="61"/>
      <c r="K518" s="61"/>
      <c r="L518" s="30"/>
      <c r="N518" s="97"/>
      <c r="O518" s="112"/>
      <c r="P518" s="47"/>
      <c r="Q518" s="24"/>
    </row>
    <row r="519" spans="1:17">
      <c r="A519" s="61"/>
      <c r="B519" s="24"/>
      <c r="C519" s="60"/>
      <c r="E519" s="47"/>
      <c r="F519" s="112"/>
      <c r="G519" s="47"/>
      <c r="J519" s="61"/>
      <c r="K519" s="61"/>
      <c r="L519" s="30"/>
      <c r="N519" s="97"/>
      <c r="O519" s="112"/>
      <c r="P519" s="47"/>
      <c r="Q519" s="24"/>
    </row>
    <row r="520" spans="1:17">
      <c r="A520" s="61"/>
      <c r="B520" s="24"/>
      <c r="C520" s="60"/>
      <c r="E520" s="47"/>
      <c r="F520" s="112"/>
      <c r="G520" s="47"/>
      <c r="J520" s="61"/>
      <c r="K520" s="61"/>
      <c r="L520" s="30"/>
      <c r="N520" s="97"/>
      <c r="O520" s="112"/>
      <c r="P520" s="47"/>
      <c r="Q520" s="24"/>
    </row>
    <row r="521" spans="1:17">
      <c r="A521" s="61"/>
      <c r="B521" s="24"/>
      <c r="C521" s="60"/>
      <c r="E521" s="47"/>
      <c r="F521" s="112"/>
      <c r="G521" s="47"/>
      <c r="J521" s="61"/>
      <c r="K521" s="61"/>
      <c r="L521" s="30"/>
      <c r="N521" s="97"/>
      <c r="O521" s="112"/>
      <c r="P521" s="47"/>
      <c r="Q521" s="24"/>
    </row>
    <row r="522" spans="1:17">
      <c r="A522" s="61"/>
      <c r="B522" s="24"/>
      <c r="C522" s="60"/>
      <c r="E522" s="47"/>
      <c r="F522" s="112"/>
      <c r="G522" s="47"/>
      <c r="J522" s="61"/>
      <c r="K522" s="61"/>
      <c r="L522" s="30"/>
      <c r="N522" s="97"/>
      <c r="O522" s="112"/>
      <c r="P522" s="47"/>
      <c r="Q522" s="24"/>
    </row>
    <row r="523" spans="1:17">
      <c r="A523" s="61"/>
      <c r="B523" s="24"/>
      <c r="C523" s="60"/>
      <c r="E523" s="47"/>
      <c r="F523" s="112"/>
      <c r="G523" s="47"/>
      <c r="J523" s="61"/>
      <c r="K523" s="61"/>
      <c r="L523" s="30"/>
      <c r="N523" s="97"/>
      <c r="O523" s="112"/>
      <c r="P523" s="47"/>
      <c r="Q523" s="24"/>
    </row>
    <row r="524" spans="1:17">
      <c r="A524" s="61"/>
      <c r="B524" s="24"/>
      <c r="C524" s="60"/>
      <c r="E524" s="47"/>
      <c r="F524" s="112"/>
      <c r="G524" s="47"/>
      <c r="J524" s="61"/>
      <c r="K524" s="61"/>
      <c r="L524" s="30"/>
      <c r="N524" s="97"/>
      <c r="O524" s="112"/>
      <c r="P524" s="47"/>
      <c r="Q524" s="24"/>
    </row>
    <row r="525" spans="1:17">
      <c r="A525" s="61"/>
      <c r="B525" s="24"/>
      <c r="C525" s="60"/>
      <c r="E525" s="47"/>
      <c r="F525" s="112"/>
      <c r="G525" s="47"/>
      <c r="J525" s="61"/>
      <c r="K525" s="61"/>
      <c r="L525" s="30"/>
      <c r="N525" s="97"/>
      <c r="O525" s="112"/>
      <c r="P525" s="47"/>
      <c r="Q525" s="24"/>
    </row>
    <row r="526" spans="1:17">
      <c r="A526" s="61"/>
      <c r="B526" s="24"/>
      <c r="C526" s="60"/>
      <c r="E526" s="47"/>
      <c r="F526" s="112"/>
      <c r="G526" s="47"/>
      <c r="J526" s="61"/>
      <c r="K526" s="61"/>
      <c r="L526" s="30"/>
      <c r="N526" s="97"/>
      <c r="O526" s="112"/>
      <c r="P526" s="47"/>
      <c r="Q526" s="24"/>
    </row>
    <row r="527" spans="1:17">
      <c r="A527" s="61"/>
      <c r="B527" s="24"/>
      <c r="C527" s="60"/>
      <c r="E527" s="47"/>
      <c r="F527" s="112"/>
      <c r="G527" s="47"/>
      <c r="J527" s="61"/>
      <c r="K527" s="61"/>
      <c r="L527" s="30"/>
      <c r="N527" s="97"/>
      <c r="O527" s="112"/>
      <c r="P527" s="47"/>
      <c r="Q527" s="24"/>
    </row>
    <row r="528" spans="1:17">
      <c r="A528" s="61"/>
      <c r="B528" s="24"/>
      <c r="C528" s="60"/>
      <c r="E528" s="47"/>
      <c r="F528" s="112"/>
      <c r="G528" s="47"/>
      <c r="J528" s="61"/>
      <c r="K528" s="61"/>
      <c r="L528" s="30"/>
      <c r="N528" s="97"/>
      <c r="O528" s="112"/>
      <c r="P528" s="47"/>
      <c r="Q528" s="24"/>
    </row>
    <row r="529" spans="1:17">
      <c r="A529" s="61"/>
      <c r="B529" s="24"/>
      <c r="C529" s="60"/>
      <c r="E529" s="47"/>
      <c r="F529" s="112"/>
      <c r="G529" s="47"/>
      <c r="J529" s="61"/>
      <c r="K529" s="61"/>
      <c r="L529" s="30"/>
      <c r="N529" s="97"/>
      <c r="O529" s="112"/>
      <c r="P529" s="47"/>
      <c r="Q529" s="24"/>
    </row>
    <row r="530" spans="1:17">
      <c r="A530" s="61"/>
      <c r="B530" s="24"/>
      <c r="C530" s="60"/>
      <c r="E530" s="47"/>
      <c r="F530" s="112"/>
      <c r="G530" s="47"/>
      <c r="J530" s="61"/>
      <c r="K530" s="61"/>
      <c r="L530" s="30"/>
      <c r="N530" s="97"/>
      <c r="O530" s="112"/>
      <c r="P530" s="47"/>
      <c r="Q530" s="24"/>
    </row>
    <row r="531" spans="1:17">
      <c r="A531" s="61"/>
      <c r="B531" s="24"/>
      <c r="C531" s="60"/>
      <c r="E531" s="47"/>
      <c r="F531" s="112"/>
      <c r="G531" s="47"/>
      <c r="J531" s="61"/>
      <c r="K531" s="61"/>
      <c r="L531" s="30"/>
      <c r="N531" s="97"/>
      <c r="O531" s="112"/>
      <c r="P531" s="47"/>
      <c r="Q531" s="24"/>
    </row>
    <row r="532" spans="1:17">
      <c r="A532" s="61"/>
      <c r="B532" s="24"/>
      <c r="C532" s="60"/>
      <c r="E532" s="47"/>
      <c r="F532" s="112"/>
      <c r="G532" s="47"/>
      <c r="J532" s="61"/>
      <c r="K532" s="61"/>
      <c r="L532" s="30"/>
      <c r="N532" s="97"/>
      <c r="O532" s="112"/>
      <c r="P532" s="47"/>
      <c r="Q532" s="24"/>
    </row>
    <row r="533" spans="1:17">
      <c r="A533" s="61"/>
      <c r="B533" s="24"/>
      <c r="C533" s="60"/>
      <c r="E533" s="47"/>
      <c r="F533" s="112"/>
      <c r="G533" s="47"/>
      <c r="J533" s="61"/>
      <c r="K533" s="61"/>
      <c r="L533" s="30"/>
      <c r="N533" s="97"/>
      <c r="O533" s="112"/>
      <c r="P533" s="47"/>
      <c r="Q533" s="24"/>
    </row>
    <row r="534" spans="1:17">
      <c r="A534" s="61"/>
      <c r="B534" s="24"/>
      <c r="C534" s="60"/>
      <c r="E534" s="47"/>
      <c r="F534" s="112"/>
      <c r="G534" s="47"/>
      <c r="J534" s="61"/>
      <c r="K534" s="61"/>
      <c r="L534" s="30"/>
      <c r="N534" s="97"/>
      <c r="O534" s="112"/>
      <c r="P534" s="47"/>
      <c r="Q534" s="24"/>
    </row>
    <row r="535" spans="1:17">
      <c r="A535" s="61"/>
      <c r="B535" s="24"/>
      <c r="C535" s="60"/>
      <c r="E535" s="47"/>
      <c r="F535" s="112"/>
      <c r="G535" s="47"/>
      <c r="J535" s="61"/>
      <c r="K535" s="61"/>
      <c r="L535" s="30"/>
      <c r="N535" s="97"/>
      <c r="O535" s="112"/>
      <c r="P535" s="47"/>
      <c r="Q535" s="24"/>
    </row>
    <row r="536" spans="1:17">
      <c r="A536" s="61"/>
      <c r="B536" s="24"/>
      <c r="C536" s="60"/>
      <c r="E536" s="47"/>
      <c r="F536" s="112"/>
      <c r="G536" s="47"/>
      <c r="J536" s="61"/>
      <c r="K536" s="61"/>
      <c r="L536" s="30"/>
      <c r="N536" s="97"/>
      <c r="O536" s="112"/>
      <c r="P536" s="47"/>
      <c r="Q536" s="24"/>
    </row>
    <row r="537" spans="1:17">
      <c r="A537" s="61"/>
      <c r="B537" s="24"/>
      <c r="C537" s="60"/>
      <c r="E537" s="47"/>
      <c r="F537" s="112"/>
      <c r="G537" s="47"/>
      <c r="J537" s="61"/>
      <c r="K537" s="61"/>
      <c r="L537" s="30"/>
      <c r="N537" s="97"/>
      <c r="O537" s="112"/>
      <c r="P537" s="47"/>
      <c r="Q537" s="24"/>
    </row>
    <row r="538" spans="1:17">
      <c r="A538" s="61"/>
      <c r="B538" s="24"/>
      <c r="C538" s="60"/>
      <c r="E538" s="47"/>
      <c r="F538" s="112"/>
      <c r="G538" s="47"/>
      <c r="J538" s="61"/>
      <c r="K538" s="61"/>
      <c r="L538" s="30"/>
      <c r="N538" s="97"/>
      <c r="O538" s="112"/>
      <c r="P538" s="47"/>
      <c r="Q538" s="24"/>
    </row>
    <row r="539" spans="1:17">
      <c r="A539" s="61"/>
      <c r="B539" s="24"/>
      <c r="C539" s="60"/>
      <c r="E539" s="47"/>
      <c r="F539" s="112"/>
      <c r="G539" s="47"/>
      <c r="J539" s="61"/>
      <c r="K539" s="61"/>
      <c r="L539" s="30"/>
      <c r="N539" s="97"/>
      <c r="O539" s="112"/>
      <c r="P539" s="47"/>
      <c r="Q539" s="24"/>
    </row>
    <row r="540" spans="1:17">
      <c r="A540" s="61"/>
      <c r="B540" s="24"/>
      <c r="C540" s="60"/>
      <c r="E540" s="47"/>
      <c r="F540" s="112"/>
      <c r="G540" s="47"/>
      <c r="J540" s="61"/>
      <c r="K540" s="61"/>
      <c r="L540" s="30"/>
      <c r="N540" s="97"/>
      <c r="O540" s="112"/>
      <c r="P540" s="47"/>
      <c r="Q540" s="24"/>
    </row>
    <row r="541" spans="1:17">
      <c r="A541" s="61"/>
      <c r="B541" s="24"/>
      <c r="C541" s="60"/>
      <c r="E541" s="47"/>
      <c r="F541" s="112"/>
      <c r="G541" s="47"/>
      <c r="J541" s="61"/>
      <c r="K541" s="61"/>
      <c r="L541" s="30"/>
      <c r="N541" s="97"/>
      <c r="O541" s="112"/>
      <c r="P541" s="47"/>
      <c r="Q541" s="24"/>
    </row>
    <row r="542" spans="1:17">
      <c r="A542" s="61"/>
      <c r="B542" s="24"/>
      <c r="C542" s="60"/>
      <c r="E542" s="47"/>
      <c r="F542" s="112"/>
      <c r="G542" s="47"/>
      <c r="J542" s="61"/>
      <c r="K542" s="61"/>
      <c r="L542" s="30"/>
      <c r="N542" s="97"/>
      <c r="O542" s="112"/>
      <c r="P542" s="47"/>
      <c r="Q542" s="24"/>
    </row>
    <row r="543" spans="1:17">
      <c r="A543" s="61"/>
      <c r="B543" s="24"/>
      <c r="C543" s="60"/>
      <c r="E543" s="47"/>
      <c r="F543" s="112"/>
      <c r="G543" s="47"/>
      <c r="J543" s="61"/>
      <c r="K543" s="61"/>
      <c r="L543" s="30"/>
      <c r="N543" s="97"/>
      <c r="O543" s="112"/>
      <c r="P543" s="47"/>
      <c r="Q543" s="24"/>
    </row>
    <row r="544" spans="1:17">
      <c r="A544" s="61"/>
      <c r="B544" s="24"/>
      <c r="C544" s="60"/>
      <c r="E544" s="47"/>
      <c r="F544" s="112"/>
      <c r="G544" s="47"/>
      <c r="J544" s="61"/>
      <c r="K544" s="61"/>
      <c r="L544" s="30"/>
      <c r="N544" s="97"/>
      <c r="O544" s="112"/>
      <c r="P544" s="47"/>
      <c r="Q544" s="24"/>
    </row>
    <row r="545" spans="1:17">
      <c r="A545" s="61"/>
      <c r="B545" s="24"/>
      <c r="C545" s="60"/>
      <c r="E545" s="47"/>
      <c r="F545" s="112"/>
      <c r="G545" s="47"/>
      <c r="J545" s="61"/>
      <c r="K545" s="61"/>
      <c r="L545" s="30"/>
      <c r="N545" s="97"/>
      <c r="O545" s="112"/>
      <c r="P545" s="47"/>
      <c r="Q545" s="24"/>
    </row>
    <row r="546" spans="1:17">
      <c r="A546" s="61"/>
      <c r="B546" s="24"/>
      <c r="C546" s="60"/>
      <c r="E546" s="47"/>
      <c r="F546" s="112"/>
      <c r="G546" s="47"/>
      <c r="J546" s="61"/>
      <c r="K546" s="61"/>
      <c r="L546" s="30"/>
      <c r="N546" s="97"/>
      <c r="O546" s="112"/>
      <c r="P546" s="47"/>
      <c r="Q546" s="24"/>
    </row>
    <row r="547" spans="1:17">
      <c r="A547" s="61"/>
      <c r="B547" s="24"/>
      <c r="C547" s="60"/>
      <c r="E547" s="47"/>
      <c r="F547" s="112"/>
      <c r="G547" s="47"/>
      <c r="J547" s="61"/>
      <c r="K547" s="61"/>
      <c r="L547" s="30"/>
      <c r="N547" s="97"/>
      <c r="O547" s="112"/>
      <c r="P547" s="47"/>
      <c r="Q547" s="24"/>
    </row>
    <row r="548" spans="1:17">
      <c r="A548" s="61"/>
      <c r="B548" s="24"/>
      <c r="C548" s="60"/>
      <c r="E548" s="47"/>
      <c r="F548" s="112"/>
      <c r="G548" s="47"/>
      <c r="J548" s="61"/>
      <c r="K548" s="61"/>
      <c r="L548" s="30"/>
      <c r="N548" s="97"/>
      <c r="O548" s="112"/>
      <c r="P548" s="47"/>
      <c r="Q548" s="24"/>
    </row>
    <row r="549" spans="1:17">
      <c r="A549" s="61"/>
      <c r="B549" s="24"/>
      <c r="C549" s="60"/>
      <c r="E549" s="47"/>
      <c r="F549" s="112"/>
      <c r="G549" s="47"/>
      <c r="J549" s="61"/>
      <c r="K549" s="61"/>
      <c r="L549" s="30"/>
      <c r="N549" s="97"/>
      <c r="O549" s="112"/>
      <c r="P549" s="47"/>
      <c r="Q549" s="24"/>
    </row>
    <row r="550" spans="1:17">
      <c r="A550" s="61"/>
      <c r="B550" s="24"/>
      <c r="C550" s="60"/>
      <c r="E550" s="47"/>
      <c r="F550" s="112"/>
      <c r="G550" s="47"/>
      <c r="J550" s="61"/>
      <c r="K550" s="61"/>
      <c r="L550" s="30"/>
      <c r="N550" s="97"/>
      <c r="O550" s="112"/>
      <c r="P550" s="47"/>
      <c r="Q550" s="24"/>
    </row>
    <row r="551" spans="1:17">
      <c r="A551" s="61"/>
      <c r="B551" s="24"/>
      <c r="C551" s="60"/>
      <c r="E551" s="47"/>
      <c r="F551" s="112"/>
      <c r="G551" s="47"/>
      <c r="J551" s="61"/>
      <c r="K551" s="61"/>
      <c r="L551" s="30"/>
      <c r="N551" s="97"/>
      <c r="O551" s="112"/>
      <c r="P551" s="47"/>
      <c r="Q551" s="24"/>
    </row>
    <row r="552" spans="1:17">
      <c r="A552" s="61"/>
      <c r="B552" s="24"/>
      <c r="C552" s="60"/>
      <c r="E552" s="47"/>
      <c r="F552" s="112"/>
      <c r="G552" s="47"/>
      <c r="J552" s="61"/>
      <c r="K552" s="61"/>
      <c r="L552" s="30"/>
      <c r="N552" s="97"/>
      <c r="O552" s="112"/>
      <c r="P552" s="47"/>
      <c r="Q552" s="24"/>
    </row>
    <row r="553" spans="1:17">
      <c r="A553" s="61"/>
      <c r="B553" s="24"/>
      <c r="C553" s="60"/>
      <c r="E553" s="47"/>
      <c r="F553" s="112"/>
      <c r="G553" s="47"/>
      <c r="J553" s="61"/>
      <c r="K553" s="61"/>
      <c r="L553" s="30"/>
      <c r="N553" s="97"/>
      <c r="O553" s="112"/>
      <c r="P553" s="47"/>
      <c r="Q553" s="24"/>
    </row>
    <row r="554" spans="1:17">
      <c r="A554" s="61"/>
      <c r="B554" s="24"/>
      <c r="C554" s="60"/>
      <c r="E554" s="47"/>
      <c r="F554" s="112"/>
      <c r="G554" s="47"/>
      <c r="J554" s="61"/>
      <c r="K554" s="61"/>
      <c r="L554" s="30"/>
      <c r="N554" s="97"/>
      <c r="O554" s="112"/>
      <c r="P554" s="47"/>
      <c r="Q554" s="24"/>
    </row>
    <row r="555" spans="1:17">
      <c r="A555" s="61"/>
      <c r="B555" s="24"/>
      <c r="C555" s="60"/>
      <c r="E555" s="47"/>
      <c r="F555" s="112"/>
      <c r="G555" s="47"/>
      <c r="J555" s="61"/>
      <c r="K555" s="61"/>
      <c r="L555" s="30"/>
      <c r="N555" s="97"/>
      <c r="O555" s="112"/>
      <c r="P555" s="47"/>
      <c r="Q555" s="24"/>
    </row>
    <row r="556" spans="1:17">
      <c r="A556" s="61"/>
      <c r="B556" s="24"/>
      <c r="C556" s="60"/>
      <c r="E556" s="47"/>
      <c r="F556" s="112"/>
      <c r="G556" s="47"/>
      <c r="J556" s="61"/>
      <c r="K556" s="61"/>
      <c r="L556" s="30"/>
      <c r="N556" s="97"/>
      <c r="O556" s="112"/>
      <c r="P556" s="47"/>
      <c r="Q556" s="24"/>
    </row>
    <row r="557" spans="1:17">
      <c r="A557" s="61"/>
      <c r="B557" s="24"/>
      <c r="C557" s="60"/>
      <c r="E557" s="47"/>
      <c r="F557" s="112"/>
      <c r="G557" s="47"/>
      <c r="J557" s="61"/>
      <c r="K557" s="61"/>
      <c r="L557" s="30"/>
      <c r="N557" s="97"/>
      <c r="O557" s="112"/>
      <c r="P557" s="47"/>
      <c r="Q557" s="24"/>
    </row>
    <row r="558" spans="1:17">
      <c r="A558" s="61"/>
      <c r="B558" s="24"/>
      <c r="C558" s="60"/>
      <c r="E558" s="47"/>
      <c r="F558" s="112"/>
      <c r="G558" s="47"/>
      <c r="J558" s="61"/>
      <c r="K558" s="61"/>
      <c r="L558" s="30"/>
      <c r="N558" s="97"/>
      <c r="O558" s="112"/>
      <c r="P558" s="47"/>
      <c r="Q558" s="24"/>
    </row>
    <row r="559" spans="1:17">
      <c r="A559" s="61"/>
      <c r="B559" s="24"/>
      <c r="C559" s="60"/>
      <c r="E559" s="47"/>
      <c r="F559" s="112"/>
      <c r="G559" s="47"/>
      <c r="J559" s="61"/>
      <c r="K559" s="61"/>
      <c r="L559" s="30"/>
      <c r="N559" s="97"/>
      <c r="O559" s="112"/>
      <c r="P559" s="47"/>
      <c r="Q559" s="24"/>
    </row>
    <row r="560" spans="1:17">
      <c r="A560" s="61"/>
      <c r="B560" s="24"/>
      <c r="C560" s="60"/>
      <c r="E560" s="47"/>
      <c r="F560" s="112"/>
      <c r="G560" s="47"/>
      <c r="J560" s="61"/>
      <c r="K560" s="61"/>
      <c r="L560" s="30"/>
      <c r="N560" s="97"/>
      <c r="O560" s="112"/>
      <c r="P560" s="47"/>
      <c r="Q560" s="24"/>
    </row>
    <row r="561" spans="1:17">
      <c r="A561" s="61"/>
      <c r="B561" s="24"/>
      <c r="C561" s="60"/>
      <c r="E561" s="47"/>
      <c r="F561" s="112"/>
      <c r="G561" s="47"/>
      <c r="J561" s="61"/>
      <c r="K561" s="61"/>
      <c r="L561" s="30"/>
      <c r="N561" s="97"/>
      <c r="O561" s="112"/>
      <c r="P561" s="47"/>
      <c r="Q561" s="24"/>
    </row>
    <row r="562" spans="1:17">
      <c r="A562" s="61"/>
      <c r="B562" s="24"/>
      <c r="C562" s="60"/>
      <c r="E562" s="47"/>
      <c r="F562" s="112"/>
      <c r="G562" s="47"/>
      <c r="J562" s="61"/>
      <c r="K562" s="61"/>
      <c r="L562" s="30"/>
      <c r="N562" s="97"/>
      <c r="O562" s="112"/>
      <c r="P562" s="47"/>
      <c r="Q562" s="24"/>
    </row>
    <row r="563" spans="1:17">
      <c r="A563" s="61"/>
      <c r="B563" s="24"/>
      <c r="C563" s="60"/>
      <c r="E563" s="47"/>
      <c r="F563" s="112"/>
      <c r="G563" s="47"/>
      <c r="J563" s="61"/>
      <c r="K563" s="61"/>
      <c r="L563" s="30"/>
      <c r="N563" s="97"/>
      <c r="O563" s="112"/>
      <c r="P563" s="47"/>
      <c r="Q563" s="24"/>
    </row>
    <row r="564" spans="1:17">
      <c r="A564" s="61"/>
      <c r="B564" s="24"/>
      <c r="C564" s="60"/>
      <c r="E564" s="47"/>
      <c r="F564" s="112"/>
      <c r="G564" s="47"/>
      <c r="J564" s="61"/>
      <c r="K564" s="61"/>
      <c r="L564" s="30"/>
      <c r="N564" s="97"/>
      <c r="O564" s="112"/>
      <c r="P564" s="47"/>
      <c r="Q564" s="24"/>
    </row>
    <row r="565" spans="1:17">
      <c r="A565" s="61"/>
      <c r="B565" s="24"/>
      <c r="C565" s="60"/>
      <c r="E565" s="47"/>
      <c r="F565" s="112"/>
      <c r="G565" s="47"/>
      <c r="J565" s="61"/>
      <c r="K565" s="61"/>
      <c r="L565" s="30"/>
      <c r="N565" s="97"/>
      <c r="O565" s="112"/>
      <c r="P565" s="47"/>
      <c r="Q565" s="24"/>
    </row>
    <row r="566" spans="1:17">
      <c r="A566" s="61"/>
      <c r="B566" s="24"/>
      <c r="C566" s="60"/>
      <c r="E566" s="47"/>
      <c r="F566" s="112"/>
      <c r="G566" s="47"/>
      <c r="J566" s="61"/>
      <c r="K566" s="61"/>
      <c r="L566" s="30"/>
      <c r="N566" s="97"/>
      <c r="O566" s="112"/>
      <c r="P566" s="47"/>
      <c r="Q566" s="24"/>
    </row>
    <row r="567" spans="1:17">
      <c r="A567" s="61"/>
      <c r="B567" s="24"/>
      <c r="C567" s="60"/>
      <c r="E567" s="47"/>
      <c r="F567" s="112"/>
      <c r="G567" s="47"/>
      <c r="J567" s="61"/>
      <c r="K567" s="61"/>
      <c r="L567" s="30"/>
      <c r="N567" s="97"/>
      <c r="O567" s="112"/>
      <c r="P567" s="47"/>
      <c r="Q567" s="24"/>
    </row>
    <row r="568" spans="1:17">
      <c r="A568" s="61"/>
      <c r="B568" s="24"/>
      <c r="C568" s="60"/>
      <c r="E568" s="47"/>
      <c r="F568" s="112"/>
      <c r="G568" s="47"/>
      <c r="J568" s="61"/>
      <c r="K568" s="61"/>
      <c r="L568" s="30"/>
      <c r="N568" s="97"/>
      <c r="O568" s="112"/>
      <c r="P568" s="47"/>
      <c r="Q568" s="24"/>
    </row>
    <row r="569" spans="1:17">
      <c r="A569" s="61"/>
      <c r="B569" s="24"/>
      <c r="C569" s="60"/>
      <c r="E569" s="47"/>
      <c r="F569" s="112"/>
      <c r="G569" s="47"/>
      <c r="J569" s="61"/>
      <c r="K569" s="61"/>
      <c r="L569" s="30"/>
      <c r="N569" s="97"/>
      <c r="O569" s="112"/>
      <c r="P569" s="47"/>
      <c r="Q569" s="24"/>
    </row>
    <row r="570" spans="1:17">
      <c r="A570" s="61"/>
      <c r="B570" s="24"/>
      <c r="C570" s="60"/>
      <c r="E570" s="47"/>
      <c r="F570" s="112"/>
      <c r="G570" s="47"/>
      <c r="J570" s="61"/>
      <c r="K570" s="61"/>
      <c r="L570" s="30"/>
      <c r="N570" s="97"/>
      <c r="O570" s="112"/>
      <c r="P570" s="47"/>
      <c r="Q570" s="24"/>
    </row>
    <row r="571" spans="1:17">
      <c r="A571" s="61"/>
      <c r="B571" s="24"/>
      <c r="C571" s="60"/>
      <c r="E571" s="47"/>
      <c r="F571" s="112"/>
      <c r="G571" s="47"/>
      <c r="J571" s="61"/>
      <c r="K571" s="61"/>
      <c r="L571" s="30"/>
      <c r="N571" s="97"/>
      <c r="O571" s="112"/>
      <c r="P571" s="47"/>
      <c r="Q571" s="24"/>
    </row>
    <row r="572" spans="1:17">
      <c r="A572" s="61"/>
      <c r="B572" s="24"/>
      <c r="C572" s="60"/>
      <c r="E572" s="47"/>
      <c r="F572" s="112"/>
      <c r="G572" s="47"/>
      <c r="J572" s="61"/>
      <c r="K572" s="61"/>
      <c r="L572" s="30"/>
      <c r="N572" s="97"/>
      <c r="O572" s="112"/>
      <c r="P572" s="47"/>
      <c r="Q572" s="24"/>
    </row>
    <row r="573" spans="1:17">
      <c r="A573" s="61"/>
      <c r="B573" s="24"/>
      <c r="C573" s="60"/>
      <c r="E573" s="47"/>
      <c r="F573" s="112"/>
      <c r="G573" s="47"/>
      <c r="J573" s="61"/>
      <c r="K573" s="61"/>
      <c r="L573" s="30"/>
      <c r="N573" s="97"/>
      <c r="O573" s="112"/>
      <c r="P573" s="47"/>
      <c r="Q573" s="24"/>
    </row>
    <row r="574" spans="1:17">
      <c r="A574" s="61"/>
      <c r="B574" s="24"/>
      <c r="C574" s="60"/>
      <c r="E574" s="47"/>
      <c r="F574" s="112"/>
      <c r="G574" s="47"/>
      <c r="J574" s="61"/>
      <c r="K574" s="61"/>
      <c r="L574" s="30"/>
      <c r="N574" s="97"/>
      <c r="O574" s="112"/>
      <c r="P574" s="47"/>
      <c r="Q574" s="24"/>
    </row>
    <row r="575" spans="1:17">
      <c r="A575" s="61"/>
      <c r="B575" s="24"/>
      <c r="C575" s="60"/>
      <c r="E575" s="47"/>
      <c r="F575" s="112"/>
      <c r="G575" s="47"/>
      <c r="J575" s="61"/>
      <c r="K575" s="61"/>
      <c r="L575" s="30"/>
      <c r="N575" s="97"/>
      <c r="O575" s="112"/>
      <c r="P575" s="47"/>
      <c r="Q575" s="24"/>
    </row>
    <row r="576" spans="1:17">
      <c r="A576" s="61"/>
      <c r="B576" s="24"/>
      <c r="C576" s="60"/>
      <c r="E576" s="47"/>
      <c r="F576" s="112"/>
      <c r="G576" s="47"/>
      <c r="J576" s="61"/>
      <c r="K576" s="61"/>
      <c r="L576" s="30"/>
      <c r="N576" s="97"/>
      <c r="O576" s="112"/>
      <c r="P576" s="47"/>
      <c r="Q576" s="24"/>
    </row>
    <row r="577" spans="1:17">
      <c r="A577" s="61"/>
      <c r="B577" s="24"/>
      <c r="C577" s="60"/>
      <c r="E577" s="47"/>
      <c r="F577" s="112"/>
      <c r="G577" s="47"/>
      <c r="J577" s="61"/>
      <c r="K577" s="61"/>
      <c r="L577" s="30"/>
      <c r="N577" s="97"/>
      <c r="O577" s="112"/>
      <c r="P577" s="47"/>
      <c r="Q577" s="24"/>
    </row>
    <row r="578" spans="1:17">
      <c r="A578" s="61"/>
      <c r="B578" s="24"/>
      <c r="C578" s="60"/>
      <c r="E578" s="47"/>
      <c r="F578" s="112"/>
      <c r="G578" s="47"/>
      <c r="J578" s="61"/>
      <c r="K578" s="61"/>
      <c r="L578" s="30"/>
      <c r="N578" s="97"/>
      <c r="O578" s="112"/>
      <c r="P578" s="47"/>
      <c r="Q578" s="24"/>
    </row>
    <row r="579" spans="1:17">
      <c r="A579" s="61"/>
      <c r="B579" s="24"/>
      <c r="C579" s="60"/>
      <c r="E579" s="47"/>
      <c r="F579" s="112"/>
      <c r="G579" s="47"/>
      <c r="J579" s="61"/>
      <c r="K579" s="61"/>
      <c r="L579" s="30"/>
      <c r="N579" s="97"/>
      <c r="O579" s="112"/>
      <c r="P579" s="47"/>
      <c r="Q579" s="24"/>
    </row>
    <row r="580" spans="1:17">
      <c r="A580" s="61"/>
      <c r="B580" s="24"/>
      <c r="C580" s="60"/>
      <c r="E580" s="47"/>
      <c r="F580" s="112"/>
      <c r="G580" s="47"/>
      <c r="J580" s="61"/>
      <c r="K580" s="61"/>
      <c r="L580" s="30"/>
      <c r="N580" s="97"/>
      <c r="O580" s="112"/>
      <c r="P580" s="47"/>
      <c r="Q580" s="24"/>
    </row>
    <row r="581" spans="1:17">
      <c r="A581" s="61"/>
      <c r="B581" s="24"/>
      <c r="C581" s="60"/>
      <c r="E581" s="47"/>
      <c r="F581" s="112"/>
      <c r="G581" s="47"/>
      <c r="J581" s="61"/>
      <c r="K581" s="61"/>
      <c r="L581" s="30"/>
      <c r="N581" s="97"/>
      <c r="O581" s="112"/>
      <c r="P581" s="47"/>
      <c r="Q581" s="24"/>
    </row>
    <row r="582" spans="1:17">
      <c r="A582" s="61"/>
      <c r="B582" s="24"/>
      <c r="C582" s="60"/>
      <c r="E582" s="47"/>
      <c r="F582" s="112"/>
      <c r="G582" s="47"/>
      <c r="J582" s="61"/>
      <c r="K582" s="61"/>
      <c r="L582" s="30"/>
      <c r="N582" s="97"/>
      <c r="O582" s="112"/>
      <c r="P582" s="47"/>
      <c r="Q582" s="24"/>
    </row>
    <row r="583" spans="1:17">
      <c r="A583" s="61"/>
      <c r="B583" s="24"/>
      <c r="C583" s="60"/>
      <c r="E583" s="47"/>
      <c r="F583" s="112"/>
      <c r="G583" s="47"/>
      <c r="J583" s="61"/>
      <c r="K583" s="61"/>
      <c r="L583" s="30"/>
      <c r="N583" s="97"/>
      <c r="O583" s="112"/>
      <c r="P583" s="47"/>
      <c r="Q583" s="24"/>
    </row>
    <row r="584" spans="1:17">
      <c r="A584" s="61"/>
      <c r="B584" s="24"/>
      <c r="C584" s="60"/>
      <c r="E584" s="47"/>
      <c r="F584" s="112"/>
      <c r="G584" s="47"/>
      <c r="J584" s="61"/>
      <c r="K584" s="61"/>
      <c r="L584" s="30"/>
      <c r="N584" s="97"/>
      <c r="O584" s="112"/>
      <c r="P584" s="47"/>
      <c r="Q584" s="24"/>
    </row>
    <row r="585" spans="1:17">
      <c r="A585" s="61"/>
      <c r="B585" s="24"/>
      <c r="C585" s="60"/>
      <c r="E585" s="47"/>
      <c r="F585" s="112"/>
      <c r="G585" s="47"/>
      <c r="J585" s="61"/>
      <c r="K585" s="61"/>
      <c r="L585" s="30"/>
      <c r="N585" s="97"/>
      <c r="O585" s="112"/>
      <c r="P585" s="47"/>
      <c r="Q585" s="24"/>
    </row>
    <row r="586" spans="1:17">
      <c r="A586" s="61"/>
      <c r="B586" s="24"/>
      <c r="C586" s="60"/>
      <c r="E586" s="47"/>
      <c r="F586" s="112"/>
      <c r="G586" s="47"/>
      <c r="J586" s="61"/>
      <c r="K586" s="61"/>
      <c r="L586" s="30"/>
      <c r="N586" s="97"/>
      <c r="O586" s="112"/>
      <c r="P586" s="47"/>
      <c r="Q586" s="24"/>
    </row>
    <row r="587" spans="1:17">
      <c r="A587" s="61"/>
      <c r="B587" s="24"/>
      <c r="C587" s="60"/>
      <c r="E587" s="47"/>
      <c r="F587" s="112"/>
      <c r="G587" s="47"/>
      <c r="J587" s="61"/>
      <c r="K587" s="61"/>
      <c r="L587" s="30"/>
      <c r="N587" s="97"/>
      <c r="O587" s="112"/>
      <c r="P587" s="47"/>
      <c r="Q587" s="24"/>
    </row>
    <row r="588" spans="1:17">
      <c r="A588" s="61"/>
      <c r="B588" s="24"/>
      <c r="C588" s="60"/>
      <c r="E588" s="47"/>
      <c r="F588" s="112"/>
      <c r="G588" s="47"/>
      <c r="J588" s="61"/>
      <c r="K588" s="61"/>
      <c r="L588" s="30"/>
      <c r="N588" s="97"/>
      <c r="O588" s="112"/>
      <c r="P588" s="47"/>
      <c r="Q588" s="24"/>
    </row>
    <row r="589" spans="1:17">
      <c r="A589" s="61"/>
      <c r="B589" s="24"/>
      <c r="C589" s="60"/>
      <c r="E589" s="47"/>
      <c r="F589" s="112"/>
      <c r="G589" s="47"/>
      <c r="J589" s="61"/>
      <c r="K589" s="61"/>
      <c r="L589" s="30"/>
      <c r="N589" s="97"/>
      <c r="O589" s="112"/>
      <c r="P589" s="47"/>
      <c r="Q589" s="24"/>
    </row>
    <row r="590" spans="1:17">
      <c r="A590" s="61"/>
      <c r="B590" s="24"/>
      <c r="C590" s="60"/>
      <c r="E590" s="47"/>
      <c r="F590" s="112"/>
      <c r="G590" s="47"/>
      <c r="J590" s="61"/>
      <c r="K590" s="61"/>
      <c r="L590" s="30"/>
      <c r="N590" s="97"/>
      <c r="O590" s="112"/>
      <c r="P590" s="47"/>
      <c r="Q590" s="24"/>
    </row>
    <row r="591" spans="1:17">
      <c r="A591" s="61"/>
      <c r="B591" s="24"/>
      <c r="C591" s="60"/>
      <c r="E591" s="47"/>
      <c r="F591" s="112"/>
      <c r="G591" s="47"/>
      <c r="J591" s="61"/>
      <c r="K591" s="61"/>
      <c r="L591" s="30"/>
      <c r="N591" s="97"/>
      <c r="O591" s="112"/>
      <c r="P591" s="47"/>
      <c r="Q591" s="24"/>
    </row>
    <row r="592" spans="1:17">
      <c r="A592" s="61"/>
      <c r="B592" s="24"/>
      <c r="C592" s="60"/>
      <c r="E592" s="47"/>
      <c r="F592" s="112"/>
      <c r="G592" s="47"/>
      <c r="J592" s="61"/>
      <c r="K592" s="61"/>
      <c r="L592" s="30"/>
      <c r="N592" s="97"/>
      <c r="O592" s="112"/>
      <c r="P592" s="47"/>
      <c r="Q592" s="24"/>
    </row>
    <row r="593" spans="1:17">
      <c r="A593" s="61"/>
      <c r="B593" s="24"/>
      <c r="C593" s="60"/>
      <c r="E593" s="47"/>
      <c r="F593" s="112"/>
      <c r="G593" s="47"/>
      <c r="J593" s="61"/>
      <c r="K593" s="61"/>
      <c r="L593" s="30"/>
      <c r="N593" s="97"/>
      <c r="O593" s="112"/>
      <c r="P593" s="47"/>
      <c r="Q593" s="24"/>
    </row>
    <row r="594" spans="1:17">
      <c r="A594" s="61"/>
      <c r="B594" s="24"/>
      <c r="C594" s="60"/>
      <c r="E594" s="47"/>
      <c r="F594" s="112"/>
      <c r="G594" s="47"/>
      <c r="J594" s="61"/>
      <c r="K594" s="61"/>
      <c r="L594" s="30"/>
      <c r="N594" s="97"/>
      <c r="O594" s="112"/>
      <c r="P594" s="47"/>
      <c r="Q594" s="24"/>
    </row>
    <row r="595" spans="1:17">
      <c r="A595" s="61"/>
      <c r="B595" s="24"/>
      <c r="C595" s="60"/>
      <c r="E595" s="47"/>
      <c r="F595" s="112"/>
      <c r="G595" s="47"/>
      <c r="J595" s="61"/>
      <c r="K595" s="61"/>
      <c r="L595" s="30"/>
      <c r="N595" s="97"/>
      <c r="O595" s="112"/>
      <c r="P595" s="47"/>
      <c r="Q595" s="24"/>
    </row>
    <row r="596" spans="1:17">
      <c r="A596" s="61"/>
      <c r="B596" s="24"/>
      <c r="C596" s="60"/>
      <c r="E596" s="47"/>
      <c r="F596" s="112"/>
      <c r="G596" s="47"/>
      <c r="J596" s="61"/>
      <c r="K596" s="61"/>
      <c r="L596" s="30"/>
      <c r="N596" s="97"/>
      <c r="O596" s="112"/>
      <c r="P596" s="47"/>
      <c r="Q596" s="24"/>
    </row>
    <row r="597" spans="1:17">
      <c r="A597" s="61"/>
      <c r="B597" s="24"/>
      <c r="C597" s="60"/>
      <c r="E597" s="47"/>
      <c r="F597" s="112"/>
      <c r="G597" s="47"/>
      <c r="J597" s="61"/>
      <c r="K597" s="61"/>
      <c r="L597" s="30"/>
      <c r="N597" s="97"/>
      <c r="O597" s="112"/>
      <c r="P597" s="47"/>
      <c r="Q597" s="24"/>
    </row>
    <row r="598" spans="1:17">
      <c r="A598" s="61"/>
      <c r="B598" s="24"/>
      <c r="C598" s="60"/>
      <c r="E598" s="47"/>
      <c r="F598" s="112"/>
      <c r="G598" s="47"/>
      <c r="J598" s="61"/>
      <c r="K598" s="61"/>
      <c r="L598" s="30"/>
      <c r="N598" s="97"/>
      <c r="O598" s="112"/>
      <c r="P598" s="47"/>
      <c r="Q598" s="24"/>
    </row>
    <row r="599" spans="1:17">
      <c r="A599" s="61"/>
      <c r="B599" s="24"/>
      <c r="C599" s="60"/>
      <c r="E599" s="47"/>
      <c r="F599" s="112"/>
      <c r="G599" s="47"/>
      <c r="J599" s="61"/>
      <c r="K599" s="61"/>
      <c r="L599" s="30"/>
      <c r="N599" s="97"/>
      <c r="O599" s="112"/>
      <c r="P599" s="47"/>
      <c r="Q599" s="24"/>
    </row>
    <row r="600" spans="1:17">
      <c r="A600" s="61"/>
      <c r="B600" s="24"/>
      <c r="C600" s="60"/>
      <c r="E600" s="47"/>
      <c r="F600" s="112"/>
      <c r="G600" s="47"/>
      <c r="J600" s="61"/>
      <c r="K600" s="61"/>
      <c r="L600" s="30"/>
      <c r="N600" s="97"/>
      <c r="O600" s="112"/>
      <c r="P600" s="47"/>
      <c r="Q600" s="24"/>
    </row>
    <row r="601" spans="1:17">
      <c r="A601" s="61"/>
      <c r="B601" s="24"/>
      <c r="C601" s="60"/>
      <c r="E601" s="47"/>
      <c r="F601" s="112"/>
      <c r="G601" s="47"/>
      <c r="J601" s="61"/>
      <c r="K601" s="61"/>
      <c r="L601" s="30"/>
      <c r="N601" s="97"/>
      <c r="O601" s="112"/>
      <c r="P601" s="47"/>
      <c r="Q601" s="24"/>
    </row>
    <row r="602" spans="1:17">
      <c r="A602" s="61"/>
      <c r="B602" s="24"/>
      <c r="C602" s="60"/>
      <c r="E602" s="47"/>
      <c r="F602" s="112"/>
      <c r="G602" s="47"/>
      <c r="J602" s="61"/>
      <c r="K602" s="61"/>
      <c r="L602" s="30"/>
      <c r="N602" s="97"/>
      <c r="O602" s="112"/>
      <c r="P602" s="47"/>
      <c r="Q602" s="24"/>
    </row>
    <row r="603" spans="1:17">
      <c r="A603" s="61"/>
      <c r="B603" s="24"/>
      <c r="C603" s="60"/>
      <c r="E603" s="47"/>
      <c r="F603" s="112"/>
      <c r="G603" s="47"/>
      <c r="J603" s="61"/>
      <c r="K603" s="61"/>
      <c r="L603" s="30"/>
      <c r="N603" s="97"/>
      <c r="O603" s="112"/>
      <c r="P603" s="47"/>
      <c r="Q603" s="24"/>
    </row>
    <row r="604" spans="1:17">
      <c r="A604" s="61"/>
      <c r="B604" s="24"/>
      <c r="C604" s="60"/>
      <c r="E604" s="47"/>
      <c r="F604" s="112"/>
      <c r="G604" s="47"/>
      <c r="J604" s="61"/>
      <c r="K604" s="61"/>
      <c r="L604" s="30"/>
      <c r="N604" s="97"/>
      <c r="O604" s="112"/>
      <c r="P604" s="47"/>
      <c r="Q604" s="24"/>
    </row>
    <row r="605" spans="1:17">
      <c r="A605" s="61"/>
      <c r="B605" s="24"/>
      <c r="C605" s="60"/>
      <c r="E605" s="47"/>
      <c r="F605" s="112"/>
      <c r="G605" s="47"/>
      <c r="J605" s="61"/>
      <c r="K605" s="61"/>
      <c r="L605" s="30"/>
      <c r="N605" s="97"/>
      <c r="O605" s="112"/>
      <c r="P605" s="47"/>
      <c r="Q605" s="24"/>
    </row>
    <row r="606" spans="1:17">
      <c r="A606" s="61"/>
      <c r="B606" s="24"/>
      <c r="C606" s="60"/>
      <c r="E606" s="47"/>
      <c r="F606" s="112"/>
      <c r="G606" s="47"/>
      <c r="J606" s="61"/>
      <c r="K606" s="61"/>
      <c r="L606" s="30"/>
      <c r="N606" s="97"/>
      <c r="O606" s="112"/>
      <c r="P606" s="47"/>
      <c r="Q606" s="24"/>
    </row>
    <row r="607" spans="1:17">
      <c r="A607" s="61"/>
      <c r="B607" s="24"/>
      <c r="C607" s="60"/>
      <c r="E607" s="47"/>
      <c r="F607" s="112"/>
      <c r="G607" s="47"/>
      <c r="J607" s="61"/>
      <c r="K607" s="61"/>
      <c r="L607" s="30"/>
      <c r="N607" s="97"/>
      <c r="O607" s="112"/>
      <c r="P607" s="47"/>
      <c r="Q607" s="24"/>
    </row>
    <row r="608" spans="1:17">
      <c r="A608" s="61"/>
      <c r="B608" s="24"/>
      <c r="C608" s="60"/>
      <c r="E608" s="47"/>
      <c r="F608" s="112"/>
      <c r="G608" s="47"/>
      <c r="J608" s="61"/>
      <c r="K608" s="61"/>
      <c r="L608" s="30"/>
      <c r="N608" s="97"/>
      <c r="O608" s="112"/>
      <c r="P608" s="47"/>
      <c r="Q608" s="24"/>
    </row>
    <row r="609" spans="1:17">
      <c r="A609" s="61"/>
      <c r="B609" s="24"/>
      <c r="C609" s="60"/>
      <c r="E609" s="47"/>
      <c r="F609" s="112"/>
      <c r="G609" s="47"/>
      <c r="J609" s="61"/>
      <c r="K609" s="61"/>
      <c r="L609" s="30"/>
      <c r="N609" s="97"/>
      <c r="O609" s="112"/>
      <c r="P609" s="47"/>
      <c r="Q609" s="24"/>
    </row>
    <row r="610" spans="1:17">
      <c r="A610" s="61"/>
      <c r="B610" s="24"/>
      <c r="C610" s="60"/>
      <c r="E610" s="47"/>
      <c r="F610" s="112"/>
      <c r="G610" s="47"/>
      <c r="J610" s="61"/>
      <c r="K610" s="61"/>
      <c r="L610" s="30"/>
      <c r="N610" s="97"/>
      <c r="O610" s="112"/>
      <c r="P610" s="47"/>
      <c r="Q610" s="24"/>
    </row>
    <row r="611" spans="1:17">
      <c r="A611" s="61"/>
      <c r="B611" s="24"/>
      <c r="C611" s="60"/>
      <c r="E611" s="47"/>
      <c r="F611" s="112"/>
      <c r="G611" s="47"/>
      <c r="J611" s="61"/>
      <c r="K611" s="61"/>
      <c r="L611" s="30"/>
      <c r="N611" s="97"/>
      <c r="O611" s="112"/>
      <c r="P611" s="47"/>
      <c r="Q611" s="24"/>
    </row>
    <row r="612" spans="1:17">
      <c r="A612" s="61"/>
      <c r="B612" s="24"/>
      <c r="C612" s="60"/>
      <c r="E612" s="47"/>
      <c r="F612" s="112"/>
      <c r="G612" s="47"/>
      <c r="J612" s="61"/>
      <c r="K612" s="61"/>
      <c r="L612" s="30"/>
      <c r="N612" s="97"/>
      <c r="O612" s="112"/>
      <c r="P612" s="47"/>
      <c r="Q612" s="24"/>
    </row>
    <row r="613" spans="1:17">
      <c r="A613" s="61"/>
      <c r="B613" s="24"/>
      <c r="C613" s="60"/>
      <c r="E613" s="47"/>
      <c r="F613" s="112"/>
      <c r="G613" s="47"/>
      <c r="J613" s="61"/>
      <c r="K613" s="61"/>
      <c r="L613" s="30"/>
      <c r="N613" s="97"/>
      <c r="O613" s="112"/>
      <c r="P613" s="47"/>
      <c r="Q613" s="24"/>
    </row>
    <row r="614" spans="1:17">
      <c r="A614" s="61"/>
      <c r="B614" s="24"/>
      <c r="C614" s="60"/>
      <c r="E614" s="47"/>
      <c r="F614" s="112"/>
      <c r="G614" s="47"/>
      <c r="J614" s="61"/>
      <c r="K614" s="61"/>
      <c r="L614" s="30"/>
      <c r="N614" s="97"/>
      <c r="O614" s="112"/>
      <c r="P614" s="47"/>
      <c r="Q614" s="24"/>
    </row>
    <row r="615" spans="1:17">
      <c r="A615" s="61"/>
      <c r="B615" s="24"/>
      <c r="C615" s="60"/>
      <c r="E615" s="47"/>
      <c r="F615" s="112"/>
      <c r="G615" s="47"/>
      <c r="J615" s="61"/>
      <c r="K615" s="61"/>
      <c r="L615" s="30"/>
      <c r="N615" s="97"/>
      <c r="O615" s="112"/>
      <c r="P615" s="47"/>
      <c r="Q615" s="24"/>
    </row>
    <row r="616" spans="1:17">
      <c r="A616" s="61"/>
      <c r="B616" s="24"/>
      <c r="C616" s="60"/>
      <c r="E616" s="47"/>
      <c r="F616" s="112"/>
      <c r="G616" s="47"/>
      <c r="J616" s="61"/>
      <c r="K616" s="61"/>
      <c r="L616" s="30"/>
      <c r="N616" s="97"/>
      <c r="O616" s="112"/>
      <c r="P616" s="47"/>
      <c r="Q616" s="24"/>
    </row>
    <row r="617" spans="1:17">
      <c r="A617" s="61"/>
      <c r="B617" s="24"/>
      <c r="C617" s="60"/>
      <c r="E617" s="47"/>
      <c r="F617" s="112"/>
      <c r="G617" s="47"/>
      <c r="J617" s="61"/>
      <c r="K617" s="61"/>
      <c r="L617" s="30"/>
      <c r="N617" s="97"/>
      <c r="O617" s="112"/>
      <c r="P617" s="47"/>
      <c r="Q617" s="24"/>
    </row>
    <row r="618" spans="1:17">
      <c r="A618" s="61"/>
      <c r="B618" s="24"/>
      <c r="C618" s="60"/>
      <c r="E618" s="47"/>
      <c r="F618" s="112"/>
      <c r="G618" s="47"/>
      <c r="J618" s="61"/>
      <c r="K618" s="61"/>
      <c r="L618" s="30"/>
      <c r="N618" s="97"/>
      <c r="O618" s="112"/>
      <c r="P618" s="47"/>
      <c r="Q618" s="24"/>
    </row>
    <row r="619" spans="1:17">
      <c r="A619" s="61"/>
      <c r="B619" s="24"/>
      <c r="C619" s="60"/>
      <c r="E619" s="47"/>
      <c r="F619" s="112"/>
      <c r="G619" s="47"/>
      <c r="J619" s="61"/>
      <c r="K619" s="61"/>
      <c r="L619" s="30"/>
      <c r="N619" s="97"/>
      <c r="O619" s="112"/>
      <c r="P619" s="47"/>
      <c r="Q619" s="24"/>
    </row>
    <row r="620" spans="1:17">
      <c r="A620" s="61"/>
      <c r="B620" s="24"/>
      <c r="C620" s="60"/>
      <c r="E620" s="47"/>
      <c r="F620" s="112"/>
      <c r="G620" s="47"/>
      <c r="J620" s="61"/>
      <c r="K620" s="61"/>
      <c r="L620" s="30"/>
      <c r="N620" s="97"/>
      <c r="O620" s="112"/>
      <c r="P620" s="47"/>
      <c r="Q620" s="24"/>
    </row>
    <row r="621" spans="1:17">
      <c r="A621" s="61"/>
      <c r="B621" s="24"/>
      <c r="C621" s="60"/>
      <c r="E621" s="47"/>
      <c r="F621" s="112"/>
      <c r="G621" s="47"/>
      <c r="J621" s="61"/>
      <c r="K621" s="61"/>
      <c r="L621" s="30"/>
      <c r="N621" s="97"/>
      <c r="O621" s="112"/>
      <c r="P621" s="47"/>
      <c r="Q621" s="24"/>
    </row>
    <row r="622" spans="1:17">
      <c r="A622" s="61"/>
      <c r="B622" s="24"/>
      <c r="C622" s="60"/>
      <c r="E622" s="47"/>
      <c r="F622" s="112"/>
      <c r="G622" s="47"/>
      <c r="J622" s="61"/>
      <c r="K622" s="61"/>
      <c r="L622" s="30"/>
      <c r="N622" s="97"/>
      <c r="O622" s="112"/>
      <c r="P622" s="47"/>
      <c r="Q622" s="24"/>
    </row>
    <row r="623" spans="1:17">
      <c r="A623" s="61"/>
      <c r="B623" s="24"/>
      <c r="C623" s="60"/>
      <c r="E623" s="47"/>
      <c r="F623" s="112"/>
      <c r="G623" s="47"/>
      <c r="J623" s="61"/>
      <c r="K623" s="61"/>
      <c r="L623" s="30"/>
      <c r="N623" s="97"/>
      <c r="O623" s="112"/>
      <c r="P623" s="47"/>
      <c r="Q623" s="24"/>
    </row>
    <row r="624" spans="1:17">
      <c r="A624" s="61"/>
      <c r="B624" s="24"/>
      <c r="C624" s="60"/>
      <c r="E624" s="47"/>
      <c r="F624" s="112"/>
      <c r="G624" s="47"/>
      <c r="J624" s="61"/>
      <c r="K624" s="61"/>
      <c r="L624" s="30"/>
      <c r="N624" s="97"/>
      <c r="O624" s="112"/>
      <c r="P624" s="47"/>
      <c r="Q624" s="24"/>
    </row>
    <row r="625" spans="1:17">
      <c r="A625" s="61"/>
      <c r="B625" s="24"/>
      <c r="C625" s="60"/>
      <c r="E625" s="47"/>
      <c r="F625" s="112"/>
      <c r="G625" s="47"/>
      <c r="J625" s="61"/>
      <c r="K625" s="61"/>
      <c r="L625" s="30"/>
      <c r="N625" s="97"/>
      <c r="O625" s="112"/>
      <c r="P625" s="47"/>
      <c r="Q625" s="24"/>
    </row>
    <row r="626" spans="1:17">
      <c r="A626" s="61"/>
      <c r="B626" s="24"/>
      <c r="C626" s="60"/>
      <c r="E626" s="47"/>
      <c r="F626" s="112"/>
      <c r="G626" s="47"/>
      <c r="J626" s="61"/>
      <c r="K626" s="61"/>
      <c r="L626" s="30"/>
      <c r="N626" s="97"/>
      <c r="O626" s="112"/>
      <c r="P626" s="47"/>
      <c r="Q626" s="24"/>
    </row>
    <row r="627" spans="1:17">
      <c r="A627" s="61"/>
      <c r="B627" s="24"/>
      <c r="C627" s="60"/>
      <c r="E627" s="47"/>
      <c r="F627" s="112"/>
      <c r="G627" s="47"/>
      <c r="J627" s="61"/>
      <c r="K627" s="61"/>
      <c r="L627" s="30"/>
      <c r="N627" s="97"/>
      <c r="O627" s="112"/>
      <c r="P627" s="47"/>
      <c r="Q627" s="24"/>
    </row>
    <row r="628" spans="1:17">
      <c r="A628" s="61"/>
      <c r="B628" s="24"/>
      <c r="C628" s="60"/>
      <c r="E628" s="47"/>
      <c r="F628" s="112"/>
      <c r="G628" s="47"/>
      <c r="J628" s="61"/>
      <c r="K628" s="61"/>
      <c r="L628" s="30"/>
      <c r="N628" s="97"/>
      <c r="O628" s="112"/>
      <c r="P628" s="47"/>
      <c r="Q628" s="24"/>
    </row>
    <row r="629" spans="1:17">
      <c r="A629" s="61"/>
      <c r="B629" s="24"/>
      <c r="C629" s="60"/>
      <c r="E629" s="47"/>
      <c r="F629" s="112"/>
      <c r="G629" s="47"/>
      <c r="J629" s="61"/>
      <c r="K629" s="61"/>
      <c r="L629" s="30"/>
      <c r="N629" s="97"/>
      <c r="O629" s="112"/>
      <c r="P629" s="47"/>
      <c r="Q629" s="24"/>
    </row>
    <row r="630" spans="1:17">
      <c r="A630" s="61"/>
      <c r="B630" s="24"/>
      <c r="C630" s="60"/>
      <c r="E630" s="47"/>
      <c r="F630" s="112"/>
      <c r="G630" s="47"/>
      <c r="J630" s="61"/>
      <c r="K630" s="61"/>
      <c r="L630" s="30"/>
      <c r="N630" s="97"/>
      <c r="O630" s="112"/>
      <c r="P630" s="47"/>
      <c r="Q630" s="24"/>
    </row>
    <row r="631" spans="1:17">
      <c r="A631" s="61"/>
      <c r="B631" s="24"/>
      <c r="C631" s="60"/>
      <c r="E631" s="47"/>
      <c r="F631" s="112"/>
      <c r="G631" s="47"/>
      <c r="J631" s="61"/>
      <c r="K631" s="61"/>
      <c r="L631" s="30"/>
      <c r="N631" s="97"/>
      <c r="O631" s="112"/>
      <c r="P631" s="47"/>
      <c r="Q631" s="24"/>
    </row>
    <row r="632" spans="1:17">
      <c r="A632" s="61"/>
      <c r="B632" s="24"/>
      <c r="C632" s="60"/>
      <c r="E632" s="47"/>
      <c r="F632" s="112"/>
      <c r="G632" s="47"/>
      <c r="J632" s="61"/>
      <c r="K632" s="61"/>
      <c r="L632" s="30"/>
      <c r="N632" s="97"/>
      <c r="O632" s="112"/>
      <c r="P632" s="47"/>
      <c r="Q632" s="24"/>
    </row>
    <row r="633" spans="1:17">
      <c r="A633" s="61"/>
      <c r="B633" s="24"/>
      <c r="C633" s="60"/>
      <c r="E633" s="47"/>
      <c r="F633" s="112"/>
      <c r="G633" s="47"/>
      <c r="J633" s="61"/>
      <c r="K633" s="61"/>
      <c r="L633" s="30"/>
      <c r="N633" s="97"/>
      <c r="O633" s="112"/>
      <c r="P633" s="47"/>
      <c r="Q633" s="24"/>
    </row>
    <row r="634" spans="1:17">
      <c r="A634" s="61"/>
      <c r="B634" s="24"/>
      <c r="C634" s="60"/>
      <c r="E634" s="47"/>
      <c r="F634" s="112"/>
      <c r="G634" s="47"/>
      <c r="J634" s="61"/>
      <c r="K634" s="61"/>
      <c r="L634" s="30"/>
      <c r="N634" s="97"/>
      <c r="O634" s="112"/>
      <c r="P634" s="47"/>
      <c r="Q634" s="24"/>
    </row>
    <row r="635" spans="1:17">
      <c r="A635" s="61"/>
      <c r="B635" s="24"/>
      <c r="C635" s="60"/>
      <c r="E635" s="47"/>
      <c r="F635" s="112"/>
      <c r="G635" s="47"/>
      <c r="J635" s="61"/>
      <c r="K635" s="61"/>
      <c r="L635" s="30"/>
      <c r="N635" s="97"/>
      <c r="O635" s="112"/>
      <c r="P635" s="47"/>
      <c r="Q635" s="24"/>
    </row>
    <row r="636" spans="1:17">
      <c r="A636" s="61"/>
      <c r="B636" s="24"/>
      <c r="C636" s="60"/>
      <c r="E636" s="47"/>
      <c r="F636" s="112"/>
      <c r="G636" s="47"/>
      <c r="J636" s="61"/>
      <c r="K636" s="61"/>
      <c r="L636" s="30"/>
      <c r="N636" s="97"/>
      <c r="O636" s="112"/>
      <c r="P636" s="47"/>
      <c r="Q636" s="24"/>
    </row>
    <row r="637" spans="1:17">
      <c r="A637" s="61"/>
      <c r="B637" s="24"/>
      <c r="C637" s="60"/>
      <c r="E637" s="47"/>
      <c r="F637" s="112"/>
      <c r="G637" s="47"/>
      <c r="J637" s="61"/>
      <c r="K637" s="61"/>
      <c r="L637" s="30"/>
      <c r="N637" s="97"/>
      <c r="O637" s="112"/>
      <c r="P637" s="47"/>
      <c r="Q637" s="24"/>
    </row>
    <row r="638" spans="1:17">
      <c r="A638" s="61"/>
      <c r="B638" s="24"/>
      <c r="C638" s="60"/>
      <c r="E638" s="47"/>
      <c r="F638" s="112"/>
      <c r="G638" s="47"/>
      <c r="J638" s="61"/>
      <c r="K638" s="61"/>
      <c r="L638" s="30"/>
      <c r="N638" s="97"/>
      <c r="O638" s="112"/>
      <c r="P638" s="47"/>
      <c r="Q638" s="24"/>
    </row>
    <row r="639" spans="1:17">
      <c r="A639" s="61"/>
      <c r="B639" s="24"/>
      <c r="C639" s="60"/>
      <c r="E639" s="47"/>
      <c r="F639" s="112"/>
      <c r="G639" s="47"/>
      <c r="J639" s="61"/>
      <c r="K639" s="61"/>
      <c r="L639" s="30"/>
      <c r="N639" s="97"/>
      <c r="O639" s="112"/>
      <c r="P639" s="47"/>
      <c r="Q639" s="24"/>
    </row>
    <row r="640" spans="1:17">
      <c r="A640" s="61"/>
      <c r="B640" s="24"/>
      <c r="C640" s="60"/>
      <c r="E640" s="47"/>
      <c r="F640" s="112"/>
      <c r="G640" s="47"/>
      <c r="J640" s="61"/>
      <c r="K640" s="61"/>
      <c r="L640" s="30"/>
      <c r="N640" s="97"/>
      <c r="O640" s="112"/>
      <c r="P640" s="47"/>
      <c r="Q640" s="24"/>
    </row>
    <row r="641" spans="1:17">
      <c r="A641" s="61"/>
      <c r="B641" s="24"/>
      <c r="C641" s="60"/>
      <c r="E641" s="47"/>
      <c r="F641" s="112"/>
      <c r="G641" s="47"/>
      <c r="J641" s="61"/>
      <c r="K641" s="61"/>
      <c r="L641" s="30"/>
      <c r="N641" s="97"/>
      <c r="O641" s="112"/>
      <c r="P641" s="47"/>
      <c r="Q641" s="24"/>
    </row>
    <row r="642" spans="1:17">
      <c r="A642" s="61"/>
      <c r="B642" s="24"/>
      <c r="C642" s="60"/>
      <c r="E642" s="47"/>
      <c r="F642" s="112"/>
      <c r="G642" s="47"/>
      <c r="J642" s="61"/>
      <c r="K642" s="61"/>
      <c r="L642" s="30"/>
      <c r="N642" s="97"/>
      <c r="O642" s="112"/>
      <c r="P642" s="47"/>
      <c r="Q642" s="24"/>
    </row>
    <row r="643" spans="1:17">
      <c r="A643" s="61"/>
      <c r="B643" s="24"/>
      <c r="C643" s="60"/>
      <c r="E643" s="47"/>
      <c r="F643" s="112"/>
      <c r="G643" s="47"/>
      <c r="J643" s="61"/>
      <c r="K643" s="61"/>
      <c r="L643" s="30"/>
      <c r="N643" s="97"/>
      <c r="O643" s="112"/>
      <c r="P643" s="47"/>
      <c r="Q643" s="24"/>
    </row>
    <row r="644" spans="1:17">
      <c r="A644" s="61"/>
      <c r="B644" s="24"/>
      <c r="C644" s="60"/>
      <c r="E644" s="47"/>
      <c r="F644" s="112"/>
      <c r="G644" s="47"/>
      <c r="J644" s="61"/>
      <c r="K644" s="61"/>
      <c r="L644" s="30"/>
      <c r="N644" s="97"/>
      <c r="O644" s="112"/>
      <c r="P644" s="47"/>
      <c r="Q644" s="24"/>
    </row>
    <row r="645" spans="1:17">
      <c r="A645" s="61"/>
      <c r="B645" s="24"/>
      <c r="C645" s="60"/>
      <c r="E645" s="47"/>
      <c r="F645" s="112"/>
      <c r="G645" s="47"/>
      <c r="J645" s="61"/>
      <c r="K645" s="61"/>
      <c r="L645" s="30"/>
      <c r="N645" s="97"/>
      <c r="O645" s="112"/>
      <c r="P645" s="47"/>
      <c r="Q645" s="24"/>
    </row>
    <row r="646" spans="1:17">
      <c r="A646" s="61"/>
      <c r="B646" s="24"/>
      <c r="C646" s="60"/>
      <c r="E646" s="47"/>
      <c r="F646" s="112"/>
      <c r="G646" s="47"/>
      <c r="J646" s="61"/>
      <c r="K646" s="61"/>
      <c r="L646" s="30"/>
      <c r="N646" s="97"/>
      <c r="O646" s="112"/>
      <c r="P646" s="47"/>
      <c r="Q646" s="24"/>
    </row>
    <row r="647" spans="1:17">
      <c r="A647" s="61"/>
      <c r="B647" s="24"/>
      <c r="C647" s="60"/>
      <c r="E647" s="47"/>
      <c r="F647" s="112"/>
      <c r="G647" s="47"/>
      <c r="J647" s="61"/>
      <c r="K647" s="61"/>
      <c r="L647" s="30"/>
      <c r="N647" s="97"/>
      <c r="O647" s="112"/>
      <c r="P647" s="47"/>
      <c r="Q647" s="24"/>
    </row>
    <row r="648" spans="1:17">
      <c r="A648" s="61"/>
      <c r="B648" s="24"/>
      <c r="C648" s="60"/>
      <c r="E648" s="47"/>
      <c r="F648" s="112"/>
      <c r="G648" s="47"/>
      <c r="J648" s="61"/>
      <c r="K648" s="61"/>
      <c r="L648" s="30"/>
      <c r="N648" s="97"/>
      <c r="O648" s="112"/>
      <c r="P648" s="47"/>
      <c r="Q648" s="24"/>
    </row>
    <row r="649" spans="1:17">
      <c r="A649" s="61"/>
      <c r="B649" s="24"/>
      <c r="C649" s="60"/>
      <c r="E649" s="47"/>
      <c r="F649" s="112"/>
      <c r="G649" s="47"/>
      <c r="J649" s="61"/>
      <c r="K649" s="61"/>
      <c r="L649" s="30"/>
      <c r="N649" s="97"/>
      <c r="O649" s="112"/>
      <c r="P649" s="47"/>
      <c r="Q649" s="24"/>
    </row>
    <row r="650" spans="1:17">
      <c r="A650" s="61"/>
      <c r="B650" s="24"/>
      <c r="C650" s="60"/>
      <c r="E650" s="47"/>
      <c r="F650" s="112"/>
      <c r="G650" s="47"/>
      <c r="J650" s="61"/>
      <c r="K650" s="61"/>
      <c r="L650" s="30"/>
      <c r="N650" s="97"/>
      <c r="O650" s="112"/>
      <c r="P650" s="47"/>
      <c r="Q650" s="24"/>
    </row>
    <row r="651" spans="1:17">
      <c r="A651" s="61"/>
      <c r="B651" s="24"/>
      <c r="C651" s="60"/>
      <c r="E651" s="47"/>
      <c r="F651" s="112"/>
      <c r="G651" s="47"/>
      <c r="J651" s="61"/>
      <c r="K651" s="61"/>
      <c r="L651" s="30"/>
      <c r="N651" s="97"/>
      <c r="O651" s="112"/>
      <c r="P651" s="47"/>
      <c r="Q651" s="24"/>
    </row>
    <row r="652" spans="1:17">
      <c r="A652" s="61"/>
      <c r="B652" s="24"/>
      <c r="C652" s="60"/>
      <c r="E652" s="47"/>
      <c r="F652" s="112"/>
      <c r="G652" s="47"/>
      <c r="J652" s="61"/>
      <c r="K652" s="61"/>
      <c r="L652" s="30"/>
      <c r="N652" s="97"/>
      <c r="O652" s="112"/>
      <c r="P652" s="47"/>
      <c r="Q652" s="24"/>
    </row>
    <row r="653" spans="1:17">
      <c r="A653" s="61"/>
      <c r="B653" s="24"/>
      <c r="C653" s="60"/>
      <c r="E653" s="47"/>
      <c r="F653" s="112"/>
      <c r="G653" s="47"/>
      <c r="J653" s="61"/>
      <c r="K653" s="61"/>
      <c r="L653" s="30"/>
      <c r="N653" s="97"/>
      <c r="O653" s="112"/>
      <c r="P653" s="47"/>
      <c r="Q653" s="24"/>
    </row>
    <row r="654" spans="1:17">
      <c r="A654" s="61"/>
      <c r="B654" s="24"/>
      <c r="C654" s="60"/>
      <c r="E654" s="47"/>
      <c r="F654" s="112"/>
      <c r="G654" s="47"/>
      <c r="J654" s="61"/>
      <c r="K654" s="61"/>
      <c r="L654" s="30"/>
      <c r="N654" s="97"/>
      <c r="O654" s="112"/>
      <c r="P654" s="47"/>
      <c r="Q654" s="24"/>
    </row>
    <row r="655" spans="1:17">
      <c r="A655" s="61"/>
      <c r="B655" s="24"/>
      <c r="C655" s="60"/>
      <c r="E655" s="47"/>
      <c r="F655" s="112"/>
      <c r="G655" s="47"/>
      <c r="J655" s="61"/>
      <c r="K655" s="61"/>
      <c r="L655" s="30"/>
      <c r="N655" s="97"/>
      <c r="O655" s="112"/>
      <c r="P655" s="47"/>
      <c r="Q655" s="24"/>
    </row>
    <row r="656" spans="1:17">
      <c r="A656" s="61"/>
      <c r="B656" s="24"/>
      <c r="C656" s="60"/>
      <c r="E656" s="47"/>
      <c r="F656" s="112"/>
      <c r="G656" s="47"/>
      <c r="J656" s="61"/>
      <c r="K656" s="61"/>
      <c r="L656" s="30"/>
      <c r="N656" s="97"/>
      <c r="O656" s="112"/>
      <c r="P656" s="47"/>
      <c r="Q656" s="24"/>
    </row>
    <row r="657" spans="1:17">
      <c r="A657" s="61"/>
      <c r="B657" s="24"/>
      <c r="C657" s="60"/>
      <c r="E657" s="47"/>
      <c r="F657" s="112"/>
      <c r="G657" s="47"/>
      <c r="J657" s="61"/>
      <c r="K657" s="61"/>
      <c r="L657" s="30"/>
      <c r="N657" s="97"/>
      <c r="O657" s="112"/>
      <c r="P657" s="47"/>
      <c r="Q657" s="24"/>
    </row>
    <row r="658" spans="1:17">
      <c r="A658" s="61"/>
      <c r="B658" s="24"/>
      <c r="C658" s="60"/>
      <c r="E658" s="47"/>
      <c r="F658" s="112"/>
      <c r="G658" s="47"/>
      <c r="J658" s="61"/>
      <c r="K658" s="61"/>
      <c r="L658" s="30"/>
      <c r="N658" s="97"/>
      <c r="O658" s="112"/>
      <c r="P658" s="47"/>
      <c r="Q658" s="24"/>
    </row>
    <row r="659" spans="1:17">
      <c r="A659" s="61"/>
      <c r="B659" s="24"/>
      <c r="C659" s="60"/>
      <c r="E659" s="47"/>
      <c r="F659" s="112"/>
      <c r="G659" s="47"/>
      <c r="J659" s="61"/>
      <c r="K659" s="61"/>
      <c r="L659" s="30"/>
      <c r="N659" s="97"/>
      <c r="O659" s="112"/>
      <c r="P659" s="47"/>
      <c r="Q659" s="24"/>
    </row>
    <row r="660" spans="1:17">
      <c r="A660" s="61"/>
      <c r="B660" s="24"/>
      <c r="C660" s="60"/>
      <c r="E660" s="47"/>
      <c r="F660" s="112"/>
      <c r="G660" s="47"/>
      <c r="J660" s="61"/>
      <c r="K660" s="61"/>
      <c r="L660" s="30"/>
      <c r="N660" s="97"/>
      <c r="O660" s="112"/>
      <c r="P660" s="47"/>
      <c r="Q660" s="24"/>
    </row>
    <row r="661" spans="1:17">
      <c r="A661" s="61"/>
      <c r="B661" s="24"/>
      <c r="C661" s="60"/>
      <c r="E661" s="47"/>
      <c r="F661" s="112"/>
      <c r="G661" s="47"/>
      <c r="J661" s="61"/>
      <c r="K661" s="61"/>
      <c r="L661" s="30"/>
      <c r="N661" s="97"/>
      <c r="O661" s="112"/>
      <c r="P661" s="47"/>
      <c r="Q661" s="24"/>
    </row>
    <row r="662" spans="1:17">
      <c r="A662" s="61"/>
      <c r="B662" s="24"/>
      <c r="C662" s="60"/>
      <c r="E662" s="47"/>
      <c r="F662" s="112"/>
      <c r="G662" s="47"/>
      <c r="J662" s="61"/>
      <c r="K662" s="61"/>
      <c r="L662" s="30"/>
      <c r="N662" s="97"/>
      <c r="O662" s="112"/>
      <c r="P662" s="47"/>
      <c r="Q662" s="24"/>
    </row>
    <row r="663" spans="1:17">
      <c r="A663" s="61"/>
      <c r="B663" s="24"/>
      <c r="C663" s="60"/>
      <c r="E663" s="47"/>
      <c r="F663" s="112"/>
      <c r="G663" s="47"/>
      <c r="J663" s="61"/>
      <c r="K663" s="61"/>
      <c r="L663" s="30"/>
      <c r="N663" s="97"/>
      <c r="O663" s="112"/>
      <c r="P663" s="47"/>
      <c r="Q663" s="24"/>
    </row>
    <row r="664" spans="1:17">
      <c r="A664" s="61"/>
      <c r="B664" s="24"/>
      <c r="C664" s="60"/>
      <c r="E664" s="47"/>
      <c r="F664" s="112"/>
      <c r="G664" s="47"/>
      <c r="J664" s="61"/>
      <c r="K664" s="61"/>
      <c r="L664" s="30"/>
      <c r="N664" s="97"/>
      <c r="O664" s="112"/>
      <c r="P664" s="47"/>
      <c r="Q664" s="24"/>
    </row>
    <row r="665" spans="1:17">
      <c r="A665" s="61"/>
      <c r="B665" s="24"/>
      <c r="C665" s="60"/>
      <c r="E665" s="47"/>
      <c r="F665" s="112"/>
      <c r="G665" s="47"/>
      <c r="J665" s="61"/>
      <c r="K665" s="61"/>
      <c r="L665" s="30"/>
      <c r="N665" s="97"/>
      <c r="O665" s="112"/>
      <c r="P665" s="47"/>
      <c r="Q665" s="24"/>
    </row>
    <row r="666" spans="1:17">
      <c r="A666" s="61"/>
      <c r="B666" s="24"/>
      <c r="C666" s="60"/>
      <c r="E666" s="47"/>
      <c r="F666" s="112"/>
      <c r="G666" s="47"/>
      <c r="J666" s="61"/>
      <c r="K666" s="61"/>
      <c r="L666" s="30"/>
      <c r="N666" s="97"/>
      <c r="O666" s="112"/>
      <c r="P666" s="47"/>
      <c r="Q666" s="24"/>
    </row>
    <row r="667" spans="1:17">
      <c r="A667" s="61"/>
      <c r="B667" s="24"/>
      <c r="C667" s="60"/>
      <c r="E667" s="47"/>
      <c r="F667" s="112"/>
      <c r="G667" s="47"/>
      <c r="J667" s="61"/>
      <c r="K667" s="61"/>
      <c r="L667" s="30"/>
      <c r="N667" s="97"/>
      <c r="O667" s="112"/>
      <c r="P667" s="47"/>
      <c r="Q667" s="24"/>
    </row>
    <row r="668" spans="1:17">
      <c r="A668" s="61"/>
      <c r="B668" s="24"/>
      <c r="C668" s="60"/>
      <c r="E668" s="47"/>
      <c r="F668" s="112"/>
      <c r="G668" s="47"/>
      <c r="J668" s="61"/>
      <c r="K668" s="61"/>
      <c r="L668" s="30"/>
      <c r="N668" s="97"/>
      <c r="O668" s="112"/>
      <c r="P668" s="47"/>
      <c r="Q668" s="24"/>
    </row>
    <row r="669" spans="1:17">
      <c r="A669" s="61"/>
      <c r="B669" s="24"/>
      <c r="C669" s="60"/>
      <c r="E669" s="47"/>
      <c r="F669" s="112"/>
      <c r="G669" s="47"/>
      <c r="J669" s="61"/>
      <c r="K669" s="61"/>
      <c r="L669" s="30"/>
      <c r="N669" s="97"/>
      <c r="O669" s="112"/>
      <c r="P669" s="47"/>
      <c r="Q669" s="24"/>
    </row>
    <row r="670" spans="1:17">
      <c r="A670" s="61"/>
      <c r="B670" s="24"/>
      <c r="C670" s="60"/>
      <c r="E670" s="47"/>
      <c r="F670" s="112"/>
      <c r="G670" s="47"/>
      <c r="J670" s="61"/>
      <c r="K670" s="61"/>
      <c r="L670" s="30"/>
      <c r="N670" s="97"/>
      <c r="O670" s="112"/>
      <c r="P670" s="47"/>
      <c r="Q670" s="24"/>
    </row>
    <row r="671" spans="1:17">
      <c r="A671" s="61"/>
      <c r="B671" s="24"/>
      <c r="C671" s="60"/>
      <c r="E671" s="47"/>
      <c r="F671" s="112"/>
      <c r="G671" s="47"/>
      <c r="J671" s="61"/>
      <c r="K671" s="61"/>
      <c r="L671" s="30"/>
      <c r="N671" s="97"/>
      <c r="O671" s="112"/>
      <c r="P671" s="47"/>
      <c r="Q671" s="24"/>
    </row>
    <row r="672" spans="1:17">
      <c r="A672" s="61"/>
      <c r="B672" s="24"/>
      <c r="C672" s="60"/>
      <c r="E672" s="47"/>
      <c r="F672" s="112"/>
      <c r="G672" s="47"/>
      <c r="J672" s="61"/>
      <c r="K672" s="61"/>
      <c r="L672" s="30"/>
      <c r="N672" s="97"/>
      <c r="O672" s="112"/>
      <c r="P672" s="47"/>
      <c r="Q672" s="24"/>
    </row>
    <row r="673" spans="1:17">
      <c r="A673" s="61"/>
      <c r="B673" s="24"/>
      <c r="C673" s="60"/>
      <c r="E673" s="47"/>
      <c r="F673" s="112"/>
      <c r="G673" s="47"/>
      <c r="J673" s="61"/>
      <c r="K673" s="61"/>
      <c r="L673" s="30"/>
      <c r="N673" s="97"/>
      <c r="O673" s="112"/>
      <c r="P673" s="47"/>
      <c r="Q673" s="24"/>
    </row>
    <row r="674" spans="1:17">
      <c r="A674" s="61"/>
      <c r="B674" s="24"/>
      <c r="C674" s="60"/>
      <c r="E674" s="47"/>
      <c r="F674" s="112"/>
      <c r="G674" s="47"/>
      <c r="J674" s="61"/>
      <c r="K674" s="61"/>
      <c r="L674" s="30"/>
      <c r="N674" s="97"/>
      <c r="O674" s="112"/>
      <c r="P674" s="47"/>
      <c r="Q674" s="24"/>
    </row>
    <row r="675" spans="1:17">
      <c r="A675" s="61"/>
      <c r="B675" s="24"/>
      <c r="C675" s="60"/>
      <c r="E675" s="47"/>
      <c r="F675" s="112"/>
      <c r="G675" s="47"/>
      <c r="J675" s="61"/>
      <c r="K675" s="61"/>
      <c r="L675" s="30"/>
      <c r="N675" s="97"/>
      <c r="O675" s="112"/>
      <c r="P675" s="47"/>
      <c r="Q675" s="24"/>
    </row>
    <row r="676" spans="1:17">
      <c r="A676" s="61"/>
      <c r="B676" s="24"/>
      <c r="C676" s="60"/>
      <c r="E676" s="47"/>
      <c r="F676" s="112"/>
      <c r="G676" s="47"/>
      <c r="J676" s="61"/>
      <c r="K676" s="61"/>
      <c r="L676" s="30"/>
      <c r="N676" s="97"/>
      <c r="O676" s="112"/>
      <c r="P676" s="47"/>
      <c r="Q676" s="24"/>
    </row>
    <row r="677" spans="1:17">
      <c r="A677" s="61"/>
      <c r="B677" s="24"/>
      <c r="C677" s="60"/>
      <c r="E677" s="47"/>
      <c r="F677" s="112"/>
      <c r="G677" s="47"/>
      <c r="J677" s="61"/>
      <c r="K677" s="61"/>
      <c r="L677" s="30"/>
      <c r="N677" s="97"/>
      <c r="O677" s="112"/>
      <c r="P677" s="47"/>
      <c r="Q677" s="24"/>
    </row>
    <row r="678" spans="1:17">
      <c r="A678" s="61"/>
      <c r="B678" s="24"/>
      <c r="C678" s="60"/>
      <c r="E678" s="47"/>
      <c r="F678" s="112"/>
      <c r="G678" s="47"/>
      <c r="J678" s="61"/>
      <c r="K678" s="61"/>
      <c r="L678" s="30"/>
      <c r="N678" s="97"/>
      <c r="O678" s="112"/>
      <c r="P678" s="47"/>
      <c r="Q678" s="24"/>
    </row>
    <row r="679" spans="1:17">
      <c r="A679" s="61"/>
      <c r="B679" s="24"/>
      <c r="C679" s="60"/>
      <c r="E679" s="47"/>
      <c r="F679" s="112"/>
      <c r="G679" s="47"/>
      <c r="J679" s="61"/>
      <c r="K679" s="61"/>
      <c r="L679" s="30"/>
      <c r="N679" s="97"/>
      <c r="O679" s="112"/>
      <c r="P679" s="47"/>
      <c r="Q679" s="24"/>
    </row>
    <row r="680" spans="1:17">
      <c r="A680" s="61"/>
      <c r="B680" s="24"/>
      <c r="C680" s="60"/>
      <c r="E680" s="47"/>
      <c r="F680" s="112"/>
      <c r="G680" s="47"/>
      <c r="J680" s="61"/>
      <c r="K680" s="61"/>
      <c r="L680" s="30"/>
      <c r="N680" s="97"/>
      <c r="O680" s="112"/>
      <c r="P680" s="47"/>
      <c r="Q680" s="24"/>
    </row>
    <row r="681" spans="1:17">
      <c r="A681" s="61"/>
      <c r="B681" s="24"/>
      <c r="C681" s="60"/>
      <c r="E681" s="47"/>
      <c r="F681" s="112"/>
      <c r="G681" s="47"/>
      <c r="J681" s="61"/>
      <c r="K681" s="61"/>
      <c r="L681" s="30"/>
      <c r="N681" s="97"/>
      <c r="O681" s="112"/>
      <c r="P681" s="47"/>
      <c r="Q681" s="24"/>
    </row>
    <row r="682" spans="1:17">
      <c r="A682" s="61"/>
      <c r="B682" s="24"/>
      <c r="C682" s="60"/>
      <c r="E682" s="47"/>
      <c r="F682" s="112"/>
      <c r="G682" s="47"/>
      <c r="J682" s="61"/>
      <c r="K682" s="61"/>
      <c r="L682" s="30"/>
      <c r="N682" s="97"/>
      <c r="O682" s="112"/>
      <c r="P682" s="47"/>
      <c r="Q682" s="24"/>
    </row>
    <row r="683" spans="1:17">
      <c r="A683" s="61"/>
      <c r="B683" s="24"/>
      <c r="C683" s="60"/>
      <c r="E683" s="47"/>
      <c r="F683" s="112"/>
      <c r="G683" s="47"/>
      <c r="J683" s="61"/>
      <c r="K683" s="61"/>
      <c r="L683" s="30"/>
      <c r="N683" s="97"/>
      <c r="O683" s="112"/>
      <c r="P683" s="47"/>
      <c r="Q683" s="24"/>
    </row>
    <row r="684" spans="1:17">
      <c r="A684" s="61"/>
      <c r="B684" s="24"/>
      <c r="C684" s="60"/>
      <c r="E684" s="47"/>
      <c r="F684" s="112"/>
      <c r="G684" s="47"/>
      <c r="J684" s="61"/>
      <c r="K684" s="61"/>
      <c r="L684" s="30"/>
      <c r="N684" s="97"/>
      <c r="O684" s="112"/>
      <c r="P684" s="47"/>
      <c r="Q684" s="24"/>
    </row>
    <row r="685" spans="1:17">
      <c r="A685" s="61"/>
      <c r="B685" s="24"/>
      <c r="C685" s="60"/>
      <c r="E685" s="47"/>
      <c r="F685" s="112"/>
      <c r="G685" s="47"/>
      <c r="J685" s="61"/>
      <c r="K685" s="61"/>
      <c r="L685" s="30"/>
      <c r="N685" s="97"/>
      <c r="O685" s="112"/>
      <c r="P685" s="47"/>
      <c r="Q685" s="24"/>
    </row>
    <row r="686" spans="1:17">
      <c r="A686" s="61"/>
      <c r="B686" s="24"/>
      <c r="C686" s="60"/>
      <c r="E686" s="47"/>
      <c r="F686" s="112"/>
      <c r="G686" s="47"/>
      <c r="J686" s="61"/>
      <c r="K686" s="61"/>
      <c r="L686" s="30"/>
      <c r="N686" s="97"/>
      <c r="O686" s="112"/>
      <c r="P686" s="47"/>
      <c r="Q686" s="24"/>
    </row>
    <row r="687" spans="1:17">
      <c r="A687" s="61"/>
      <c r="B687" s="24"/>
      <c r="C687" s="60"/>
      <c r="E687" s="47"/>
      <c r="F687" s="112"/>
      <c r="G687" s="47"/>
      <c r="J687" s="61"/>
      <c r="K687" s="61"/>
      <c r="L687" s="30"/>
      <c r="N687" s="97"/>
      <c r="O687" s="112"/>
      <c r="P687" s="47"/>
      <c r="Q687" s="24"/>
    </row>
    <row r="688" spans="1:17">
      <c r="A688" s="61"/>
      <c r="B688" s="24"/>
      <c r="C688" s="60"/>
      <c r="E688" s="47"/>
      <c r="F688" s="112"/>
      <c r="G688" s="47"/>
      <c r="J688" s="61"/>
      <c r="K688" s="61"/>
      <c r="L688" s="30"/>
      <c r="N688" s="97"/>
      <c r="O688" s="112"/>
      <c r="P688" s="47"/>
      <c r="Q688" s="24"/>
    </row>
    <row r="689" spans="1:17">
      <c r="A689" s="61"/>
      <c r="B689" s="24"/>
      <c r="C689" s="60"/>
      <c r="E689" s="47"/>
      <c r="F689" s="112"/>
      <c r="G689" s="47"/>
      <c r="J689" s="61"/>
      <c r="K689" s="61"/>
      <c r="L689" s="30"/>
      <c r="N689" s="97"/>
      <c r="O689" s="112"/>
      <c r="P689" s="47"/>
      <c r="Q689" s="24"/>
    </row>
    <row r="690" spans="1:17">
      <c r="A690" s="61"/>
      <c r="B690" s="24"/>
      <c r="C690" s="60"/>
      <c r="E690" s="47"/>
      <c r="F690" s="112"/>
      <c r="G690" s="47"/>
      <c r="J690" s="61"/>
      <c r="K690" s="61"/>
      <c r="L690" s="30"/>
      <c r="N690" s="97"/>
      <c r="O690" s="112"/>
      <c r="P690" s="47"/>
      <c r="Q690" s="24"/>
    </row>
    <row r="691" spans="1:17">
      <c r="A691" s="61"/>
      <c r="B691" s="24"/>
      <c r="C691" s="60"/>
      <c r="E691" s="47"/>
      <c r="F691" s="112"/>
      <c r="G691" s="47"/>
      <c r="J691" s="61"/>
      <c r="K691" s="61"/>
      <c r="L691" s="30"/>
      <c r="N691" s="97"/>
      <c r="O691" s="112"/>
      <c r="P691" s="47"/>
      <c r="Q691" s="24"/>
    </row>
    <row r="692" spans="1:17">
      <c r="A692" s="61"/>
      <c r="B692" s="24"/>
      <c r="C692" s="60"/>
      <c r="E692" s="47"/>
      <c r="F692" s="112"/>
      <c r="G692" s="47"/>
      <c r="J692" s="61"/>
      <c r="K692" s="61"/>
      <c r="L692" s="30"/>
      <c r="N692" s="97"/>
      <c r="O692" s="112"/>
      <c r="P692" s="47"/>
      <c r="Q692" s="24"/>
    </row>
    <row r="693" spans="1:17">
      <c r="A693" s="61"/>
      <c r="B693" s="24"/>
      <c r="C693" s="60"/>
      <c r="E693" s="47"/>
      <c r="F693" s="112"/>
      <c r="G693" s="47"/>
      <c r="J693" s="61"/>
      <c r="K693" s="61"/>
      <c r="L693" s="30"/>
      <c r="N693" s="97"/>
      <c r="O693" s="112"/>
      <c r="P693" s="47"/>
      <c r="Q693" s="24"/>
    </row>
    <row r="694" spans="1:17">
      <c r="A694" s="61"/>
      <c r="B694" s="24"/>
      <c r="C694" s="60"/>
      <c r="E694" s="47"/>
      <c r="F694" s="112"/>
      <c r="G694" s="47"/>
      <c r="J694" s="61"/>
      <c r="K694" s="61"/>
      <c r="L694" s="30"/>
      <c r="N694" s="97"/>
      <c r="O694" s="112"/>
      <c r="P694" s="47"/>
      <c r="Q694" s="24"/>
    </row>
    <row r="695" spans="1:17">
      <c r="A695" s="61"/>
      <c r="B695" s="24"/>
      <c r="C695" s="60"/>
      <c r="E695" s="47"/>
      <c r="F695" s="112"/>
      <c r="G695" s="47"/>
      <c r="J695" s="61"/>
      <c r="K695" s="61"/>
      <c r="L695" s="30"/>
      <c r="N695" s="97"/>
      <c r="O695" s="112"/>
      <c r="P695" s="47"/>
      <c r="Q695" s="24"/>
    </row>
    <row r="696" spans="1:17">
      <c r="A696" s="61"/>
      <c r="B696" s="24"/>
      <c r="C696" s="60"/>
      <c r="E696" s="47"/>
      <c r="F696" s="112"/>
      <c r="G696" s="47"/>
      <c r="J696" s="61"/>
      <c r="K696" s="61"/>
      <c r="L696" s="30"/>
      <c r="N696" s="97"/>
      <c r="O696" s="112"/>
      <c r="P696" s="47"/>
      <c r="Q696" s="24"/>
    </row>
    <row r="697" spans="1:17">
      <c r="A697" s="61"/>
      <c r="B697" s="24"/>
      <c r="C697" s="60"/>
      <c r="E697" s="47"/>
      <c r="F697" s="112"/>
      <c r="G697" s="47"/>
      <c r="J697" s="61"/>
      <c r="K697" s="61"/>
      <c r="L697" s="30"/>
      <c r="N697" s="97"/>
      <c r="O697" s="112"/>
      <c r="P697" s="47"/>
      <c r="Q697" s="24"/>
    </row>
    <row r="698" spans="1:17">
      <c r="A698" s="61"/>
      <c r="B698" s="24"/>
      <c r="C698" s="60"/>
      <c r="E698" s="47"/>
      <c r="F698" s="112"/>
      <c r="G698" s="47"/>
      <c r="J698" s="61"/>
      <c r="K698" s="61"/>
      <c r="L698" s="30"/>
      <c r="N698" s="97"/>
      <c r="O698" s="112"/>
      <c r="P698" s="47"/>
      <c r="Q698" s="24"/>
    </row>
    <row r="699" spans="1:17">
      <c r="A699" s="61"/>
      <c r="B699" s="24"/>
      <c r="C699" s="60"/>
      <c r="E699" s="47"/>
      <c r="F699" s="112"/>
      <c r="G699" s="47"/>
      <c r="J699" s="61"/>
      <c r="K699" s="61"/>
      <c r="L699" s="30"/>
      <c r="N699" s="97"/>
      <c r="O699" s="112"/>
      <c r="P699" s="47"/>
      <c r="Q699" s="24"/>
    </row>
    <row r="700" spans="1:17">
      <c r="A700" s="61"/>
      <c r="B700" s="24"/>
      <c r="C700" s="60"/>
      <c r="E700" s="47"/>
      <c r="F700" s="112"/>
      <c r="G700" s="47"/>
      <c r="J700" s="61"/>
      <c r="K700" s="61"/>
      <c r="L700" s="30"/>
      <c r="N700" s="97"/>
      <c r="O700" s="112"/>
      <c r="P700" s="47"/>
      <c r="Q700" s="24"/>
    </row>
    <row r="701" spans="1:17">
      <c r="A701" s="61"/>
      <c r="B701" s="24"/>
      <c r="C701" s="60"/>
      <c r="E701" s="47"/>
      <c r="F701" s="112"/>
      <c r="G701" s="47"/>
      <c r="J701" s="61"/>
      <c r="K701" s="61"/>
      <c r="L701" s="30"/>
      <c r="N701" s="97"/>
      <c r="O701" s="112"/>
      <c r="P701" s="47"/>
      <c r="Q701" s="24"/>
    </row>
    <row r="702" spans="1:17">
      <c r="A702" s="61"/>
      <c r="B702" s="24"/>
      <c r="C702" s="60"/>
      <c r="E702" s="47"/>
      <c r="F702" s="112"/>
      <c r="G702" s="47"/>
      <c r="J702" s="61"/>
      <c r="K702" s="61"/>
      <c r="L702" s="30"/>
      <c r="N702" s="97"/>
      <c r="O702" s="112"/>
      <c r="P702" s="47"/>
      <c r="Q702" s="24"/>
    </row>
    <row r="703" spans="1:17">
      <c r="A703" s="61"/>
      <c r="B703" s="24"/>
      <c r="C703" s="60"/>
      <c r="E703" s="47"/>
      <c r="F703" s="112"/>
      <c r="G703" s="47"/>
      <c r="J703" s="61"/>
      <c r="K703" s="61"/>
      <c r="L703" s="30"/>
      <c r="N703" s="97"/>
      <c r="O703" s="112"/>
      <c r="P703" s="47"/>
      <c r="Q703" s="24"/>
    </row>
    <row r="704" spans="1:17">
      <c r="A704" s="61"/>
      <c r="B704" s="24"/>
      <c r="C704" s="60"/>
      <c r="E704" s="47"/>
      <c r="F704" s="112"/>
      <c r="G704" s="47"/>
      <c r="J704" s="61"/>
      <c r="K704" s="61"/>
      <c r="L704" s="30"/>
      <c r="N704" s="97"/>
      <c r="O704" s="112"/>
      <c r="P704" s="47"/>
      <c r="Q704" s="24"/>
    </row>
    <row r="705" spans="1:17">
      <c r="A705" s="61"/>
      <c r="B705" s="24"/>
      <c r="C705" s="60"/>
      <c r="E705" s="47"/>
      <c r="F705" s="112"/>
      <c r="G705" s="47"/>
      <c r="J705" s="61"/>
      <c r="K705" s="61"/>
      <c r="L705" s="30"/>
      <c r="N705" s="97"/>
      <c r="O705" s="112"/>
      <c r="P705" s="47"/>
      <c r="Q705" s="24"/>
    </row>
    <row r="706" spans="1:17">
      <c r="A706" s="61"/>
      <c r="B706" s="24"/>
      <c r="C706" s="60"/>
      <c r="E706" s="47"/>
      <c r="F706" s="112"/>
      <c r="G706" s="47"/>
      <c r="J706" s="61"/>
      <c r="K706" s="61"/>
      <c r="L706" s="30"/>
      <c r="N706" s="97"/>
      <c r="O706" s="112"/>
      <c r="P706" s="47"/>
      <c r="Q706" s="24"/>
    </row>
    <row r="707" spans="1:17">
      <c r="A707" s="61"/>
      <c r="B707" s="24"/>
      <c r="C707" s="60"/>
      <c r="E707" s="47"/>
      <c r="F707" s="112"/>
      <c r="G707" s="47"/>
      <c r="J707" s="61"/>
      <c r="K707" s="61"/>
      <c r="L707" s="30"/>
      <c r="N707" s="97"/>
      <c r="O707" s="112"/>
      <c r="P707" s="47"/>
      <c r="Q707" s="24"/>
    </row>
    <row r="708" spans="1:17">
      <c r="A708" s="61"/>
      <c r="B708" s="24"/>
      <c r="C708" s="60"/>
      <c r="E708" s="47"/>
      <c r="F708" s="112"/>
      <c r="G708" s="47"/>
      <c r="J708" s="61"/>
      <c r="K708" s="61"/>
      <c r="L708" s="30"/>
      <c r="N708" s="97"/>
      <c r="O708" s="112"/>
      <c r="P708" s="47"/>
      <c r="Q708" s="24"/>
    </row>
    <row r="709" spans="1:17">
      <c r="A709" s="61"/>
      <c r="B709" s="24"/>
      <c r="C709" s="60"/>
      <c r="E709" s="47"/>
      <c r="F709" s="112"/>
      <c r="G709" s="47"/>
      <c r="J709" s="61"/>
      <c r="K709" s="61"/>
      <c r="L709" s="30"/>
      <c r="N709" s="97"/>
      <c r="O709" s="112"/>
      <c r="P709" s="47"/>
      <c r="Q709" s="24"/>
    </row>
    <row r="710" spans="1:17">
      <c r="A710" s="61"/>
      <c r="B710" s="24"/>
      <c r="C710" s="60"/>
      <c r="E710" s="47"/>
      <c r="F710" s="112"/>
      <c r="G710" s="47"/>
      <c r="J710" s="61"/>
      <c r="K710" s="61"/>
      <c r="L710" s="30"/>
      <c r="N710" s="97"/>
      <c r="O710" s="112"/>
      <c r="P710" s="47"/>
      <c r="Q710" s="24"/>
    </row>
    <row r="711" spans="1:17">
      <c r="A711" s="61"/>
      <c r="B711" s="24"/>
      <c r="C711" s="60"/>
      <c r="E711" s="47"/>
      <c r="F711" s="112"/>
      <c r="G711" s="47"/>
      <c r="J711" s="61"/>
      <c r="K711" s="61"/>
      <c r="L711" s="30"/>
      <c r="N711" s="97"/>
      <c r="O711" s="112"/>
      <c r="P711" s="47"/>
      <c r="Q711" s="24"/>
    </row>
    <row r="712" spans="1:17">
      <c r="A712" s="61"/>
      <c r="B712" s="24"/>
      <c r="C712" s="60"/>
      <c r="E712" s="47"/>
      <c r="F712" s="112"/>
      <c r="G712" s="47"/>
      <c r="J712" s="61"/>
      <c r="K712" s="61"/>
      <c r="L712" s="30"/>
      <c r="N712" s="97"/>
      <c r="O712" s="112"/>
      <c r="P712" s="47"/>
      <c r="Q712" s="24"/>
    </row>
    <row r="713" spans="1:17">
      <c r="A713" s="61"/>
      <c r="B713" s="24"/>
      <c r="C713" s="60"/>
      <c r="E713" s="47"/>
      <c r="F713" s="112"/>
      <c r="G713" s="47"/>
      <c r="J713" s="61"/>
      <c r="K713" s="61"/>
      <c r="L713" s="30"/>
      <c r="N713" s="97"/>
      <c r="O713" s="112"/>
      <c r="P713" s="47"/>
      <c r="Q713" s="24"/>
    </row>
    <row r="714" spans="1:17">
      <c r="A714" s="61"/>
      <c r="B714" s="24"/>
      <c r="C714" s="60"/>
      <c r="E714" s="47"/>
      <c r="F714" s="112"/>
      <c r="G714" s="47"/>
      <c r="J714" s="61"/>
      <c r="K714" s="61"/>
      <c r="L714" s="30"/>
      <c r="N714" s="97"/>
      <c r="O714" s="112"/>
      <c r="P714" s="47"/>
      <c r="Q714" s="24"/>
    </row>
    <row r="715" spans="1:17">
      <c r="A715" s="61"/>
      <c r="B715" s="24"/>
      <c r="C715" s="60"/>
      <c r="E715" s="47"/>
      <c r="F715" s="112"/>
      <c r="G715" s="47"/>
      <c r="J715" s="61"/>
      <c r="K715" s="61"/>
      <c r="L715" s="30"/>
      <c r="N715" s="97"/>
      <c r="O715" s="112"/>
      <c r="P715" s="47"/>
      <c r="Q715" s="24"/>
    </row>
    <row r="716" spans="1:17">
      <c r="A716" s="61"/>
      <c r="B716" s="24"/>
      <c r="C716" s="60"/>
      <c r="E716" s="47"/>
      <c r="F716" s="112"/>
      <c r="G716" s="47"/>
      <c r="J716" s="61"/>
      <c r="K716" s="61"/>
      <c r="L716" s="30"/>
      <c r="N716" s="97"/>
      <c r="O716" s="112"/>
      <c r="P716" s="47"/>
      <c r="Q716" s="24"/>
    </row>
    <row r="717" spans="1:17">
      <c r="A717" s="61"/>
      <c r="B717" s="24"/>
      <c r="C717" s="60"/>
      <c r="E717" s="47"/>
      <c r="F717" s="112"/>
      <c r="G717" s="47"/>
      <c r="J717" s="61"/>
      <c r="K717" s="61"/>
      <c r="L717" s="30"/>
      <c r="N717" s="97"/>
      <c r="O717" s="112"/>
      <c r="P717" s="47"/>
      <c r="Q717" s="24"/>
    </row>
    <row r="718" spans="1:17">
      <c r="A718" s="61"/>
      <c r="B718" s="24"/>
      <c r="C718" s="60"/>
      <c r="E718" s="47"/>
      <c r="F718" s="112"/>
      <c r="G718" s="47"/>
      <c r="J718" s="61"/>
      <c r="K718" s="61"/>
      <c r="L718" s="30"/>
      <c r="N718" s="97"/>
      <c r="O718" s="112"/>
      <c r="P718" s="47"/>
      <c r="Q718" s="24"/>
    </row>
    <row r="719" spans="1:17">
      <c r="A719" s="61"/>
      <c r="B719" s="24"/>
      <c r="C719" s="60"/>
      <c r="E719" s="47"/>
      <c r="F719" s="112"/>
      <c r="G719" s="47"/>
      <c r="J719" s="61"/>
      <c r="K719" s="61"/>
      <c r="L719" s="30"/>
      <c r="N719" s="97"/>
      <c r="O719" s="112"/>
      <c r="P719" s="47"/>
      <c r="Q719" s="24"/>
    </row>
    <row r="720" spans="1:17">
      <c r="A720" s="61"/>
      <c r="B720" s="24"/>
      <c r="C720" s="60"/>
      <c r="E720" s="47"/>
      <c r="F720" s="112"/>
      <c r="G720" s="47"/>
      <c r="J720" s="61"/>
      <c r="K720" s="61"/>
      <c r="L720" s="30"/>
      <c r="N720" s="97"/>
      <c r="O720" s="112"/>
      <c r="P720" s="47"/>
      <c r="Q720" s="24"/>
    </row>
    <row r="721" spans="1:17">
      <c r="A721" s="61"/>
      <c r="B721" s="24"/>
      <c r="C721" s="60"/>
      <c r="E721" s="47"/>
      <c r="F721" s="112"/>
      <c r="G721" s="47"/>
      <c r="J721" s="61"/>
      <c r="K721" s="61"/>
      <c r="L721" s="30"/>
      <c r="N721" s="97"/>
      <c r="O721" s="112"/>
      <c r="P721" s="47"/>
      <c r="Q721" s="24"/>
    </row>
    <row r="722" spans="1:17">
      <c r="A722" s="61"/>
      <c r="B722" s="24"/>
      <c r="C722" s="60"/>
      <c r="E722" s="47"/>
      <c r="F722" s="112"/>
      <c r="G722" s="47"/>
      <c r="J722" s="61"/>
      <c r="K722" s="61"/>
      <c r="L722" s="30"/>
      <c r="N722" s="97"/>
      <c r="O722" s="112"/>
      <c r="P722" s="47"/>
      <c r="Q722" s="24"/>
    </row>
    <row r="723" spans="1:17">
      <c r="A723" s="61"/>
      <c r="B723" s="24"/>
      <c r="C723" s="60"/>
      <c r="E723" s="47"/>
      <c r="F723" s="112"/>
      <c r="G723" s="47"/>
      <c r="J723" s="61"/>
      <c r="K723" s="61"/>
      <c r="L723" s="30"/>
      <c r="N723" s="97"/>
      <c r="O723" s="112"/>
      <c r="P723" s="47"/>
      <c r="Q723" s="24"/>
    </row>
    <row r="724" spans="1:17">
      <c r="A724" s="61"/>
      <c r="B724" s="24"/>
      <c r="C724" s="60"/>
      <c r="E724" s="47"/>
      <c r="F724" s="112"/>
      <c r="G724" s="47"/>
      <c r="J724" s="61"/>
      <c r="K724" s="61"/>
      <c r="L724" s="30"/>
      <c r="N724" s="97"/>
      <c r="O724" s="112"/>
      <c r="P724" s="47"/>
      <c r="Q724" s="24"/>
    </row>
    <row r="725" spans="1:17">
      <c r="A725" s="61"/>
      <c r="B725" s="24"/>
      <c r="C725" s="60"/>
      <c r="E725" s="47"/>
      <c r="F725" s="112"/>
      <c r="G725" s="47"/>
      <c r="J725" s="61"/>
      <c r="K725" s="61"/>
      <c r="L725" s="30"/>
      <c r="N725" s="97"/>
      <c r="O725" s="112"/>
      <c r="P725" s="47"/>
      <c r="Q725" s="24"/>
    </row>
    <row r="726" spans="1:17">
      <c r="A726" s="61"/>
      <c r="B726" s="24"/>
      <c r="C726" s="60"/>
      <c r="E726" s="47"/>
      <c r="F726" s="112"/>
      <c r="G726" s="47"/>
      <c r="J726" s="61"/>
      <c r="K726" s="61"/>
      <c r="L726" s="30"/>
      <c r="N726" s="97"/>
      <c r="O726" s="112"/>
      <c r="P726" s="47"/>
      <c r="Q726" s="24"/>
    </row>
    <row r="727" spans="1:17">
      <c r="A727" s="61"/>
      <c r="B727" s="24"/>
      <c r="C727" s="60"/>
      <c r="E727" s="47"/>
      <c r="F727" s="112"/>
      <c r="G727" s="47"/>
      <c r="J727" s="61"/>
      <c r="K727" s="61"/>
      <c r="L727" s="30"/>
      <c r="N727" s="97"/>
      <c r="O727" s="112"/>
      <c r="P727" s="47"/>
      <c r="Q727" s="24"/>
    </row>
    <row r="728" spans="1:17">
      <c r="A728" s="61"/>
      <c r="B728" s="24"/>
      <c r="C728" s="60"/>
      <c r="E728" s="47"/>
      <c r="F728" s="112"/>
      <c r="G728" s="47"/>
      <c r="J728" s="61"/>
      <c r="K728" s="61"/>
      <c r="L728" s="30"/>
      <c r="N728" s="97"/>
      <c r="O728" s="112"/>
      <c r="P728" s="47"/>
      <c r="Q728" s="24"/>
    </row>
    <row r="729" spans="1:17">
      <c r="A729" s="61"/>
      <c r="B729" s="24"/>
      <c r="C729" s="60"/>
      <c r="E729" s="47"/>
      <c r="F729" s="112"/>
      <c r="G729" s="47"/>
      <c r="J729" s="61"/>
      <c r="K729" s="61"/>
      <c r="L729" s="30"/>
      <c r="N729" s="97"/>
      <c r="O729" s="112"/>
      <c r="P729" s="47"/>
      <c r="Q729" s="24"/>
    </row>
    <row r="730" spans="1:17">
      <c r="A730" s="61"/>
      <c r="B730" s="24"/>
      <c r="C730" s="60"/>
      <c r="E730" s="47"/>
      <c r="F730" s="112"/>
      <c r="G730" s="47"/>
      <c r="J730" s="61"/>
      <c r="K730" s="61"/>
      <c r="L730" s="30"/>
      <c r="N730" s="97"/>
      <c r="O730" s="112"/>
      <c r="P730" s="47"/>
      <c r="Q730" s="24"/>
    </row>
    <row r="731" spans="1:17">
      <c r="A731" s="61"/>
      <c r="B731" s="24"/>
      <c r="C731" s="60"/>
      <c r="E731" s="47"/>
      <c r="F731" s="112"/>
      <c r="G731" s="47"/>
      <c r="J731" s="61"/>
      <c r="K731" s="61"/>
      <c r="L731" s="30"/>
      <c r="N731" s="97"/>
      <c r="O731" s="112"/>
      <c r="P731" s="47"/>
      <c r="Q731" s="24"/>
    </row>
    <row r="732" spans="1:17">
      <c r="A732" s="61"/>
      <c r="B732" s="24"/>
      <c r="C732" s="60"/>
      <c r="E732" s="47"/>
      <c r="F732" s="112"/>
      <c r="G732" s="47"/>
      <c r="J732" s="61"/>
      <c r="K732" s="61"/>
      <c r="L732" s="30"/>
      <c r="N732" s="97"/>
      <c r="O732" s="112"/>
      <c r="P732" s="47"/>
      <c r="Q732" s="24"/>
    </row>
    <row r="733" spans="1:17">
      <c r="A733" s="61"/>
      <c r="B733" s="24"/>
      <c r="C733" s="60"/>
      <c r="E733" s="47"/>
      <c r="F733" s="112"/>
      <c r="G733" s="47"/>
      <c r="J733" s="61"/>
      <c r="K733" s="61"/>
      <c r="L733" s="30"/>
      <c r="N733" s="97"/>
      <c r="O733" s="112"/>
      <c r="P733" s="47"/>
      <c r="Q733" s="24"/>
    </row>
    <row r="734" spans="1:17">
      <c r="A734" s="61"/>
      <c r="B734" s="24"/>
      <c r="C734" s="60"/>
      <c r="E734" s="47"/>
      <c r="F734" s="112"/>
      <c r="G734" s="47"/>
      <c r="J734" s="61"/>
      <c r="K734" s="61"/>
      <c r="L734" s="30"/>
      <c r="N734" s="97"/>
      <c r="O734" s="112"/>
      <c r="P734" s="47"/>
      <c r="Q734" s="24"/>
    </row>
    <row r="735" spans="1:17">
      <c r="A735" s="61"/>
      <c r="B735" s="24"/>
      <c r="C735" s="60"/>
      <c r="E735" s="47"/>
      <c r="F735" s="112"/>
      <c r="G735" s="47"/>
      <c r="J735" s="61"/>
      <c r="K735" s="61"/>
      <c r="L735" s="30"/>
      <c r="N735" s="97"/>
      <c r="O735" s="112"/>
      <c r="P735" s="47"/>
      <c r="Q735" s="24"/>
    </row>
    <row r="736" spans="1:17">
      <c r="A736" s="61"/>
      <c r="B736" s="24"/>
      <c r="C736" s="60"/>
      <c r="E736" s="47"/>
      <c r="F736" s="112"/>
      <c r="G736" s="47"/>
      <c r="J736" s="61"/>
      <c r="K736" s="61"/>
      <c r="L736" s="30"/>
      <c r="N736" s="97"/>
      <c r="O736" s="112"/>
      <c r="P736" s="47"/>
      <c r="Q736" s="24"/>
    </row>
    <row r="737" spans="1:17">
      <c r="A737" s="61"/>
      <c r="B737" s="24"/>
      <c r="C737" s="60"/>
      <c r="E737" s="47"/>
      <c r="F737" s="112"/>
      <c r="G737" s="47"/>
      <c r="J737" s="61"/>
      <c r="K737" s="61"/>
      <c r="L737" s="30"/>
      <c r="N737" s="97"/>
      <c r="O737" s="112"/>
      <c r="P737" s="47"/>
      <c r="Q737" s="24"/>
    </row>
    <row r="738" spans="1:17">
      <c r="A738" s="61"/>
      <c r="B738" s="24"/>
      <c r="C738" s="60"/>
      <c r="E738" s="47"/>
      <c r="F738" s="112"/>
      <c r="G738" s="47"/>
      <c r="J738" s="61"/>
      <c r="K738" s="61"/>
      <c r="L738" s="30"/>
      <c r="N738" s="97"/>
      <c r="O738" s="112"/>
      <c r="P738" s="47"/>
      <c r="Q738" s="24"/>
    </row>
    <row r="739" spans="1:17">
      <c r="A739" s="61"/>
      <c r="B739" s="24"/>
      <c r="C739" s="60"/>
      <c r="E739" s="47"/>
      <c r="F739" s="112"/>
      <c r="G739" s="47"/>
      <c r="J739" s="61"/>
      <c r="K739" s="61"/>
      <c r="L739" s="30"/>
      <c r="N739" s="97"/>
      <c r="O739" s="112"/>
      <c r="P739" s="47"/>
      <c r="Q739" s="24"/>
    </row>
    <row r="740" spans="1:17">
      <c r="A740" s="61"/>
      <c r="B740" s="24"/>
      <c r="C740" s="60"/>
      <c r="E740" s="47"/>
      <c r="F740" s="112"/>
      <c r="G740" s="47"/>
      <c r="J740" s="61"/>
      <c r="K740" s="61"/>
      <c r="L740" s="30"/>
      <c r="N740" s="97"/>
      <c r="O740" s="112"/>
      <c r="P740" s="47"/>
      <c r="Q740" s="24"/>
    </row>
    <row r="741" spans="1:17">
      <c r="A741" s="61"/>
      <c r="B741" s="24"/>
      <c r="C741" s="60"/>
      <c r="E741" s="47"/>
      <c r="F741" s="112"/>
      <c r="G741" s="47"/>
      <c r="J741" s="61"/>
      <c r="K741" s="61"/>
      <c r="L741" s="30"/>
      <c r="N741" s="97"/>
      <c r="O741" s="112"/>
      <c r="P741" s="47"/>
      <c r="Q741" s="24"/>
    </row>
    <row r="742" spans="1:17">
      <c r="A742" s="61"/>
      <c r="B742" s="24"/>
      <c r="C742" s="60"/>
      <c r="E742" s="47"/>
      <c r="F742" s="112"/>
      <c r="G742" s="47"/>
      <c r="J742" s="61"/>
      <c r="K742" s="61"/>
      <c r="L742" s="30"/>
      <c r="N742" s="97"/>
      <c r="O742" s="112"/>
      <c r="P742" s="47"/>
      <c r="Q742" s="24"/>
    </row>
    <row r="743" spans="1:17">
      <c r="A743" s="61"/>
      <c r="B743" s="24"/>
      <c r="C743" s="60"/>
      <c r="E743" s="47"/>
      <c r="F743" s="112"/>
      <c r="G743" s="47"/>
      <c r="J743" s="61"/>
      <c r="K743" s="61"/>
      <c r="L743" s="30"/>
      <c r="N743" s="97"/>
      <c r="O743" s="112"/>
      <c r="P743" s="47"/>
      <c r="Q743" s="24"/>
    </row>
    <row r="744" spans="1:17">
      <c r="A744" s="61"/>
      <c r="B744" s="24"/>
      <c r="C744" s="60"/>
      <c r="E744" s="47"/>
      <c r="F744" s="112"/>
      <c r="G744" s="47"/>
      <c r="J744" s="61"/>
      <c r="K744" s="61"/>
      <c r="L744" s="30"/>
      <c r="N744" s="97"/>
      <c r="O744" s="112"/>
      <c r="P744" s="47"/>
      <c r="Q744" s="24"/>
    </row>
    <row r="745" spans="1:17">
      <c r="A745" s="61"/>
      <c r="B745" s="24"/>
      <c r="C745" s="60"/>
      <c r="E745" s="47"/>
      <c r="F745" s="112"/>
      <c r="G745" s="47"/>
      <c r="J745" s="61"/>
      <c r="K745" s="61"/>
      <c r="L745" s="30"/>
      <c r="N745" s="97"/>
      <c r="O745" s="112"/>
      <c r="P745" s="47"/>
      <c r="Q745" s="24"/>
    </row>
    <row r="746" spans="1:17">
      <c r="A746" s="61"/>
      <c r="B746" s="24"/>
      <c r="C746" s="60"/>
      <c r="E746" s="47"/>
      <c r="F746" s="112"/>
      <c r="G746" s="47"/>
      <c r="J746" s="61"/>
      <c r="K746" s="61"/>
      <c r="L746" s="30"/>
      <c r="N746" s="97"/>
      <c r="O746" s="112"/>
      <c r="P746" s="47"/>
      <c r="Q746" s="24"/>
    </row>
    <row r="747" spans="1:17">
      <c r="A747" s="61"/>
      <c r="B747" s="24"/>
      <c r="C747" s="60"/>
      <c r="E747" s="47"/>
      <c r="F747" s="112"/>
      <c r="G747" s="47"/>
      <c r="J747" s="61"/>
      <c r="K747" s="61"/>
      <c r="L747" s="30"/>
      <c r="N747" s="97"/>
      <c r="O747" s="112"/>
      <c r="P747" s="47"/>
      <c r="Q747" s="24"/>
    </row>
    <row r="748" spans="1:17">
      <c r="A748" s="61"/>
      <c r="B748" s="24"/>
      <c r="C748" s="60"/>
      <c r="E748" s="47"/>
      <c r="F748" s="112"/>
      <c r="G748" s="47"/>
      <c r="J748" s="61"/>
      <c r="K748" s="61"/>
      <c r="L748" s="30"/>
      <c r="N748" s="97"/>
      <c r="O748" s="112"/>
      <c r="P748" s="47"/>
      <c r="Q748" s="24"/>
    </row>
    <row r="749" spans="1:17">
      <c r="A749" s="61"/>
      <c r="B749" s="24"/>
      <c r="C749" s="60"/>
      <c r="E749" s="47"/>
      <c r="F749" s="112"/>
      <c r="G749" s="47"/>
      <c r="J749" s="61"/>
      <c r="K749" s="61"/>
      <c r="L749" s="30"/>
      <c r="N749" s="97"/>
      <c r="O749" s="112"/>
      <c r="P749" s="47"/>
      <c r="Q749" s="24"/>
    </row>
    <row r="750" spans="1:17">
      <c r="A750" s="61"/>
      <c r="B750" s="24"/>
      <c r="C750" s="60"/>
      <c r="E750" s="47"/>
      <c r="F750" s="112"/>
      <c r="G750" s="47"/>
      <c r="J750" s="24"/>
      <c r="K750" s="24"/>
      <c r="L750" s="30"/>
      <c r="N750" s="47"/>
      <c r="O750" s="112"/>
      <c r="P750" s="47"/>
      <c r="Q750" s="24"/>
    </row>
    <row r="751" spans="1:17" ht="15">
      <c r="A751" s="61"/>
      <c r="B751" s="24"/>
      <c r="C751" s="60"/>
      <c r="E751" s="47"/>
      <c r="F751" s="112"/>
      <c r="G751" s="47"/>
      <c r="O751" s="49"/>
      <c r="P751" s="50"/>
      <c r="Q751" s="51">
        <f>SUM(Q82:Q750)</f>
        <v>297150368.85714287</v>
      </c>
    </row>
    <row r="752" spans="1:17">
      <c r="B752" s="24"/>
      <c r="C752" s="60"/>
      <c r="E752" s="47"/>
      <c r="F752" s="112"/>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42" priority="6" operator="containsText" text="ERROR">
      <formula>NOT(ISERROR(SEARCH("ERROR",T17)))</formula>
    </cfRule>
  </conditionalFormatting>
  <conditionalFormatting sqref="T42">
    <cfRule type="containsText" dxfId="41" priority="5" operator="containsText" text="ERROR">
      <formula>NOT(ISERROR(SEARCH("ERROR",T42)))</formula>
    </cfRule>
  </conditionalFormatting>
  <conditionalFormatting sqref="W19">
    <cfRule type="containsText" dxfId="40" priority="1" operator="containsText" text="ERROR">
      <formula>NOT(ISERROR(SEARCH("ERROR",W19)))</formula>
    </cfRule>
  </conditionalFormatting>
  <conditionalFormatting sqref="BL72">
    <cfRule type="containsText" dxfId="39" priority="2" operator="containsText" text="ERROR">
      <formula>NOT(ISERROR(SEARCH("ERROR",BL72)))</formula>
    </cfRule>
  </conditionalFormatting>
  <dataValidations count="5">
    <dataValidation type="list" allowBlank="1" showInputMessage="1" showErrorMessage="1" sqref="N5:N8 N75 N73 N77:N79 N10:N71" xr:uid="{F1B38928-28A2-4829-B3D1-A407A1F7139C}">
      <formula1>FinalDiff</formula1>
    </dataValidation>
    <dataValidation type="list" allowBlank="1" showInputMessage="1" showErrorMessage="1" sqref="N84:N749" xr:uid="{973D31EE-62BC-4E42-818A-0636DDF978B9}">
      <formula1>Govadjust</formula1>
    </dataValidation>
    <dataValidation type="list" allowBlank="1" showInputMessage="1" showErrorMessage="1" sqref="M93:M99 M131:M748 L84:L748" xr:uid="{63B39078-FDB3-4779-B82B-0843F8F00A17}">
      <formula1>Taxes</formula1>
    </dataValidation>
    <dataValidation type="list" allowBlank="1" showInputMessage="1" showErrorMessage="1" sqref="C84:C752" xr:uid="{6CF6E004-4AAB-41B3-A551-1EF76FE0F530}">
      <formula1>Compadjust</formula1>
    </dataValidation>
    <dataValidation type="list" allowBlank="1" showErrorMessage="1" errorTitle="Taxes" error="Non valid entry. Please check the tax list" promptTitle="Taxes" prompt="Please select the tax subject to adjustment" sqref="B84 B97:B105" xr:uid="{BE6ECFAA-D882-4A0F-ADD1-BFF7407066D7}">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FC0C4B0B-9FFF-4834-A937-B10C113E7751}">
          <x14:formula1>
            <xm:f>Lists!$A$131:$A$132</xm:f>
          </x14:formula1>
          <xm:sqref>B85:B96 K84:K749</xm:sqref>
        </x14:dataValidation>
        <x14:dataValidation type="list" allowBlank="1" showInputMessage="1" showErrorMessage="1" xr:uid="{8775F314-D139-4C50-BF26-225B3F13A998}">
          <x14:formula1>
            <xm:f>Lists!$A$7:$A$64</xm:f>
          </x14:formula1>
          <xm:sqref>J84:J88 J91:J749</xm:sqref>
        </x14:dataValidation>
        <x14:dataValidation type="list" allowBlank="1" showErrorMessage="1" errorTitle="Taxes" error="Non valid entry. Please check the tax list" promptTitle="Taxes" prompt="Please select the tax subject to adjustment" xr:uid="{38DA0390-7EA9-47A1-A10A-91549C7426F3}">
          <x14:formula1>
            <xm:f>Lists!$A$7:$A$64</xm:f>
          </x14:formula1>
          <xm:sqref>A84:A751</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3"/>
  <dimension ref="A1:BL753"/>
  <sheetViews>
    <sheetView showGridLines="0" topLeftCell="B1" zoomScaleNormal="100" workbookViewId="0">
      <selection activeCell="I10" sqref="I10"/>
    </sheetView>
  </sheetViews>
  <sheetFormatPr baseColWidth="10" defaultColWidth="11.54296875" defaultRowHeight="12" outlineLevelCol="1"/>
  <cols>
    <col min="1" max="1" width="28.54296875" style="17" hidden="1" customWidth="1"/>
    <col min="2" max="2" width="4.453125" style="17" customWidth="1"/>
    <col min="3" max="3" width="56.26953125" style="30" customWidth="1"/>
    <col min="4" max="4" width="0.81640625" style="21" customWidth="1"/>
    <col min="5" max="5" width="17.1796875" style="21" customWidth="1"/>
    <col min="6" max="6" width="13.7265625" style="17" customWidth="1"/>
    <col min="7" max="7" width="15.26953125" style="21" customWidth="1"/>
    <col min="8" max="8" width="0.81640625" style="21" customWidth="1"/>
    <col min="9" max="9" width="15.26953125" style="21" bestFit="1" customWidth="1"/>
    <col min="10" max="10" width="15.269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76.5" customHeight="1" thickBot="1">
      <c r="C1" s="31" t="s">
        <v>33</v>
      </c>
      <c r="E1" s="32" t="str">
        <f>Companies!B20</f>
        <v>SOCIETE TIMBERLAND INDUSTRIES</v>
      </c>
      <c r="F1" s="32" t="str">
        <f>Companies!C20</f>
        <v>M343448Z001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960989889.10877252</v>
      </c>
      <c r="J8" s="164">
        <f ca="1">+J9+J13+J15+J17+J40+J45+J47+J52+J55+J62+J65+J68+J77</f>
        <v>145874292.14285713</v>
      </c>
      <c r="K8" s="164">
        <f ca="1">+K9+K13+K15+K17+K40+K45+K47+K52+K55+K62+K65+K68+K77</f>
        <v>1106864181.2516296</v>
      </c>
      <c r="L8" s="114"/>
      <c r="M8" s="164">
        <f ca="1">+M9+M13+M15+M17+M40+M45+M52+M55+M62+M65+M68+M77+M47</f>
        <v>-1106864181.2516296</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112060225</v>
      </c>
      <c r="K9" s="166">
        <f t="shared" ref="K9" ca="1" si="27">SUM(K10:K12)</f>
        <v>112060225</v>
      </c>
      <c r="L9" s="114"/>
      <c r="M9" s="166">
        <f t="shared" ref="M9" ca="1" si="28">SUM(M10:M12)</f>
        <v>-112060225</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5843764</v>
      </c>
      <c r="K10" s="165">
        <f>I10+J10</f>
        <v>5843764</v>
      </c>
      <c r="L10" s="114"/>
      <c r="M10" s="165">
        <f>+G10-K10</f>
        <v>-5843764</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106216461</v>
      </c>
      <c r="K11" s="114">
        <f>I11+J11</f>
        <v>106216461</v>
      </c>
      <c r="L11" s="114"/>
      <c r="M11" s="114">
        <f>+G11-K11</f>
        <v>-106216461</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4"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412829996</v>
      </c>
      <c r="J17" s="166">
        <f t="shared" ref="J17" ca="1" si="52">SUM(J18:J39)</f>
        <v>33814067.142857134</v>
      </c>
      <c r="K17" s="166">
        <f t="shared" ref="K17" ca="1" si="53">SUM(K18:K39)</f>
        <v>446644063.14285713</v>
      </c>
      <c r="L17" s="114"/>
      <c r="M17" s="166">
        <f t="shared" ref="M17" ca="1" si="54">SUM(M18:M39)</f>
        <v>-446644063.14285713</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v>0</v>
      </c>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0</v>
      </c>
      <c r="J19" s="165">
        <f ca="1">SUMIF($J$84:$M$749,C19,$Q$84:$Q$749)</f>
        <v>0</v>
      </c>
      <c r="K19" s="165">
        <f t="shared" ca="1" si="57"/>
        <v>0</v>
      </c>
      <c r="L19" s="114"/>
      <c r="M19" s="165">
        <f t="shared" ca="1" si="58"/>
        <v>0</v>
      </c>
      <c r="N19" s="68"/>
      <c r="O19" s="38" t="str">
        <f t="shared" ca="1" si="46"/>
        <v/>
      </c>
      <c r="P19" s="39" t="str">
        <f t="shared" ca="1" si="47"/>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v>0</v>
      </c>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19307435</v>
      </c>
      <c r="J21" s="165">
        <f ca="1">SUMIF($J$84:$M$749,B21&amp;"- "&amp;C21,$Q$84:$Q$749)</f>
        <v>0</v>
      </c>
      <c r="K21" s="165">
        <f t="shared" ca="1" si="57"/>
        <v>19307435</v>
      </c>
      <c r="L21" s="114"/>
      <c r="M21" s="165">
        <f t="shared" ca="1" si="58"/>
        <v>-19307435</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v>220740</v>
      </c>
      <c r="J22" s="114">
        <f ca="1">SUMIF($J$84:$M$749,B22&amp;"- "&amp;C22,$Q$84:$Q$749)</f>
        <v>0</v>
      </c>
      <c r="K22" s="114">
        <f t="shared" ca="1" si="57"/>
        <v>220740</v>
      </c>
      <c r="L22" s="114"/>
      <c r="M22" s="114">
        <f t="shared" ca="1" si="58"/>
        <v>-220740</v>
      </c>
      <c r="N22" s="18"/>
      <c r="O22" s="38" t="str">
        <f t="shared" ca="1" si="46"/>
        <v>ERROR</v>
      </c>
      <c r="P22" s="39" t="str">
        <f t="shared" ca="1" si="47"/>
        <v>Please insert comment</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v>78899490</v>
      </c>
      <c r="J23" s="165">
        <f ca="1">SUMIF($J$84:$M$749,C23,$Q$84:$Q$749)</f>
        <v>33814067.142857142</v>
      </c>
      <c r="K23" s="165">
        <f t="shared" ca="1" si="57"/>
        <v>112713557.14285713</v>
      </c>
      <c r="L23" s="114"/>
      <c r="M23" s="165">
        <f t="shared" ca="1" si="58"/>
        <v>-112713557.14285713</v>
      </c>
      <c r="N23" s="68"/>
      <c r="O23" s="38" t="str">
        <f t="shared" ca="1" si="46"/>
        <v>ERROR</v>
      </c>
      <c r="P23" s="39" t="str">
        <f t="shared" ca="1" si="47"/>
        <v>Please insert comment</v>
      </c>
      <c r="Q23" s="35"/>
      <c r="Y23" s="15">
        <f t="shared" ref="Y23:Y32" si="65">B26</f>
        <v>14</v>
      </c>
      <c r="Z23" s="25" t="str">
        <f t="shared" si="59"/>
        <v xml:space="preserve">Taxe de reboisement  </v>
      </c>
      <c r="AA23" s="16">
        <f t="shared" ref="AA23:AI32" si="66">SUMPRODUCT(($A$84:$A$751=$Y23&amp;"- "&amp;$Z23)*($C$84:$C$751=AA$1)*($G$84:$G$751))</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v>8641152</v>
      </c>
      <c r="J24" s="114">
        <f ca="1">SUMIF($J$84:$M$749,B24&amp;"- "&amp;C24,$Q$84:$Q$749)</f>
        <v>0</v>
      </c>
      <c r="K24" s="114">
        <f t="shared" ca="1" si="57"/>
        <v>8641152</v>
      </c>
      <c r="L24" s="114"/>
      <c r="M24" s="114">
        <f t="shared" ca="1" si="58"/>
        <v>-8641152</v>
      </c>
      <c r="N24" s="18"/>
      <c r="O24" s="38" t="str">
        <f t="shared" ca="1" si="46"/>
        <v>ERROR</v>
      </c>
      <c r="P24" s="39" t="str">
        <f t="shared" ca="1" si="47"/>
        <v>Please insert comment</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213737947</v>
      </c>
      <c r="J25" s="165">
        <f ca="1">SUMIF($J$84:$M$749,C25,$Q$84:$Q$749)</f>
        <v>0</v>
      </c>
      <c r="K25" s="165">
        <f t="shared" ca="1" si="57"/>
        <v>213737947</v>
      </c>
      <c r="L25" s="114"/>
      <c r="M25" s="165">
        <f t="shared" ca="1" si="58"/>
        <v>-213737947</v>
      </c>
      <c r="N25" s="68"/>
      <c r="O25" s="38"/>
      <c r="P25" s="39"/>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80352245</v>
      </c>
      <c r="K26" s="114">
        <f t="shared" ca="1" si="57"/>
        <v>80352245</v>
      </c>
      <c r="L26" s="114"/>
      <c r="M26" s="114">
        <f t="shared" ca="1" si="58"/>
        <v>-80352245</v>
      </c>
      <c r="N26" s="18"/>
      <c r="O26" s="38" t="str">
        <f t="shared" ca="1" si="46"/>
        <v>ERROR</v>
      </c>
      <c r="P26" s="39" t="str">
        <f t="shared" ca="1" si="47"/>
        <v>Please insert comment</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v>9763695</v>
      </c>
      <c r="J28" s="114">
        <f t="shared" ca="1" si="74"/>
        <v>0</v>
      </c>
      <c r="K28" s="114">
        <f t="shared" ca="1" si="57"/>
        <v>9763695</v>
      </c>
      <c r="L28" s="114"/>
      <c r="M28" s="114">
        <f t="shared" ca="1" si="58"/>
        <v>-9763695</v>
      </c>
      <c r="N28" s="18"/>
      <c r="O28" s="38" t="str">
        <f t="shared" ca="1" si="46"/>
        <v>ERROR</v>
      </c>
      <c r="P28" s="39" t="str">
        <f t="shared" ca="1" si="47"/>
        <v>Please insert comment</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74"/>
        <v>0</v>
      </c>
      <c r="K29" s="165">
        <f t="shared" ca="1" si="57"/>
        <v>0</v>
      </c>
      <c r="L29" s="114"/>
      <c r="M29" s="165">
        <f t="shared" ca="1" si="58"/>
        <v>0</v>
      </c>
      <c r="N29" s="68"/>
      <c r="O29" s="38" t="str">
        <f t="shared" ca="1" si="46"/>
        <v/>
      </c>
      <c r="P29" s="39" t="str">
        <f t="shared" ca="1" si="47"/>
        <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v>1907292</v>
      </c>
      <c r="J30" s="114">
        <f t="shared" ca="1" si="74"/>
        <v>0</v>
      </c>
      <c r="K30" s="114">
        <f t="shared" ca="1" si="57"/>
        <v>1907292</v>
      </c>
      <c r="L30" s="114"/>
      <c r="M30" s="114">
        <f t="shared" ca="1" si="58"/>
        <v>-1907292</v>
      </c>
      <c r="N30" s="18"/>
      <c r="O30" s="38" t="str">
        <f t="shared" ca="1" si="46"/>
        <v>ERROR</v>
      </c>
      <c r="P30" s="39" t="str">
        <f t="shared" ca="1" si="47"/>
        <v>Please insert comment</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c r="P35" s="72"/>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v>80352245</v>
      </c>
      <c r="J38" s="114">
        <f ca="1">SUMIF($J$84:$M$749,C38,$Q$84:$Q$749)</f>
        <v>-80352245</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232429272.03625751</v>
      </c>
      <c r="J47" s="166">
        <f ca="1">SUM(J48:J51)</f>
        <v>0</v>
      </c>
      <c r="K47" s="166">
        <f ca="1">SUM(K48:K51)</f>
        <v>232429272.03625751</v>
      </c>
      <c r="L47" s="114"/>
      <c r="M47" s="166">
        <f ca="1">SUM(M48:M51)</f>
        <v>-232429272.03625751</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v>155127923</v>
      </c>
      <c r="J48" s="114">
        <f ca="1">SUMIF($J$84:$M$749,B48&amp;"- "&amp;C48,$Q$84:$Q$749)</f>
        <v>0</v>
      </c>
      <c r="K48" s="114">
        <f ca="1">I48+J48</f>
        <v>155127923</v>
      </c>
      <c r="L48" s="114"/>
      <c r="M48" s="114">
        <f ca="1">+G48-K48</f>
        <v>-155127923</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v>77301349.036257491</v>
      </c>
      <c r="J49" s="165">
        <f ca="1">SUMIF($J$84:$M$749,B49&amp;"- "&amp;C49,$Q$84:$Q$749)</f>
        <v>0</v>
      </c>
      <c r="K49" s="165">
        <f ca="1">I49+J49</f>
        <v>77301349.036257491</v>
      </c>
      <c r="L49" s="114"/>
      <c r="M49" s="165">
        <f ca="1">+G49-K49</f>
        <v>-77301349.036257491</v>
      </c>
      <c r="N49" s="68"/>
      <c r="O49" s="38" t="str">
        <f t="shared" ca="1" si="46"/>
        <v>ERROR</v>
      </c>
      <c r="P49" s="39" t="str">
        <f t="shared" ca="1" si="86"/>
        <v>Please insert comment</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309730621.07251501</v>
      </c>
      <c r="J52" s="166">
        <f t="shared" ref="J52" ca="1" si="105">+J53+J54</f>
        <v>0</v>
      </c>
      <c r="K52" s="166">
        <f t="shared" ref="K52" ca="1" si="106">+K53+K54</f>
        <v>309730621.07251501</v>
      </c>
      <c r="L52" s="114"/>
      <c r="M52" s="166">
        <f t="shared" ref="M52" ca="1" si="107">+M53+M54</f>
        <v>-309730621.07251501</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v>154602698.07251498</v>
      </c>
      <c r="J53" s="114">
        <f ca="1">SUMIF($J$84:$M$749,B53&amp;"- "&amp;C53,$Q$84:$Q$749)</f>
        <v>0</v>
      </c>
      <c r="K53" s="114">
        <f ca="1">I53+J53</f>
        <v>154602698.07251498</v>
      </c>
      <c r="L53" s="114"/>
      <c r="M53" s="114">
        <f ca="1">+G53-K53</f>
        <v>-154602698.07251498</v>
      </c>
      <c r="N53" s="18"/>
      <c r="O53" s="38"/>
      <c r="P53" s="39"/>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v>155127923</v>
      </c>
      <c r="J54" s="165">
        <f ca="1">SUMIF($J$84:$M$749,B54&amp;"- "&amp;C54,$Q$84:$Q$749)</f>
        <v>0</v>
      </c>
      <c r="K54" s="165">
        <f ca="1">I54+J54</f>
        <v>155127923</v>
      </c>
      <c r="L54" s="114"/>
      <c r="M54" s="165">
        <f ca="1">+G54-K54</f>
        <v>-155127923</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6000000</v>
      </c>
      <c r="J68" s="166">
        <f t="shared" ref="J68" ca="1" si="147">SUM(J69:J76)</f>
        <v>0</v>
      </c>
      <c r="K68" s="166">
        <f t="shared" ref="K68" ca="1" si="148">SUM(K69:K76)</f>
        <v>6000000</v>
      </c>
      <c r="L68" s="114"/>
      <c r="M68" s="166">
        <f t="shared" ref="M68" ca="1" si="149">SUM(M69:M76)</f>
        <v>-6000000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v>6000000</v>
      </c>
      <c r="J74" s="165">
        <f t="shared" ca="1" si="155"/>
        <v>0</v>
      </c>
      <c r="K74" s="165">
        <f t="shared" ca="1" si="156"/>
        <v>6000000</v>
      </c>
      <c r="L74" s="114"/>
      <c r="M74" s="165">
        <f t="shared" ca="1" si="157"/>
        <v>-6000000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J86" s="61" t="s">
        <v>190</v>
      </c>
      <c r="L86" s="60"/>
      <c r="N86" s="97"/>
      <c r="P86" s="129"/>
      <c r="Q86" s="145">
        <f>-I38</f>
        <v>-80352245</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J87" s="61" t="s">
        <v>178</v>
      </c>
      <c r="L87" s="60"/>
      <c r="N87" s="97"/>
      <c r="O87" s="121"/>
      <c r="P87" s="129"/>
      <c r="Q87" s="145">
        <f>-Q86</f>
        <v>80352245</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J88" s="61" t="s">
        <v>176</v>
      </c>
      <c r="L88" s="60"/>
      <c r="N88" s="97"/>
      <c r="O88" s="125"/>
      <c r="P88" s="122"/>
      <c r="Q88" s="146">
        <f>+I23/0.7*0.3</f>
        <v>33814067.142857142</v>
      </c>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v>5843764</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v>106216461</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R94" s="149"/>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145874292.14285713</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38" priority="6" operator="containsText" text="ERROR">
      <formula>NOT(ISERROR(SEARCH("ERROR",T17)))</formula>
    </cfRule>
  </conditionalFormatting>
  <conditionalFormatting sqref="T42">
    <cfRule type="containsText" dxfId="37" priority="5" operator="containsText" text="ERROR">
      <formula>NOT(ISERROR(SEARCH("ERROR",T42)))</formula>
    </cfRule>
  </conditionalFormatting>
  <conditionalFormatting sqref="W19">
    <cfRule type="containsText" dxfId="36" priority="1" operator="containsText" text="ERROR">
      <formula>NOT(ISERROR(SEARCH("ERROR",W19)))</formula>
    </cfRule>
  </conditionalFormatting>
  <conditionalFormatting sqref="BL72">
    <cfRule type="containsText" dxfId="35" priority="2" operator="containsText" text="ERROR">
      <formula>NOT(ISERROR(SEARCH("ERROR",BL72)))</formula>
    </cfRule>
  </conditionalFormatting>
  <dataValidations count="4">
    <dataValidation type="list" allowBlank="1" showInputMessage="1" showErrorMessage="1" sqref="C84:C752" xr:uid="{631F41EB-4963-45C4-8679-FDBCCC1B8653}">
      <formula1>Compadjust</formula1>
    </dataValidation>
    <dataValidation type="list" allowBlank="1" showInputMessage="1" showErrorMessage="1" sqref="M131:M748 L97:M98 L100:L748 M94:M95 L84:L96" xr:uid="{9C6645BD-219D-4955-80D2-C51A34638CB0}">
      <formula1>Taxes</formula1>
    </dataValidation>
    <dataValidation type="list" allowBlank="1" showInputMessage="1" showErrorMessage="1" sqref="N84:N749" xr:uid="{EC441FE5-6172-4C20-BEEE-E1FA53395E30}">
      <formula1>Govadjust</formula1>
    </dataValidation>
    <dataValidation type="list" allowBlank="1" showInputMessage="1" showErrorMessage="1" sqref="N5:N8 N73 N75 N77:N79 N10:N71" xr:uid="{511A5C7B-A68D-4796-AC40-8E4A1CDD0BE8}">
      <formula1>FinalDiff</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D486804C-3462-46B9-A252-F4D4CD7DC674}">
          <x14:formula1>
            <xm:f>Lists!$A$131:$A$132</xm:f>
          </x14:formula1>
          <xm:sqref>B84:B106 K84:K749</xm:sqref>
        </x14:dataValidation>
        <x14:dataValidation type="list" allowBlank="1" showErrorMessage="1" errorTitle="Taxes" error="Non valid entry. Please check the tax list" promptTitle="Taxes" prompt="Please select the tax subject to adjustment" xr:uid="{A5EC1953-17F1-4731-8EC8-D9D962F808EE}">
          <x14:formula1>
            <xm:f>Lists!$A$7:$A$64</xm:f>
          </x14:formula1>
          <xm:sqref>A84:A751</xm:sqref>
        </x14:dataValidation>
        <x14:dataValidation type="list" allowBlank="1" showInputMessage="1" showErrorMessage="1" xr:uid="{19CAAE19-F226-43B4-94A8-97F31CC93DDD}">
          <x14:formula1>
            <xm:f>Lists!$A$7:$A$64</xm:f>
          </x14:formula1>
          <xm:sqref>J84:J88</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4"/>
  <dimension ref="A1:BL753"/>
  <sheetViews>
    <sheetView showGridLines="0" topLeftCell="B42" zoomScaleNormal="100" workbookViewId="0">
      <selection activeCell="I53" sqref="I53"/>
    </sheetView>
  </sheetViews>
  <sheetFormatPr baseColWidth="10" defaultColWidth="11.54296875" defaultRowHeight="12" outlineLevelCol="1"/>
  <cols>
    <col min="1" max="1" width="28.54296875" style="17" hidden="1" customWidth="1"/>
    <col min="2" max="2" width="4.453125" style="17" customWidth="1"/>
    <col min="3" max="3" width="51"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6"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Companies!B21</f>
        <v>SCAD</v>
      </c>
      <c r="F1" s="32" t="str">
        <f>Companies!C21</f>
        <v>M099591A001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464696613.96140301</v>
      </c>
      <c r="J8" s="164">
        <f ca="1">+J9+J13+J15+J17+J40+J45+J47+J52+J55+J62+J65+J68+J77</f>
        <v>88212278.142857149</v>
      </c>
      <c r="K8" s="164">
        <f ca="1">+K9+K13+K15+K17+K40+K45+K47+K52+K55+K62+K65+K68+K77</f>
        <v>552908892.10426009</v>
      </c>
      <c r="L8" s="114"/>
      <c r="M8" s="164">
        <f ca="1">+M9+M13+M15+M17+M40+M45+M52+M55+M62+M65+M68+M77+M47</f>
        <v>-552908892.10426009</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27021831</v>
      </c>
      <c r="K9" s="166">
        <f t="shared" ref="K9" ca="1" si="27">SUM(K10:K12)</f>
        <v>27021831</v>
      </c>
      <c r="L9" s="114"/>
      <c r="M9" s="166">
        <f t="shared" ref="M9" ca="1" si="28">SUM(M10:M12)</f>
        <v>-27021831</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1210901</v>
      </c>
      <c r="K10" s="165">
        <f>I10+J10</f>
        <v>1210901</v>
      </c>
      <c r="L10" s="114"/>
      <c r="M10" s="165">
        <f>+G10-K10</f>
        <v>-1210901</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25810930</v>
      </c>
      <c r="K11" s="114">
        <f>I11+J11</f>
        <v>25810930</v>
      </c>
      <c r="L11" s="114"/>
      <c r="M11" s="114">
        <f>+G11-K11</f>
        <v>-25810930</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267139925</v>
      </c>
      <c r="J17" s="166">
        <f t="shared" ref="J17" ca="1" si="52">SUM(J18:J39)</f>
        <v>61190447.142857149</v>
      </c>
      <c r="K17" s="166">
        <f t="shared" ref="K17" ca="1" si="53">SUM(K18:K39)</f>
        <v>328330372.14285713</v>
      </c>
      <c r="L17" s="114"/>
      <c r="M17" s="166">
        <f t="shared" ref="M17" ca="1" si="54">SUM(M18:M39)</f>
        <v>-328330372.14285713</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v>0</v>
      </c>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9640804</v>
      </c>
      <c r="J19" s="165">
        <f ca="1">SUMIF($J$84:$M$749,C19,$Q$84:$Q$749)</f>
        <v>0</v>
      </c>
      <c r="K19" s="165">
        <f t="shared" ca="1" si="57"/>
        <v>9640804</v>
      </c>
      <c r="L19" s="114"/>
      <c r="M19" s="165">
        <f t="shared" ca="1" si="58"/>
        <v>-9640804</v>
      </c>
      <c r="N19" s="68"/>
      <c r="O19" s="38" t="str">
        <f t="shared" ca="1" si="46"/>
        <v>ERROR</v>
      </c>
      <c r="P19" s="39" t="str">
        <f t="shared" ca="1" si="47"/>
        <v>Please insert comment</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5823566</v>
      </c>
      <c r="J21" s="165">
        <f ca="1">SUMIF($J$84:$M$749,B21&amp;"- "&amp;C21,$Q$84:$Q$749)</f>
        <v>0</v>
      </c>
      <c r="K21" s="165">
        <f t="shared" ca="1" si="57"/>
        <v>5823566</v>
      </c>
      <c r="L21" s="114"/>
      <c r="M21" s="165">
        <f t="shared" ca="1" si="58"/>
        <v>-5823566</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v>142777710</v>
      </c>
      <c r="J23" s="165">
        <f ca="1">SUMIF($J$84:$M$749,C23,$Q$84:$Q$749)</f>
        <v>61190447.142857149</v>
      </c>
      <c r="K23" s="165">
        <f t="shared" ca="1" si="57"/>
        <v>203968157.14285713</v>
      </c>
      <c r="L23" s="114"/>
      <c r="M23" s="165">
        <f t="shared" ca="1" si="58"/>
        <v>-203968157.14285713</v>
      </c>
      <c r="N23" s="68"/>
      <c r="O23" s="38" t="str">
        <f t="shared" ca="1" si="46"/>
        <v>ERROR</v>
      </c>
      <c r="P23" s="39" t="str">
        <f t="shared" ca="1" si="47"/>
        <v>Please insert comment</v>
      </c>
      <c r="Q23" s="35"/>
      <c r="Y23" s="15">
        <f t="shared" ref="Y23:Y32" si="65">B26</f>
        <v>14</v>
      </c>
      <c r="Z23" s="25" t="str">
        <f t="shared" si="59"/>
        <v xml:space="preserve">Taxe de reboisement  </v>
      </c>
      <c r="AA23" s="16">
        <f t="shared" ref="AA23:AI32" si="66">SUMPRODUCT(($A$84:$A$751=$Y23&amp;"- "&amp;$Z23)*($C$84:$C$751=AA$1)*($G$84:$G$751))</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c r="J24" s="114">
        <f ca="1">SUMIF($J$84:$M$749,B24&amp;"- "&amp;C24,$Q$84:$Q$749)</f>
        <v>0</v>
      </c>
      <c r="K24" s="114">
        <f t="shared" ca="1" si="57"/>
        <v>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74046690</v>
      </c>
      <c r="J25" s="165">
        <f ca="1">SUMIF($J$84:$M$749,C25,$Q$84:$Q$749)</f>
        <v>0</v>
      </c>
      <c r="K25" s="165">
        <f t="shared" ca="1" si="57"/>
        <v>74046690</v>
      </c>
      <c r="L25" s="114"/>
      <c r="M25" s="165">
        <f t="shared" ca="1" si="58"/>
        <v>-74046690</v>
      </c>
      <c r="N25" s="68"/>
      <c r="O25" s="38" t="str">
        <f t="shared" ca="1" si="46"/>
        <v>ERROR</v>
      </c>
      <c r="P25" s="39" t="str">
        <f t="shared" ca="1" si="47"/>
        <v>Please insert comment</v>
      </c>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34504842</v>
      </c>
      <c r="K26" s="114">
        <f t="shared" ca="1" si="57"/>
        <v>34504842</v>
      </c>
      <c r="L26" s="114"/>
      <c r="M26" s="114">
        <f t="shared" ca="1" si="58"/>
        <v>-34504842</v>
      </c>
      <c r="N26" s="18"/>
      <c r="O26" s="38" t="str">
        <f t="shared" ca="1" si="46"/>
        <v>ERROR</v>
      </c>
      <c r="P26" s="39" t="str">
        <f t="shared" ca="1" si="47"/>
        <v>Please insert comment</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74"/>
        <v>0</v>
      </c>
      <c r="K28" s="114">
        <f t="shared" ca="1" si="57"/>
        <v>0</v>
      </c>
      <c r="L28" s="114"/>
      <c r="M28" s="114">
        <f t="shared" ca="1" si="58"/>
        <v>0</v>
      </c>
      <c r="N28" s="18"/>
      <c r="O28" s="38" t="str">
        <f t="shared" ca="1" si="46"/>
        <v/>
      </c>
      <c r="P28" s="39" t="str">
        <f t="shared" ca="1" si="47"/>
        <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74"/>
        <v>0</v>
      </c>
      <c r="K29" s="165">
        <f t="shared" ca="1" si="57"/>
        <v>0</v>
      </c>
      <c r="L29" s="114"/>
      <c r="M29" s="165">
        <f t="shared" ca="1" si="58"/>
        <v>0</v>
      </c>
      <c r="N29" s="68"/>
      <c r="O29" s="38" t="str">
        <f t="shared" ca="1" si="46"/>
        <v/>
      </c>
      <c r="P29" s="39" t="str">
        <f t="shared" ca="1" si="47"/>
        <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v>346313</v>
      </c>
      <c r="J30" s="114">
        <f t="shared" ca="1" si="74"/>
        <v>0</v>
      </c>
      <c r="K30" s="114">
        <f t="shared" ca="1" si="57"/>
        <v>346313</v>
      </c>
      <c r="L30" s="114"/>
      <c r="M30" s="114">
        <f t="shared" ca="1" si="58"/>
        <v>-346313</v>
      </c>
      <c r="N30" s="18"/>
      <c r="O30" s="38" t="str">
        <f t="shared" ca="1" si="46"/>
        <v>ERROR</v>
      </c>
      <c r="P30" s="39" t="str">
        <f t="shared" ca="1" si="47"/>
        <v>Please insert comment</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v>34504842</v>
      </c>
      <c r="J38" s="114">
        <f ca="1">SUMIF($J$84:$M$749,C38,$Q$84:$Q$749)</f>
        <v>-34504842</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IF(J76=S33,"","ERROR")</f>
        <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83746474.574058995</v>
      </c>
      <c r="J47" s="166">
        <f ca="1">SUM(J48:J51)</f>
        <v>0</v>
      </c>
      <c r="K47" s="166">
        <f ca="1">SUM(K48:K51)</f>
        <v>83746474.574058995</v>
      </c>
      <c r="L47" s="114"/>
      <c r="M47" s="166">
        <f ca="1">SUM(M48:M51)</f>
        <v>-83746474.574058995</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v>53682734.760774001</v>
      </c>
      <c r="J48" s="114">
        <f ca="1">SUMIF($J$84:$M$749,B48&amp;"- "&amp;C48,$Q$84:$Q$749)</f>
        <v>0</v>
      </c>
      <c r="K48" s="114">
        <f ca="1">I48+J48</f>
        <v>53682734.760774001</v>
      </c>
      <c r="L48" s="114"/>
      <c r="M48" s="114">
        <f ca="1">+G48-K48</f>
        <v>-53682734.760774001</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v>30063739.813284993</v>
      </c>
      <c r="J49" s="165">
        <f ca="1">SUMIF($J$84:$M$749,B49&amp;"- "&amp;C49,$Q$84:$Q$749)</f>
        <v>0</v>
      </c>
      <c r="K49" s="165">
        <f ca="1">I49+J49</f>
        <v>30063739.813284993</v>
      </c>
      <c r="L49" s="114"/>
      <c r="M49" s="165">
        <f ca="1">+G49-K49</f>
        <v>-30063739.813284993</v>
      </c>
      <c r="N49" s="68"/>
      <c r="O49" s="38" t="str">
        <f t="shared" ca="1" si="46"/>
        <v>ERROR</v>
      </c>
      <c r="P49" s="39" t="str">
        <f t="shared" ca="1" si="86"/>
        <v>Please insert comment</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113810214.38734399</v>
      </c>
      <c r="J52" s="166">
        <f t="shared" ref="J52" ca="1" si="105">+J53+J54</f>
        <v>0</v>
      </c>
      <c r="K52" s="166">
        <f t="shared" ref="K52" ca="1" si="106">+K53+K54</f>
        <v>113810214.38734399</v>
      </c>
      <c r="L52" s="114"/>
      <c r="M52" s="166">
        <f t="shared" ref="M52" ca="1" si="107">+M53+M54</f>
        <v>-113810214.38734399</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v>60127479.626569986</v>
      </c>
      <c r="J53" s="114">
        <f ca="1">SUMIF($J$84:$M$749,B53&amp;"- "&amp;C53,$Q$84:$Q$749)</f>
        <v>0</v>
      </c>
      <c r="K53" s="114">
        <f ca="1">I53+J53</f>
        <v>60127479.626569986</v>
      </c>
      <c r="L53" s="114"/>
      <c r="M53" s="114">
        <f ca="1">+G53-K53</f>
        <v>-60127479.626569986</v>
      </c>
      <c r="N53" s="18"/>
      <c r="O53" s="38" t="str">
        <f t="shared" ca="1" si="46"/>
        <v>ERROR</v>
      </c>
      <c r="P53" s="39" t="str">
        <f ca="1">IF(O53="ERROR","Please insert comment","")</f>
        <v>Please insert comment</v>
      </c>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v>53682734.760774001</v>
      </c>
      <c r="J54" s="165">
        <f ca="1">SUMIF($J$84:$M$749,B54&amp;"- "&amp;C54,$Q$84:$Q$749)</f>
        <v>0</v>
      </c>
      <c r="K54" s="165">
        <f ca="1">I54+J54</f>
        <v>53682734.760774001</v>
      </c>
      <c r="L54" s="114"/>
      <c r="M54" s="165">
        <f ca="1">+G54-K54</f>
        <v>-53682734.760774001</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IF(J76=Q751,"","ERROR")</f>
        <v>ERROR</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J86" s="61" t="s">
        <v>190</v>
      </c>
      <c r="L86" s="60"/>
      <c r="N86" s="97"/>
      <c r="P86" s="129"/>
      <c r="Q86" s="145">
        <f>-I38</f>
        <v>-34504842</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J87" s="61" t="s">
        <v>178</v>
      </c>
      <c r="L87" s="60"/>
      <c r="N87" s="97"/>
      <c r="O87" s="121"/>
      <c r="P87" s="129"/>
      <c r="Q87" s="145">
        <f>-Q86</f>
        <v>34504842</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J88" s="61" t="s">
        <v>176</v>
      </c>
      <c r="L88" s="60"/>
      <c r="N88" s="97"/>
      <c r="O88" s="125"/>
      <c r="P88" s="122"/>
      <c r="Q88" s="146">
        <f>+I23/0.7*0.3</f>
        <v>61190447.142857149</v>
      </c>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v>1210901</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v>25810930</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88212278.142857149</v>
      </c>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34" priority="6" operator="containsText" text="ERROR">
      <formula>NOT(ISERROR(SEARCH("ERROR",T17)))</formula>
    </cfRule>
  </conditionalFormatting>
  <conditionalFormatting sqref="T42">
    <cfRule type="containsText" dxfId="33" priority="5" operator="containsText" text="ERROR">
      <formula>NOT(ISERROR(SEARCH("ERROR",T42)))</formula>
    </cfRule>
  </conditionalFormatting>
  <conditionalFormatting sqref="W19">
    <cfRule type="containsText" dxfId="32" priority="1" operator="containsText" text="ERROR">
      <formula>NOT(ISERROR(SEARCH("ERROR",W19)))</formula>
    </cfRule>
  </conditionalFormatting>
  <conditionalFormatting sqref="BL72">
    <cfRule type="containsText" dxfId="31" priority="2" operator="containsText" text="ERROR">
      <formula>NOT(ISERROR(SEARCH("ERROR",BL72)))</formula>
    </cfRule>
  </conditionalFormatting>
  <dataValidations count="5">
    <dataValidation type="list" allowBlank="1" showInputMessage="1" showErrorMessage="1" sqref="C84:C752" xr:uid="{6EA2B48C-6225-4ACB-8298-A7D9D1335560}">
      <formula1>Compadjust</formula1>
    </dataValidation>
    <dataValidation type="list" allowBlank="1" showInputMessage="1" showErrorMessage="1" sqref="M93:M95 L100:L748 M131:M748 L97:M98 L84:L96" xr:uid="{D316555B-FE2E-401D-9E52-627313958F40}">
      <formula1>Taxes</formula1>
    </dataValidation>
    <dataValidation type="list" allowBlank="1" showInputMessage="1" showErrorMessage="1" sqref="N84:N749" xr:uid="{98E52C78-9BB0-4028-ABF9-A9AA8D72DA8F}">
      <formula1>Govadjust</formula1>
    </dataValidation>
    <dataValidation type="list" allowBlank="1" showInputMessage="1" showErrorMessage="1" sqref="N5:N8 N73 N75 N77:N79 N10:N71" xr:uid="{AE14FFE7-4C29-4DB4-8938-F140ED2022DF}">
      <formula1>FinalDiff</formula1>
    </dataValidation>
    <dataValidation type="list" allowBlank="1" showErrorMessage="1" errorTitle="Taxes" error="Non valid entry. Please check the tax list" promptTitle="Taxes" prompt="Please select the tax subject to adjustment" sqref="B84:B105" xr:uid="{3A1CD1B4-5274-473E-BD51-D2CEEDA320B3}">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B97B51F0-4067-46A6-85B1-D287B44C1DA9}">
          <x14:formula1>
            <xm:f>Lists!$A$131:$A$132</xm:f>
          </x14:formula1>
          <xm:sqref>K84:K749</xm:sqref>
        </x14:dataValidation>
        <x14:dataValidation type="list" allowBlank="1" showInputMessage="1" showErrorMessage="1" xr:uid="{CD0D8764-0258-4BFC-92E4-6C1502345A06}">
          <x14:formula1>
            <xm:f>Lists!$A$7:$A$64</xm:f>
          </x14:formula1>
          <xm:sqref>J84:J749</xm:sqref>
        </x14:dataValidation>
        <x14:dataValidation type="list" allowBlank="1" showErrorMessage="1" errorTitle="Taxes" error="Non valid entry. Please check the tax list" promptTitle="Taxes" prompt="Please select the tax subject to adjustment" xr:uid="{2ABE5A80-2182-4159-96C8-D2EBD28C5A0E}">
          <x14:formula1>
            <xm:f>Lists!$A$7:$A$64</xm:f>
          </x14:formula1>
          <xm:sqref>A84:A751</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5"/>
  <dimension ref="A1:BL753"/>
  <sheetViews>
    <sheetView showGridLines="0" topLeftCell="B22" zoomScaleNormal="100" workbookViewId="0">
      <selection activeCell="C27" sqref="C27"/>
    </sheetView>
  </sheetViews>
  <sheetFormatPr baseColWidth="10" defaultColWidth="11.54296875" defaultRowHeight="12" outlineLevelCol="1"/>
  <cols>
    <col min="1" max="1" width="28.54296875" style="17" hidden="1" customWidth="1"/>
    <col min="2" max="2" width="4.453125" style="17" customWidth="1"/>
    <col min="3" max="3" width="53.54296875" style="30" customWidth="1"/>
    <col min="4" max="4" width="0.81640625" style="21" customWidth="1"/>
    <col min="5" max="5" width="15.54296875" style="21" customWidth="1"/>
    <col min="6" max="6" width="14.26953125" style="17" bestFit="1" customWidth="1"/>
    <col min="7" max="7" width="15.26953125" style="21" customWidth="1"/>
    <col min="8" max="8" width="0.81640625" style="21" customWidth="1"/>
    <col min="9" max="9" width="15.26953125" style="21" bestFit="1" customWidth="1"/>
    <col min="10" max="10" width="15.17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52.542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Companies!B22</f>
        <v>SOCIETE  IFB  SARL  INUSTRIE FOREST. BATALIMO</v>
      </c>
      <c r="F1" s="32" t="str">
        <f>Companies!C22</f>
        <v>M074472L001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-11824492.882041506</v>
      </c>
      <c r="BE5" s="81">
        <f t="shared" ca="1" si="15"/>
        <v>20709169.390000001</v>
      </c>
      <c r="BF5" s="81">
        <f t="shared" ca="1" si="15"/>
        <v>-10206173.811224006</v>
      </c>
      <c r="BG5" s="81">
        <f t="shared" ca="1" si="15"/>
        <v>15427409</v>
      </c>
      <c r="BH5" s="81">
        <f t="shared" ca="1" si="15"/>
        <v>0</v>
      </c>
      <c r="BI5" s="81">
        <f t="shared" ca="1" si="15"/>
        <v>0</v>
      </c>
      <c r="BJ5" s="81">
        <f t="shared" ca="1" si="15"/>
        <v>0</v>
      </c>
      <c r="BK5" s="81">
        <f t="shared" ca="1" si="15"/>
        <v>-742208.42857143283</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-1064870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ca="1" si="4"/>
        <v>-13454927.882041506</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-1235918</v>
      </c>
    </row>
    <row r="8" spans="1:63">
      <c r="B8" s="78" t="s">
        <v>93</v>
      </c>
      <c r="C8" s="77"/>
      <c r="E8" s="164">
        <f>+E9+E13+E15+E17+E40+E45+E47+E52+E55+E62+E65+E68+E77</f>
        <v>422637628</v>
      </c>
      <c r="F8" s="164">
        <f>+F9+F13+F15+F17+F40+F45+F47+F52+F55+F62+F65+F68+F77</f>
        <v>-16681430</v>
      </c>
      <c r="G8" s="164">
        <f>+G9+G13+G15+G17+G40+G45+G47+G52+G55+G62+G65+G68+G77</f>
        <v>405956198</v>
      </c>
      <c r="H8" s="114"/>
      <c r="I8" s="164">
        <f>+I9+I13+I15+I17+I40+I45+I47+I52+I55+I62+I65+I68+I77</f>
        <v>348726922.22490048</v>
      </c>
      <c r="J8" s="164">
        <f ca="1">+J9+J13+J15+J17+J40+J45+J47+J52+J55+J62+J65+J68+J77</f>
        <v>48945763.428571433</v>
      </c>
      <c r="K8" s="164">
        <f ca="1">+K9+K13+K15+K17+K40+K45+K47+K52+K55+K62+K65+K68+K77</f>
        <v>397672685.65347195</v>
      </c>
      <c r="L8" s="114"/>
      <c r="M8" s="164">
        <f ca="1">+M9+M13+M15+M17+M40+M45+M52+M55+M62+M65+M68+M77+M47</f>
        <v>8283512.3465280533</v>
      </c>
      <c r="N8" s="79"/>
      <c r="Q8" s="35"/>
      <c r="R8" s="21" t="str">
        <f>Lists!A73</f>
        <v>Montant doublement déclaré</v>
      </c>
      <c r="S8" s="18">
        <f t="shared" si="3"/>
        <v>0</v>
      </c>
      <c r="U8" s="21" t="str">
        <f>Lists!A96</f>
        <v>Détail non soumis par l'Etat</v>
      </c>
      <c r="V8" s="18">
        <f t="shared" ca="1" si="4"/>
        <v>20709169.390000001</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171048</v>
      </c>
    </row>
    <row r="9" spans="1:63">
      <c r="B9" s="58"/>
      <c r="C9" s="58" t="str">
        <f>+'Taxes RCA 2022'!B2</f>
        <v>DGDDI</v>
      </c>
      <c r="E9" s="166">
        <f>SUM(E10:E12)</f>
        <v>0</v>
      </c>
      <c r="F9" s="166">
        <f t="shared" ref="F9:G9" si="25">SUM(F10:F12)</f>
        <v>20627807</v>
      </c>
      <c r="G9" s="166">
        <f t="shared" si="25"/>
        <v>20627807</v>
      </c>
      <c r="H9" s="114"/>
      <c r="I9" s="166">
        <f>SUM(I10:I12)</f>
        <v>0</v>
      </c>
      <c r="J9" s="166">
        <f t="shared" ref="J9" ca="1" si="26">SUM(J10:J12)</f>
        <v>21692677</v>
      </c>
      <c r="K9" s="166">
        <f t="shared" ref="K9" ca="1" si="27">SUM(K10:K12)</f>
        <v>21692677</v>
      </c>
      <c r="L9" s="114"/>
      <c r="M9" s="166">
        <f t="shared" ref="M9" ca="1" si="28">SUM(M10:M12)</f>
        <v>-1064870</v>
      </c>
      <c r="N9" s="58"/>
      <c r="Q9" s="35"/>
      <c r="R9" s="21" t="str">
        <f>Lists!A74</f>
        <v>Erreur de classification</v>
      </c>
      <c r="S9" s="18">
        <f t="shared" si="3"/>
        <v>0</v>
      </c>
      <c r="U9" s="21" t="str">
        <f>Lists!A97</f>
        <v>Taxes non reportées par l'Entreprise Extractive</v>
      </c>
      <c r="V9" s="18">
        <f t="shared" ca="1" si="4"/>
        <v>-13655929.732859008</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+VLOOKUP(C10,$C$83:$G$117,5,0)</f>
        <v>0</v>
      </c>
      <c r="G10" s="165">
        <f>E10+F10</f>
        <v>0</v>
      </c>
      <c r="H10" s="114"/>
      <c r="I10" s="165"/>
      <c r="J10" s="165">
        <f>SUMIF($J$83:$J$1048576,C10,$Q$83:$Q$1048576)</f>
        <v>1235918</v>
      </c>
      <c r="K10" s="165">
        <f>I10+J10</f>
        <v>1235918</v>
      </c>
      <c r="L10" s="114"/>
      <c r="M10" s="165">
        <f>+G10-K10</f>
        <v>-1235918</v>
      </c>
      <c r="N10" s="68" t="s">
        <v>229</v>
      </c>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ca="1" si="4"/>
        <v>15427409</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+VLOOKUP(C11,$C$83:$G$117,5,0)</f>
        <v>20627807</v>
      </c>
      <c r="G11" s="114">
        <f>E11+F11</f>
        <v>20627807</v>
      </c>
      <c r="H11" s="114"/>
      <c r="I11" s="114"/>
      <c r="J11" s="114">
        <f>SUMIF($J$83:$J$1048576,C11,$Q$83:$Q$1048576)</f>
        <v>20456759</v>
      </c>
      <c r="K11" s="114">
        <f>I11+J11</f>
        <v>20456759</v>
      </c>
      <c r="L11" s="114"/>
      <c r="M11" s="114">
        <f>+G11-K11</f>
        <v>171048</v>
      </c>
      <c r="N11" s="18" t="s">
        <v>229</v>
      </c>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37738139</v>
      </c>
      <c r="BF12" s="29">
        <f t="shared" ca="1" si="32"/>
        <v>0</v>
      </c>
      <c r="BG12" s="29">
        <f t="shared" ca="1" si="32"/>
        <v>0</v>
      </c>
      <c r="BH12" s="29">
        <f t="shared" ca="1" si="32"/>
        <v>0</v>
      </c>
      <c r="BI12" s="29">
        <f t="shared" ca="1" si="32"/>
        <v>0</v>
      </c>
      <c r="BJ12" s="29">
        <f t="shared" ca="1" si="32"/>
        <v>0</v>
      </c>
      <c r="BK12" s="29">
        <f t="shared" ca="1" si="32"/>
        <v>428378.57142856717</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ca="1" si="4"/>
        <v>-742208.42857143283</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 ca="1">SUM(V3:V14)</f>
        <v>8283512.3465280533</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29389750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422637628</v>
      </c>
      <c r="F17" s="166">
        <f t="shared" ref="F17:G17" si="51">SUM(F18:F39)</f>
        <v>-161888424</v>
      </c>
      <c r="G17" s="166">
        <f t="shared" si="51"/>
        <v>260749204</v>
      </c>
      <c r="H17" s="114"/>
      <c r="I17" s="166">
        <f>SUM(I18:I39)</f>
        <v>200125781</v>
      </c>
      <c r="J17" s="166">
        <f t="shared" ref="J17" ca="1" si="52">SUM(J18:J39)</f>
        <v>27253086.428571433</v>
      </c>
      <c r="K17" s="166">
        <f t="shared" ref="K17" ca="1" si="53">SUM(K18:K39)</f>
        <v>227378867.42857143</v>
      </c>
      <c r="L17" s="114"/>
      <c r="M17" s="166">
        <f t="shared" ref="M17" ca="1" si="54">SUM(M18:M39)</f>
        <v>33370336.571428567</v>
      </c>
      <c r="N17" s="58"/>
      <c r="O17" s="38" t="str">
        <f t="shared" ca="1" si="46"/>
        <v>ERROR</v>
      </c>
      <c r="P17" s="39" t="str">
        <f t="shared" ca="1" si="47"/>
        <v>Please insert comment</v>
      </c>
      <c r="Q17" s="35"/>
      <c r="T17" s="41" t="str">
        <f>IF(F8=S12,"","ERROR")</f>
        <v>ERROR</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428400</v>
      </c>
    </row>
    <row r="18" spans="1:63">
      <c r="A18" s="80"/>
      <c r="B18" s="53">
        <f>+'Taxes RCA 2022'!A11</f>
        <v>6</v>
      </c>
      <c r="C18" s="18" t="str">
        <f>+'Taxes RCA 2022'!B11</f>
        <v>Redevance à la production (+)</v>
      </c>
      <c r="E18" s="114"/>
      <c r="F18" s="114">
        <f>SUMIF($A$84:$A$751,B18&amp;"- "&amp;C18,$G$84:$G$751)</f>
        <v>0</v>
      </c>
      <c r="G18" s="114">
        <f t="shared" ref="G18:G39" si="55">E18+F18</f>
        <v>0</v>
      </c>
      <c r="H18" s="114"/>
      <c r="I18" s="114">
        <v>0</v>
      </c>
      <c r="J18" s="114">
        <f ca="1">SUMIF($J$84:$M$749,C18,$Q$84:$Q$749)</f>
        <v>0</v>
      </c>
      <c r="K18" s="114">
        <f t="shared" ref="K18:K39" ca="1" si="56">I18+J18</f>
        <v>0</v>
      </c>
      <c r="L18" s="114"/>
      <c r="M18" s="114">
        <f t="shared" ref="M18:M39" ca="1" si="57">+G18-K18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8348389</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v>33164987</v>
      </c>
      <c r="F19" s="165">
        <f>SUMIF($A$84:$A$751,B19&amp;"- "&amp;C19,$G$84:$G$751)</f>
        <v>0</v>
      </c>
      <c r="G19" s="165">
        <f t="shared" si="55"/>
        <v>33164987</v>
      </c>
      <c r="H19" s="114"/>
      <c r="I19" s="165">
        <v>3775237</v>
      </c>
      <c r="J19" s="165">
        <f ca="1">SUMIF($J$84:$M$749,C19,$Q$84:$Q$749)</f>
        <v>0</v>
      </c>
      <c r="K19" s="165">
        <f t="shared" ca="1" si="56"/>
        <v>3775237</v>
      </c>
      <c r="L19" s="114"/>
      <c r="M19" s="165">
        <f t="shared" ca="1" si="57"/>
        <v>29389750</v>
      </c>
      <c r="N19" s="68" t="s">
        <v>52</v>
      </c>
      <c r="O19" s="38" t="str">
        <f t="shared" ca="1" si="46"/>
        <v/>
      </c>
      <c r="P19" s="39" t="str">
        <f t="shared" ca="1" si="47"/>
        <v/>
      </c>
      <c r="Q19" s="35"/>
      <c r="W19" s="41" t="str">
        <f ca="1">IF(M8=V15,"","ERROR")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v>6332400</v>
      </c>
      <c r="F20" s="114">
        <v>0</v>
      </c>
      <c r="G20" s="114">
        <f t="shared" si="55"/>
        <v>6332400</v>
      </c>
      <c r="H20" s="114"/>
      <c r="I20" s="114">
        <v>5904000</v>
      </c>
      <c r="J20" s="114">
        <f ca="1">SUMIF($J$84:$M$749,C20,$Q$84:$Q$749)</f>
        <v>0</v>
      </c>
      <c r="K20" s="114">
        <f t="shared" ca="1" si="56"/>
        <v>5904000</v>
      </c>
      <c r="L20" s="114"/>
      <c r="M20" s="114">
        <f t="shared" ca="1" si="57"/>
        <v>428400</v>
      </c>
      <c r="N20" s="18" t="s">
        <v>229</v>
      </c>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-21.428571432828903</v>
      </c>
    </row>
    <row r="21" spans="1:63">
      <c r="A21" s="80">
        <f t="shared" si="29"/>
        <v>9</v>
      </c>
      <c r="B21" s="64">
        <f>+'Taxes RCA 2022'!A14</f>
        <v>9</v>
      </c>
      <c r="C21" s="68" t="str">
        <f>+'Taxes RCA 2022'!B14</f>
        <v>Impôt sur les revenus des personnes physiques (IRPP)</v>
      </c>
      <c r="E21" s="165"/>
      <c r="F21" s="165">
        <f>+VLOOKUP(C21,$C$83:$G$117,5,0)</f>
        <v>22765838</v>
      </c>
      <c r="G21" s="165">
        <f t="shared" si="55"/>
        <v>22765838</v>
      </c>
      <c r="H21" s="114"/>
      <c r="I21" s="165">
        <v>14417449</v>
      </c>
      <c r="J21" s="165">
        <f ca="1">SUMIF($J$84:$M$749,B21&amp;"- "&amp;C21,$Q$84:$Q$749)</f>
        <v>0</v>
      </c>
      <c r="K21" s="165">
        <f t="shared" ca="1" si="56"/>
        <v>14417449</v>
      </c>
      <c r="L21" s="114"/>
      <c r="M21" s="165">
        <f t="shared" ca="1" si="57"/>
        <v>8348389</v>
      </c>
      <c r="N21" s="68" t="s">
        <v>52</v>
      </c>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v>0</v>
      </c>
      <c r="G22" s="114">
        <f t="shared" si="55"/>
        <v>0</v>
      </c>
      <c r="H22" s="114"/>
      <c r="I22" s="114"/>
      <c r="J22" s="114">
        <f ca="1">SUMIF($J$84:$M$749,B22&amp;"- "&amp;C22,$Q$84:$Q$749)</f>
        <v>0</v>
      </c>
      <c r="K22" s="114">
        <f t="shared" ca="1" si="56"/>
        <v>0</v>
      </c>
      <c r="L22" s="114"/>
      <c r="M22" s="114">
        <f t="shared" ca="1" si="57"/>
        <v>0</v>
      </c>
      <c r="N22" s="18"/>
      <c r="O22" s="38" t="str">
        <f t="shared" ca="1" si="46"/>
        <v/>
      </c>
      <c r="P22" s="39" t="str">
        <f t="shared" ca="1" si="47"/>
        <v/>
      </c>
      <c r="Q22" s="35"/>
      <c r="Y22" s="28"/>
      <c r="Z22" s="28" t="str">
        <f t="shared" ref="Z22:Z53" si="58">C25</f>
        <v xml:space="preserve">Taxe d'abattage  </v>
      </c>
      <c r="AA22" s="29">
        <f>SUM(AA23:AA32)</f>
        <v>0</v>
      </c>
      <c r="AB22" s="29">
        <f t="shared" ref="AB22:AJ22" si="59">SUM(AB23:AB32)</f>
        <v>0</v>
      </c>
      <c r="AC22" s="29">
        <f t="shared" si="59"/>
        <v>0</v>
      </c>
      <c r="AD22" s="29">
        <f t="shared" si="59"/>
        <v>0</v>
      </c>
      <c r="AE22" s="29">
        <f t="shared" si="59"/>
        <v>0</v>
      </c>
      <c r="AF22" s="29">
        <f t="shared" si="59"/>
        <v>0</v>
      </c>
      <c r="AG22" s="29">
        <f t="shared" si="59"/>
        <v>0</v>
      </c>
      <c r="AH22" s="29">
        <f t="shared" si="59"/>
        <v>0</v>
      </c>
      <c r="AI22" s="29">
        <f t="shared" si="59"/>
        <v>0</v>
      </c>
      <c r="AJ22" s="29">
        <f t="shared" si="59"/>
        <v>0</v>
      </c>
      <c r="AL22" s="28"/>
      <c r="AM22" s="28" t="str">
        <f t="shared" ref="AM22:AM53" si="60">+C25</f>
        <v xml:space="preserve">Taxe d'abattage  </v>
      </c>
      <c r="AN22" s="29">
        <f>SUM(AN23:AN32)</f>
        <v>0</v>
      </c>
      <c r="AO22" s="29">
        <f t="shared" ref="AO22:AV22" si="61">SUM(AO23:AO32)</f>
        <v>0</v>
      </c>
      <c r="AP22" s="29">
        <f t="shared" si="61"/>
        <v>0</v>
      </c>
      <c r="AQ22" s="29">
        <f t="shared" si="61"/>
        <v>0</v>
      </c>
      <c r="AR22" s="29">
        <f t="shared" si="61"/>
        <v>0</v>
      </c>
      <c r="AS22" s="29">
        <f t="shared" si="61"/>
        <v>0</v>
      </c>
      <c r="AT22" s="29">
        <f t="shared" si="61"/>
        <v>0</v>
      </c>
      <c r="AU22" s="29">
        <f t="shared" si="61"/>
        <v>0</v>
      </c>
      <c r="AV22" s="29">
        <f t="shared" si="61"/>
        <v>0</v>
      </c>
      <c r="AW22" s="38"/>
      <c r="AX22" s="28"/>
      <c r="AY22" s="28" t="str">
        <f t="shared" ref="AY22:AY53" si="62">C25</f>
        <v xml:space="preserve">Taxe d'abattage  </v>
      </c>
      <c r="AZ22" s="29">
        <f t="shared" ref="AZ22:BK22" ca="1" si="63">SUM(AZ23:AZ32)</f>
        <v>0</v>
      </c>
      <c r="BA22" s="29">
        <f t="shared" ca="1" si="63"/>
        <v>0</v>
      </c>
      <c r="BB22" s="29">
        <f t="shared" ca="1" si="63"/>
        <v>0</v>
      </c>
      <c r="BC22" s="29">
        <f t="shared" ca="1" si="63"/>
        <v>0</v>
      </c>
      <c r="BD22" s="29">
        <f t="shared" ca="1" si="63"/>
        <v>0</v>
      </c>
      <c r="BE22" s="29">
        <f t="shared" ca="1" si="63"/>
        <v>-17028969.609999999</v>
      </c>
      <c r="BF22" s="29">
        <f t="shared" ca="1" si="63"/>
        <v>-1458468.3899999997</v>
      </c>
      <c r="BG22" s="29">
        <f t="shared" ca="1" si="63"/>
        <v>15427409</v>
      </c>
      <c r="BH22" s="29">
        <f t="shared" ca="1" si="63"/>
        <v>0</v>
      </c>
      <c r="BI22" s="29">
        <f t="shared" ca="1" si="63"/>
        <v>0</v>
      </c>
      <c r="BJ22" s="29">
        <f t="shared" ca="1" si="63"/>
        <v>0</v>
      </c>
      <c r="BK22" s="29">
        <f t="shared" ca="1" si="63"/>
        <v>-105717</v>
      </c>
    </row>
    <row r="23" spans="1:63">
      <c r="A23" s="80">
        <f t="shared" si="29"/>
        <v>11</v>
      </c>
      <c r="B23" s="64">
        <f>+'Taxes RCA 2022'!A16</f>
        <v>11</v>
      </c>
      <c r="C23" s="68" t="str">
        <f>+'Taxes RCA 2022'!B16</f>
        <v>Loyer annuel</v>
      </c>
      <c r="E23" s="165">
        <v>90843600</v>
      </c>
      <c r="F23" s="165">
        <f>SUMIF($A$84:$A$751,B23&amp;"- "&amp;C23,$G$84:$G$751)</f>
        <v>0</v>
      </c>
      <c r="G23" s="165">
        <f t="shared" si="55"/>
        <v>90843600</v>
      </c>
      <c r="H23" s="114"/>
      <c r="I23" s="165">
        <v>63590535</v>
      </c>
      <c r="J23" s="165">
        <f ca="1">SUMIF($J$84:$M$749,C23,$Q$84:$Q$749)</f>
        <v>27253086.428571429</v>
      </c>
      <c r="K23" s="165">
        <f t="shared" ca="1" si="56"/>
        <v>90843621.428571433</v>
      </c>
      <c r="L23" s="114"/>
      <c r="M23" s="165">
        <f t="shared" ca="1" si="57"/>
        <v>-21.428571432828903</v>
      </c>
      <c r="N23" s="68" t="s">
        <v>229</v>
      </c>
      <c r="O23" s="38" t="str">
        <f t="shared" ca="1" si="46"/>
        <v/>
      </c>
      <c r="P23" s="39" t="str">
        <f t="shared" ca="1" si="47"/>
        <v/>
      </c>
      <c r="Q23" s="35"/>
      <c r="Y23" s="15">
        <f t="shared" ref="Y23:Y32" si="64">B26</f>
        <v>14</v>
      </c>
      <c r="Z23" s="25" t="str">
        <f t="shared" si="58"/>
        <v xml:space="preserve">Taxe de reboisement  </v>
      </c>
      <c r="AA23" s="16">
        <f t="shared" ref="AA23:AI32" si="65">SUMPRODUCT(($A$84:$A$751=$Y23&amp;"- "&amp;$Z23)*($C$84:$C$751=AA$1)*($G$84:$G$751))</f>
        <v>0</v>
      </c>
      <c r="AB23" s="16">
        <f t="shared" si="65"/>
        <v>0</v>
      </c>
      <c r="AC23" s="16">
        <f t="shared" si="65"/>
        <v>0</v>
      </c>
      <c r="AD23" s="16">
        <f t="shared" si="65"/>
        <v>0</v>
      </c>
      <c r="AE23" s="16">
        <f t="shared" si="65"/>
        <v>0</v>
      </c>
      <c r="AF23" s="16">
        <f t="shared" si="65"/>
        <v>0</v>
      </c>
      <c r="AG23" s="16">
        <f t="shared" si="65"/>
        <v>0</v>
      </c>
      <c r="AH23" s="16">
        <f t="shared" si="65"/>
        <v>0</v>
      </c>
      <c r="AI23" s="16">
        <f t="shared" si="65"/>
        <v>0</v>
      </c>
      <c r="AJ23" s="16">
        <f t="shared" ref="AJ23:AJ28" si="66">SUM(AA23:AI23)</f>
        <v>0</v>
      </c>
      <c r="AL23" s="17">
        <f t="shared" ref="AL23:AL32" si="67">+B26</f>
        <v>14</v>
      </c>
      <c r="AM23" s="26" t="str">
        <f t="shared" si="60"/>
        <v xml:space="preserve">Taxe de reboisement  </v>
      </c>
      <c r="AN23" s="18">
        <f t="shared" ref="AN23:AU32" si="68">SUMPRODUCT(($J$84:$M$748=$AL23&amp;"- "&amp;$AM23)*($N$84:$N$748=AN$1)*($Q$84:$Q$748))</f>
        <v>0</v>
      </c>
      <c r="AO23" s="18">
        <f t="shared" si="68"/>
        <v>0</v>
      </c>
      <c r="AP23" s="18">
        <f t="shared" si="68"/>
        <v>0</v>
      </c>
      <c r="AQ23" s="18">
        <f t="shared" si="68"/>
        <v>0</v>
      </c>
      <c r="AR23" s="18">
        <f t="shared" si="68"/>
        <v>0</v>
      </c>
      <c r="AS23" s="18">
        <f t="shared" si="68"/>
        <v>0</v>
      </c>
      <c r="AT23" s="18">
        <f t="shared" si="68"/>
        <v>0</v>
      </c>
      <c r="AU23" s="18">
        <f t="shared" si="68"/>
        <v>0</v>
      </c>
      <c r="AV23" s="18">
        <f t="shared" ref="AV23:AV28" si="69">SUM(AN23:AU23)</f>
        <v>0</v>
      </c>
      <c r="AW23" s="18"/>
      <c r="AX23" s="17">
        <f t="shared" ref="AX23:AX32" si="70">B26</f>
        <v>14</v>
      </c>
      <c r="AY23" s="26" t="str">
        <f t="shared" si="62"/>
        <v xml:space="preserve">Taxe de reboisement  </v>
      </c>
      <c r="AZ23" s="18">
        <f t="shared" ref="AZ23:BK32" ca="1" si="71">SUMPRODUCT(($C$10:$C$75=$AY23)*($N$10:$N$75=AZ$1)*($M$10:$M$75))</f>
        <v>0</v>
      </c>
      <c r="BA23" s="18">
        <f t="shared" ca="1" si="71"/>
        <v>0</v>
      </c>
      <c r="BB23" s="18">
        <f t="shared" ca="1" si="71"/>
        <v>0</v>
      </c>
      <c r="BC23" s="18">
        <f t="shared" ca="1" si="71"/>
        <v>0</v>
      </c>
      <c r="BD23" s="18">
        <f t="shared" ca="1" si="71"/>
        <v>0</v>
      </c>
      <c r="BE23" s="18">
        <f t="shared" ca="1" si="71"/>
        <v>0</v>
      </c>
      <c r="BF23" s="18">
        <f t="shared" ca="1" si="71"/>
        <v>0</v>
      </c>
      <c r="BG23" s="18">
        <f t="shared" ca="1" si="71"/>
        <v>0</v>
      </c>
      <c r="BH23" s="18">
        <f t="shared" ca="1" si="71"/>
        <v>0</v>
      </c>
      <c r="BI23" s="18">
        <f t="shared" ca="1" si="71"/>
        <v>0</v>
      </c>
      <c r="BJ23" s="18">
        <f t="shared" ca="1" si="71"/>
        <v>0</v>
      </c>
      <c r="BK23" s="18">
        <f t="shared" ca="1" si="71"/>
        <v>-105717</v>
      </c>
    </row>
    <row r="24" spans="1:63">
      <c r="A24" s="80">
        <f t="shared" si="29"/>
        <v>12</v>
      </c>
      <c r="B24" s="53">
        <f>+'Taxes RCA 2022'!A17</f>
        <v>12</v>
      </c>
      <c r="C24" s="18" t="str">
        <f>+'Taxes RCA 2022'!B17</f>
        <v>Patente</v>
      </c>
      <c r="E24" s="114">
        <v>7487109</v>
      </c>
      <c r="F24" s="114">
        <f>SUMIF($A$84:$A$751,B24&amp;"- "&amp;C24,$G$84:$G$751)</f>
        <v>0</v>
      </c>
      <c r="G24" s="114">
        <f t="shared" si="55"/>
        <v>7487109</v>
      </c>
      <c r="H24" s="114"/>
      <c r="I24" s="114">
        <v>7487109</v>
      </c>
      <c r="J24" s="114">
        <f ca="1">SUMIF($J$84:$M$749,B24&amp;"- "&amp;C24,$Q$84:$Q$749)</f>
        <v>0</v>
      </c>
      <c r="K24" s="114">
        <f t="shared" ca="1" si="56"/>
        <v>7487109</v>
      </c>
      <c r="L24" s="114"/>
      <c r="M24" s="114">
        <f t="shared" ca="1" si="57"/>
        <v>0</v>
      </c>
      <c r="N24" s="18"/>
      <c r="O24" s="38" t="str">
        <f t="shared" ca="1" si="46"/>
        <v/>
      </c>
      <c r="P24" s="39" t="str">
        <f t="shared" ca="1" si="47"/>
        <v/>
      </c>
      <c r="Q24" s="35"/>
      <c r="R24" s="36" t="s">
        <v>17</v>
      </c>
      <c r="S24" s="37" t="s">
        <v>4</v>
      </c>
      <c r="Y24" s="15">
        <f t="shared" si="64"/>
        <v>15</v>
      </c>
      <c r="Z24" s="25" t="str">
        <f t="shared" si="58"/>
        <v>Impôt sur les fonciers bâtis (IFB)</v>
      </c>
      <c r="AA24" s="16">
        <f t="shared" si="65"/>
        <v>0</v>
      </c>
      <c r="AB24" s="16">
        <f t="shared" si="65"/>
        <v>0</v>
      </c>
      <c r="AC24" s="16">
        <f t="shared" si="65"/>
        <v>0</v>
      </c>
      <c r="AD24" s="16">
        <f t="shared" si="65"/>
        <v>0</v>
      </c>
      <c r="AE24" s="16">
        <f t="shared" si="65"/>
        <v>0</v>
      </c>
      <c r="AF24" s="16">
        <f t="shared" si="65"/>
        <v>0</v>
      </c>
      <c r="AG24" s="16">
        <f t="shared" si="65"/>
        <v>0</v>
      </c>
      <c r="AH24" s="16">
        <f t="shared" si="65"/>
        <v>0</v>
      </c>
      <c r="AI24" s="16">
        <f t="shared" si="65"/>
        <v>0</v>
      </c>
      <c r="AJ24" s="16">
        <f t="shared" si="66"/>
        <v>0</v>
      </c>
      <c r="AL24" s="17">
        <f t="shared" si="67"/>
        <v>15</v>
      </c>
      <c r="AM24" s="26" t="str">
        <f t="shared" si="60"/>
        <v>Impôt sur les fonciers bâtis (IFB)</v>
      </c>
      <c r="AN24" s="18">
        <f t="shared" si="68"/>
        <v>0</v>
      </c>
      <c r="AO24" s="18">
        <f t="shared" si="68"/>
        <v>0</v>
      </c>
      <c r="AP24" s="18">
        <f t="shared" si="68"/>
        <v>0</v>
      </c>
      <c r="AQ24" s="18">
        <f t="shared" si="68"/>
        <v>0</v>
      </c>
      <c r="AR24" s="18">
        <f t="shared" si="68"/>
        <v>0</v>
      </c>
      <c r="AS24" s="18">
        <f t="shared" si="68"/>
        <v>0</v>
      </c>
      <c r="AT24" s="18">
        <f t="shared" si="68"/>
        <v>0</v>
      </c>
      <c r="AU24" s="18">
        <f t="shared" si="68"/>
        <v>0</v>
      </c>
      <c r="AV24" s="18">
        <f t="shared" si="69"/>
        <v>0</v>
      </c>
      <c r="AW24" s="18"/>
      <c r="AX24" s="17">
        <f t="shared" si="70"/>
        <v>15</v>
      </c>
      <c r="AY24" s="26" t="str">
        <f t="shared" si="62"/>
        <v>Impôt sur les fonciers bâtis (IFB)</v>
      </c>
      <c r="AZ24" s="18">
        <f t="shared" ca="1" si="71"/>
        <v>0</v>
      </c>
      <c r="BA24" s="18">
        <f t="shared" ca="1" si="71"/>
        <v>0</v>
      </c>
      <c r="BB24" s="18">
        <f t="shared" ca="1" si="71"/>
        <v>0</v>
      </c>
      <c r="BC24" s="18">
        <f t="shared" ca="1" si="71"/>
        <v>0</v>
      </c>
      <c r="BD24" s="18">
        <f t="shared" ca="1" si="71"/>
        <v>0</v>
      </c>
      <c r="BE24" s="18">
        <f t="shared" ca="1" si="71"/>
        <v>0</v>
      </c>
      <c r="BF24" s="18">
        <f t="shared" ca="1" si="71"/>
        <v>0</v>
      </c>
      <c r="BG24" s="18">
        <f t="shared" ca="1" si="71"/>
        <v>15427409</v>
      </c>
      <c r="BH24" s="18">
        <f t="shared" ca="1" si="71"/>
        <v>0</v>
      </c>
      <c r="BI24" s="18">
        <f t="shared" ca="1" si="71"/>
        <v>0</v>
      </c>
      <c r="BJ24" s="18">
        <f t="shared" ca="1" si="71"/>
        <v>0</v>
      </c>
      <c r="BK24" s="18">
        <f t="shared" ca="1" si="71"/>
        <v>0</v>
      </c>
    </row>
    <row r="25" spans="1:63">
      <c r="A25" s="80">
        <f t="shared" si="29"/>
        <v>13</v>
      </c>
      <c r="B25" s="64">
        <f>+'Taxes RCA 2022'!A18</f>
        <v>13</v>
      </c>
      <c r="C25" s="68" t="str">
        <f>+'Taxes RCA 2022'!B18</f>
        <v xml:space="preserve">Taxe d'abattage  </v>
      </c>
      <c r="E25" s="165">
        <v>80899438</v>
      </c>
      <c r="F25" s="165">
        <f>+VLOOKUP(C25,$C$83:$G$117,5,0)</f>
        <v>-36400617</v>
      </c>
      <c r="G25" s="165">
        <f>E25+F25</f>
        <v>44498821</v>
      </c>
      <c r="H25" s="114"/>
      <c r="I25" s="165">
        <v>46129256</v>
      </c>
      <c r="J25" s="165">
        <f ca="1">SUMIF($J$84:$M$749,C25,$Q$84:$Q$749)</f>
        <v>0</v>
      </c>
      <c r="K25" s="165">
        <f t="shared" ca="1" si="56"/>
        <v>46129256</v>
      </c>
      <c r="L25" s="114"/>
      <c r="M25" s="165">
        <f t="shared" ca="1" si="57"/>
        <v>-1630435</v>
      </c>
      <c r="N25" s="68" t="s">
        <v>85</v>
      </c>
      <c r="O25" s="38"/>
      <c r="P25" s="39"/>
      <c r="Q25" s="35"/>
      <c r="R25" s="21" t="str">
        <f>Lists!A80</f>
        <v>Taxes perçues non reportées par l'Etat</v>
      </c>
      <c r="S25" s="18">
        <f t="shared" ref="S25:S32" si="72">SUMIF($N$84:$N$749,R25,$Q$84:$Q$749)</f>
        <v>0</v>
      </c>
      <c r="Y25" s="15">
        <f t="shared" si="64"/>
        <v>16</v>
      </c>
      <c r="Z25" s="25" t="str">
        <f t="shared" si="58"/>
        <v>Minimum impôt sur les sociétés (MIS)</v>
      </c>
      <c r="AA25" s="16">
        <f t="shared" si="65"/>
        <v>0</v>
      </c>
      <c r="AB25" s="16">
        <f t="shared" si="65"/>
        <v>0</v>
      </c>
      <c r="AC25" s="16">
        <f t="shared" si="65"/>
        <v>0</v>
      </c>
      <c r="AD25" s="16">
        <f t="shared" si="65"/>
        <v>0</v>
      </c>
      <c r="AE25" s="16">
        <f t="shared" si="65"/>
        <v>0</v>
      </c>
      <c r="AF25" s="16">
        <f t="shared" si="65"/>
        <v>0</v>
      </c>
      <c r="AG25" s="16">
        <f t="shared" si="65"/>
        <v>0</v>
      </c>
      <c r="AH25" s="16">
        <f t="shared" si="65"/>
        <v>0</v>
      </c>
      <c r="AI25" s="16">
        <f t="shared" si="65"/>
        <v>0</v>
      </c>
      <c r="AJ25" s="16">
        <f t="shared" si="66"/>
        <v>0</v>
      </c>
      <c r="AL25" s="17">
        <f t="shared" si="67"/>
        <v>16</v>
      </c>
      <c r="AM25" s="26" t="str">
        <f t="shared" si="60"/>
        <v>Minimum impôt sur les sociétés (MIS)</v>
      </c>
      <c r="AN25" s="18">
        <f t="shared" si="68"/>
        <v>0</v>
      </c>
      <c r="AO25" s="18">
        <f t="shared" si="68"/>
        <v>0</v>
      </c>
      <c r="AP25" s="18">
        <f t="shared" si="68"/>
        <v>0</v>
      </c>
      <c r="AQ25" s="18">
        <f t="shared" si="68"/>
        <v>0</v>
      </c>
      <c r="AR25" s="18">
        <f t="shared" si="68"/>
        <v>0</v>
      </c>
      <c r="AS25" s="18">
        <f t="shared" si="68"/>
        <v>0</v>
      </c>
      <c r="AT25" s="18">
        <f t="shared" si="68"/>
        <v>0</v>
      </c>
      <c r="AU25" s="18">
        <f t="shared" si="68"/>
        <v>0</v>
      </c>
      <c r="AV25" s="18">
        <f t="shared" si="69"/>
        <v>0</v>
      </c>
      <c r="AW25" s="18"/>
      <c r="AX25" s="17">
        <f t="shared" si="70"/>
        <v>16</v>
      </c>
      <c r="AY25" s="26" t="str">
        <f t="shared" si="62"/>
        <v>Minimum impôt sur les sociétés (MIS)</v>
      </c>
      <c r="AZ25" s="18">
        <f t="shared" ca="1" si="71"/>
        <v>0</v>
      </c>
      <c r="BA25" s="18">
        <f t="shared" ca="1" si="71"/>
        <v>0</v>
      </c>
      <c r="BB25" s="18">
        <f t="shared" ca="1" si="71"/>
        <v>0</v>
      </c>
      <c r="BC25" s="18">
        <f t="shared" ca="1" si="71"/>
        <v>0</v>
      </c>
      <c r="BD25" s="18">
        <f t="shared" ca="1" si="71"/>
        <v>0</v>
      </c>
      <c r="BE25" s="18">
        <f t="shared" ca="1" si="71"/>
        <v>-21659759</v>
      </c>
      <c r="BF25" s="18">
        <f t="shared" ca="1" si="71"/>
        <v>0</v>
      </c>
      <c r="BG25" s="18">
        <f t="shared" ca="1" si="71"/>
        <v>0</v>
      </c>
      <c r="BH25" s="18">
        <f t="shared" ca="1" si="71"/>
        <v>0</v>
      </c>
      <c r="BI25" s="18">
        <f t="shared" ca="1" si="71"/>
        <v>0</v>
      </c>
      <c r="BJ25" s="18">
        <f t="shared" ca="1" si="71"/>
        <v>0</v>
      </c>
      <c r="BK25" s="18">
        <f t="shared" ca="1" si="71"/>
        <v>0</v>
      </c>
    </row>
    <row r="26" spans="1:63">
      <c r="A26" s="80">
        <f t="shared" si="29"/>
        <v>14</v>
      </c>
      <c r="B26" s="53">
        <f>+'Taxes RCA 2022'!A19</f>
        <v>14</v>
      </c>
      <c r="C26" s="18" t="str">
        <f>+'Taxes RCA 2022'!B19</f>
        <v xml:space="preserve">Taxe de reboisement  </v>
      </c>
      <c r="E26" s="114">
        <v>53203920</v>
      </c>
      <c r="F26" s="114">
        <f>+VLOOKUP(C26,$C$83:$G$117,5,0)</f>
        <v>-35469282</v>
      </c>
      <c r="G26" s="114">
        <f>E26+F26</f>
        <v>17734638</v>
      </c>
      <c r="H26" s="114"/>
      <c r="I26" s="114">
        <v>0</v>
      </c>
      <c r="J26" s="114">
        <f ca="1">SUMIF($J$84:$M$749,C26,$Q$84:$Q$749)</f>
        <v>17840355</v>
      </c>
      <c r="K26" s="114">
        <f t="shared" ca="1" si="56"/>
        <v>17840355</v>
      </c>
      <c r="L26" s="114"/>
      <c r="M26" s="114">
        <f t="shared" ca="1" si="57"/>
        <v>-105717</v>
      </c>
      <c r="N26" s="18" t="s">
        <v>229</v>
      </c>
      <c r="O26" s="38" t="str">
        <f t="shared" ca="1" si="46"/>
        <v/>
      </c>
      <c r="P26" s="39" t="str">
        <f t="shared" ca="1" si="47"/>
        <v/>
      </c>
      <c r="Q26" s="35"/>
      <c r="R26" s="21" t="str">
        <f>Lists!A81</f>
        <v>Montant doublement déclaré</v>
      </c>
      <c r="S26" s="18">
        <f t="shared" si="72"/>
        <v>0</v>
      </c>
      <c r="Y26" s="15">
        <f t="shared" si="64"/>
        <v>17</v>
      </c>
      <c r="Z26" s="25" t="str">
        <f t="shared" si="58"/>
        <v xml:space="preserve">Impôt minimum forfaitaire (IMF) </v>
      </c>
      <c r="AA26" s="16">
        <f t="shared" si="65"/>
        <v>0</v>
      </c>
      <c r="AB26" s="16">
        <f t="shared" si="65"/>
        <v>0</v>
      </c>
      <c r="AC26" s="16">
        <f t="shared" si="65"/>
        <v>0</v>
      </c>
      <c r="AD26" s="16">
        <f t="shared" si="65"/>
        <v>0</v>
      </c>
      <c r="AE26" s="16">
        <f t="shared" si="65"/>
        <v>0</v>
      </c>
      <c r="AF26" s="16">
        <f t="shared" si="65"/>
        <v>0</v>
      </c>
      <c r="AG26" s="16">
        <f t="shared" si="65"/>
        <v>0</v>
      </c>
      <c r="AH26" s="16">
        <f t="shared" si="65"/>
        <v>0</v>
      </c>
      <c r="AI26" s="16">
        <f t="shared" si="65"/>
        <v>0</v>
      </c>
      <c r="AJ26" s="16">
        <f t="shared" si="66"/>
        <v>0</v>
      </c>
      <c r="AL26" s="17">
        <f t="shared" si="67"/>
        <v>17</v>
      </c>
      <c r="AM26" s="26" t="str">
        <f t="shared" si="60"/>
        <v xml:space="preserve">Impôt minimum forfaitaire (IMF) </v>
      </c>
      <c r="AN26" s="18">
        <f t="shared" si="68"/>
        <v>0</v>
      </c>
      <c r="AO26" s="18">
        <f t="shared" si="68"/>
        <v>0</v>
      </c>
      <c r="AP26" s="18">
        <f t="shared" si="68"/>
        <v>0</v>
      </c>
      <c r="AQ26" s="18">
        <f t="shared" si="68"/>
        <v>0</v>
      </c>
      <c r="AR26" s="18">
        <f t="shared" si="68"/>
        <v>0</v>
      </c>
      <c r="AS26" s="18">
        <f t="shared" si="68"/>
        <v>0</v>
      </c>
      <c r="AT26" s="18">
        <f t="shared" si="68"/>
        <v>0</v>
      </c>
      <c r="AU26" s="18">
        <f t="shared" si="68"/>
        <v>0</v>
      </c>
      <c r="AV26" s="18">
        <f t="shared" si="69"/>
        <v>0</v>
      </c>
      <c r="AW26" s="18"/>
      <c r="AX26" s="17">
        <f t="shared" si="70"/>
        <v>17</v>
      </c>
      <c r="AY26" s="26" t="str">
        <f t="shared" si="62"/>
        <v xml:space="preserve">Impôt minimum forfaitaire (IMF) </v>
      </c>
      <c r="AZ26" s="18">
        <f t="shared" ca="1" si="71"/>
        <v>0</v>
      </c>
      <c r="BA26" s="18">
        <f t="shared" ca="1" si="71"/>
        <v>0</v>
      </c>
      <c r="BB26" s="18">
        <f t="shared" ca="1" si="71"/>
        <v>0</v>
      </c>
      <c r="BC26" s="18">
        <f t="shared" ca="1" si="71"/>
        <v>0</v>
      </c>
      <c r="BD26" s="18">
        <f t="shared" ca="1" si="71"/>
        <v>0</v>
      </c>
      <c r="BE26" s="18">
        <f t="shared" ca="1" si="71"/>
        <v>4630789.3900000006</v>
      </c>
      <c r="BF26" s="18">
        <f t="shared" ca="1" si="71"/>
        <v>0</v>
      </c>
      <c r="BG26" s="18">
        <f t="shared" ca="1" si="71"/>
        <v>0</v>
      </c>
      <c r="BH26" s="18">
        <f t="shared" ca="1" si="71"/>
        <v>0</v>
      </c>
      <c r="BI26" s="18">
        <f t="shared" ca="1" si="71"/>
        <v>0</v>
      </c>
      <c r="BJ26" s="18">
        <f t="shared" ca="1" si="71"/>
        <v>0</v>
      </c>
      <c r="BK26" s="18">
        <f t="shared" ca="1" si="71"/>
        <v>0</v>
      </c>
    </row>
    <row r="27" spans="1:63">
      <c r="A27" s="80">
        <f t="shared" si="29"/>
        <v>15</v>
      </c>
      <c r="B27" s="64">
        <f>+'Taxes RCA 2022'!A20</f>
        <v>15</v>
      </c>
      <c r="C27" s="68" t="str">
        <f>+'Taxes RCA 2022'!B20</f>
        <v>Impôt sur les fonciers bâtis (IFB)</v>
      </c>
      <c r="E27" s="165">
        <v>15427409</v>
      </c>
      <c r="F27" s="165">
        <f>SUMIF($A$84:$A$751,B27&amp;"- "&amp;C27,$G$84:$G$751)</f>
        <v>0</v>
      </c>
      <c r="G27" s="165">
        <f t="shared" si="55"/>
        <v>15427409</v>
      </c>
      <c r="H27" s="114"/>
      <c r="I27" s="165"/>
      <c r="J27" s="165">
        <f t="shared" ref="J27:J37" ca="1" si="73">SUMIF($J$84:$M$749,B27&amp;"- "&amp;C27,$Q$84:$Q$749)</f>
        <v>0</v>
      </c>
      <c r="K27" s="165">
        <f t="shared" ca="1" si="56"/>
        <v>0</v>
      </c>
      <c r="L27" s="114"/>
      <c r="M27" s="165">
        <f t="shared" ca="1" si="57"/>
        <v>15427409</v>
      </c>
      <c r="N27" s="68" t="s">
        <v>54</v>
      </c>
      <c r="O27" s="38" t="str">
        <f t="shared" ca="1" si="46"/>
        <v/>
      </c>
      <c r="P27" s="39" t="str">
        <f t="shared" ca="1" si="47"/>
        <v/>
      </c>
      <c r="Q27" s="35"/>
      <c r="R27" s="21" t="str">
        <f>Lists!A82</f>
        <v>Taxes perçues hors de la période de réconciliation</v>
      </c>
      <c r="S27" s="18">
        <f t="shared" si="72"/>
        <v>0</v>
      </c>
      <c r="Y27" s="15">
        <f t="shared" si="64"/>
        <v>18</v>
      </c>
      <c r="Z27" s="25" t="str">
        <f t="shared" si="58"/>
        <v>Précompte</v>
      </c>
      <c r="AA27" s="16">
        <f t="shared" si="65"/>
        <v>0</v>
      </c>
      <c r="AB27" s="16">
        <f t="shared" si="65"/>
        <v>0</v>
      </c>
      <c r="AC27" s="16">
        <f t="shared" si="65"/>
        <v>0</v>
      </c>
      <c r="AD27" s="16">
        <f t="shared" si="65"/>
        <v>0</v>
      </c>
      <c r="AE27" s="16">
        <f t="shared" si="65"/>
        <v>0</v>
      </c>
      <c r="AF27" s="16">
        <f t="shared" si="65"/>
        <v>0</v>
      </c>
      <c r="AG27" s="16">
        <f t="shared" si="65"/>
        <v>0</v>
      </c>
      <c r="AH27" s="16">
        <f t="shared" si="65"/>
        <v>0</v>
      </c>
      <c r="AI27" s="16">
        <f t="shared" si="65"/>
        <v>0</v>
      </c>
      <c r="AJ27" s="16">
        <f t="shared" si="66"/>
        <v>0</v>
      </c>
      <c r="AL27" s="17">
        <f t="shared" si="67"/>
        <v>18</v>
      </c>
      <c r="AM27" s="26" t="str">
        <f t="shared" si="60"/>
        <v>Précompte</v>
      </c>
      <c r="AN27" s="18">
        <f t="shared" si="68"/>
        <v>0</v>
      </c>
      <c r="AO27" s="18">
        <f t="shared" si="68"/>
        <v>0</v>
      </c>
      <c r="AP27" s="18">
        <f t="shared" si="68"/>
        <v>0</v>
      </c>
      <c r="AQ27" s="18">
        <f t="shared" si="68"/>
        <v>0</v>
      </c>
      <c r="AR27" s="18">
        <f t="shared" si="68"/>
        <v>0</v>
      </c>
      <c r="AS27" s="18">
        <f t="shared" si="68"/>
        <v>0</v>
      </c>
      <c r="AT27" s="18">
        <f t="shared" si="68"/>
        <v>0</v>
      </c>
      <c r="AU27" s="18">
        <f t="shared" si="68"/>
        <v>0</v>
      </c>
      <c r="AV27" s="18">
        <f t="shared" si="69"/>
        <v>0</v>
      </c>
      <c r="AW27" s="18"/>
      <c r="AX27" s="17">
        <f t="shared" si="70"/>
        <v>18</v>
      </c>
      <c r="AY27" s="26" t="str">
        <f t="shared" si="62"/>
        <v>Précompte</v>
      </c>
      <c r="AZ27" s="18">
        <f t="shared" ca="1" si="71"/>
        <v>0</v>
      </c>
      <c r="BA27" s="18">
        <f t="shared" ca="1" si="71"/>
        <v>0</v>
      </c>
      <c r="BB27" s="18">
        <f t="shared" ca="1" si="71"/>
        <v>0</v>
      </c>
      <c r="BC27" s="18">
        <f t="shared" ca="1" si="71"/>
        <v>0</v>
      </c>
      <c r="BD27" s="18">
        <f t="shared" ca="1" si="71"/>
        <v>0</v>
      </c>
      <c r="BE27" s="18">
        <f t="shared" ca="1" si="71"/>
        <v>0</v>
      </c>
      <c r="BF27" s="18">
        <f t="shared" ca="1" si="71"/>
        <v>-1458468.3899999997</v>
      </c>
      <c r="BG27" s="18">
        <f t="shared" ca="1" si="71"/>
        <v>0</v>
      </c>
      <c r="BH27" s="18">
        <f t="shared" ca="1" si="71"/>
        <v>0</v>
      </c>
      <c r="BI27" s="18">
        <f t="shared" ca="1" si="71"/>
        <v>0</v>
      </c>
      <c r="BJ27" s="18">
        <f t="shared" ca="1" si="71"/>
        <v>0</v>
      </c>
      <c r="BK27" s="18">
        <f t="shared" ca="1" si="71"/>
        <v>0</v>
      </c>
    </row>
    <row r="28" spans="1:63">
      <c r="A28" s="80">
        <f t="shared" si="29"/>
        <v>16</v>
      </c>
      <c r="B28" s="53">
        <f>+'Taxes RCA 2022'!A21</f>
        <v>16</v>
      </c>
      <c r="C28" s="18" t="str">
        <f>+'Taxes RCA 2022'!B21</f>
        <v>Minimum impôt sur les sociétés (MIS)</v>
      </c>
      <c r="E28" s="114"/>
      <c r="F28" s="114">
        <f>+VLOOKUP(C28,$C$83:$G$117,5,0)</f>
        <v>9120578</v>
      </c>
      <c r="G28" s="114">
        <f t="shared" si="55"/>
        <v>9120578</v>
      </c>
      <c r="H28" s="114"/>
      <c r="I28" s="114">
        <v>30780337</v>
      </c>
      <c r="J28" s="114">
        <f t="shared" ca="1" si="73"/>
        <v>0</v>
      </c>
      <c r="K28" s="114">
        <f t="shared" ca="1" si="56"/>
        <v>30780337</v>
      </c>
      <c r="L28" s="114"/>
      <c r="M28" s="114">
        <f t="shared" ca="1" si="57"/>
        <v>-21659759</v>
      </c>
      <c r="N28" s="18" t="s">
        <v>52</v>
      </c>
      <c r="O28" s="38" t="str">
        <f t="shared" ca="1" si="46"/>
        <v/>
      </c>
      <c r="P28" s="39" t="str">
        <f t="shared" ca="1" si="47"/>
        <v/>
      </c>
      <c r="Q28" s="35"/>
      <c r="R28" s="21" t="str">
        <f>Lists!A83</f>
        <v>Erreur de reporting (montant et détail)</v>
      </c>
      <c r="S28" s="18">
        <f t="shared" si="72"/>
        <v>0</v>
      </c>
      <c r="Y28" s="15">
        <f t="shared" si="64"/>
        <v>19</v>
      </c>
      <c r="Z28" s="25" t="str">
        <f t="shared" si="58"/>
        <v>Taxe sur la valeur ajoutée (TVA)</v>
      </c>
      <c r="AA28" s="16">
        <f t="shared" si="65"/>
        <v>0</v>
      </c>
      <c r="AB28" s="16">
        <f t="shared" si="65"/>
        <v>0</v>
      </c>
      <c r="AC28" s="16">
        <f t="shared" si="65"/>
        <v>0</v>
      </c>
      <c r="AD28" s="16">
        <f t="shared" si="65"/>
        <v>0</v>
      </c>
      <c r="AE28" s="16">
        <f t="shared" si="65"/>
        <v>0</v>
      </c>
      <c r="AF28" s="16">
        <f t="shared" si="65"/>
        <v>0</v>
      </c>
      <c r="AG28" s="16">
        <f t="shared" si="65"/>
        <v>0</v>
      </c>
      <c r="AH28" s="16">
        <f t="shared" si="65"/>
        <v>0</v>
      </c>
      <c r="AI28" s="16">
        <f t="shared" si="65"/>
        <v>0</v>
      </c>
      <c r="AJ28" s="16">
        <f t="shared" si="66"/>
        <v>0</v>
      </c>
      <c r="AL28" s="17">
        <f t="shared" si="67"/>
        <v>19</v>
      </c>
      <c r="AM28" s="26" t="str">
        <f t="shared" si="60"/>
        <v>Taxe sur la valeur ajoutée (TVA)</v>
      </c>
      <c r="AN28" s="18">
        <f t="shared" si="68"/>
        <v>0</v>
      </c>
      <c r="AO28" s="18">
        <f t="shared" si="68"/>
        <v>0</v>
      </c>
      <c r="AP28" s="18">
        <f t="shared" si="68"/>
        <v>0</v>
      </c>
      <c r="AQ28" s="18">
        <f t="shared" si="68"/>
        <v>0</v>
      </c>
      <c r="AR28" s="18">
        <f t="shared" si="68"/>
        <v>0</v>
      </c>
      <c r="AS28" s="18">
        <f t="shared" si="68"/>
        <v>0</v>
      </c>
      <c r="AT28" s="18">
        <f t="shared" si="68"/>
        <v>0</v>
      </c>
      <c r="AU28" s="18">
        <f t="shared" si="68"/>
        <v>0</v>
      </c>
      <c r="AV28" s="18">
        <f t="shared" si="69"/>
        <v>0</v>
      </c>
      <c r="AW28" s="18"/>
      <c r="AX28" s="17">
        <f t="shared" si="70"/>
        <v>19</v>
      </c>
      <c r="AY28" s="26" t="str">
        <f t="shared" si="62"/>
        <v>Taxe sur la valeur ajoutée (TVA)</v>
      </c>
      <c r="AZ28" s="18">
        <f t="shared" ca="1" si="71"/>
        <v>0</v>
      </c>
      <c r="BA28" s="18">
        <f t="shared" ca="1" si="71"/>
        <v>0</v>
      </c>
      <c r="BB28" s="18">
        <f t="shared" ca="1" si="71"/>
        <v>0</v>
      </c>
      <c r="BC28" s="18">
        <f t="shared" ca="1" si="71"/>
        <v>0</v>
      </c>
      <c r="BD28" s="18">
        <f t="shared" ca="1" si="71"/>
        <v>0</v>
      </c>
      <c r="BE28" s="18">
        <f t="shared" ca="1" si="71"/>
        <v>0</v>
      </c>
      <c r="BF28" s="18">
        <f t="shared" ca="1" si="71"/>
        <v>0</v>
      </c>
      <c r="BG28" s="18">
        <f t="shared" ca="1" si="71"/>
        <v>0</v>
      </c>
      <c r="BH28" s="18">
        <f t="shared" ca="1" si="71"/>
        <v>0</v>
      </c>
      <c r="BI28" s="18">
        <f t="shared" ca="1" si="71"/>
        <v>0</v>
      </c>
      <c r="BJ28" s="18">
        <f t="shared" ca="1" si="71"/>
        <v>0</v>
      </c>
      <c r="BK28" s="18">
        <f t="shared" ca="1" si="71"/>
        <v>0</v>
      </c>
    </row>
    <row r="29" spans="1:63">
      <c r="A29" s="80">
        <f t="shared" si="29"/>
        <v>17</v>
      </c>
      <c r="B29" s="64">
        <f>+'Taxes RCA 2022'!A22</f>
        <v>17</v>
      </c>
      <c r="C29" s="68" t="str">
        <f>+'Taxes RCA 2022'!B22</f>
        <v xml:space="preserve">Impôt minimum forfaitaire (IMF) </v>
      </c>
      <c r="E29" s="165">
        <v>22494402</v>
      </c>
      <c r="F29" s="165">
        <f>+VLOOKUP(C29,$C$83:$G$117,5,0)+G97</f>
        <v>-12700786.609999999</v>
      </c>
      <c r="G29" s="165">
        <f t="shared" si="55"/>
        <v>9793615.3900000006</v>
      </c>
      <c r="H29" s="114"/>
      <c r="I29" s="165">
        <v>5162826</v>
      </c>
      <c r="J29" s="165">
        <f t="shared" ca="1" si="73"/>
        <v>0</v>
      </c>
      <c r="K29" s="165">
        <f t="shared" ca="1" si="56"/>
        <v>5162826</v>
      </c>
      <c r="L29" s="114"/>
      <c r="M29" s="165">
        <f t="shared" ca="1" si="57"/>
        <v>4630789.3900000006</v>
      </c>
      <c r="N29" s="68" t="s">
        <v>52</v>
      </c>
      <c r="O29" s="38" t="str">
        <f t="shared" ca="1" si="46"/>
        <v/>
      </c>
      <c r="P29" s="39" t="str">
        <f t="shared" ca="1" si="47"/>
        <v/>
      </c>
      <c r="Q29" s="35"/>
      <c r="R29" s="21" t="str">
        <f>Lists!A84</f>
        <v>Taxe reportée par l'Etat non réellement encaissée</v>
      </c>
      <c r="S29" s="18">
        <f t="shared" si="72"/>
        <v>0</v>
      </c>
      <c r="Y29" s="15">
        <f t="shared" si="64"/>
        <v>20</v>
      </c>
      <c r="Z29" s="25" t="str">
        <f t="shared" si="58"/>
        <v>Impôt sur les revenus des loyers (IRL)</v>
      </c>
      <c r="AA29" s="16">
        <f t="shared" si="65"/>
        <v>0</v>
      </c>
      <c r="AB29" s="16">
        <f t="shared" si="65"/>
        <v>0</v>
      </c>
      <c r="AC29" s="16">
        <f t="shared" si="65"/>
        <v>0</v>
      </c>
      <c r="AD29" s="16">
        <f t="shared" si="65"/>
        <v>0</v>
      </c>
      <c r="AE29" s="16">
        <f t="shared" si="65"/>
        <v>0</v>
      </c>
      <c r="AF29" s="16">
        <f t="shared" si="65"/>
        <v>0</v>
      </c>
      <c r="AG29" s="16">
        <f t="shared" si="65"/>
        <v>0</v>
      </c>
      <c r="AH29" s="16">
        <f t="shared" si="65"/>
        <v>0</v>
      </c>
      <c r="AI29" s="16">
        <f t="shared" si="65"/>
        <v>0</v>
      </c>
      <c r="AJ29" s="16">
        <f>SUM(AA29:AI29)</f>
        <v>0</v>
      </c>
      <c r="AL29" s="17">
        <f t="shared" si="67"/>
        <v>20</v>
      </c>
      <c r="AM29" s="26" t="str">
        <f t="shared" si="60"/>
        <v>Impôt sur les revenus des loyers (IRL)</v>
      </c>
      <c r="AN29" s="18">
        <f t="shared" si="68"/>
        <v>0</v>
      </c>
      <c r="AO29" s="18">
        <f t="shared" si="68"/>
        <v>0</v>
      </c>
      <c r="AP29" s="18">
        <f t="shared" si="68"/>
        <v>0</v>
      </c>
      <c r="AQ29" s="18">
        <f t="shared" si="68"/>
        <v>0</v>
      </c>
      <c r="AR29" s="18">
        <f t="shared" si="68"/>
        <v>0</v>
      </c>
      <c r="AS29" s="18">
        <f t="shared" si="68"/>
        <v>0</v>
      </c>
      <c r="AT29" s="18">
        <f t="shared" si="68"/>
        <v>0</v>
      </c>
      <c r="AU29" s="18">
        <f t="shared" si="68"/>
        <v>0</v>
      </c>
      <c r="AV29" s="18">
        <f>SUM(AN29:AU29)</f>
        <v>0</v>
      </c>
      <c r="AW29" s="18"/>
      <c r="AX29" s="17">
        <f t="shared" si="70"/>
        <v>20</v>
      </c>
      <c r="AY29" s="26" t="str">
        <f t="shared" si="62"/>
        <v>Impôt sur les revenus des loyers (IRL)</v>
      </c>
      <c r="AZ29" s="18">
        <f t="shared" ca="1" si="71"/>
        <v>0</v>
      </c>
      <c r="BA29" s="18">
        <f t="shared" ca="1" si="71"/>
        <v>0</v>
      </c>
      <c r="BB29" s="18">
        <f t="shared" ca="1" si="71"/>
        <v>0</v>
      </c>
      <c r="BC29" s="18">
        <f t="shared" ca="1" si="71"/>
        <v>0</v>
      </c>
      <c r="BD29" s="18">
        <f t="shared" ca="1" si="71"/>
        <v>0</v>
      </c>
      <c r="BE29" s="18">
        <f t="shared" ca="1" si="71"/>
        <v>0</v>
      </c>
      <c r="BF29" s="18">
        <f t="shared" ca="1" si="71"/>
        <v>0</v>
      </c>
      <c r="BG29" s="18">
        <f t="shared" ca="1" si="71"/>
        <v>0</v>
      </c>
      <c r="BH29" s="18">
        <f t="shared" ca="1" si="71"/>
        <v>0</v>
      </c>
      <c r="BI29" s="18">
        <f t="shared" ca="1" si="71"/>
        <v>0</v>
      </c>
      <c r="BJ29" s="18">
        <f t="shared" ca="1" si="71"/>
        <v>0</v>
      </c>
      <c r="BK29" s="18">
        <f t="shared" ca="1" si="71"/>
        <v>0</v>
      </c>
    </row>
    <row r="30" spans="1:63">
      <c r="A30" s="80">
        <f t="shared" si="29"/>
        <v>18</v>
      </c>
      <c r="B30" s="53">
        <f>+'Taxes RCA 2022'!A23</f>
        <v>18</v>
      </c>
      <c r="C30" s="18" t="str">
        <f>+'Taxes RCA 2022'!B23</f>
        <v>Précompte</v>
      </c>
      <c r="E30" s="114"/>
      <c r="F30" s="114">
        <f>+VLOOKUP(C30,$C$83:$G$117,5,0)</f>
        <v>3580208.6100000003</v>
      </c>
      <c r="G30" s="114">
        <f t="shared" si="55"/>
        <v>3580208.6100000003</v>
      </c>
      <c r="H30" s="114"/>
      <c r="I30" s="114">
        <v>5038677</v>
      </c>
      <c r="J30" s="114">
        <f t="shared" ca="1" si="73"/>
        <v>0</v>
      </c>
      <c r="K30" s="114">
        <f t="shared" ca="1" si="56"/>
        <v>5038677</v>
      </c>
      <c r="L30" s="114"/>
      <c r="M30" s="114">
        <f t="shared" ca="1" si="57"/>
        <v>-1458468.3899999997</v>
      </c>
      <c r="N30" s="18" t="s">
        <v>53</v>
      </c>
      <c r="O30" s="38" t="str">
        <f t="shared" ca="1" si="46"/>
        <v/>
      </c>
      <c r="P30" s="39" t="str">
        <f t="shared" ca="1" si="47"/>
        <v/>
      </c>
      <c r="Q30" s="35"/>
      <c r="R30" s="21" t="str">
        <f>Lists!A85</f>
        <v>Erreur de classification</v>
      </c>
      <c r="S30" s="18">
        <f t="shared" si="72"/>
        <v>0</v>
      </c>
      <c r="Y30" s="15">
        <f t="shared" si="64"/>
        <v>21</v>
      </c>
      <c r="Z30" s="25" t="str">
        <f t="shared" si="58"/>
        <v>Droits fixes (sur l'octroi, renouvellement, transfert) (+)</v>
      </c>
      <c r="AA30" s="16">
        <f t="shared" si="65"/>
        <v>0</v>
      </c>
      <c r="AB30" s="16">
        <f t="shared" si="65"/>
        <v>0</v>
      </c>
      <c r="AC30" s="16">
        <f t="shared" si="65"/>
        <v>0</v>
      </c>
      <c r="AD30" s="16">
        <f t="shared" si="65"/>
        <v>0</v>
      </c>
      <c r="AE30" s="16">
        <f t="shared" si="65"/>
        <v>0</v>
      </c>
      <c r="AF30" s="16">
        <f t="shared" si="65"/>
        <v>0</v>
      </c>
      <c r="AG30" s="16">
        <f t="shared" si="65"/>
        <v>0</v>
      </c>
      <c r="AH30" s="16">
        <f t="shared" si="65"/>
        <v>0</v>
      </c>
      <c r="AI30" s="16">
        <f t="shared" si="65"/>
        <v>0</v>
      </c>
      <c r="AJ30" s="16">
        <f>SUM(AA30:AI30)</f>
        <v>0</v>
      </c>
      <c r="AL30" s="17">
        <f t="shared" si="67"/>
        <v>21</v>
      </c>
      <c r="AM30" s="26" t="str">
        <f t="shared" si="60"/>
        <v>Droits fixes (sur l'octroi, renouvellement, transfert) (+)</v>
      </c>
      <c r="AN30" s="18">
        <f t="shared" si="68"/>
        <v>0</v>
      </c>
      <c r="AO30" s="18">
        <f t="shared" si="68"/>
        <v>0</v>
      </c>
      <c r="AP30" s="18">
        <f t="shared" si="68"/>
        <v>0</v>
      </c>
      <c r="AQ30" s="18">
        <f t="shared" si="68"/>
        <v>0</v>
      </c>
      <c r="AR30" s="18">
        <f t="shared" si="68"/>
        <v>0</v>
      </c>
      <c r="AS30" s="18">
        <f t="shared" si="68"/>
        <v>0</v>
      </c>
      <c r="AT30" s="18">
        <f t="shared" si="68"/>
        <v>0</v>
      </c>
      <c r="AU30" s="18">
        <f t="shared" si="68"/>
        <v>0</v>
      </c>
      <c r="AV30" s="18">
        <f>SUM(AN30:AU30)</f>
        <v>0</v>
      </c>
      <c r="AW30" s="18"/>
      <c r="AX30" s="17">
        <f t="shared" si="70"/>
        <v>21</v>
      </c>
      <c r="AY30" s="26" t="str">
        <f t="shared" si="62"/>
        <v>Droits fixes (sur l'octroi, renouvellement, transfert) (+)</v>
      </c>
      <c r="AZ30" s="18">
        <f t="shared" ca="1" si="71"/>
        <v>0</v>
      </c>
      <c r="BA30" s="18">
        <f t="shared" ca="1" si="71"/>
        <v>0</v>
      </c>
      <c r="BB30" s="18">
        <f t="shared" ca="1" si="71"/>
        <v>0</v>
      </c>
      <c r="BC30" s="18">
        <f t="shared" ca="1" si="71"/>
        <v>0</v>
      </c>
      <c r="BD30" s="18">
        <f t="shared" ca="1" si="71"/>
        <v>0</v>
      </c>
      <c r="BE30" s="18">
        <f t="shared" ca="1" si="71"/>
        <v>0</v>
      </c>
      <c r="BF30" s="18">
        <f t="shared" ca="1" si="71"/>
        <v>0</v>
      </c>
      <c r="BG30" s="18">
        <f t="shared" ca="1" si="71"/>
        <v>0</v>
      </c>
      <c r="BH30" s="18">
        <f t="shared" ca="1" si="71"/>
        <v>0</v>
      </c>
      <c r="BI30" s="18">
        <f t="shared" ca="1" si="71"/>
        <v>0</v>
      </c>
      <c r="BJ30" s="18">
        <f t="shared" ca="1" si="71"/>
        <v>0</v>
      </c>
      <c r="BK30" s="18">
        <f t="shared" ca="1" si="71"/>
        <v>0</v>
      </c>
    </row>
    <row r="31" spans="1:63">
      <c r="A31" s="80">
        <f t="shared" si="29"/>
        <v>19</v>
      </c>
      <c r="B31" s="64">
        <f>+'Taxes RCA 2022'!A24</f>
        <v>19</v>
      </c>
      <c r="C31" s="68" t="str">
        <f>+'Taxes RCA 2022'!B24</f>
        <v>Taxe sur la valeur ajoutée (TVA)</v>
      </c>
      <c r="E31" s="165">
        <v>111146363</v>
      </c>
      <c r="F31" s="165">
        <f>+VLOOKUP(C31,$C$83:$G$117,5,0)</f>
        <v>-111146363</v>
      </c>
      <c r="G31" s="165">
        <f>E31+F31</f>
        <v>0</v>
      </c>
      <c r="H31" s="114"/>
      <c r="I31" s="165"/>
      <c r="J31" s="165">
        <f t="shared" ca="1" si="73"/>
        <v>0</v>
      </c>
      <c r="K31" s="165">
        <f t="shared" ca="1" si="56"/>
        <v>0</v>
      </c>
      <c r="L31" s="114"/>
      <c r="M31" s="165">
        <f t="shared" ca="1" si="57"/>
        <v>0</v>
      </c>
      <c r="N31" s="68"/>
      <c r="O31" s="38" t="str">
        <f t="shared" ca="1" si="46"/>
        <v/>
      </c>
      <c r="P31" s="39" t="str">
        <f t="shared" ca="1" si="47"/>
        <v/>
      </c>
      <c r="Q31" s="35"/>
      <c r="R31" s="21" t="str">
        <f>Lists!A86</f>
        <v>Taxes payées par la Ste sur un autre NINEA non reporté par l'Etat</v>
      </c>
      <c r="S31" s="18">
        <f t="shared" si="72"/>
        <v>0</v>
      </c>
      <c r="Y31" s="15">
        <f t="shared" si="64"/>
        <v>22</v>
      </c>
      <c r="Z31" s="25" t="str">
        <f t="shared" si="58"/>
        <v>Les redevances proportionnelles ou royalties sur les autorisations d'exploitation de carrière et les exploitations des mines (+)</v>
      </c>
      <c r="AA31" s="16">
        <f t="shared" si="65"/>
        <v>0</v>
      </c>
      <c r="AB31" s="16">
        <f t="shared" si="65"/>
        <v>0</v>
      </c>
      <c r="AC31" s="16">
        <f t="shared" si="65"/>
        <v>0</v>
      </c>
      <c r="AD31" s="16">
        <f t="shared" si="65"/>
        <v>0</v>
      </c>
      <c r="AE31" s="16">
        <f t="shared" si="65"/>
        <v>0</v>
      </c>
      <c r="AF31" s="16">
        <f t="shared" si="65"/>
        <v>0</v>
      </c>
      <c r="AG31" s="16">
        <f t="shared" si="65"/>
        <v>0</v>
      </c>
      <c r="AH31" s="16">
        <f t="shared" si="65"/>
        <v>0</v>
      </c>
      <c r="AI31" s="16">
        <f t="shared" si="65"/>
        <v>0</v>
      </c>
      <c r="AJ31" s="16">
        <f>SUM(AA31:AI31)</f>
        <v>0</v>
      </c>
      <c r="AL31" s="17">
        <f t="shared" si="67"/>
        <v>22</v>
      </c>
      <c r="AM31" s="26" t="str">
        <f t="shared" si="60"/>
        <v>Les redevances proportionnelles ou royalties sur les autorisations d'exploitation de carrière et les exploitations des mines (+)</v>
      </c>
      <c r="AN31" s="18">
        <f t="shared" si="68"/>
        <v>0</v>
      </c>
      <c r="AO31" s="18">
        <f t="shared" si="68"/>
        <v>0</v>
      </c>
      <c r="AP31" s="18">
        <f t="shared" si="68"/>
        <v>0</v>
      </c>
      <c r="AQ31" s="18">
        <f t="shared" si="68"/>
        <v>0</v>
      </c>
      <c r="AR31" s="18">
        <f t="shared" si="68"/>
        <v>0</v>
      </c>
      <c r="AS31" s="18">
        <f t="shared" si="68"/>
        <v>0</v>
      </c>
      <c r="AT31" s="18">
        <f t="shared" si="68"/>
        <v>0</v>
      </c>
      <c r="AU31" s="18">
        <f t="shared" si="68"/>
        <v>0</v>
      </c>
      <c r="AV31" s="18">
        <f>SUM(AN31:AU31)</f>
        <v>0</v>
      </c>
      <c r="AW31" s="18"/>
      <c r="AX31" s="17">
        <f t="shared" si="70"/>
        <v>22</v>
      </c>
      <c r="AY31" s="26" t="str">
        <f t="shared" si="62"/>
        <v>Les redevances proportionnelles ou royalties sur les autorisations d'exploitation de carrière et les exploitations des mines (+)</v>
      </c>
      <c r="AZ31" s="18">
        <f t="shared" ca="1" si="71"/>
        <v>0</v>
      </c>
      <c r="BA31" s="18">
        <f t="shared" ca="1" si="71"/>
        <v>0</v>
      </c>
      <c r="BB31" s="18">
        <f t="shared" ca="1" si="71"/>
        <v>0</v>
      </c>
      <c r="BC31" s="18">
        <f t="shared" ca="1" si="71"/>
        <v>0</v>
      </c>
      <c r="BD31" s="18">
        <f t="shared" ca="1" si="71"/>
        <v>0</v>
      </c>
      <c r="BE31" s="18">
        <f t="shared" ca="1" si="71"/>
        <v>0</v>
      </c>
      <c r="BF31" s="18">
        <f t="shared" ca="1" si="71"/>
        <v>0</v>
      </c>
      <c r="BG31" s="18">
        <f t="shared" ca="1" si="71"/>
        <v>0</v>
      </c>
      <c r="BH31" s="18">
        <f t="shared" ca="1" si="71"/>
        <v>0</v>
      </c>
      <c r="BI31" s="18">
        <f t="shared" ca="1" si="71"/>
        <v>0</v>
      </c>
      <c r="BJ31" s="18">
        <f t="shared" ca="1" si="71"/>
        <v>0</v>
      </c>
      <c r="BK31" s="18">
        <f t="shared" ca="1" si="71"/>
        <v>0</v>
      </c>
    </row>
    <row r="32" spans="1:63">
      <c r="A32" s="80">
        <f t="shared" si="29"/>
        <v>20</v>
      </c>
      <c r="B32" s="53">
        <f>+'Taxes RCA 2022'!A25</f>
        <v>20</v>
      </c>
      <c r="C32" s="18" t="str">
        <f>+'Taxes RCA 2022'!B25</f>
        <v>Impôt sur les revenus des loyers (IRL)</v>
      </c>
      <c r="E32" s="114">
        <v>1638000</v>
      </c>
      <c r="F32" s="114">
        <f>+VLOOKUP(C32,$C$83:$G$117,5,0)</f>
        <v>-1638000</v>
      </c>
      <c r="G32" s="114">
        <f>E32+F32</f>
        <v>0</v>
      </c>
      <c r="H32" s="114"/>
      <c r="I32" s="114"/>
      <c r="J32" s="114">
        <f t="shared" ca="1" si="73"/>
        <v>0</v>
      </c>
      <c r="K32" s="114">
        <f t="shared" ca="1" si="56"/>
        <v>0</v>
      </c>
      <c r="L32" s="114"/>
      <c r="M32" s="114">
        <f t="shared" ca="1" si="57"/>
        <v>0</v>
      </c>
      <c r="N32" s="18"/>
      <c r="O32" s="38" t="str">
        <f t="shared" ca="1" si="46"/>
        <v/>
      </c>
      <c r="P32" s="39" t="str">
        <f t="shared" ca="1" si="47"/>
        <v/>
      </c>
      <c r="Q32" s="35"/>
      <c r="R32" s="21" t="str">
        <f>Lists!A87</f>
        <v>Taxes hors périmètre de réconciliation</v>
      </c>
      <c r="S32" s="18">
        <f t="shared" si="72"/>
        <v>0</v>
      </c>
      <c r="Y32" s="15">
        <f t="shared" si="64"/>
        <v>23</v>
      </c>
      <c r="Z32" s="25" t="str">
        <f t="shared" si="58"/>
        <v>Impôt sur les revenus des capitaux mobiliers (RCM) (+)</v>
      </c>
      <c r="AA32" s="16">
        <f t="shared" si="65"/>
        <v>0</v>
      </c>
      <c r="AB32" s="16">
        <f t="shared" si="65"/>
        <v>0</v>
      </c>
      <c r="AC32" s="16">
        <f t="shared" si="65"/>
        <v>0</v>
      </c>
      <c r="AD32" s="16">
        <f t="shared" si="65"/>
        <v>0</v>
      </c>
      <c r="AE32" s="16">
        <f t="shared" si="65"/>
        <v>0</v>
      </c>
      <c r="AF32" s="16">
        <f t="shared" si="65"/>
        <v>0</v>
      </c>
      <c r="AG32" s="16">
        <f t="shared" si="65"/>
        <v>0</v>
      </c>
      <c r="AH32" s="16">
        <f t="shared" si="65"/>
        <v>0</v>
      </c>
      <c r="AI32" s="16">
        <f t="shared" si="65"/>
        <v>0</v>
      </c>
      <c r="AJ32" s="16">
        <f>SUM(AA32:AI32)</f>
        <v>0</v>
      </c>
      <c r="AL32" s="17">
        <f t="shared" si="67"/>
        <v>23</v>
      </c>
      <c r="AM32" s="26" t="str">
        <f t="shared" si="60"/>
        <v>Impôt sur les revenus des capitaux mobiliers (RCM) (+)</v>
      </c>
      <c r="AN32" s="18">
        <f t="shared" si="68"/>
        <v>0</v>
      </c>
      <c r="AO32" s="18">
        <f t="shared" si="68"/>
        <v>0</v>
      </c>
      <c r="AP32" s="18">
        <f t="shared" si="68"/>
        <v>0</v>
      </c>
      <c r="AQ32" s="18">
        <f t="shared" si="68"/>
        <v>0</v>
      </c>
      <c r="AR32" s="18">
        <f t="shared" si="68"/>
        <v>0</v>
      </c>
      <c r="AS32" s="18">
        <f t="shared" si="68"/>
        <v>0</v>
      </c>
      <c r="AT32" s="18">
        <f t="shared" si="68"/>
        <v>0</v>
      </c>
      <c r="AU32" s="18">
        <f t="shared" si="68"/>
        <v>0</v>
      </c>
      <c r="AV32" s="18">
        <f>SUM(AN32:AU32)</f>
        <v>0</v>
      </c>
      <c r="AW32" s="38"/>
      <c r="AX32" s="17">
        <f t="shared" si="70"/>
        <v>23</v>
      </c>
      <c r="AY32" s="26" t="str">
        <f t="shared" si="62"/>
        <v>Impôt sur les revenus des capitaux mobiliers (RCM) (+)</v>
      </c>
      <c r="AZ32" s="18">
        <f t="shared" ca="1" si="71"/>
        <v>0</v>
      </c>
      <c r="BA32" s="18">
        <f t="shared" ca="1" si="71"/>
        <v>0</v>
      </c>
      <c r="BB32" s="18">
        <f t="shared" ca="1" si="71"/>
        <v>0</v>
      </c>
      <c r="BC32" s="18">
        <f t="shared" ca="1" si="71"/>
        <v>0</v>
      </c>
      <c r="BD32" s="18">
        <f t="shared" ca="1" si="71"/>
        <v>0</v>
      </c>
      <c r="BE32" s="18">
        <f t="shared" ca="1" si="71"/>
        <v>0</v>
      </c>
      <c r="BF32" s="18">
        <f t="shared" ca="1" si="71"/>
        <v>0</v>
      </c>
      <c r="BG32" s="18">
        <f t="shared" ca="1" si="71"/>
        <v>0</v>
      </c>
      <c r="BH32" s="18">
        <f t="shared" ca="1" si="71"/>
        <v>0</v>
      </c>
      <c r="BI32" s="18">
        <f t="shared" ca="1" si="71"/>
        <v>0</v>
      </c>
      <c r="BJ32" s="18">
        <f t="shared" ca="1" si="71"/>
        <v>0</v>
      </c>
      <c r="BK32" s="18">
        <f t="shared" ca="1" si="71"/>
        <v>0</v>
      </c>
    </row>
    <row r="33" spans="1:63">
      <c r="A33" s="80">
        <f t="shared" si="29"/>
        <v>21</v>
      </c>
      <c r="B33" s="64">
        <f>+'Taxes RCA 2022'!A26</f>
        <v>21</v>
      </c>
      <c r="C33" s="68" t="str">
        <f>+'Taxes RCA 2022'!B26</f>
        <v>Droits fixes (sur l'octroi, renouvellement, transfert) (+)</v>
      </c>
      <c r="E33" s="165"/>
      <c r="F33" s="165">
        <f t="shared" ref="F33:F39" si="74">SUMIF($A$84:$A$751,B33&amp;"- "&amp;C33,$G$84:$G$751)</f>
        <v>0</v>
      </c>
      <c r="G33" s="165">
        <f>E33+F33</f>
        <v>0</v>
      </c>
      <c r="H33" s="114"/>
      <c r="I33" s="165"/>
      <c r="J33" s="165">
        <f t="shared" ca="1" si="73"/>
        <v>0</v>
      </c>
      <c r="K33" s="165">
        <f t="shared" ca="1" si="56"/>
        <v>0</v>
      </c>
      <c r="L33" s="114"/>
      <c r="M33" s="165">
        <f t="shared" ca="1" si="57"/>
        <v>0</v>
      </c>
      <c r="N33" s="68"/>
      <c r="O33" s="38" t="str">
        <f t="shared" ca="1" si="46"/>
        <v/>
      </c>
      <c r="P33" s="39" t="str">
        <f t="shared" ca="1" si="47"/>
        <v/>
      </c>
      <c r="Q33" s="35"/>
      <c r="R33" s="40" t="s">
        <v>18</v>
      </c>
      <c r="S33" s="22">
        <f>SUM(S25:S32)</f>
        <v>0</v>
      </c>
      <c r="Y33" s="28"/>
      <c r="Z33" s="28" t="str">
        <f t="shared" si="58"/>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0"/>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2"/>
        <v>Taxe de Développement Artisanal (TDA) (+)</v>
      </c>
      <c r="AZ33" s="29">
        <f t="shared" ref="AZ33:BK33" ca="1" si="77">SUM(AZ34:AZ49)</f>
        <v>0</v>
      </c>
      <c r="BA33" s="29">
        <f t="shared" ca="1" si="77"/>
        <v>0</v>
      </c>
      <c r="BB33" s="29">
        <f t="shared" ca="1" si="77"/>
        <v>0</v>
      </c>
      <c r="BC33" s="29">
        <f t="shared" ca="1" si="77"/>
        <v>0</v>
      </c>
      <c r="BD33" s="29">
        <f t="shared" ca="1" si="77"/>
        <v>-11824492.882041506</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74"/>
        <v>0</v>
      </c>
      <c r="G34" s="114">
        <f t="shared" si="55"/>
        <v>0</v>
      </c>
      <c r="H34" s="114"/>
      <c r="I34" s="114"/>
      <c r="J34" s="114">
        <f t="shared" ca="1" si="73"/>
        <v>0</v>
      </c>
      <c r="K34" s="114">
        <f t="shared" ca="1" si="56"/>
        <v>0</v>
      </c>
      <c r="L34" s="114"/>
      <c r="M34" s="114">
        <f t="shared" ca="1" si="57"/>
        <v>0</v>
      </c>
      <c r="N34" s="18"/>
      <c r="O34" s="38" t="str">
        <f t="shared" ca="1" si="46"/>
        <v/>
      </c>
      <c r="P34" s="39" t="str">
        <f t="shared" ca="1" si="47"/>
        <v/>
      </c>
      <c r="Q34" s="35"/>
      <c r="R34" s="43"/>
      <c r="S34" s="27"/>
      <c r="Y34" s="15">
        <f t="shared" ref="Y34:Y49" si="78">B37</f>
        <v>25</v>
      </c>
      <c r="Z34" s="25" t="str">
        <f t="shared" si="58"/>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0"/>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2"/>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74"/>
        <v>0</v>
      </c>
      <c r="G35" s="165">
        <f t="shared" si="55"/>
        <v>0</v>
      </c>
      <c r="H35" s="114"/>
      <c r="I35" s="165"/>
      <c r="J35" s="165">
        <f t="shared" ca="1" si="73"/>
        <v>0</v>
      </c>
      <c r="K35" s="165">
        <f t="shared" ca="1" si="56"/>
        <v>0</v>
      </c>
      <c r="L35" s="114"/>
      <c r="M35" s="165">
        <f t="shared" ca="1" si="57"/>
        <v>0</v>
      </c>
      <c r="N35" s="68"/>
      <c r="O35" s="71" t="str">
        <f t="shared" ca="1" si="46"/>
        <v/>
      </c>
      <c r="P35" s="72" t="str">
        <f t="shared" ca="1" si="47"/>
        <v/>
      </c>
      <c r="Q35" s="73"/>
      <c r="Y35" s="15">
        <f t="shared" si="78"/>
        <v>26</v>
      </c>
      <c r="Z35" s="25" t="str">
        <f t="shared" si="58"/>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0"/>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2"/>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74"/>
        <v>0</v>
      </c>
      <c r="G36" s="114">
        <f t="shared" si="55"/>
        <v>0</v>
      </c>
      <c r="H36" s="114"/>
      <c r="I36" s="114"/>
      <c r="J36" s="114">
        <f t="shared" ca="1" si="73"/>
        <v>0</v>
      </c>
      <c r="K36" s="114">
        <f t="shared" ca="1" si="56"/>
        <v>0</v>
      </c>
      <c r="L36" s="114"/>
      <c r="M36" s="114">
        <f t="shared" ca="1" si="57"/>
        <v>0</v>
      </c>
      <c r="N36" s="18"/>
      <c r="O36" s="38"/>
      <c r="P36" s="39"/>
      <c r="Q36" s="35"/>
      <c r="S36" s="18"/>
      <c r="Y36" s="15">
        <f t="shared" si="78"/>
        <v>27</v>
      </c>
      <c r="Z36" s="25" t="str">
        <f t="shared" si="58"/>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0"/>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2"/>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74"/>
        <v>0</v>
      </c>
      <c r="G37" s="165">
        <f t="shared" si="55"/>
        <v>0</v>
      </c>
      <c r="H37" s="114"/>
      <c r="I37" s="165"/>
      <c r="J37" s="165">
        <f t="shared" ca="1" si="73"/>
        <v>0</v>
      </c>
      <c r="K37" s="165">
        <f t="shared" ca="1" si="56"/>
        <v>0</v>
      </c>
      <c r="L37" s="114"/>
      <c r="M37" s="165">
        <f t="shared" ca="1" si="57"/>
        <v>0</v>
      </c>
      <c r="N37" s="68"/>
      <c r="O37" s="38" t="str">
        <f ca="1">IF(M37=0,"",IF(N37=0,"ERROR",""))</f>
        <v/>
      </c>
      <c r="P37" s="39" t="str">
        <f t="shared" ref="P37:P51" ca="1" si="86">IF(O37="ERROR","Please insert comment","")</f>
        <v/>
      </c>
      <c r="Q37" s="35"/>
      <c r="Y37" s="15">
        <f t="shared" si="78"/>
        <v>0</v>
      </c>
      <c r="Z37" s="25" t="str">
        <f t="shared" si="58"/>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0"/>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2"/>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74"/>
        <v>0</v>
      </c>
      <c r="G38" s="114">
        <f t="shared" si="55"/>
        <v>0</v>
      </c>
      <c r="H38" s="114"/>
      <c r="I38" s="114">
        <v>17840355</v>
      </c>
      <c r="J38" s="114">
        <f ca="1">SUMIF($J$84:$M$749,C38,$Q$84:$Q$749)</f>
        <v>-17840355</v>
      </c>
      <c r="K38" s="114">
        <f t="shared" ca="1" si="56"/>
        <v>0</v>
      </c>
      <c r="L38" s="114"/>
      <c r="M38" s="114">
        <f t="shared" ca="1" si="57"/>
        <v>0</v>
      </c>
      <c r="N38" s="18"/>
      <c r="O38" s="38" t="str">
        <f ca="1">IF(M38=0,"",IF(N38=0,"ERROR",""))</f>
        <v/>
      </c>
      <c r="P38" s="39" t="str">
        <f t="shared" ca="1" si="86"/>
        <v/>
      </c>
      <c r="Q38" s="35"/>
      <c r="Y38" s="15">
        <f t="shared" si="78"/>
        <v>28</v>
      </c>
      <c r="Z38" s="25" t="str">
        <f t="shared" si="58"/>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0"/>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2"/>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74"/>
        <v>0</v>
      </c>
      <c r="G39" s="165">
        <f t="shared" si="55"/>
        <v>0</v>
      </c>
      <c r="H39" s="114"/>
      <c r="I39" s="165"/>
      <c r="J39" s="165">
        <f ca="1">SUMIF($J$84:$M$749,B39&amp;"- "&amp;C39,$Q$84:$Q$749)</f>
        <v>0</v>
      </c>
      <c r="K39" s="165">
        <f t="shared" ca="1" si="56"/>
        <v>0</v>
      </c>
      <c r="L39" s="114"/>
      <c r="M39" s="165">
        <f t="shared" ca="1" si="57"/>
        <v>0</v>
      </c>
      <c r="N39" s="68"/>
      <c r="O39" s="38" t="str">
        <f t="shared" ca="1" si="46"/>
        <v/>
      </c>
      <c r="P39" s="39" t="str">
        <f t="shared" ca="1" si="86"/>
        <v/>
      </c>
      <c r="Q39" s="35"/>
      <c r="Y39" s="15">
        <f t="shared" si="78"/>
        <v>29</v>
      </c>
      <c r="Z39" s="25" t="str">
        <f t="shared" si="58"/>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0"/>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2"/>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8"/>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0"/>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2"/>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-10099619.421224006</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-1724873.4608175009</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49746319</v>
      </c>
      <c r="G47" s="166">
        <f>SUM(G48:G51)</f>
        <v>49746319</v>
      </c>
      <c r="H47" s="114"/>
      <c r="I47" s="166">
        <f>SUM(I48:I51)</f>
        <v>61570811.882041506</v>
      </c>
      <c r="J47" s="166">
        <f ca="1">SUM(J48:J51)</f>
        <v>0</v>
      </c>
      <c r="K47" s="166">
        <f ca="1">SUM(K48:K51)</f>
        <v>61570811.882041506</v>
      </c>
      <c r="L47" s="114"/>
      <c r="M47" s="166">
        <f ca="1">SUM(M48:M51)</f>
        <v>-11824492.882041506</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+VLOOKUP(C48,$C$83:$G$117,5,0)</f>
        <v>32011675</v>
      </c>
      <c r="G48" s="114">
        <f>E48+F48</f>
        <v>32011675</v>
      </c>
      <c r="H48" s="114"/>
      <c r="I48" s="114">
        <v>42111294.421224006</v>
      </c>
      <c r="J48" s="114">
        <f ca="1">SUMIF($J$84:$M$749,B48&amp;"- "&amp;C48,$Q$84:$Q$749)</f>
        <v>0</v>
      </c>
      <c r="K48" s="114">
        <f ca="1">I48+J48</f>
        <v>42111294.421224006</v>
      </c>
      <c r="L48" s="114"/>
      <c r="M48" s="114">
        <f ca="1">+G48-K48</f>
        <v>-10099619.421224006</v>
      </c>
      <c r="N48" s="18" t="s">
        <v>85</v>
      </c>
      <c r="O48" s="38" t="str">
        <f t="shared" ca="1" si="46"/>
        <v/>
      </c>
      <c r="P48" s="39" t="str">
        <f t="shared" ca="1" si="86"/>
        <v/>
      </c>
      <c r="Y48" s="15">
        <f t="shared" si="78"/>
        <v>36</v>
      </c>
      <c r="Z48" s="25" t="str">
        <f t="shared" si="58"/>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0"/>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2"/>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+VLOOKUP(C49,$C$83:$G$117,5,0)</f>
        <v>17734644</v>
      </c>
      <c r="G49" s="165">
        <f>E49+F49</f>
        <v>17734644</v>
      </c>
      <c r="H49" s="114"/>
      <c r="I49" s="165">
        <v>19459517.460817501</v>
      </c>
      <c r="J49" s="165">
        <f ca="1">SUMIF($J$84:$M$749,B49&amp;"- "&amp;C49,$Q$84:$Q$749)</f>
        <v>0</v>
      </c>
      <c r="K49" s="165">
        <f ca="1">I49+J49</f>
        <v>19459517.460817501</v>
      </c>
      <c r="L49" s="114"/>
      <c r="M49" s="165">
        <f ca="1">+G49-K49</f>
        <v>-1724873.4608175009</v>
      </c>
      <c r="N49" s="68" t="s">
        <v>85</v>
      </c>
      <c r="O49" s="38" t="str">
        <f t="shared" ca="1" si="46"/>
        <v/>
      </c>
      <c r="P49" s="39" t="str">
        <f t="shared" ca="1" si="86"/>
        <v/>
      </c>
      <c r="Y49" s="15">
        <f t="shared" si="78"/>
        <v>0</v>
      </c>
      <c r="Z49" s="25" t="str">
        <f t="shared" si="58"/>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0"/>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2"/>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8"/>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0"/>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2"/>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-8747705.4212240055</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8"/>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0"/>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2"/>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-8747705.4212240055</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68832868</v>
      </c>
      <c r="G52" s="166">
        <f t="shared" si="104"/>
        <v>68832868</v>
      </c>
      <c r="H52" s="114"/>
      <c r="I52" s="166">
        <f>+I53+I54</f>
        <v>81030329.342859</v>
      </c>
      <c r="J52" s="166">
        <f t="shared" ref="J52" ca="1" si="105">+J53+J54</f>
        <v>0</v>
      </c>
      <c r="K52" s="166">
        <f t="shared" ref="K52" ca="1" si="106">+K53+K54</f>
        <v>81030329.342859</v>
      </c>
      <c r="L52" s="114"/>
      <c r="M52" s="166">
        <f t="shared" ref="M52" ca="1" si="107">+M53+M54</f>
        <v>-12197461.342859007</v>
      </c>
      <c r="N52" s="58"/>
      <c r="O52" s="38" t="str">
        <f ca="1">IF(M52=0,"",IF(N52=0,"ERROR",""))</f>
        <v>ERROR</v>
      </c>
      <c r="P52" s="39" t="str">
        <f ca="1">IF(O52="ERROR","Please insert comment","")</f>
        <v>Please insert comment</v>
      </c>
      <c r="Y52" s="15">
        <f t="shared" si="96"/>
        <v>0</v>
      </c>
      <c r="Z52" s="25" t="str">
        <f t="shared" si="58"/>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0"/>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2"/>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+VLOOKUP(C53,$C$83:$G$117,5,0)</f>
        <v>35469279</v>
      </c>
      <c r="G53" s="114">
        <f>E53+F53</f>
        <v>35469279</v>
      </c>
      <c r="H53" s="114"/>
      <c r="I53" s="114">
        <v>38919034.921635002</v>
      </c>
      <c r="J53" s="114">
        <f ca="1">SUMIF($J$84:$M$749,B53&amp;"- "&amp;C53,$Q$84:$Q$749)</f>
        <v>0</v>
      </c>
      <c r="K53" s="114">
        <f ca="1">I53+J53</f>
        <v>38919034.921635002</v>
      </c>
      <c r="L53" s="114"/>
      <c r="M53" s="114">
        <f ca="1">+G53-K53</f>
        <v>-3449755.9216350019</v>
      </c>
      <c r="N53" s="16" t="s">
        <v>53</v>
      </c>
      <c r="O53" s="38"/>
      <c r="P53" s="39"/>
      <c r="Y53" s="15">
        <f t="shared" si="96"/>
        <v>0</v>
      </c>
      <c r="Z53" s="25" t="str">
        <f t="shared" si="58"/>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0"/>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2"/>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+VLOOKUP(C54,$C$83:$G$117,5,0)</f>
        <v>33363589</v>
      </c>
      <c r="G54" s="165">
        <f>E54+F54</f>
        <v>33363589</v>
      </c>
      <c r="H54" s="114"/>
      <c r="I54" s="165">
        <v>42111294.421224006</v>
      </c>
      <c r="J54" s="165">
        <f ca="1">SUMIF($J$84:$M$749,B54&amp;"- "&amp;C54,$Q$84:$Q$749)</f>
        <v>0</v>
      </c>
      <c r="K54" s="165">
        <f ca="1">I54+J54</f>
        <v>42111294.421224006</v>
      </c>
      <c r="L54" s="114"/>
      <c r="M54" s="165">
        <f ca="1">+G54-K54</f>
        <v>-8747705.4212240055</v>
      </c>
      <c r="N54" s="68" t="s">
        <v>53</v>
      </c>
      <c r="O54" s="38" t="str">
        <f t="shared" ca="1" si="46"/>
        <v/>
      </c>
      <c r="P54" s="39" t="str">
        <f ca="1">IF(O54="ERROR","Please insert comment","")</f>
        <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37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379"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6000000</v>
      </c>
      <c r="G68" s="166">
        <f t="shared" si="146"/>
        <v>6000000</v>
      </c>
      <c r="H68" s="114"/>
      <c r="I68" s="166">
        <f>SUM(I69:I76)</f>
        <v>6000000</v>
      </c>
      <c r="J68" s="166">
        <f t="shared" ref="J68" ca="1" si="147">SUM(J69:J76)</f>
        <v>0</v>
      </c>
      <c r="K68" s="166">
        <f t="shared" ref="K68" ca="1" si="148">SUM(K69:K76)</f>
        <v>6000000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SUMIF($A$84:$A$751,B69&amp;"- "&amp;C69,$G$84:$G$751)</f>
        <v>0</v>
      </c>
      <c r="G69" s="114">
        <f t="shared" ref="G69:G76" si="153">E69+F69</f>
        <v>0</v>
      </c>
      <c r="H69" s="114"/>
      <c r="I69" s="114"/>
      <c r="J69" s="114">
        <f t="shared" ref="J69:J76" ca="1" si="154">SUMIF($J$84:$M$749,B69&amp;"- "&amp;C69,$Q$84:$Q$749)</f>
        <v>0</v>
      </c>
      <c r="K69" s="114">
        <f t="shared" ref="K69:K76" ca="1" si="155">I69+J69</f>
        <v>0</v>
      </c>
      <c r="L69" s="114"/>
      <c r="M69" s="114">
        <f t="shared" ref="M69:M76" ca="1" si="156">+G69-K69</f>
        <v>0</v>
      </c>
      <c r="N69" s="18"/>
      <c r="O69" s="38"/>
      <c r="P69" s="39"/>
      <c r="Y69" s="15">
        <f>B71</f>
        <v>50</v>
      </c>
      <c r="Z69" s="25" t="str">
        <f t="shared" si="137"/>
        <v>Redevances annuelles résultant des inspections et contrôle des installations classées (+)</v>
      </c>
      <c r="AA69" s="16">
        <f t="shared" ref="AA69:AI69" si="157">SUMPRODUCT(($A$84:$A$751=$Y69&amp;"- "&amp;$Z69)*($C$84:$C$751=AA$1)*($G$84:$G$751))</f>
        <v>0</v>
      </c>
      <c r="AB69" s="16">
        <f t="shared" si="157"/>
        <v>0</v>
      </c>
      <c r="AC69" s="16">
        <f t="shared" si="157"/>
        <v>0</v>
      </c>
      <c r="AD69" s="16">
        <f t="shared" si="157"/>
        <v>0</v>
      </c>
      <c r="AE69" s="16">
        <f t="shared" si="157"/>
        <v>0</v>
      </c>
      <c r="AF69" s="16">
        <f t="shared" si="157"/>
        <v>0</v>
      </c>
      <c r="AG69" s="16">
        <f t="shared" si="157"/>
        <v>0</v>
      </c>
      <c r="AH69" s="16">
        <f t="shared" si="157"/>
        <v>0</v>
      </c>
      <c r="AI69" s="16">
        <f t="shared" si="157"/>
        <v>0</v>
      </c>
      <c r="AJ69" s="16">
        <f>SUM(AA69:AI69)</f>
        <v>0</v>
      </c>
      <c r="AL69" s="17">
        <f>+B71</f>
        <v>50</v>
      </c>
      <c r="AM69" s="26" t="str">
        <f t="shared" si="139"/>
        <v>Redevances annuelles résultant des inspections et contrôle des installations classées (+)</v>
      </c>
      <c r="AN69" s="18">
        <f t="shared" ref="AN69:AU69" si="158">SUMPRODUCT(($J$84:$M$748=$AL69&amp;"- "&amp;$AM69)*($N$84:$N$748=AN$1)*($Q$84:$Q$748))</f>
        <v>0</v>
      </c>
      <c r="AO69" s="18">
        <f t="shared" si="158"/>
        <v>0</v>
      </c>
      <c r="AP69" s="18">
        <f t="shared" si="158"/>
        <v>0</v>
      </c>
      <c r="AQ69" s="18">
        <f t="shared" si="158"/>
        <v>0</v>
      </c>
      <c r="AR69" s="18">
        <f t="shared" si="158"/>
        <v>0</v>
      </c>
      <c r="AS69" s="18">
        <f t="shared" si="158"/>
        <v>0</v>
      </c>
      <c r="AT69" s="18">
        <f t="shared" si="158"/>
        <v>0</v>
      </c>
      <c r="AU69" s="18">
        <f t="shared" si="158"/>
        <v>0</v>
      </c>
      <c r="AV69" s="18">
        <f>SUM(AN69:AU69)</f>
        <v>0</v>
      </c>
      <c r="AW69" s="18"/>
      <c r="AX69" s="17">
        <f>B71</f>
        <v>50</v>
      </c>
      <c r="AY69" s="26" t="str">
        <f t="shared" si="141"/>
        <v>Redevances annuelles résultant des inspections et contrôle des installations classées (+)</v>
      </c>
      <c r="AZ69" s="18">
        <f t="shared" ref="AZ69:BK69" ca="1" si="159">SUMPRODUCT(($C$10:$C$75=$AY69)*($N$10:$N$75=AZ$1)*($M$10:$M$75))</f>
        <v>0</v>
      </c>
      <c r="BA69" s="18">
        <f t="shared" ca="1" si="159"/>
        <v>0</v>
      </c>
      <c r="BB69" s="18">
        <f t="shared" ca="1" si="159"/>
        <v>0</v>
      </c>
      <c r="BC69" s="18">
        <f t="shared" ca="1" si="159"/>
        <v>0</v>
      </c>
      <c r="BD69" s="18">
        <f t="shared" ca="1" si="159"/>
        <v>0</v>
      </c>
      <c r="BE69" s="18">
        <f t="shared" ca="1" si="159"/>
        <v>0</v>
      </c>
      <c r="BF69" s="18">
        <f t="shared" ca="1" si="159"/>
        <v>0</v>
      </c>
      <c r="BG69" s="18">
        <f t="shared" ca="1" si="159"/>
        <v>0</v>
      </c>
      <c r="BH69" s="18">
        <f t="shared" ca="1" si="159"/>
        <v>0</v>
      </c>
      <c r="BI69" s="18">
        <f t="shared" ca="1" si="159"/>
        <v>0</v>
      </c>
      <c r="BJ69" s="18">
        <f t="shared" ca="1" si="159"/>
        <v>0</v>
      </c>
      <c r="BK69" s="18">
        <f t="shared" ca="1" si="159"/>
        <v>0</v>
      </c>
    </row>
    <row r="70" spans="1:64">
      <c r="A70" s="80">
        <f t="shared" si="29"/>
        <v>49</v>
      </c>
      <c r="B70" s="64">
        <f>+'Taxes RCA 2022'!A63</f>
        <v>49</v>
      </c>
      <c r="C70" s="68" t="str">
        <f>+'Taxes RCA 2022'!B63</f>
        <v>Taxes à la pollution (+)</v>
      </c>
      <c r="E70" s="165"/>
      <c r="F70" s="165">
        <f>SUMIF($A$84:$A$751,B70&amp;"- "&amp;C70,$G$84:$G$751)</f>
        <v>0</v>
      </c>
      <c r="G70" s="165">
        <f t="shared" si="153"/>
        <v>0</v>
      </c>
      <c r="H70" s="114"/>
      <c r="I70" s="165"/>
      <c r="J70" s="165">
        <f t="shared" ca="1" si="154"/>
        <v>0</v>
      </c>
      <c r="K70" s="165">
        <f t="shared" ca="1" si="155"/>
        <v>0</v>
      </c>
      <c r="L70" s="114"/>
      <c r="M70" s="165">
        <f t="shared" ca="1" si="156"/>
        <v>0</v>
      </c>
      <c r="N70" s="68"/>
      <c r="O70" s="38"/>
      <c r="P70" s="39"/>
      <c r="Y70" s="15"/>
      <c r="Z70" s="25" t="str">
        <f t="shared" si="137"/>
        <v>Taxes superficiaires encaissées par le FNE (+)</v>
      </c>
      <c r="AA70" s="16">
        <f t="shared" ref="AA70:AJ70" si="160">SUM(AA71:AA71)</f>
        <v>0</v>
      </c>
      <c r="AB70" s="16">
        <f t="shared" si="160"/>
        <v>0</v>
      </c>
      <c r="AC70" s="16">
        <f t="shared" si="160"/>
        <v>0</v>
      </c>
      <c r="AD70" s="16">
        <f t="shared" si="160"/>
        <v>0</v>
      </c>
      <c r="AE70" s="16">
        <f t="shared" si="160"/>
        <v>0</v>
      </c>
      <c r="AF70" s="16">
        <f t="shared" si="160"/>
        <v>0</v>
      </c>
      <c r="AG70" s="16">
        <f t="shared" si="160"/>
        <v>0</v>
      </c>
      <c r="AH70" s="16">
        <f t="shared" si="160"/>
        <v>0</v>
      </c>
      <c r="AI70" s="16">
        <f t="shared" si="160"/>
        <v>0</v>
      </c>
      <c r="AJ70" s="16">
        <f t="shared" si="160"/>
        <v>0</v>
      </c>
      <c r="AL70" s="17"/>
      <c r="AM70" s="26" t="str">
        <f t="shared" si="139"/>
        <v>Taxes superficiaires encaissées par le FNE (+)</v>
      </c>
      <c r="AN70" s="18">
        <f t="shared" ref="AN70:AU70" si="161">SUM(AN71:AN71)</f>
        <v>0</v>
      </c>
      <c r="AO70" s="18">
        <f t="shared" si="161"/>
        <v>0</v>
      </c>
      <c r="AP70" s="18">
        <f t="shared" si="161"/>
        <v>0</v>
      </c>
      <c r="AQ70" s="18">
        <f t="shared" si="161"/>
        <v>0</v>
      </c>
      <c r="AR70" s="18">
        <f t="shared" si="161"/>
        <v>0</v>
      </c>
      <c r="AS70" s="18">
        <f t="shared" si="161"/>
        <v>0</v>
      </c>
      <c r="AT70" s="18">
        <f t="shared" si="161"/>
        <v>0</v>
      </c>
      <c r="AU70" s="18">
        <f t="shared" si="161"/>
        <v>0</v>
      </c>
      <c r="AV70" s="18">
        <f>SUM(AV71:AV71)</f>
        <v>0</v>
      </c>
      <c r="AW70" s="18"/>
      <c r="AX70" s="17"/>
      <c r="AY70" s="26" t="str">
        <f t="shared" si="141"/>
        <v>Taxes superficiaires encaissées par le FNE (+)</v>
      </c>
      <c r="AZ70" s="18">
        <f t="shared" ref="AZ70:BK70" ca="1" si="162">SUM(AZ71:AZ71)</f>
        <v>0</v>
      </c>
      <c r="BA70" s="18">
        <f t="shared" ca="1" si="162"/>
        <v>0</v>
      </c>
      <c r="BB70" s="18">
        <f t="shared" ca="1" si="162"/>
        <v>0</v>
      </c>
      <c r="BC70" s="18">
        <f t="shared" ca="1" si="162"/>
        <v>0</v>
      </c>
      <c r="BD70" s="18">
        <f t="shared" ca="1" si="162"/>
        <v>0</v>
      </c>
      <c r="BE70" s="18">
        <f t="shared" ca="1" si="162"/>
        <v>0</v>
      </c>
      <c r="BF70" s="18">
        <f t="shared" ca="1" si="162"/>
        <v>0</v>
      </c>
      <c r="BG70" s="18">
        <f t="shared" ca="1" si="162"/>
        <v>0</v>
      </c>
      <c r="BH70" s="18">
        <f t="shared" ca="1" si="162"/>
        <v>0</v>
      </c>
      <c r="BI70" s="18">
        <f t="shared" ca="1" si="162"/>
        <v>0</v>
      </c>
      <c r="BJ70" s="18">
        <f t="shared" ca="1" si="162"/>
        <v>0</v>
      </c>
      <c r="BK70" s="18">
        <f t="shared" ca="1" si="162"/>
        <v>0</v>
      </c>
      <c r="BL70" s="23"/>
    </row>
    <row r="71" spans="1:64" ht="24">
      <c r="A71" s="80">
        <f t="shared" si="29"/>
        <v>50</v>
      </c>
      <c r="B71" s="53">
        <f>+'Taxes RCA 2022'!A64</f>
        <v>50</v>
      </c>
      <c r="C71" s="171" t="str">
        <f>+'Taxes RCA 2022'!B64</f>
        <v>Redevances annuelles résultant des inspections et contrôle des installations classées (+)</v>
      </c>
      <c r="E71" s="114"/>
      <c r="F71" s="114">
        <f>SUMIF($A$84:$A$751,B71&amp;"- "&amp;C71,$G$84:$G$751)</f>
        <v>0</v>
      </c>
      <c r="G71" s="114">
        <f t="shared" si="153"/>
        <v>0</v>
      </c>
      <c r="H71" s="114"/>
      <c r="I71" s="114"/>
      <c r="J71" s="114">
        <f t="shared" ca="1" si="154"/>
        <v>0</v>
      </c>
      <c r="K71" s="114">
        <f t="shared" ca="1" si="155"/>
        <v>0</v>
      </c>
      <c r="L71" s="114"/>
      <c r="M71" s="114">
        <f t="shared" ca="1" si="156"/>
        <v>0</v>
      </c>
      <c r="N71" s="18"/>
      <c r="O71" s="38" t="str">
        <f t="shared" ca="1" si="46"/>
        <v/>
      </c>
      <c r="P71" s="39" t="str">
        <f ca="1">IF(O71="ERROR","Please insert comment","")</f>
        <v/>
      </c>
      <c r="Y71" s="15">
        <f>B73</f>
        <v>52</v>
      </c>
      <c r="Z71" s="25" t="str">
        <f t="shared" si="137"/>
        <v>Taxes de remise en état (+)</v>
      </c>
      <c r="AA71" s="16">
        <f t="shared" ref="AA71:AI73" si="163">SUMPRODUCT(($A$84:$A$751=$Y71&amp;"- "&amp;$Z71)*($C$84:$C$751=AA$1)*($G$84:$G$751))</f>
        <v>0</v>
      </c>
      <c r="AB71" s="16">
        <f t="shared" si="163"/>
        <v>0</v>
      </c>
      <c r="AC71" s="16">
        <f t="shared" si="163"/>
        <v>0</v>
      </c>
      <c r="AD71" s="16">
        <f t="shared" si="163"/>
        <v>0</v>
      </c>
      <c r="AE71" s="16">
        <f t="shared" si="163"/>
        <v>0</v>
      </c>
      <c r="AF71" s="16">
        <f t="shared" si="163"/>
        <v>0</v>
      </c>
      <c r="AG71" s="16">
        <f t="shared" si="163"/>
        <v>0</v>
      </c>
      <c r="AH71" s="16">
        <f t="shared" si="163"/>
        <v>0</v>
      </c>
      <c r="AI71" s="16">
        <f t="shared" si="163"/>
        <v>0</v>
      </c>
      <c r="AJ71" s="16">
        <f>SUM(AA71:AI71)</f>
        <v>0</v>
      </c>
      <c r="AL71" s="17">
        <f>+B73</f>
        <v>52</v>
      </c>
      <c r="AM71" s="26" t="str">
        <f t="shared" si="139"/>
        <v>Taxes de remise en état (+)</v>
      </c>
      <c r="AN71" s="18">
        <f t="shared" ref="AN71:AU71" si="164">SUMPRODUCT(($J$84:$M$748=$AL71&amp;"- "&amp;$AM71)*($N$84:$N$748=AN$1)*($Q$84:$Q$748))</f>
        <v>0</v>
      </c>
      <c r="AO71" s="18">
        <f t="shared" si="164"/>
        <v>0</v>
      </c>
      <c r="AP71" s="18">
        <f t="shared" si="164"/>
        <v>0</v>
      </c>
      <c r="AQ71" s="18">
        <f t="shared" si="164"/>
        <v>0</v>
      </c>
      <c r="AR71" s="18">
        <f t="shared" si="164"/>
        <v>0</v>
      </c>
      <c r="AS71" s="18">
        <f t="shared" si="164"/>
        <v>0</v>
      </c>
      <c r="AT71" s="18">
        <f t="shared" si="164"/>
        <v>0</v>
      </c>
      <c r="AU71" s="18">
        <f t="shared" si="164"/>
        <v>0</v>
      </c>
      <c r="AV71" s="18">
        <f>SUM(AN71:AU71)</f>
        <v>0</v>
      </c>
      <c r="AW71" s="18"/>
      <c r="AX71" s="17">
        <f>B73</f>
        <v>52</v>
      </c>
      <c r="AY71" s="26" t="str">
        <f t="shared" si="141"/>
        <v>Taxes de remise en état (+)</v>
      </c>
      <c r="AZ71" s="18">
        <f t="shared" ref="AZ71:BK71" ca="1" si="165">SUMPRODUCT(($C$10:$C$75=$AY71)*($N$10:$N$75=AZ$1)*($M$10:$M$75))</f>
        <v>0</v>
      </c>
      <c r="BA71" s="18">
        <f t="shared" ca="1" si="165"/>
        <v>0</v>
      </c>
      <c r="BB71" s="18">
        <f t="shared" ca="1" si="165"/>
        <v>0</v>
      </c>
      <c r="BC71" s="18">
        <f t="shared" ca="1" si="165"/>
        <v>0</v>
      </c>
      <c r="BD71" s="18">
        <f t="shared" ca="1" si="165"/>
        <v>0</v>
      </c>
      <c r="BE71" s="18">
        <f t="shared" ca="1" si="165"/>
        <v>0</v>
      </c>
      <c r="BF71" s="18">
        <f t="shared" ca="1" si="165"/>
        <v>0</v>
      </c>
      <c r="BG71" s="18">
        <f t="shared" ca="1" si="165"/>
        <v>0</v>
      </c>
      <c r="BH71" s="18">
        <f t="shared" ca="1" si="165"/>
        <v>0</v>
      </c>
      <c r="BI71" s="18">
        <f t="shared" ca="1" si="165"/>
        <v>0</v>
      </c>
      <c r="BJ71" s="18">
        <f t="shared" ca="1" si="165"/>
        <v>0</v>
      </c>
      <c r="BK71" s="18">
        <f t="shared" ca="1" si="165"/>
        <v>0</v>
      </c>
    </row>
    <row r="72" spans="1:64">
      <c r="A72" s="80">
        <f t="shared" si="29"/>
        <v>51</v>
      </c>
      <c r="B72" s="64">
        <f>+'Taxes RCA 2022'!A65</f>
        <v>51</v>
      </c>
      <c r="C72" s="68" t="str">
        <f>+'Taxes RCA 2022'!B65</f>
        <v>Taxes superficiaires encaissées par le FNE (+)</v>
      </c>
      <c r="E72" s="165"/>
      <c r="F72" s="165">
        <f>SUMIF($A$84:$A$751,B72&amp;"- "&amp;C72,$G$84:$G$751)</f>
        <v>0</v>
      </c>
      <c r="G72" s="165">
        <f t="shared" si="153"/>
        <v>0</v>
      </c>
      <c r="H72" s="114"/>
      <c r="I72" s="165"/>
      <c r="J72" s="165">
        <f t="shared" ca="1" si="154"/>
        <v>0</v>
      </c>
      <c r="K72" s="165">
        <f t="shared" ca="1" si="155"/>
        <v>0</v>
      </c>
      <c r="L72" s="114"/>
      <c r="M72" s="165">
        <f t="shared" ca="1" si="156"/>
        <v>0</v>
      </c>
      <c r="N72" s="68"/>
      <c r="Y72" s="15"/>
      <c r="Z72" s="25" t="str">
        <f t="shared" si="137"/>
        <v>Taxes environnementales sur les Stes forestières et Minières (+)</v>
      </c>
      <c r="AA72" s="16">
        <f t="shared" si="163"/>
        <v>0</v>
      </c>
      <c r="AB72" s="16">
        <f t="shared" si="163"/>
        <v>0</v>
      </c>
      <c r="AC72" s="16">
        <f t="shared" si="163"/>
        <v>0</v>
      </c>
      <c r="AD72" s="16">
        <f t="shared" si="163"/>
        <v>0</v>
      </c>
      <c r="AE72" s="16">
        <f t="shared" si="163"/>
        <v>0</v>
      </c>
      <c r="AF72" s="16">
        <f t="shared" si="163"/>
        <v>0</v>
      </c>
      <c r="AG72" s="16">
        <f t="shared" si="163"/>
        <v>0</v>
      </c>
      <c r="AH72" s="16">
        <f t="shared" si="163"/>
        <v>0</v>
      </c>
      <c r="AI72" s="16">
        <f t="shared" si="163"/>
        <v>0</v>
      </c>
      <c r="AJ72" s="16">
        <f>SUM(AA72:AI72)</f>
        <v>0</v>
      </c>
      <c r="AL72" s="17"/>
      <c r="AM72" s="26" t="str">
        <f t="shared" si="139"/>
        <v>Taxes environnementales sur les Stes forestières et Minières (+)</v>
      </c>
      <c r="AN72" s="18">
        <f t="shared" ref="AN72:AV72" si="166">SUM(AN73:AN73)</f>
        <v>0</v>
      </c>
      <c r="AO72" s="18">
        <f t="shared" si="166"/>
        <v>0</v>
      </c>
      <c r="AP72" s="18">
        <f t="shared" si="166"/>
        <v>0</v>
      </c>
      <c r="AQ72" s="18">
        <f t="shared" si="166"/>
        <v>0</v>
      </c>
      <c r="AR72" s="18">
        <f t="shared" si="166"/>
        <v>0</v>
      </c>
      <c r="AS72" s="18">
        <f t="shared" si="166"/>
        <v>0</v>
      </c>
      <c r="AT72" s="18">
        <f t="shared" si="166"/>
        <v>0</v>
      </c>
      <c r="AU72" s="18">
        <f t="shared" si="166"/>
        <v>0</v>
      </c>
      <c r="AV72" s="18">
        <f t="shared" si="166"/>
        <v>0</v>
      </c>
      <c r="AW72" s="18"/>
      <c r="AX72" s="17"/>
      <c r="AY72" s="26" t="str">
        <f t="shared" si="141"/>
        <v>Taxes environnementales sur les Stes forestières et Minières (+)</v>
      </c>
      <c r="AZ72" s="18">
        <f t="shared" ref="AZ72:BK72" ca="1" si="167">SUM(AZ73:AZ73)</f>
        <v>0</v>
      </c>
      <c r="BA72" s="18">
        <f t="shared" ca="1" si="167"/>
        <v>0</v>
      </c>
      <c r="BB72" s="18">
        <f t="shared" ca="1" si="167"/>
        <v>0</v>
      </c>
      <c r="BC72" s="18">
        <f t="shared" ca="1" si="167"/>
        <v>0</v>
      </c>
      <c r="BD72" s="18">
        <f t="shared" ca="1" si="167"/>
        <v>0</v>
      </c>
      <c r="BE72" s="18">
        <f t="shared" ca="1" si="167"/>
        <v>0</v>
      </c>
      <c r="BF72" s="18">
        <f t="shared" ca="1" si="167"/>
        <v>0</v>
      </c>
      <c r="BG72" s="18">
        <f t="shared" ca="1" si="167"/>
        <v>0</v>
      </c>
      <c r="BH72" s="18">
        <f t="shared" ca="1" si="167"/>
        <v>0</v>
      </c>
      <c r="BI72" s="18">
        <f t="shared" ca="1" si="167"/>
        <v>0</v>
      </c>
      <c r="BJ72" s="18">
        <f t="shared" ca="1" si="167"/>
        <v>0</v>
      </c>
      <c r="BK72" s="18">
        <f t="shared" ca="1" si="167"/>
        <v>0</v>
      </c>
      <c r="BL72" s="41"/>
    </row>
    <row r="73" spans="1:64">
      <c r="A73" s="80">
        <f t="shared" si="29"/>
        <v>52</v>
      </c>
      <c r="B73" s="53">
        <f>+'Taxes RCA 2022'!A66</f>
        <v>52</v>
      </c>
      <c r="C73" s="18" t="str">
        <f>+'Taxes RCA 2022'!B66</f>
        <v>Taxes de remise en état (+)</v>
      </c>
      <c r="E73" s="114"/>
      <c r="F73" s="114">
        <f>SUMIF($A$84:$A$751,B73&amp;"- "&amp;C73,$G$84:$G$751)</f>
        <v>0</v>
      </c>
      <c r="G73" s="114">
        <f t="shared" si="153"/>
        <v>0</v>
      </c>
      <c r="H73" s="114"/>
      <c r="I73" s="114"/>
      <c r="J73" s="114">
        <f t="shared" ca="1" si="154"/>
        <v>0</v>
      </c>
      <c r="K73" s="114">
        <f t="shared" ca="1" si="155"/>
        <v>0</v>
      </c>
      <c r="L73" s="114"/>
      <c r="M73" s="114">
        <f t="shared" ca="1" si="156"/>
        <v>0</v>
      </c>
      <c r="N73" s="18"/>
      <c r="O73" s="38" t="str">
        <f ca="1">IF(M73=0,"",IF(N73=0,"ERROR",""))</f>
        <v/>
      </c>
      <c r="P73" s="39" t="str">
        <f ca="1">IF(O73="ERROR","Please insert comment","")</f>
        <v/>
      </c>
      <c r="Y73" s="15">
        <v>58</v>
      </c>
      <c r="Z73" s="25" t="str">
        <f t="shared" si="137"/>
        <v xml:space="preserve">Amendes environnementales </v>
      </c>
      <c r="AA73" s="16">
        <f t="shared" si="163"/>
        <v>0</v>
      </c>
      <c r="AB73" s="16">
        <f t="shared" si="163"/>
        <v>0</v>
      </c>
      <c r="AC73" s="16">
        <f t="shared" si="163"/>
        <v>0</v>
      </c>
      <c r="AD73" s="16">
        <f t="shared" si="163"/>
        <v>0</v>
      </c>
      <c r="AE73" s="16">
        <f t="shared" si="163"/>
        <v>0</v>
      </c>
      <c r="AF73" s="16">
        <f t="shared" si="163"/>
        <v>0</v>
      </c>
      <c r="AG73" s="16">
        <f t="shared" si="163"/>
        <v>0</v>
      </c>
      <c r="AH73" s="16">
        <f t="shared" si="163"/>
        <v>0</v>
      </c>
      <c r="AI73" s="16">
        <f t="shared" si="163"/>
        <v>0</v>
      </c>
      <c r="AJ73" s="16">
        <f>SUM(AA73:AI73)</f>
        <v>0</v>
      </c>
      <c r="AL73" s="17">
        <f>+B75</f>
        <v>54</v>
      </c>
      <c r="AM73" s="26" t="str">
        <f t="shared" si="139"/>
        <v xml:space="preserve">Amendes environnementales </v>
      </c>
      <c r="AN73" s="18">
        <f t="shared" ref="AN73:AU73" si="168">SUMPRODUCT(($J$84:$M$748=$AL73&amp;"- "&amp;$AM73)*($N$84:$N$748=AN$1)*($Q$84:$Q$748))</f>
        <v>0</v>
      </c>
      <c r="AO73" s="18">
        <f t="shared" si="168"/>
        <v>0</v>
      </c>
      <c r="AP73" s="18">
        <f t="shared" si="168"/>
        <v>0</v>
      </c>
      <c r="AQ73" s="18">
        <f t="shared" si="168"/>
        <v>0</v>
      </c>
      <c r="AR73" s="18">
        <f t="shared" si="168"/>
        <v>0</v>
      </c>
      <c r="AS73" s="18">
        <f t="shared" si="168"/>
        <v>0</v>
      </c>
      <c r="AT73" s="18">
        <f t="shared" si="168"/>
        <v>0</v>
      </c>
      <c r="AU73" s="18">
        <f t="shared" si="168"/>
        <v>0</v>
      </c>
      <c r="AV73" s="18">
        <f>SUM(AN73:AU73)</f>
        <v>0</v>
      </c>
      <c r="AW73" s="18"/>
      <c r="AX73" s="17">
        <f>B75</f>
        <v>54</v>
      </c>
      <c r="AY73" s="26" t="str">
        <f t="shared" si="141"/>
        <v xml:space="preserve">Amendes environnementales </v>
      </c>
      <c r="AZ73" s="18">
        <f t="shared" ref="AZ73:BK73" ca="1" si="169">SUMPRODUCT(($C$10:$C$75=$AY73)*($N$10:$N$75=AZ$1)*($M$10:$M$75))</f>
        <v>0</v>
      </c>
      <c r="BA73" s="18">
        <f t="shared" ca="1" si="169"/>
        <v>0</v>
      </c>
      <c r="BB73" s="18">
        <f t="shared" ca="1" si="169"/>
        <v>0</v>
      </c>
      <c r="BC73" s="18">
        <f t="shared" ca="1" si="169"/>
        <v>0</v>
      </c>
      <c r="BD73" s="18">
        <f t="shared" ca="1" si="169"/>
        <v>0</v>
      </c>
      <c r="BE73" s="18">
        <f t="shared" ca="1" si="169"/>
        <v>0</v>
      </c>
      <c r="BF73" s="18">
        <f t="shared" ca="1" si="169"/>
        <v>0</v>
      </c>
      <c r="BG73" s="18">
        <f t="shared" ca="1" si="169"/>
        <v>0</v>
      </c>
      <c r="BH73" s="18">
        <f t="shared" ca="1" si="169"/>
        <v>0</v>
      </c>
      <c r="BI73" s="18">
        <f t="shared" ca="1" si="169"/>
        <v>0</v>
      </c>
      <c r="BJ73" s="18">
        <f t="shared" ca="1" si="169"/>
        <v>0</v>
      </c>
      <c r="BK73" s="18">
        <f t="shared" ca="1" si="169"/>
        <v>0</v>
      </c>
    </row>
    <row r="74" spans="1:64">
      <c r="A74" s="80"/>
      <c r="B74" s="64">
        <f>+'Taxes RCA 2022'!A67</f>
        <v>53</v>
      </c>
      <c r="C74" s="68" t="str">
        <f>+'Taxes RCA 2022'!B67</f>
        <v>Taxes environnementales sur les Stes forestières et Minières (+)</v>
      </c>
      <c r="E74" s="165"/>
      <c r="F74" s="165">
        <f>+G89</f>
        <v>6000000</v>
      </c>
      <c r="G74" s="165">
        <f t="shared" si="153"/>
        <v>6000000</v>
      </c>
      <c r="H74" s="167">
        <v>808920</v>
      </c>
      <c r="I74" s="165">
        <v>6000000</v>
      </c>
      <c r="J74" s="165">
        <f t="shared" ca="1" si="154"/>
        <v>0</v>
      </c>
      <c r="K74" s="165">
        <f t="shared" ca="1" si="155"/>
        <v>6000000</v>
      </c>
      <c r="L74" s="114"/>
      <c r="M74" s="165">
        <f t="shared" ca="1" si="156"/>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SUMIF($A$84:$A$751,B75&amp;"- "&amp;C75,$G$84:$G$751)</f>
        <v>0</v>
      </c>
      <c r="G75" s="114">
        <f t="shared" si="153"/>
        <v>0</v>
      </c>
      <c r="H75" s="114"/>
      <c r="I75" s="114"/>
      <c r="J75" s="114">
        <f t="shared" ca="1" si="154"/>
        <v>0</v>
      </c>
      <c r="K75" s="114">
        <f t="shared" ca="1" si="155"/>
        <v>0</v>
      </c>
      <c r="L75" s="114"/>
      <c r="M75" s="114">
        <f t="shared" ca="1" si="156"/>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SUMIF($A$84:$A$751,B76&amp;"- "&amp;C76,$G$84:$G$751)</f>
        <v>0</v>
      </c>
      <c r="G76" s="165">
        <f t="shared" si="153"/>
        <v>0</v>
      </c>
      <c r="H76" s="168"/>
      <c r="I76" s="165"/>
      <c r="J76" s="165">
        <f t="shared" ca="1" si="154"/>
        <v>0</v>
      </c>
      <c r="K76" s="165">
        <f t="shared" ca="1" si="155"/>
        <v>0</v>
      </c>
      <c r="L76" s="168"/>
      <c r="M76" s="165">
        <f t="shared" ca="1" si="156"/>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0">+F78+F79</f>
        <v>0</v>
      </c>
      <c r="G77" s="166">
        <f t="shared" si="170"/>
        <v>0</v>
      </c>
      <c r="H77" s="169"/>
      <c r="I77" s="166">
        <f t="shared" ref="I77:K77" si="171">+I78+I79</f>
        <v>0</v>
      </c>
      <c r="J77" s="166">
        <f t="shared" ca="1" si="171"/>
        <v>0</v>
      </c>
      <c r="K77" s="166">
        <f t="shared" ca="1" si="171"/>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2">SUMPRODUCT(($A$84:$A$751=$Y78&amp;"- "&amp;$Z78)*($C$84:$C$751=AA$1)*($G$84:$G$751))</f>
        <v>0</v>
      </c>
      <c r="AB78" s="16">
        <f t="shared" si="172"/>
        <v>0</v>
      </c>
      <c r="AC78" s="16">
        <f t="shared" si="172"/>
        <v>0</v>
      </c>
      <c r="AD78" s="16">
        <f t="shared" si="172"/>
        <v>0</v>
      </c>
      <c r="AE78" s="16">
        <f t="shared" si="172"/>
        <v>0</v>
      </c>
      <c r="AF78" s="16">
        <f t="shared" si="172"/>
        <v>0</v>
      </c>
      <c r="AG78" s="16">
        <f t="shared" si="172"/>
        <v>0</v>
      </c>
      <c r="AH78" s="16">
        <f t="shared" si="172"/>
        <v>0</v>
      </c>
      <c r="AI78" s="16">
        <f t="shared" si="172"/>
        <v>0</v>
      </c>
      <c r="AJ78" s="16">
        <f>SUM(AA78:AI78)</f>
        <v>0</v>
      </c>
      <c r="AL78" s="17">
        <f>+B45</f>
        <v>0</v>
      </c>
      <c r="AM78" s="26" t="str">
        <f>+C45</f>
        <v xml:space="preserve">Paiements infranationaux au profit des communes </v>
      </c>
      <c r="AN78" s="18">
        <f t="shared" ref="AN78:AU78" si="173">SUMPRODUCT(($J$84:$M$748=$AL78&amp;"- "&amp;$AM78)*($N$84:$N$748=AN$1)*($Q$84:$Q$748))</f>
        <v>0</v>
      </c>
      <c r="AO78" s="18">
        <f t="shared" si="173"/>
        <v>0</v>
      </c>
      <c r="AP78" s="18">
        <f t="shared" si="173"/>
        <v>0</v>
      </c>
      <c r="AQ78" s="18">
        <f t="shared" si="173"/>
        <v>0</v>
      </c>
      <c r="AR78" s="18">
        <f t="shared" si="173"/>
        <v>0</v>
      </c>
      <c r="AS78" s="18">
        <f t="shared" si="173"/>
        <v>0</v>
      </c>
      <c r="AT78" s="18">
        <f t="shared" si="173"/>
        <v>0</v>
      </c>
      <c r="AU78" s="18">
        <f t="shared" si="173"/>
        <v>0</v>
      </c>
      <c r="AV78" s="18">
        <f>SUM(AN78:AU78)</f>
        <v>0</v>
      </c>
      <c r="AW78" s="18"/>
      <c r="AX78" s="17">
        <f>B45</f>
        <v>0</v>
      </c>
      <c r="AY78" s="26" t="str">
        <f>C45</f>
        <v xml:space="preserve">Paiements infranationaux au profit des communes </v>
      </c>
      <c r="AZ78" s="18">
        <f t="shared" ref="AZ78:BK78" ca="1" si="174">SUMPRODUCT(($C$10:$C$75=$AY78)*($N$10:$N$75=AZ$1)*($M$10:$M$75))</f>
        <v>0</v>
      </c>
      <c r="BA78" s="18">
        <f t="shared" ca="1" si="174"/>
        <v>0</v>
      </c>
      <c r="BB78" s="18">
        <f t="shared" ca="1" si="174"/>
        <v>0</v>
      </c>
      <c r="BC78" s="18">
        <f t="shared" ca="1" si="174"/>
        <v>0</v>
      </c>
      <c r="BD78" s="18">
        <f t="shared" ca="1" si="174"/>
        <v>0</v>
      </c>
      <c r="BE78" s="18">
        <f t="shared" ca="1" si="174"/>
        <v>0</v>
      </c>
      <c r="BF78" s="18">
        <f t="shared" ca="1" si="174"/>
        <v>0</v>
      </c>
      <c r="BG78" s="18">
        <f t="shared" ca="1" si="174"/>
        <v>0</v>
      </c>
      <c r="BH78" s="18">
        <f t="shared" ca="1" si="174"/>
        <v>0</v>
      </c>
      <c r="BI78" s="18">
        <f t="shared" ca="1" si="174"/>
        <v>0</v>
      </c>
      <c r="BJ78" s="18">
        <f t="shared" ca="1" si="174"/>
        <v>0</v>
      </c>
      <c r="BK78" s="18">
        <f t="shared" ca="1" si="174"/>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t="s">
        <v>183</v>
      </c>
      <c r="E84" s="125" t="s">
        <v>499</v>
      </c>
      <c r="F84" s="122"/>
      <c r="G84" s="148">
        <f>-E31</f>
        <v>-111146363</v>
      </c>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t="s">
        <v>184</v>
      </c>
      <c r="E85" s="61" t="s">
        <v>500</v>
      </c>
      <c r="F85" s="120"/>
      <c r="G85" s="148">
        <f>-E32</f>
        <v>-1638000</v>
      </c>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t="s">
        <v>180</v>
      </c>
      <c r="E86" s="377" t="s">
        <v>501</v>
      </c>
      <c r="F86" s="120"/>
      <c r="G86" s="148">
        <v>9120578</v>
      </c>
      <c r="J86" s="61" t="s">
        <v>172</v>
      </c>
      <c r="L86" s="60"/>
      <c r="N86" s="97"/>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t="s">
        <v>181</v>
      </c>
      <c r="E87" s="377" t="s">
        <v>502</v>
      </c>
      <c r="F87" s="120"/>
      <c r="G87" s="148">
        <f>-G86</f>
        <v>-9120578</v>
      </c>
      <c r="J87" s="61" t="s">
        <v>173</v>
      </c>
      <c r="L87" s="60"/>
      <c r="N87" s="97"/>
      <c r="O87" s="125"/>
      <c r="P87" s="122"/>
      <c r="Q87" s="146">
        <f>-Q86</f>
        <v>0</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t="s">
        <v>174</v>
      </c>
      <c r="E88" s="377" t="s">
        <v>503</v>
      </c>
      <c r="F88" s="120"/>
      <c r="G88" s="148">
        <v>22765838</v>
      </c>
      <c r="J88" s="61" t="s">
        <v>176</v>
      </c>
      <c r="L88" s="60"/>
      <c r="N88" s="97"/>
      <c r="O88" s="125"/>
      <c r="P88" s="122"/>
      <c r="Q88" s="146">
        <f>+I23/0.7*0.3</f>
        <v>27253086.428571429</v>
      </c>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t="s">
        <v>204</v>
      </c>
      <c r="E89" s="61" t="s">
        <v>504</v>
      </c>
      <c r="F89" s="120"/>
      <c r="G89" s="148">
        <v>6000000</v>
      </c>
      <c r="J89" s="61" t="s">
        <v>165</v>
      </c>
      <c r="L89" s="60"/>
      <c r="N89" s="97"/>
      <c r="P89" s="129"/>
      <c r="Q89" s="145">
        <v>1235918</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t="s">
        <v>217</v>
      </c>
      <c r="E90" s="907" t="s">
        <v>505</v>
      </c>
      <c r="F90" s="907"/>
      <c r="G90" s="148">
        <v>35469279</v>
      </c>
      <c r="J90" s="61" t="s">
        <v>167</v>
      </c>
      <c r="L90" s="60"/>
      <c r="N90" s="97"/>
      <c r="O90" s="121"/>
      <c r="P90" s="129"/>
      <c r="Q90" s="145">
        <v>20456759</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t="s">
        <v>216</v>
      </c>
      <c r="E91" s="907"/>
      <c r="F91" s="907"/>
      <c r="G91" s="148">
        <v>33363589</v>
      </c>
      <c r="J91" s="61" t="s">
        <v>190</v>
      </c>
      <c r="L91" s="60"/>
      <c r="N91" s="97"/>
      <c r="P91" s="129"/>
      <c r="Q91" s="145">
        <v>-17840355</v>
      </c>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t="s">
        <v>201</v>
      </c>
      <c r="E92" s="908" t="s">
        <v>501</v>
      </c>
      <c r="F92" s="908"/>
      <c r="G92" s="148">
        <v>32011675</v>
      </c>
      <c r="J92" s="61" t="s">
        <v>178</v>
      </c>
      <c r="L92" s="60"/>
      <c r="N92" s="97"/>
      <c r="O92" s="121"/>
      <c r="P92" s="129"/>
      <c r="Q92" s="145">
        <f>-Q91</f>
        <v>17840355</v>
      </c>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t="s">
        <v>202</v>
      </c>
      <c r="E93" s="908"/>
      <c r="F93" s="908"/>
      <c r="G93" s="148">
        <v>17734644</v>
      </c>
      <c r="L93" s="60"/>
      <c r="N93" s="97"/>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ht="15" customHeight="1">
      <c r="C94" s="60" t="s">
        <v>177</v>
      </c>
      <c r="E94" s="908" t="s">
        <v>501</v>
      </c>
      <c r="F94" s="908"/>
      <c r="G94" s="148">
        <v>-36400617</v>
      </c>
      <c r="I94" s="148"/>
      <c r="L94" s="60"/>
      <c r="N94" s="97"/>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t="s">
        <v>178</v>
      </c>
      <c r="E95" s="908"/>
      <c r="F95" s="908"/>
      <c r="G95" s="148">
        <v>-35469282</v>
      </c>
      <c r="I95" s="148"/>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t="s">
        <v>182</v>
      </c>
      <c r="E96" s="125" t="s">
        <v>506</v>
      </c>
      <c r="F96" s="122"/>
      <c r="G96" s="148">
        <v>3580208.6100000003</v>
      </c>
      <c r="I96" s="148"/>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t="s">
        <v>181</v>
      </c>
      <c r="E97" s="125" t="s">
        <v>507</v>
      </c>
      <c r="F97" s="122"/>
      <c r="G97" s="148">
        <f>-G96</f>
        <v>-3580208.6100000003</v>
      </c>
      <c r="I97" s="148"/>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t="s">
        <v>165</v>
      </c>
      <c r="E98" s="125" t="s">
        <v>508</v>
      </c>
      <c r="F98" s="122"/>
      <c r="G98" s="148"/>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t="s">
        <v>167</v>
      </c>
      <c r="E99" s="125" t="s">
        <v>508</v>
      </c>
      <c r="F99" s="122"/>
      <c r="G99" s="148">
        <v>20627807</v>
      </c>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8"/>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8"/>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8"/>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48945763.428571433</v>
      </c>
    </row>
    <row r="752" spans="1:17">
      <c r="B752" s="24"/>
      <c r="C752" s="60"/>
      <c r="E752" s="47"/>
      <c r="F752" s="48"/>
      <c r="G752" s="47"/>
    </row>
    <row r="753" spans="5:7" ht="15">
      <c r="E753" s="49"/>
      <c r="F753" s="50"/>
      <c r="G753" s="51">
        <f>SUM(G84:G752)</f>
        <v>-16681430</v>
      </c>
    </row>
  </sheetData>
  <mergeCells count="17">
    <mergeCell ref="E90:F91"/>
    <mergeCell ref="E92:F93"/>
    <mergeCell ref="E94:F95"/>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E85">
    <cfRule type="duplicateValues" dxfId="30" priority="8"/>
  </conditionalFormatting>
  <conditionalFormatting sqref="E86:E88">
    <cfRule type="duplicateValues" dxfId="29" priority="7"/>
  </conditionalFormatting>
  <conditionalFormatting sqref="E89">
    <cfRule type="duplicateValues" dxfId="28" priority="4"/>
  </conditionalFormatting>
  <conditionalFormatting sqref="T17">
    <cfRule type="containsText" dxfId="27" priority="14" operator="containsText" text="ERROR">
      <formula>NOT(ISERROR(SEARCH("ERROR",T17)))</formula>
    </cfRule>
  </conditionalFormatting>
  <conditionalFormatting sqref="T42">
    <cfRule type="containsText" dxfId="26" priority="13" operator="containsText" text="ERROR">
      <formula>NOT(ISERROR(SEARCH("ERROR",T42)))</formula>
    </cfRule>
  </conditionalFormatting>
  <conditionalFormatting sqref="W19">
    <cfRule type="containsText" dxfId="25" priority="9" operator="containsText" text="ERROR">
      <formula>NOT(ISERROR(SEARCH("ERROR",W19)))</formula>
    </cfRule>
  </conditionalFormatting>
  <conditionalFormatting sqref="BL72">
    <cfRule type="containsText" dxfId="24" priority="10" operator="containsText" text="ERROR">
      <formula>NOT(ISERROR(SEARCH("ERROR",BL72)))</formula>
    </cfRule>
  </conditionalFormatting>
  <dataValidations count="5">
    <dataValidation type="list" allowBlank="1" showInputMessage="1" showErrorMessage="1" sqref="N5:N8 N73:N75 N77:N79 N10:N71" xr:uid="{DA141623-C626-421D-9CA2-6196D2FA979A}">
      <formula1>FinalDiff</formula1>
    </dataValidation>
    <dataValidation type="list" allowBlank="1" showInputMessage="1" showErrorMessage="1" sqref="N84:N749" xr:uid="{AFAC05D7-4F5A-4783-8868-E83CC70B648A}">
      <formula1>Govadjust</formula1>
    </dataValidation>
    <dataValidation type="list" allowBlank="1" showInputMessage="1" showErrorMessage="1" sqref="L100:L748 M131:M748 L97:M98 M95 L84:L96" xr:uid="{561C0878-ADB1-4CB0-9F63-62EE3803C824}">
      <formula1>Taxes</formula1>
    </dataValidation>
    <dataValidation type="list" allowBlank="1" showInputMessage="1" showErrorMessage="1" sqref="C84:C752" xr:uid="{4DD0C48D-8977-4AB4-97ED-F03E871BA7D0}">
      <formula1>Compadjust</formula1>
    </dataValidation>
    <dataValidation type="list" allowBlank="1" showErrorMessage="1" errorTitle="Taxes" error="Non valid entry. Please check the tax list" promptTitle="Taxes" prompt="Please select the tax subject to adjustment" sqref="B84 B90:B121" xr:uid="{D000DD0B-8B10-497B-B786-A9612C77C22F}">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1B00C578-7E26-4677-833D-550BB4005B7E}">
          <x14:formula1>
            <xm:f>Lists!$A$131:$A$132</xm:f>
          </x14:formula1>
          <xm:sqref>B85:B89 K84:K90 K93:K749</xm:sqref>
        </x14:dataValidation>
        <x14:dataValidation type="list" allowBlank="1" showInputMessage="1" showErrorMessage="1" xr:uid="{3C614956-CC14-4C97-98DB-F14489D748CE}">
          <x14:formula1>
            <xm:f>Lists!$A$7:$A$64</xm:f>
          </x14:formula1>
          <xm:sqref>J84:J90 J93:J749</xm:sqref>
        </x14:dataValidation>
        <x14:dataValidation type="list" allowBlank="1" showErrorMessage="1" errorTitle="Taxes" error="Non valid entry. Please check the tax list" promptTitle="Taxes" prompt="Please select the tax subject to adjustment" xr:uid="{691D28D1-30CD-41CA-8953-FB4DDB13CD32}">
          <x14:formula1>
            <xm:f>Lists!$A$7:$A$64</xm:f>
          </x14:formula1>
          <xm:sqref>A84:A751</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6"/>
  <dimension ref="A1:BL753"/>
  <sheetViews>
    <sheetView showGridLines="0" topLeftCell="B1" zoomScaleNormal="100" workbookViewId="0">
      <selection activeCell="I16" sqref="I16"/>
    </sheetView>
  </sheetViews>
  <sheetFormatPr baseColWidth="10" defaultColWidth="11.54296875" defaultRowHeight="12" outlineLevelCol="1"/>
  <cols>
    <col min="1" max="1" width="28.54296875" style="17" hidden="1" customWidth="1"/>
    <col min="2" max="2" width="4.453125" style="17" customWidth="1"/>
    <col min="3" max="3" width="54.5429687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9.72656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Companies!B23</f>
        <v>VIC WOOD CENTRAFRIQUE</v>
      </c>
      <c r="F1" s="32" t="str">
        <f>Companies!C23</f>
        <v>M244988H001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339473524.484721</v>
      </c>
      <c r="J8" s="164">
        <f ca="1">+J9+J13+J15+J17+J40+J45+J47+J52+J55+J62+J65+J68+J77</f>
        <v>15531769</v>
      </c>
      <c r="K8" s="164">
        <f ca="1">+K9+K13+K15+K17+K40+K45+K47+K52+K55+K62+K65+K68+K77</f>
        <v>355005293.484721</v>
      </c>
      <c r="L8" s="114"/>
      <c r="M8" s="164">
        <f ca="1">+M9+M13+M15+M17+M40+M45+M52+M55+M62+M65+M68+M77+M47</f>
        <v>-355005293.484721</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15531769</v>
      </c>
      <c r="K9" s="166">
        <f t="shared" ref="K9" ca="1" si="27">SUM(K10:K12)</f>
        <v>15531769</v>
      </c>
      <c r="L9" s="114"/>
      <c r="M9" s="166">
        <f t="shared" ref="M9" ca="1" si="28">SUM(M10:M12)</f>
        <v>-15531769</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575250</v>
      </c>
      <c r="K10" s="165">
        <f>I10+J10</f>
        <v>575250</v>
      </c>
      <c r="L10" s="114"/>
      <c r="M10" s="165">
        <f>+G10-K10</f>
        <v>-575250</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14956519</v>
      </c>
      <c r="K11" s="114">
        <f>I11+J11</f>
        <v>14956519</v>
      </c>
      <c r="L11" s="114"/>
      <c r="M11" s="114">
        <f>+G11-K11</f>
        <v>-14956519</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209575851</v>
      </c>
      <c r="J17" s="166">
        <f t="shared" ref="J17" ca="1" si="52">SUM(J18:J39)</f>
        <v>0</v>
      </c>
      <c r="K17" s="166">
        <f t="shared" ref="K17" ca="1" si="53">SUM(K18:K39)</f>
        <v>209575851</v>
      </c>
      <c r="L17" s="114"/>
      <c r="M17" s="166">
        <f t="shared" ref="M17" ca="1" si="54">SUM(M18:M39)</f>
        <v>-209575851</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ca="1">SUMIF($J$84:$M$749,C19,$Q$84:$Q$749)</f>
        <v>0</v>
      </c>
      <c r="K19" s="165">
        <f t="shared" ca="1" si="57"/>
        <v>0</v>
      </c>
      <c r="L19" s="114"/>
      <c r="M19" s="165">
        <f t="shared" ca="1" si="58"/>
        <v>0</v>
      </c>
      <c r="N19" s="68"/>
      <c r="O19" s="38" t="str">
        <f t="shared" ca="1" si="46"/>
        <v/>
      </c>
      <c r="P19" s="39" t="str">
        <f t="shared" ca="1" si="47"/>
        <v/>
      </c>
      <c r="Q19" s="35"/>
      <c r="W19" s="41" t="str">
        <f ca="1">IF(M76=V8,"","ERROR")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ca="1">SUMIF($J$84:$M$749,B21&amp;"- "&amp;C21,$Q$84:$Q$749)</f>
        <v>0</v>
      </c>
      <c r="K21" s="165">
        <f t="shared" ca="1" si="57"/>
        <v>0</v>
      </c>
      <c r="L21" s="114"/>
      <c r="M21" s="165">
        <f t="shared" ca="1" si="58"/>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v>23683155</v>
      </c>
      <c r="J22" s="114">
        <f ca="1">SUMIF($J$84:$M$749,B22&amp;"- "&amp;C22,$Q$84:$Q$749)</f>
        <v>0</v>
      </c>
      <c r="K22" s="114">
        <f t="shared" ca="1" si="57"/>
        <v>23683155</v>
      </c>
      <c r="L22" s="114"/>
      <c r="M22" s="114">
        <f t="shared" ca="1" si="58"/>
        <v>-23683155</v>
      </c>
      <c r="N22" s="18"/>
      <c r="O22" s="38" t="str">
        <f t="shared" ca="1" si="46"/>
        <v>ERROR</v>
      </c>
      <c r="P22" s="39" t="str">
        <f t="shared" ca="1" si="47"/>
        <v>Please insert comment</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v>104338800</v>
      </c>
      <c r="J23" s="165">
        <f ca="1">SUMIF($J$84:$M$749,C23,$Q$84:$Q$749)</f>
        <v>0</v>
      </c>
      <c r="K23" s="165">
        <f t="shared" ca="1" si="57"/>
        <v>104338800</v>
      </c>
      <c r="L23" s="114"/>
      <c r="M23" s="165">
        <f t="shared" ca="1" si="58"/>
        <v>-104338800</v>
      </c>
      <c r="N23" s="68"/>
      <c r="O23" s="38" t="str">
        <f t="shared" ca="1" si="46"/>
        <v>ERROR</v>
      </c>
      <c r="P23" s="39" t="str">
        <f t="shared" ca="1" si="47"/>
        <v>Please insert comment</v>
      </c>
      <c r="Q23" s="35"/>
      <c r="Y23" s="15">
        <f t="shared" ref="Y23:Y32" si="65">B26</f>
        <v>14</v>
      </c>
      <c r="Z23" s="25" t="str">
        <f t="shared" si="59"/>
        <v xml:space="preserve">Taxe de reboisement  </v>
      </c>
      <c r="AA23" s="16">
        <f t="shared" ref="AA23:AI32" si="66">SUMPRODUCT(($A$84:$A$751=$Y23&amp;"- "&amp;$Z23)*($C$84:$C$751=AA$1)*($G$84:$G$751))</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c r="J24" s="114">
        <f ca="1">SUMIF($J$84:$M$749,B24&amp;"- "&amp;C24,$Q$84:$Q$749)</f>
        <v>0</v>
      </c>
      <c r="K24" s="114">
        <f t="shared" ca="1" si="57"/>
        <v>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36559791</v>
      </c>
      <c r="J25" s="165">
        <f ca="1">SUMIF($J$84:$M$749,C25,$Q$84:$Q$749)</f>
        <v>0</v>
      </c>
      <c r="K25" s="165">
        <f t="shared" ca="1" si="57"/>
        <v>36559791</v>
      </c>
      <c r="L25" s="114"/>
      <c r="M25" s="165">
        <f t="shared" ca="1" si="58"/>
        <v>-36559791</v>
      </c>
      <c r="N25" s="68"/>
      <c r="O25" s="38" t="str">
        <f t="shared" ca="1" si="46"/>
        <v>ERROR</v>
      </c>
      <c r="P25" s="39" t="str">
        <f t="shared" ca="1" si="47"/>
        <v>Please insert comment</v>
      </c>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v>25466715</v>
      </c>
      <c r="J26" s="114">
        <f ca="1">SUMIF($J$84:$M$749,C26,$Q$84:$Q$749)</f>
        <v>0</v>
      </c>
      <c r="K26" s="114">
        <f t="shared" ca="1" si="57"/>
        <v>25466715</v>
      </c>
      <c r="L26" s="114"/>
      <c r="M26" s="114">
        <f t="shared" ca="1" si="58"/>
        <v>-25466715</v>
      </c>
      <c r="N26" s="18"/>
      <c r="O26" s="38" t="str">
        <f t="shared" ca="1" si="46"/>
        <v>ERROR</v>
      </c>
      <c r="P26" s="39" t="str">
        <f t="shared" ca="1" si="47"/>
        <v>Please insert comment</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74"/>
        <v>0</v>
      </c>
      <c r="K28" s="114">
        <f t="shared" ca="1" si="57"/>
        <v>0</v>
      </c>
      <c r="L28" s="114"/>
      <c r="M28" s="114">
        <f t="shared" ca="1" si="58"/>
        <v>0</v>
      </c>
      <c r="N28" s="18"/>
      <c r="O28" s="38" t="str">
        <f t="shared" ca="1" si="46"/>
        <v/>
      </c>
      <c r="P28" s="39" t="str">
        <f t="shared" ca="1" si="47"/>
        <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9763695</v>
      </c>
      <c r="J29" s="165">
        <f t="shared" ca="1" si="74"/>
        <v>0</v>
      </c>
      <c r="K29" s="165">
        <f t="shared" ca="1" si="57"/>
        <v>9763695</v>
      </c>
      <c r="L29" s="114"/>
      <c r="M29" s="165">
        <f t="shared" ca="1" si="58"/>
        <v>-9763695</v>
      </c>
      <c r="N29" s="68"/>
      <c r="O29" s="38" t="str">
        <f t="shared" ca="1" si="46"/>
        <v>ERROR</v>
      </c>
      <c r="P29" s="39" t="str">
        <f t="shared" ca="1" si="47"/>
        <v>Please insert comment</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v>9763695</v>
      </c>
      <c r="J30" s="114">
        <f t="shared" ca="1" si="74"/>
        <v>0</v>
      </c>
      <c r="K30" s="114">
        <f t="shared" ca="1" si="57"/>
        <v>9763695</v>
      </c>
      <c r="L30" s="114"/>
      <c r="M30" s="114">
        <f t="shared" ca="1" si="58"/>
        <v>-9763695</v>
      </c>
      <c r="N30" s="18"/>
      <c r="O30" s="38" t="str">
        <f t="shared" ca="1" si="46"/>
        <v>ERROR</v>
      </c>
      <c r="P30" s="39" t="str">
        <f t="shared" ca="1" si="47"/>
        <v>Please insert comment</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ca="1">SUMIF($J$84:$M$749,C38,$Q$84:$Q$749)</f>
        <v>0</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18">
        <f ca="1">+M39/J2</f>
        <v>0</v>
      </c>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IF(J76=S8,"","ERROR")</f>
        <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52662986.789288007</v>
      </c>
      <c r="J47" s="166">
        <f ca="1">SUM(J48:J51)</f>
        <v>0</v>
      </c>
      <c r="K47" s="166">
        <f ca="1">SUM(K48:K51)</f>
        <v>52662986.789288007</v>
      </c>
      <c r="L47" s="114"/>
      <c r="M47" s="166">
        <f ca="1">SUM(M48:M51)</f>
        <v>-52662986.789288007</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v>28091286.883143004</v>
      </c>
      <c r="J48" s="114">
        <f ca="1">SUMIF($J$84:$M$749,B48&amp;"- "&amp;C48,$Q$84:$Q$749)</f>
        <v>0</v>
      </c>
      <c r="K48" s="114">
        <f ca="1">I48+J48</f>
        <v>28091286.883143004</v>
      </c>
      <c r="L48" s="114"/>
      <c r="M48" s="114">
        <f ca="1">+G48-K48</f>
        <v>-28091286.883143004</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v>24571699.906145003</v>
      </c>
      <c r="J49" s="165">
        <f ca="1">SUMIF($J$84:$M$749,B49&amp;"- "&amp;C49,$Q$84:$Q$749)</f>
        <v>0</v>
      </c>
      <c r="K49" s="165">
        <f ca="1">I49+J49</f>
        <v>24571699.906145003</v>
      </c>
      <c r="L49" s="114"/>
      <c r="M49" s="165">
        <f ca="1">+G49-K49</f>
        <v>-24571699.906145003</v>
      </c>
      <c r="N49" s="68"/>
      <c r="O49" s="38" t="str">
        <f t="shared" ca="1" si="46"/>
        <v>ERROR</v>
      </c>
      <c r="P49" s="39" t="str">
        <f t="shared" ca="1" si="86"/>
        <v>Please insert comment</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77234686.695433006</v>
      </c>
      <c r="J52" s="166">
        <f t="shared" ref="J52" ca="1" si="105">+J53+J54</f>
        <v>0</v>
      </c>
      <c r="K52" s="166">
        <f t="shared" ref="K52" ca="1" si="106">+K53+K54</f>
        <v>77234686.695433006</v>
      </c>
      <c r="L52" s="114"/>
      <c r="M52" s="166">
        <f t="shared" ref="M52" ca="1" si="107">+M53+M54</f>
        <v>-77234686.695433006</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v>49143399.812290005</v>
      </c>
      <c r="J53" s="114">
        <f ca="1">SUMIF($J$84:$M$749,B53&amp;"- "&amp;C53,$Q$84:$Q$749)</f>
        <v>0</v>
      </c>
      <c r="K53" s="114">
        <f ca="1">I53+J53</f>
        <v>49143399.812290005</v>
      </c>
      <c r="L53" s="114"/>
      <c r="M53" s="114">
        <f ca="1">+G53-K53</f>
        <v>-49143399.812290005</v>
      </c>
      <c r="N53" s="18"/>
      <c r="O53" s="38"/>
      <c r="P53" s="39"/>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v>28091286.883143004</v>
      </c>
      <c r="J54" s="165">
        <f ca="1">SUMIF($J$84:$M$749,B54&amp;"- "&amp;C54,$Q$84:$Q$749)</f>
        <v>0</v>
      </c>
      <c r="K54" s="165">
        <f ca="1">I54+J54</f>
        <v>28091286.883143004</v>
      </c>
      <c r="L54" s="114"/>
      <c r="M54" s="165">
        <f ca="1">+G54-K54</f>
        <v>-28091286.883143004</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A84" s="101"/>
      <c r="B84" s="101"/>
      <c r="C84" s="99"/>
      <c r="D84" s="101"/>
      <c r="E84" s="127"/>
      <c r="F84" s="122"/>
      <c r="G84" s="147"/>
      <c r="J84" s="61" t="s">
        <v>171</v>
      </c>
      <c r="L84" s="60"/>
      <c r="N84" s="97"/>
      <c r="O84" s="121"/>
      <c r="P84" s="129"/>
      <c r="Q84" s="145"/>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A85" s="101"/>
      <c r="B85" s="101"/>
      <c r="C85" s="99"/>
      <c r="D85" s="101"/>
      <c r="E85" s="127"/>
      <c r="F85" s="122"/>
      <c r="G85" s="147"/>
      <c r="J85" s="61" t="s">
        <v>177</v>
      </c>
      <c r="L85" s="60"/>
      <c r="N85" s="97"/>
      <c r="P85" s="129"/>
      <c r="Q85" s="145"/>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A86" s="101"/>
      <c r="B86" s="101"/>
      <c r="C86" s="99"/>
      <c r="D86" s="101"/>
      <c r="E86" s="127"/>
      <c r="F86" s="122"/>
      <c r="G86" s="147"/>
      <c r="J86" s="61" t="s">
        <v>190</v>
      </c>
      <c r="L86" s="60"/>
      <c r="N86" s="97"/>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A87" s="101"/>
      <c r="B87" s="101"/>
      <c r="C87" s="99"/>
      <c r="D87" s="101"/>
      <c r="E87" s="127"/>
      <c r="F87" s="122"/>
      <c r="G87" s="147"/>
      <c r="J87" s="61" t="s">
        <v>178</v>
      </c>
      <c r="L87" s="60"/>
      <c r="N87" s="97"/>
      <c r="O87" s="121"/>
      <c r="P87" s="129"/>
      <c r="Q87" s="145"/>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A88" s="101"/>
      <c r="B88" s="101"/>
      <c r="C88" s="99"/>
      <c r="D88" s="101"/>
      <c r="E88" s="127"/>
      <c r="F88" s="122"/>
      <c r="G88" s="147"/>
      <c r="J88" s="61" t="s">
        <v>176</v>
      </c>
      <c r="L88" s="60"/>
      <c r="N88" s="97"/>
      <c r="O88" s="125"/>
      <c r="P88" s="122"/>
      <c r="Q88" s="146"/>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A89" s="101"/>
      <c r="C89" s="99"/>
      <c r="E89" s="127"/>
      <c r="F89" s="122"/>
      <c r="G89" s="147"/>
      <c r="J89" s="61" t="s">
        <v>165</v>
      </c>
      <c r="L89" s="60"/>
      <c r="N89" s="97"/>
      <c r="O89" s="121"/>
      <c r="P89" s="129"/>
      <c r="Q89" s="145">
        <v>575250</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A90" s="101"/>
      <c r="C90" s="99"/>
      <c r="E90" s="127"/>
      <c r="F90" s="122"/>
      <c r="G90" s="147"/>
      <c r="J90" s="61" t="s">
        <v>167</v>
      </c>
      <c r="L90" s="60"/>
      <c r="N90" s="97"/>
      <c r="O90" s="121"/>
      <c r="P90" s="129"/>
      <c r="Q90" s="145">
        <v>14956519</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A91" s="101"/>
      <c r="C91" s="99"/>
      <c r="E91" s="127"/>
      <c r="F91" s="122"/>
      <c r="G91" s="147"/>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A92" s="101"/>
      <c r="C92" s="99"/>
      <c r="E92" s="127"/>
      <c r="F92" s="122"/>
      <c r="G92" s="147"/>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A93" s="101"/>
      <c r="C93" s="99"/>
      <c r="E93" s="127"/>
      <c r="F93" s="122"/>
      <c r="G93" s="147"/>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A94" s="101"/>
      <c r="C94" s="99"/>
      <c r="E94" s="127"/>
      <c r="F94" s="122"/>
      <c r="G94" s="147"/>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A95" s="101"/>
      <c r="C95" s="99"/>
      <c r="E95" s="127"/>
      <c r="F95" s="122"/>
      <c r="G95" s="147"/>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A96" s="101"/>
      <c r="C96" s="99"/>
      <c r="E96" s="127"/>
      <c r="F96" s="122"/>
      <c r="G96" s="147"/>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1:48" s="61" customFormat="1">
      <c r="A97" s="101"/>
      <c r="C97" s="99"/>
      <c r="E97" s="127"/>
      <c r="F97" s="122"/>
      <c r="G97" s="147"/>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1:48" s="61" customFormat="1">
      <c r="A98" s="101"/>
      <c r="C98" s="99"/>
      <c r="E98" s="127"/>
      <c r="F98" s="122"/>
      <c r="G98" s="147"/>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1:48" s="61" customFormat="1">
      <c r="A99" s="101"/>
      <c r="C99" s="99"/>
      <c r="E99" s="127"/>
      <c r="F99" s="122"/>
      <c r="G99" s="147"/>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1:48" s="61" customFormat="1">
      <c r="A100" s="101"/>
      <c r="C100" s="99"/>
      <c r="E100" s="127"/>
      <c r="F100" s="122"/>
      <c r="G100" s="147"/>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1:48" s="61" customFormat="1">
      <c r="A101" s="101"/>
      <c r="C101" s="99"/>
      <c r="E101" s="127"/>
      <c r="F101" s="122"/>
      <c r="G101" s="147"/>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1:48" s="61" customFormat="1">
      <c r="A102" s="101"/>
      <c r="C102" s="99"/>
      <c r="E102" s="127"/>
      <c r="F102" s="122"/>
      <c r="G102" s="147"/>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1:48" s="61" customFormat="1">
      <c r="A103" s="101"/>
      <c r="C103" s="99"/>
      <c r="E103" s="127"/>
      <c r="F103" s="122"/>
      <c r="G103" s="147"/>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1:48" s="61" customFormat="1">
      <c r="A104" s="101"/>
      <c r="C104" s="99"/>
      <c r="E104" s="127"/>
      <c r="F104" s="122"/>
      <c r="G104" s="147"/>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1:48" s="61" customFormat="1">
      <c r="A105" s="101"/>
      <c r="C105" s="99"/>
      <c r="E105" s="127"/>
      <c r="F105" s="122"/>
      <c r="G105" s="147"/>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1:48" s="61" customFormat="1">
      <c r="A106" s="101"/>
      <c r="C106" s="99"/>
      <c r="E106" s="127"/>
      <c r="F106" s="122"/>
      <c r="G106" s="147"/>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1:48" s="61" customFormat="1">
      <c r="A107" s="101"/>
      <c r="C107" s="99"/>
      <c r="E107" s="127"/>
      <c r="F107" s="122"/>
      <c r="G107" s="147"/>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1:48" s="61" customFormat="1">
      <c r="A108" s="101"/>
      <c r="C108" s="99"/>
      <c r="E108" s="127"/>
      <c r="F108" s="122"/>
      <c r="G108" s="147"/>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1:48" s="61" customFormat="1">
      <c r="A109" s="101"/>
      <c r="C109" s="99"/>
      <c r="E109" s="127"/>
      <c r="F109" s="122"/>
      <c r="G109" s="147"/>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1:48" s="61" customFormat="1">
      <c r="A110" s="101"/>
      <c r="C110" s="99"/>
      <c r="E110" s="127"/>
      <c r="F110" s="122"/>
      <c r="G110" s="147"/>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1:48" s="61" customFormat="1">
      <c r="A111" s="101"/>
      <c r="C111" s="99"/>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1:48" s="61" customFormat="1">
      <c r="A112" s="101"/>
      <c r="C112" s="99"/>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1:48" s="61" customFormat="1">
      <c r="A113" s="101"/>
      <c r="C113" s="99"/>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1:48" s="61" customFormat="1">
      <c r="A114" s="101"/>
      <c r="C114" s="99"/>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1:48" s="61" customFormat="1">
      <c r="A115" s="101"/>
      <c r="C115" s="99"/>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1:48" s="61" customFormat="1">
      <c r="A116" s="101"/>
      <c r="C116" s="99"/>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1:48" s="61" customFormat="1">
      <c r="A117" s="101"/>
      <c r="C117" s="99"/>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1:48" s="61" customFormat="1">
      <c r="A118" s="101"/>
      <c r="C118" s="99"/>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1:48" s="61" customFormat="1">
      <c r="A119" s="101"/>
      <c r="C119" s="99"/>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1:48" s="61" customFormat="1">
      <c r="A120" s="101"/>
      <c r="C120" s="99"/>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1:48" s="61" customFormat="1">
      <c r="A121" s="101"/>
      <c r="C121" s="99"/>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1:48" s="61" customFormat="1">
      <c r="A122" s="101"/>
      <c r="C122" s="99"/>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1:48" s="61" customFormat="1">
      <c r="A123" s="101"/>
      <c r="C123" s="99"/>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1:48" s="61" customFormat="1">
      <c r="A124" s="101"/>
      <c r="C124" s="99"/>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1:48" s="61" customFormat="1">
      <c r="A125" s="101"/>
      <c r="C125" s="99"/>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1:48" s="61" customFormat="1">
      <c r="A126" s="101"/>
      <c r="C126" s="99"/>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1:48" s="61" customFormat="1">
      <c r="A127" s="101"/>
      <c r="C127" s="99"/>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1:48" s="61" customFormat="1">
      <c r="A128" s="101"/>
      <c r="C128" s="99"/>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1:48" s="61" customFormat="1">
      <c r="A129" s="101"/>
      <c r="C129" s="99"/>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1:48" s="61" customFormat="1">
      <c r="A130" s="101"/>
      <c r="C130" s="99"/>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1:48" s="61" customFormat="1">
      <c r="A131" s="101"/>
      <c r="C131" s="99"/>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1:48" s="61" customFormat="1">
      <c r="A132" s="101"/>
      <c r="C132" s="99"/>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1:48" s="61" customFormat="1">
      <c r="A133" s="101"/>
      <c r="C133" s="99"/>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1:48" s="61" customFormat="1">
      <c r="A134" s="101"/>
      <c r="C134" s="99"/>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1:48" s="61" customFormat="1">
      <c r="A135" s="101"/>
      <c r="C135" s="99"/>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1:48" s="61" customFormat="1">
      <c r="A136" s="101"/>
      <c r="C136" s="99"/>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1:48" s="61" customFormat="1">
      <c r="A137" s="101"/>
      <c r="C137" s="99"/>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1:48" s="61" customFormat="1">
      <c r="A138" s="101"/>
      <c r="C138" s="99"/>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1:48" s="61" customFormat="1">
      <c r="A139" s="101"/>
      <c r="C139" s="99"/>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1:48" s="61" customFormat="1">
      <c r="A140" s="101"/>
      <c r="C140" s="99"/>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1:48" s="61" customFormat="1">
      <c r="A141" s="101"/>
      <c r="C141" s="99"/>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1:48" s="61" customFormat="1">
      <c r="A142" s="101"/>
      <c r="C142" s="99"/>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1:48" s="61" customFormat="1">
      <c r="A143" s="101"/>
      <c r="C143" s="99"/>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1:48" s="61" customFormat="1">
      <c r="A144" s="101"/>
      <c r="C144" s="99"/>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1:48" s="61" customFormat="1">
      <c r="A145" s="101"/>
      <c r="C145" s="99"/>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1:48" s="61" customFormat="1">
      <c r="A146" s="101"/>
      <c r="C146" s="99"/>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1:48" s="61" customFormat="1">
      <c r="A147" s="101"/>
      <c r="C147" s="99"/>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1:48" s="61" customFormat="1">
      <c r="A148" s="101"/>
      <c r="C148" s="99"/>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1:48" s="61" customFormat="1">
      <c r="A149" s="101"/>
      <c r="C149" s="99"/>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1:48" s="61" customFormat="1">
      <c r="A150" s="101"/>
      <c r="C150" s="99"/>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1:48" s="61" customFormat="1">
      <c r="A151" s="101"/>
      <c r="C151" s="99"/>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1:48" s="61" customFormat="1">
      <c r="A152" s="101"/>
      <c r="C152" s="99"/>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1:48" s="61" customFormat="1">
      <c r="A153" s="101"/>
      <c r="C153" s="99"/>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1:48" s="61" customFormat="1">
      <c r="A154" s="101"/>
      <c r="C154" s="99"/>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1:48" s="61" customFormat="1">
      <c r="A155" s="101"/>
      <c r="C155" s="99"/>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1:48" s="61" customFormat="1">
      <c r="A156" s="101"/>
      <c r="C156" s="99"/>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1:48" s="61" customFormat="1">
      <c r="A157" s="101"/>
      <c r="C157" s="99"/>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1:48" s="61" customFormat="1">
      <c r="A158" s="101"/>
      <c r="C158" s="99"/>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1:48" s="61" customFormat="1">
      <c r="A159" s="101"/>
      <c r="C159" s="99"/>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1:48" s="61" customFormat="1">
      <c r="A160" s="101"/>
      <c r="C160" s="99"/>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1:48" s="61" customFormat="1">
      <c r="A161" s="101"/>
      <c r="C161" s="99"/>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1:48" s="61" customFormat="1">
      <c r="A162" s="101"/>
      <c r="C162" s="99"/>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1:48" s="61" customFormat="1">
      <c r="A163" s="101"/>
      <c r="C163" s="99"/>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1:48" s="61" customFormat="1">
      <c r="A164" s="101"/>
      <c r="C164" s="99"/>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1:48" s="61" customFormat="1">
      <c r="A165" s="101"/>
      <c r="C165" s="99"/>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1:48" s="61" customFormat="1">
      <c r="A166" s="101"/>
      <c r="C166" s="99"/>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1:48" s="61" customFormat="1">
      <c r="A167" s="101"/>
      <c r="C167" s="99"/>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1:48" s="61" customFormat="1">
      <c r="A168" s="101"/>
      <c r="C168" s="99"/>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1:48" s="61" customFormat="1">
      <c r="A169" s="101"/>
      <c r="C169" s="99"/>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1:48" s="61" customFormat="1">
      <c r="A170" s="101"/>
      <c r="C170" s="99"/>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1:48" s="61" customFormat="1">
      <c r="A171" s="101"/>
      <c r="C171" s="99"/>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1:48" s="61" customFormat="1">
      <c r="A172" s="101"/>
      <c r="C172" s="99"/>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1:48" s="61" customFormat="1">
      <c r="A173" s="101"/>
      <c r="C173" s="99"/>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1:48" s="61" customFormat="1">
      <c r="A174" s="101"/>
      <c r="C174" s="99"/>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1:48" s="61" customFormat="1">
      <c r="A175" s="101"/>
      <c r="C175" s="99"/>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1:48" s="61" customFormat="1">
      <c r="A176" s="101"/>
      <c r="C176" s="99"/>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1:48" s="61" customFormat="1">
      <c r="A177" s="101"/>
      <c r="C177" s="99"/>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1:48" s="61" customFormat="1">
      <c r="A178" s="101"/>
      <c r="C178" s="99"/>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1:48" s="61" customFormat="1">
      <c r="A179" s="101"/>
      <c r="C179" s="99"/>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1:48" s="61" customFormat="1">
      <c r="A180" s="101"/>
      <c r="C180" s="99"/>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1:48" s="61" customFormat="1">
      <c r="A181" s="101"/>
      <c r="C181" s="99"/>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1:48" s="61" customFormat="1">
      <c r="A182" s="101"/>
      <c r="C182" s="99"/>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1:48" s="61" customFormat="1">
      <c r="A183" s="101"/>
      <c r="C183" s="99"/>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1:48" s="61" customFormat="1">
      <c r="A184" s="101"/>
      <c r="C184" s="99"/>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1:48" s="61" customFormat="1">
      <c r="A185" s="101"/>
      <c r="C185" s="99"/>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1:48" s="61" customFormat="1">
      <c r="A186" s="101"/>
      <c r="C186" s="99"/>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1:48" s="61" customFormat="1">
      <c r="A187" s="101"/>
      <c r="C187" s="99"/>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1:48" s="61" customFormat="1">
      <c r="A188" s="101"/>
      <c r="C188" s="99"/>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1:48" s="61" customFormat="1">
      <c r="A189" s="101"/>
      <c r="C189" s="99"/>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1:48" s="61" customFormat="1">
      <c r="A190" s="101"/>
      <c r="C190" s="99"/>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1:48" s="61" customFormat="1">
      <c r="A191" s="101"/>
      <c r="C191" s="99"/>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1:48" s="61" customFormat="1">
      <c r="A192" s="101"/>
      <c r="C192" s="99"/>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A193" s="101"/>
      <c r="C193" s="99"/>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A194" s="101"/>
      <c r="C194" s="99"/>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A195" s="101"/>
      <c r="C195" s="99"/>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101"/>
      <c r="B196" s="61"/>
      <c r="C196" s="99"/>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101"/>
      <c r="B197" s="61"/>
      <c r="C197" s="99"/>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101"/>
      <c r="B198" s="61"/>
      <c r="C198" s="99"/>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101"/>
      <c r="B199" s="61"/>
      <c r="C199" s="99"/>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101"/>
      <c r="B200" s="61"/>
      <c r="C200" s="99"/>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101"/>
      <c r="B201" s="61"/>
      <c r="C201" s="99"/>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101"/>
      <c r="B202" s="61"/>
      <c r="C202" s="99"/>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101"/>
      <c r="B203" s="61"/>
      <c r="C203" s="99"/>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101"/>
      <c r="B204" s="61"/>
      <c r="C204" s="99"/>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101"/>
      <c r="B205" s="61"/>
      <c r="C205" s="99"/>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101"/>
      <c r="B206" s="61"/>
      <c r="C206" s="99"/>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101"/>
      <c r="B207" s="61"/>
      <c r="C207" s="99"/>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101"/>
      <c r="B208" s="61"/>
      <c r="C208" s="99"/>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101"/>
      <c r="B209" s="61"/>
      <c r="C209" s="99"/>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101"/>
      <c r="B210" s="61"/>
      <c r="C210" s="99"/>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101"/>
      <c r="B211" s="61"/>
      <c r="C211" s="99"/>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101"/>
      <c r="B212" s="61"/>
      <c r="C212" s="99"/>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101"/>
      <c r="B213" s="61"/>
      <c r="C213" s="99"/>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101"/>
      <c r="B214" s="61"/>
      <c r="C214" s="99"/>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101"/>
      <c r="B215" s="61"/>
      <c r="C215" s="99"/>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101"/>
      <c r="B216" s="61"/>
      <c r="C216" s="99"/>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101"/>
      <c r="B217" s="61"/>
      <c r="C217" s="99"/>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101"/>
      <c r="B218" s="61"/>
      <c r="C218" s="99"/>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101"/>
      <c r="B219" s="61"/>
      <c r="C219" s="99"/>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101"/>
      <c r="B220" s="61"/>
      <c r="C220" s="99"/>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101"/>
      <c r="B221" s="61"/>
      <c r="C221" s="99"/>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101"/>
      <c r="B222" s="61"/>
      <c r="C222" s="99"/>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101"/>
      <c r="B223" s="61"/>
      <c r="C223" s="99"/>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101"/>
      <c r="B224" s="61"/>
      <c r="C224" s="99"/>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101"/>
      <c r="B225" s="61"/>
      <c r="C225" s="99"/>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101"/>
      <c r="B226" s="61"/>
      <c r="C226" s="99"/>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101"/>
      <c r="B227" s="61"/>
      <c r="C227" s="99"/>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101"/>
      <c r="B228" s="61"/>
      <c r="C228" s="99"/>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101"/>
      <c r="B229" s="61"/>
      <c r="C229" s="99"/>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101"/>
      <c r="B230" s="61"/>
      <c r="C230" s="99"/>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101"/>
      <c r="B231" s="61"/>
      <c r="C231" s="99"/>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101"/>
      <c r="B232" s="61"/>
      <c r="C232" s="99"/>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101"/>
      <c r="B233" s="61"/>
      <c r="C233" s="99"/>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101"/>
      <c r="B234" s="61"/>
      <c r="C234" s="99"/>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101"/>
      <c r="B235" s="61"/>
      <c r="C235" s="99"/>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101"/>
      <c r="B236" s="61"/>
      <c r="C236" s="99"/>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101"/>
      <c r="B237" s="61"/>
      <c r="C237" s="99"/>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101"/>
      <c r="B238" s="61"/>
      <c r="C238" s="99"/>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101"/>
      <c r="B239" s="61"/>
      <c r="C239" s="99"/>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101"/>
      <c r="B240" s="61"/>
      <c r="C240" s="99"/>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101"/>
      <c r="B241" s="61"/>
      <c r="C241" s="99"/>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101"/>
      <c r="B242" s="61"/>
      <c r="C242" s="99"/>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101"/>
      <c r="B243" s="61"/>
      <c r="C243" s="99"/>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101"/>
      <c r="B244" s="61"/>
      <c r="C244" s="99"/>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101"/>
      <c r="B245" s="61"/>
      <c r="C245" s="99"/>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101"/>
      <c r="B246" s="61"/>
      <c r="C246" s="99"/>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101"/>
      <c r="B247" s="61"/>
      <c r="C247" s="99"/>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101"/>
      <c r="B248" s="61"/>
      <c r="C248" s="99"/>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101"/>
      <c r="B249" s="61"/>
      <c r="C249" s="99"/>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101"/>
      <c r="B250" s="61"/>
      <c r="C250" s="99"/>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101"/>
      <c r="B251" s="61"/>
      <c r="C251" s="99"/>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101"/>
      <c r="B252" s="61"/>
      <c r="C252" s="99"/>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101"/>
      <c r="B253" s="61"/>
      <c r="C253" s="99"/>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101"/>
      <c r="B254" s="61"/>
      <c r="C254" s="99"/>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101"/>
      <c r="B255" s="61"/>
      <c r="C255" s="99"/>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101"/>
      <c r="B256" s="61"/>
      <c r="C256" s="99"/>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101"/>
      <c r="B257" s="61"/>
      <c r="C257" s="99"/>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101"/>
      <c r="B258" s="61"/>
      <c r="C258" s="99"/>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101"/>
      <c r="B259" s="61"/>
      <c r="C259" s="99"/>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101"/>
      <c r="B260" s="61"/>
      <c r="C260" s="99"/>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101"/>
      <c r="B261" s="61"/>
      <c r="C261" s="99"/>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101"/>
      <c r="B262" s="61"/>
      <c r="C262" s="99"/>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101"/>
      <c r="B263" s="61"/>
      <c r="C263" s="99"/>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101"/>
      <c r="B264" s="61"/>
      <c r="C264" s="99"/>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101"/>
      <c r="B265" s="61"/>
      <c r="C265" s="99"/>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101"/>
      <c r="B266" s="61"/>
      <c r="C266" s="99"/>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101"/>
      <c r="B267" s="61"/>
      <c r="C267" s="99"/>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101"/>
      <c r="B268" s="61"/>
      <c r="C268" s="99"/>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101"/>
      <c r="B269" s="61"/>
      <c r="C269" s="99"/>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101"/>
      <c r="B270" s="61"/>
      <c r="C270" s="99"/>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101"/>
      <c r="B271" s="61"/>
      <c r="C271" s="99"/>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101"/>
      <c r="B272" s="61"/>
      <c r="C272" s="99"/>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101"/>
      <c r="B273" s="61"/>
      <c r="C273" s="99"/>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101"/>
      <c r="B274" s="61"/>
      <c r="C274" s="99"/>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101"/>
      <c r="B275" s="61"/>
      <c r="C275" s="99"/>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101"/>
      <c r="B276" s="61"/>
      <c r="C276" s="99"/>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101"/>
      <c r="B277" s="61"/>
      <c r="C277" s="99"/>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101"/>
      <c r="B278" s="61"/>
      <c r="C278" s="99"/>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101"/>
      <c r="B279" s="61"/>
      <c r="C279" s="99"/>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101"/>
      <c r="B280" s="61"/>
      <c r="C280" s="99"/>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101"/>
      <c r="B281" s="61"/>
      <c r="C281" s="99"/>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101"/>
      <c r="B282" s="61"/>
      <c r="C282" s="99"/>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101"/>
      <c r="B283" s="61"/>
      <c r="C283" s="99"/>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101"/>
      <c r="B284" s="61"/>
      <c r="C284" s="99"/>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101"/>
      <c r="B285" s="61"/>
      <c r="C285" s="99"/>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101"/>
      <c r="B286" s="61"/>
      <c r="C286" s="99"/>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101"/>
      <c r="B287" s="61"/>
      <c r="C287" s="99"/>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101"/>
      <c r="B288" s="61"/>
      <c r="C288" s="99"/>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101"/>
      <c r="B289" s="61"/>
      <c r="C289" s="99"/>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101"/>
      <c r="B290" s="61"/>
      <c r="C290" s="99"/>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101"/>
      <c r="B291" s="61"/>
      <c r="C291" s="99"/>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101"/>
      <c r="B292" s="61"/>
      <c r="C292" s="99"/>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101"/>
      <c r="B293" s="61"/>
      <c r="C293" s="99"/>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101"/>
      <c r="B294" s="61"/>
      <c r="C294" s="99"/>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101"/>
      <c r="B295" s="61"/>
      <c r="C295" s="99"/>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101"/>
      <c r="B296" s="61"/>
      <c r="C296" s="99"/>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101"/>
      <c r="B297" s="61"/>
      <c r="C297" s="99"/>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101"/>
      <c r="B298" s="61"/>
      <c r="C298" s="99"/>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101"/>
      <c r="B299" s="61"/>
      <c r="C299" s="99"/>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101"/>
      <c r="B300" s="61"/>
      <c r="C300" s="99"/>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101"/>
      <c r="B301" s="61"/>
      <c r="C301" s="99"/>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101"/>
      <c r="B302" s="61"/>
      <c r="C302" s="99"/>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101"/>
      <c r="B303" s="61"/>
      <c r="C303" s="99"/>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101"/>
      <c r="B304" s="61"/>
      <c r="C304" s="99"/>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101"/>
      <c r="B305" s="61"/>
      <c r="C305" s="99"/>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101"/>
      <c r="B306" s="61"/>
      <c r="C306" s="99"/>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101"/>
      <c r="B307" s="61"/>
      <c r="C307" s="99"/>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101"/>
      <c r="B308" s="61"/>
      <c r="C308" s="99"/>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101"/>
      <c r="B309" s="61"/>
      <c r="C309" s="99"/>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101"/>
      <c r="B310" s="61"/>
      <c r="C310" s="99"/>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101"/>
      <c r="B311" s="61"/>
      <c r="C311" s="99"/>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101"/>
      <c r="B312" s="61"/>
      <c r="C312" s="99"/>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101"/>
      <c r="B313" s="61"/>
      <c r="C313" s="99"/>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101"/>
      <c r="B314" s="61"/>
      <c r="C314" s="99"/>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101"/>
      <c r="B315" s="61"/>
      <c r="C315" s="99"/>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101"/>
      <c r="B316" s="61"/>
      <c r="C316" s="99"/>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101"/>
      <c r="B317" s="61"/>
      <c r="C317" s="99"/>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101"/>
      <c r="B318" s="61"/>
      <c r="C318" s="99"/>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101"/>
      <c r="B319" s="61"/>
      <c r="C319" s="99"/>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101"/>
      <c r="B320" s="61"/>
      <c r="C320" s="99"/>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101"/>
      <c r="B321" s="61"/>
      <c r="C321" s="99"/>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101"/>
      <c r="B322" s="61"/>
      <c r="C322" s="99"/>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101"/>
      <c r="B323" s="61"/>
      <c r="C323" s="99"/>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101"/>
      <c r="B324" s="61"/>
      <c r="C324" s="99"/>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101"/>
      <c r="B325" s="61"/>
      <c r="C325" s="99"/>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101"/>
      <c r="B326" s="61"/>
      <c r="C326" s="99"/>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101"/>
      <c r="B327" s="61"/>
      <c r="C327" s="99"/>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101"/>
      <c r="B328" s="61"/>
      <c r="C328" s="99"/>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101"/>
      <c r="B329" s="61"/>
      <c r="C329" s="99"/>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101"/>
      <c r="B330" s="61"/>
      <c r="C330" s="99"/>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101"/>
      <c r="B331" s="61"/>
      <c r="C331" s="99"/>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101"/>
      <c r="B332" s="61"/>
      <c r="C332" s="99"/>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101"/>
      <c r="B333" s="61"/>
      <c r="C333" s="99"/>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101"/>
      <c r="B334" s="61"/>
      <c r="C334" s="99"/>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101"/>
      <c r="B335" s="61"/>
      <c r="C335" s="99"/>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101"/>
      <c r="B336" s="61"/>
      <c r="C336" s="99"/>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101"/>
      <c r="B337" s="61"/>
      <c r="C337" s="99"/>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101"/>
      <c r="B338" s="61"/>
      <c r="C338" s="99"/>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101"/>
      <c r="B339" s="61"/>
      <c r="C339" s="99"/>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101"/>
      <c r="B340" s="61"/>
      <c r="C340" s="99"/>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101"/>
      <c r="B341" s="61"/>
      <c r="C341" s="99"/>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ht="12.5">
      <c r="A342" s="101"/>
      <c r="B342" s="24"/>
      <c r="C342" s="99"/>
      <c r="E342" s="47"/>
      <c r="F342" s="48"/>
      <c r="G342" s="47"/>
      <c r="J342" s="61"/>
      <c r="K342" s="61"/>
      <c r="L342" s="30"/>
      <c r="N342" s="97"/>
      <c r="O342" s="48"/>
      <c r="P342" s="47"/>
      <c r="Q342" s="24"/>
    </row>
    <row r="343" spans="1:48" ht="12.5">
      <c r="A343" s="101"/>
      <c r="B343" s="24"/>
      <c r="C343" s="99"/>
      <c r="E343" s="47"/>
      <c r="F343" s="48"/>
      <c r="G343" s="47"/>
      <c r="J343" s="61"/>
      <c r="K343" s="61"/>
      <c r="L343" s="30"/>
      <c r="N343" s="97"/>
      <c r="O343" s="48"/>
      <c r="P343" s="47"/>
      <c r="Q343" s="24"/>
    </row>
    <row r="344" spans="1:48" ht="12.5">
      <c r="A344" s="101"/>
      <c r="B344" s="24"/>
      <c r="C344" s="99"/>
      <c r="E344" s="47"/>
      <c r="F344" s="48"/>
      <c r="G344" s="47"/>
      <c r="J344" s="61"/>
      <c r="K344" s="61"/>
      <c r="L344" s="30"/>
      <c r="N344" s="97"/>
      <c r="O344" s="48"/>
      <c r="P344" s="47"/>
      <c r="Q344" s="24"/>
    </row>
    <row r="345" spans="1:48" ht="12.5">
      <c r="A345" s="101"/>
      <c r="B345" s="24"/>
      <c r="C345" s="99"/>
      <c r="E345" s="47"/>
      <c r="F345" s="48"/>
      <c r="G345" s="47"/>
      <c r="J345" s="61"/>
      <c r="K345" s="61"/>
      <c r="L345" s="30"/>
      <c r="N345" s="97"/>
      <c r="O345" s="48"/>
      <c r="P345" s="47"/>
      <c r="Q345" s="24"/>
    </row>
    <row r="346" spans="1:48" ht="12.5">
      <c r="A346" s="101"/>
      <c r="B346" s="24"/>
      <c r="C346" s="99"/>
      <c r="E346" s="47"/>
      <c r="F346" s="48"/>
      <c r="G346" s="47"/>
      <c r="J346" s="61"/>
      <c r="K346" s="61"/>
      <c r="L346" s="30"/>
      <c r="N346" s="97"/>
      <c r="O346" s="48"/>
      <c r="P346" s="47"/>
      <c r="Q346" s="24"/>
    </row>
    <row r="347" spans="1:48" ht="12.5">
      <c r="A347" s="101"/>
      <c r="B347" s="24"/>
      <c r="C347" s="99"/>
      <c r="E347" s="47"/>
      <c r="F347" s="48"/>
      <c r="G347" s="47"/>
      <c r="J347" s="61"/>
      <c r="K347" s="61"/>
      <c r="L347" s="30"/>
      <c r="N347" s="97"/>
      <c r="O347" s="48"/>
      <c r="P347" s="47"/>
      <c r="Q347" s="24"/>
    </row>
    <row r="348" spans="1:48" ht="12.5">
      <c r="A348" s="101"/>
      <c r="B348" s="24"/>
      <c r="C348" s="99"/>
      <c r="E348" s="47"/>
      <c r="F348" s="48"/>
      <c r="G348" s="47"/>
      <c r="J348" s="61"/>
      <c r="K348" s="61"/>
      <c r="L348" s="30"/>
      <c r="N348" s="97"/>
      <c r="O348" s="48"/>
      <c r="P348" s="47"/>
      <c r="Q348" s="24"/>
    </row>
    <row r="349" spans="1:48" ht="12.5">
      <c r="A349" s="101"/>
      <c r="B349" s="24"/>
      <c r="C349" s="99"/>
      <c r="E349" s="47"/>
      <c r="F349" s="48"/>
      <c r="G349" s="47"/>
      <c r="J349" s="61"/>
      <c r="K349" s="61"/>
      <c r="L349" s="30"/>
      <c r="N349" s="97"/>
      <c r="O349" s="48"/>
      <c r="P349" s="47"/>
      <c r="Q349" s="24"/>
    </row>
    <row r="350" spans="1:48" ht="12.5">
      <c r="A350" s="101"/>
      <c r="B350" s="24"/>
      <c r="C350" s="99"/>
      <c r="E350" s="47"/>
      <c r="F350" s="48"/>
      <c r="G350" s="47"/>
      <c r="J350" s="61"/>
      <c r="K350" s="61"/>
      <c r="L350" s="30"/>
      <c r="N350" s="97"/>
      <c r="O350" s="48"/>
      <c r="P350" s="47"/>
      <c r="Q350" s="24"/>
    </row>
    <row r="351" spans="1:48" ht="12.5">
      <c r="A351" s="101"/>
      <c r="B351" s="24"/>
      <c r="C351" s="99"/>
      <c r="E351" s="47"/>
      <c r="F351" s="48"/>
      <c r="G351" s="47"/>
      <c r="J351" s="61"/>
      <c r="K351" s="61"/>
      <c r="L351" s="30"/>
      <c r="N351" s="97"/>
      <c r="O351" s="48"/>
      <c r="P351" s="47"/>
      <c r="Q351" s="24"/>
    </row>
    <row r="352" spans="1:48" ht="12.5">
      <c r="A352" s="101"/>
      <c r="B352" s="24"/>
      <c r="C352" s="99"/>
      <c r="E352" s="47"/>
      <c r="F352" s="48"/>
      <c r="G352" s="47"/>
      <c r="J352" s="61"/>
      <c r="K352" s="61"/>
      <c r="L352" s="30"/>
      <c r="N352" s="97"/>
      <c r="O352" s="48"/>
      <c r="P352" s="47"/>
      <c r="Q352" s="24"/>
    </row>
    <row r="353" spans="1:17" ht="12.5">
      <c r="A353" s="101"/>
      <c r="B353" s="24"/>
      <c r="C353" s="99"/>
      <c r="E353" s="47"/>
      <c r="F353" s="48"/>
      <c r="G353" s="47"/>
      <c r="J353" s="61"/>
      <c r="K353" s="61"/>
      <c r="L353" s="30"/>
      <c r="N353" s="97"/>
      <c r="O353" s="48"/>
      <c r="P353" s="47"/>
      <c r="Q353" s="24"/>
    </row>
    <row r="354" spans="1:17" ht="12.5">
      <c r="A354" s="101"/>
      <c r="B354" s="24"/>
      <c r="C354" s="99"/>
      <c r="E354" s="47"/>
      <c r="F354" s="48"/>
      <c r="G354" s="47"/>
      <c r="J354" s="61"/>
      <c r="K354" s="61"/>
      <c r="L354" s="30"/>
      <c r="N354" s="97"/>
      <c r="O354" s="48"/>
      <c r="P354" s="47"/>
      <c r="Q354" s="24"/>
    </row>
    <row r="355" spans="1:17" ht="12.5">
      <c r="A355" s="101"/>
      <c r="B355" s="24"/>
      <c r="C355" s="99"/>
      <c r="E355" s="47"/>
      <c r="F355" s="48"/>
      <c r="G355" s="47"/>
      <c r="J355" s="61"/>
      <c r="K355" s="61"/>
      <c r="L355" s="30"/>
      <c r="N355" s="97"/>
      <c r="O355" s="48"/>
      <c r="P355" s="47"/>
      <c r="Q355" s="24"/>
    </row>
    <row r="356" spans="1:17" ht="12.5">
      <c r="A356" s="101"/>
      <c r="B356" s="24"/>
      <c r="C356" s="99"/>
      <c r="E356" s="47"/>
      <c r="F356" s="48"/>
      <c r="G356" s="47"/>
      <c r="J356" s="61"/>
      <c r="K356" s="61"/>
      <c r="L356" s="30"/>
      <c r="N356" s="97"/>
      <c r="O356" s="48"/>
      <c r="P356" s="47"/>
      <c r="Q356" s="24"/>
    </row>
    <row r="357" spans="1:17" ht="12.5">
      <c r="A357" s="101"/>
      <c r="B357" s="24"/>
      <c r="C357" s="99"/>
      <c r="E357" s="47"/>
      <c r="F357" s="48"/>
      <c r="G357" s="47"/>
      <c r="J357" s="61"/>
      <c r="K357" s="61"/>
      <c r="L357" s="30"/>
      <c r="N357" s="97"/>
      <c r="O357" s="48"/>
      <c r="P357" s="47"/>
      <c r="Q357" s="24"/>
    </row>
    <row r="358" spans="1:17" ht="12.5">
      <c r="A358" s="101"/>
      <c r="B358" s="24"/>
      <c r="C358" s="99"/>
      <c r="E358" s="47"/>
      <c r="F358" s="48"/>
      <c r="G358" s="47"/>
      <c r="J358" s="61"/>
      <c r="K358" s="61"/>
      <c r="L358" s="30"/>
      <c r="N358" s="97"/>
      <c r="O358" s="48"/>
      <c r="P358" s="47"/>
      <c r="Q358" s="24"/>
    </row>
    <row r="359" spans="1:17" ht="12.5">
      <c r="A359" s="101"/>
      <c r="B359" s="24"/>
      <c r="C359" s="99"/>
      <c r="E359" s="47"/>
      <c r="F359" s="48"/>
      <c r="G359" s="47"/>
      <c r="J359" s="61"/>
      <c r="K359" s="61"/>
      <c r="L359" s="30"/>
      <c r="N359" s="97"/>
      <c r="O359" s="48"/>
      <c r="P359" s="47"/>
      <c r="Q359" s="24"/>
    </row>
    <row r="360" spans="1:17" ht="12.5">
      <c r="A360" s="101"/>
      <c r="B360" s="24"/>
      <c r="C360" s="99"/>
      <c r="E360" s="47"/>
      <c r="F360" s="48"/>
      <c r="G360" s="47"/>
      <c r="J360" s="61"/>
      <c r="K360" s="61"/>
      <c r="L360" s="30"/>
      <c r="N360" s="97"/>
      <c r="O360" s="48"/>
      <c r="P360" s="47"/>
      <c r="Q360" s="24"/>
    </row>
    <row r="361" spans="1:17" ht="12.5">
      <c r="A361" s="101"/>
      <c r="B361" s="24"/>
      <c r="C361" s="99"/>
      <c r="E361" s="47"/>
      <c r="F361" s="48"/>
      <c r="G361" s="47"/>
      <c r="J361" s="61"/>
      <c r="K361" s="61"/>
      <c r="L361" s="30"/>
      <c r="N361" s="97"/>
      <c r="O361" s="48"/>
      <c r="P361" s="47"/>
      <c r="Q361" s="24"/>
    </row>
    <row r="362" spans="1:17" ht="12.5">
      <c r="A362" s="101"/>
      <c r="B362" s="24"/>
      <c r="C362" s="99"/>
      <c r="E362" s="47"/>
      <c r="F362" s="48"/>
      <c r="G362" s="47"/>
      <c r="J362" s="61"/>
      <c r="K362" s="61"/>
      <c r="L362" s="30"/>
      <c r="N362" s="97"/>
      <c r="O362" s="48"/>
      <c r="P362" s="47"/>
      <c r="Q362" s="24"/>
    </row>
    <row r="363" spans="1:17" ht="12.5">
      <c r="A363" s="101"/>
      <c r="B363" s="24"/>
      <c r="C363" s="99"/>
      <c r="E363" s="47"/>
      <c r="F363" s="48"/>
      <c r="G363" s="47"/>
      <c r="J363" s="61"/>
      <c r="K363" s="61"/>
      <c r="L363" s="30"/>
      <c r="N363" s="97"/>
      <c r="O363" s="48"/>
      <c r="P363" s="47"/>
      <c r="Q363" s="24"/>
    </row>
    <row r="364" spans="1:17" ht="12.5">
      <c r="A364" s="101"/>
      <c r="B364" s="24"/>
      <c r="C364" s="99"/>
      <c r="E364" s="47"/>
      <c r="F364" s="48"/>
      <c r="G364" s="47"/>
      <c r="J364" s="61"/>
      <c r="K364" s="61"/>
      <c r="L364" s="30"/>
      <c r="N364" s="97"/>
      <c r="O364" s="48"/>
      <c r="P364" s="47"/>
      <c r="Q364" s="24"/>
    </row>
    <row r="365" spans="1:17" ht="12.5">
      <c r="A365" s="101"/>
      <c r="B365" s="24"/>
      <c r="C365" s="99"/>
      <c r="E365" s="47"/>
      <c r="F365" s="48"/>
      <c r="G365" s="47"/>
      <c r="J365" s="61"/>
      <c r="K365" s="61"/>
      <c r="L365" s="30"/>
      <c r="N365" s="97"/>
      <c r="O365" s="48"/>
      <c r="P365" s="47"/>
      <c r="Q365" s="24"/>
    </row>
    <row r="366" spans="1:17" ht="12.5">
      <c r="A366" s="101"/>
      <c r="B366" s="24"/>
      <c r="C366" s="99"/>
      <c r="E366" s="47"/>
      <c r="F366" s="48"/>
      <c r="G366" s="47"/>
      <c r="J366" s="61"/>
      <c r="K366" s="61"/>
      <c r="L366" s="30"/>
      <c r="N366" s="97"/>
      <c r="O366" s="48"/>
      <c r="P366" s="47"/>
      <c r="Q366" s="24"/>
    </row>
    <row r="367" spans="1:17" ht="12.5">
      <c r="A367" s="101"/>
      <c r="B367" s="24"/>
      <c r="C367" s="99"/>
      <c r="E367" s="47"/>
      <c r="F367" s="48"/>
      <c r="G367" s="47"/>
      <c r="J367" s="61"/>
      <c r="K367" s="61"/>
      <c r="L367" s="30"/>
      <c r="N367" s="97"/>
      <c r="O367" s="48"/>
      <c r="P367" s="47"/>
      <c r="Q367" s="24"/>
    </row>
    <row r="368" spans="1:17" ht="12.5">
      <c r="A368" s="101"/>
      <c r="B368" s="24"/>
      <c r="C368" s="99"/>
      <c r="E368" s="47"/>
      <c r="F368" s="48"/>
      <c r="G368" s="47"/>
      <c r="J368" s="61"/>
      <c r="K368" s="61"/>
      <c r="L368" s="30"/>
      <c r="N368" s="97"/>
      <c r="O368" s="48"/>
      <c r="P368" s="47"/>
      <c r="Q368" s="24"/>
    </row>
    <row r="369" spans="1:17" ht="12.5">
      <c r="A369" s="101"/>
      <c r="B369" s="24"/>
      <c r="C369" s="99"/>
      <c r="E369" s="47"/>
      <c r="F369" s="48"/>
      <c r="G369" s="47"/>
      <c r="J369" s="61"/>
      <c r="K369" s="61"/>
      <c r="L369" s="30"/>
      <c r="N369" s="97"/>
      <c r="O369" s="48"/>
      <c r="P369" s="47"/>
      <c r="Q369" s="24"/>
    </row>
    <row r="370" spans="1:17" ht="12.5">
      <c r="A370" s="101"/>
      <c r="B370" s="24"/>
      <c r="C370" s="99"/>
      <c r="E370" s="47"/>
      <c r="F370" s="48"/>
      <c r="G370" s="47"/>
      <c r="J370" s="61"/>
      <c r="K370" s="61"/>
      <c r="L370" s="30"/>
      <c r="N370" s="97"/>
      <c r="O370" s="48"/>
      <c r="P370" s="47"/>
      <c r="Q370" s="24"/>
    </row>
    <row r="371" spans="1:17" ht="12.5">
      <c r="A371" s="101"/>
      <c r="B371" s="24"/>
      <c r="C371" s="99"/>
      <c r="E371" s="47"/>
      <c r="F371" s="48"/>
      <c r="G371" s="47"/>
      <c r="J371" s="61"/>
      <c r="K371" s="61"/>
      <c r="L371" s="30"/>
      <c r="N371" s="97"/>
      <c r="O371" s="48"/>
      <c r="P371" s="47"/>
      <c r="Q371" s="24"/>
    </row>
    <row r="372" spans="1:17" ht="12.5">
      <c r="A372" s="101"/>
      <c r="B372" s="24"/>
      <c r="C372" s="99"/>
      <c r="E372" s="47"/>
      <c r="F372" s="48"/>
      <c r="G372" s="47"/>
      <c r="J372" s="61"/>
      <c r="K372" s="61"/>
      <c r="L372" s="30"/>
      <c r="N372" s="97"/>
      <c r="O372" s="48"/>
      <c r="P372" s="47"/>
      <c r="Q372" s="24"/>
    </row>
    <row r="373" spans="1:17" ht="12.5">
      <c r="A373" s="101"/>
      <c r="B373" s="24"/>
      <c r="C373" s="99"/>
      <c r="E373" s="47"/>
      <c r="F373" s="48"/>
      <c r="G373" s="47"/>
      <c r="J373" s="61"/>
      <c r="K373" s="61"/>
      <c r="L373" s="30"/>
      <c r="N373" s="97"/>
      <c r="O373" s="48"/>
      <c r="P373" s="47"/>
      <c r="Q373" s="24"/>
    </row>
    <row r="374" spans="1:17" ht="12.5">
      <c r="A374" s="101"/>
      <c r="B374" s="24"/>
      <c r="C374" s="99"/>
      <c r="E374" s="47"/>
      <c r="F374" s="48"/>
      <c r="G374" s="47"/>
      <c r="J374" s="61"/>
      <c r="K374" s="61"/>
      <c r="L374" s="30"/>
      <c r="N374" s="97"/>
      <c r="O374" s="48"/>
      <c r="P374" s="47"/>
      <c r="Q374" s="24"/>
    </row>
    <row r="375" spans="1:17" ht="12.5">
      <c r="A375" s="101"/>
      <c r="B375" s="24"/>
      <c r="C375" s="99"/>
      <c r="E375" s="47"/>
      <c r="F375" s="48"/>
      <c r="G375" s="47"/>
      <c r="J375" s="61"/>
      <c r="K375" s="61"/>
      <c r="L375" s="30"/>
      <c r="N375" s="97"/>
      <c r="O375" s="48"/>
      <c r="P375" s="47"/>
      <c r="Q375" s="24"/>
    </row>
    <row r="376" spans="1:17" ht="12.5">
      <c r="A376" s="101"/>
      <c r="B376" s="24"/>
      <c r="C376" s="99"/>
      <c r="E376" s="47"/>
      <c r="F376" s="48"/>
      <c r="G376" s="47"/>
      <c r="J376" s="61"/>
      <c r="K376" s="61"/>
      <c r="L376" s="30"/>
      <c r="N376" s="97"/>
      <c r="O376" s="48"/>
      <c r="P376" s="47"/>
      <c r="Q376" s="24"/>
    </row>
    <row r="377" spans="1:17" ht="12.5">
      <c r="A377" s="101"/>
      <c r="B377" s="24"/>
      <c r="C377" s="99"/>
      <c r="E377" s="47"/>
      <c r="F377" s="48"/>
      <c r="G377" s="47"/>
      <c r="J377" s="61"/>
      <c r="K377" s="61"/>
      <c r="L377" s="30"/>
      <c r="N377" s="97"/>
      <c r="O377" s="48"/>
      <c r="P377" s="47"/>
      <c r="Q377" s="24"/>
    </row>
    <row r="378" spans="1:17" ht="12.5">
      <c r="A378" s="101"/>
      <c r="B378" s="24"/>
      <c r="C378" s="99"/>
      <c r="E378" s="47"/>
      <c r="F378" s="48"/>
      <c r="G378" s="47"/>
      <c r="J378" s="61"/>
      <c r="K378" s="61"/>
      <c r="L378" s="30"/>
      <c r="N378" s="97"/>
      <c r="O378" s="48"/>
      <c r="P378" s="47"/>
      <c r="Q378" s="24"/>
    </row>
    <row r="379" spans="1:17" ht="12.5">
      <c r="A379" s="101"/>
      <c r="B379" s="24"/>
      <c r="C379" s="99"/>
      <c r="E379" s="47"/>
      <c r="F379" s="48"/>
      <c r="G379" s="47"/>
      <c r="J379" s="61"/>
      <c r="K379" s="61"/>
      <c r="L379" s="30"/>
      <c r="N379" s="97"/>
      <c r="O379" s="48"/>
      <c r="P379" s="47"/>
      <c r="Q379" s="24"/>
    </row>
    <row r="380" spans="1:17" ht="12.5">
      <c r="A380" s="101"/>
      <c r="B380" s="24"/>
      <c r="C380" s="99"/>
      <c r="E380" s="47"/>
      <c r="F380" s="48"/>
      <c r="G380" s="47"/>
      <c r="J380" s="61"/>
      <c r="K380" s="61"/>
      <c r="L380" s="30"/>
      <c r="N380" s="97"/>
      <c r="O380" s="48"/>
      <c r="P380" s="47"/>
      <c r="Q380" s="24"/>
    </row>
    <row r="381" spans="1:17" ht="12.5">
      <c r="A381" s="101"/>
      <c r="B381" s="24"/>
      <c r="C381" s="99"/>
      <c r="E381" s="47"/>
      <c r="F381" s="48"/>
      <c r="G381" s="47"/>
      <c r="J381" s="61"/>
      <c r="K381" s="61"/>
      <c r="L381" s="30"/>
      <c r="N381" s="97"/>
      <c r="O381" s="48"/>
      <c r="P381" s="47"/>
      <c r="Q381" s="24"/>
    </row>
    <row r="382" spans="1:17" ht="12.5">
      <c r="A382" s="101"/>
      <c r="B382" s="24"/>
      <c r="C382" s="99"/>
      <c r="E382" s="47"/>
      <c r="F382" s="48"/>
      <c r="G382" s="47"/>
      <c r="J382" s="61"/>
      <c r="K382" s="61"/>
      <c r="L382" s="30"/>
      <c r="N382" s="97"/>
      <c r="O382" s="48"/>
      <c r="P382" s="47"/>
      <c r="Q382" s="24"/>
    </row>
    <row r="383" spans="1:17" ht="12.5">
      <c r="A383" s="101"/>
      <c r="B383" s="24"/>
      <c r="C383" s="99"/>
      <c r="E383" s="47"/>
      <c r="F383" s="48"/>
      <c r="G383" s="47"/>
      <c r="J383" s="61"/>
      <c r="K383" s="61"/>
      <c r="L383" s="30"/>
      <c r="N383" s="97"/>
      <c r="O383" s="48"/>
      <c r="P383" s="47"/>
      <c r="Q383" s="24"/>
    </row>
    <row r="384" spans="1:17" ht="12.5">
      <c r="A384" s="101"/>
      <c r="B384" s="24"/>
      <c r="C384" s="99"/>
      <c r="E384" s="47"/>
      <c r="F384" s="48"/>
      <c r="G384" s="47"/>
      <c r="J384" s="61"/>
      <c r="K384" s="61"/>
      <c r="L384" s="30"/>
      <c r="N384" s="97"/>
      <c r="O384" s="48"/>
      <c r="P384" s="47"/>
      <c r="Q384" s="24"/>
    </row>
    <row r="385" spans="1:17" ht="12.5">
      <c r="A385" s="101"/>
      <c r="B385" s="24"/>
      <c r="C385" s="99"/>
      <c r="E385" s="47"/>
      <c r="F385" s="48"/>
      <c r="G385" s="47"/>
      <c r="J385" s="61"/>
      <c r="K385" s="61"/>
      <c r="L385" s="30"/>
      <c r="N385" s="97"/>
      <c r="O385" s="48"/>
      <c r="P385" s="47"/>
      <c r="Q385" s="24"/>
    </row>
    <row r="386" spans="1:17" ht="12.5">
      <c r="A386" s="101"/>
      <c r="B386" s="24"/>
      <c r="C386" s="99"/>
      <c r="E386" s="47"/>
      <c r="F386" s="48"/>
      <c r="G386" s="47"/>
      <c r="J386" s="61"/>
      <c r="K386" s="61"/>
      <c r="L386" s="30"/>
      <c r="N386" s="97"/>
      <c r="O386" s="48"/>
      <c r="P386" s="47"/>
      <c r="Q386" s="24"/>
    </row>
    <row r="387" spans="1:17" ht="12.5">
      <c r="A387" s="101"/>
      <c r="B387" s="24"/>
      <c r="C387" s="99"/>
      <c r="E387" s="47"/>
      <c r="F387" s="48"/>
      <c r="G387" s="47"/>
      <c r="J387" s="61"/>
      <c r="K387" s="61"/>
      <c r="L387" s="30"/>
      <c r="N387" s="97"/>
      <c r="O387" s="48"/>
      <c r="P387" s="47"/>
      <c r="Q387" s="24"/>
    </row>
    <row r="388" spans="1:17" ht="12.5">
      <c r="A388" s="101"/>
      <c r="B388" s="24"/>
      <c r="C388" s="99"/>
      <c r="E388" s="47"/>
      <c r="F388" s="48"/>
      <c r="G388" s="47"/>
      <c r="J388" s="61"/>
      <c r="K388" s="61"/>
      <c r="L388" s="30"/>
      <c r="N388" s="97"/>
      <c r="O388" s="48"/>
      <c r="P388" s="47"/>
      <c r="Q388" s="24"/>
    </row>
    <row r="389" spans="1:17" ht="12.5">
      <c r="A389" s="101"/>
      <c r="B389" s="24"/>
      <c r="C389" s="99"/>
      <c r="E389" s="47"/>
      <c r="F389" s="48"/>
      <c r="G389" s="47"/>
      <c r="J389" s="61"/>
      <c r="K389" s="61"/>
      <c r="L389" s="30"/>
      <c r="N389" s="97"/>
      <c r="O389" s="48"/>
      <c r="P389" s="47"/>
      <c r="Q389" s="24"/>
    </row>
    <row r="390" spans="1:17" ht="12.5">
      <c r="A390" s="101"/>
      <c r="B390" s="24"/>
      <c r="C390" s="99"/>
      <c r="E390" s="47"/>
      <c r="F390" s="48"/>
      <c r="G390" s="47"/>
      <c r="J390" s="61"/>
      <c r="K390" s="61"/>
      <c r="L390" s="30"/>
      <c r="N390" s="97"/>
      <c r="O390" s="48"/>
      <c r="P390" s="47"/>
      <c r="Q390" s="24"/>
    </row>
    <row r="391" spans="1:17" ht="12.5">
      <c r="A391" s="101"/>
      <c r="B391" s="24"/>
      <c r="C391" s="99"/>
      <c r="E391" s="47"/>
      <c r="F391" s="48"/>
      <c r="G391" s="47"/>
      <c r="J391" s="61"/>
      <c r="K391" s="61"/>
      <c r="L391" s="30"/>
      <c r="N391" s="97"/>
      <c r="O391" s="48"/>
      <c r="P391" s="47"/>
      <c r="Q391" s="24"/>
    </row>
    <row r="392" spans="1:17" ht="12.5">
      <c r="A392" s="101"/>
      <c r="B392" s="24"/>
      <c r="C392" s="99"/>
      <c r="E392" s="47"/>
      <c r="F392" s="48"/>
      <c r="G392" s="47"/>
      <c r="J392" s="61"/>
      <c r="K392" s="61"/>
      <c r="L392" s="30"/>
      <c r="N392" s="97"/>
      <c r="O392" s="48"/>
      <c r="P392" s="47"/>
      <c r="Q392" s="24"/>
    </row>
    <row r="393" spans="1:17" ht="12.5">
      <c r="A393" s="101"/>
      <c r="B393" s="24"/>
      <c r="C393" s="99"/>
      <c r="E393" s="47"/>
      <c r="F393" s="48"/>
      <c r="G393" s="47"/>
      <c r="J393" s="61"/>
      <c r="K393" s="61"/>
      <c r="L393" s="30"/>
      <c r="N393" s="97"/>
      <c r="O393" s="48"/>
      <c r="P393" s="47"/>
      <c r="Q393" s="24"/>
    </row>
    <row r="394" spans="1:17" ht="12.5">
      <c r="A394" s="101"/>
      <c r="B394" s="24"/>
      <c r="C394" s="99"/>
      <c r="E394" s="47"/>
      <c r="F394" s="48"/>
      <c r="G394" s="47"/>
      <c r="J394" s="61"/>
      <c r="K394" s="61"/>
      <c r="L394" s="30"/>
      <c r="N394" s="97"/>
      <c r="O394" s="48"/>
      <c r="P394" s="47"/>
      <c r="Q394" s="24"/>
    </row>
    <row r="395" spans="1:17" ht="12.5">
      <c r="A395" s="101"/>
      <c r="B395" s="24"/>
      <c r="C395" s="99"/>
      <c r="E395" s="47"/>
      <c r="F395" s="48"/>
      <c r="G395" s="47"/>
      <c r="J395" s="61"/>
      <c r="K395" s="61"/>
      <c r="L395" s="30"/>
      <c r="N395" s="97"/>
      <c r="O395" s="48"/>
      <c r="P395" s="47"/>
      <c r="Q395" s="24"/>
    </row>
    <row r="396" spans="1:17" ht="12.5">
      <c r="A396" s="101"/>
      <c r="B396" s="24"/>
      <c r="C396" s="99"/>
      <c r="E396" s="47"/>
      <c r="F396" s="48"/>
      <c r="G396" s="47"/>
      <c r="J396" s="61"/>
      <c r="K396" s="61"/>
      <c r="L396" s="30"/>
      <c r="N396" s="97"/>
      <c r="O396" s="48"/>
      <c r="P396" s="47"/>
      <c r="Q396" s="24"/>
    </row>
    <row r="397" spans="1:17" ht="12.5">
      <c r="A397" s="101"/>
      <c r="B397" s="24"/>
      <c r="C397" s="99"/>
      <c r="E397" s="47"/>
      <c r="F397" s="48"/>
      <c r="G397" s="47"/>
      <c r="J397" s="61"/>
      <c r="K397" s="61"/>
      <c r="L397" s="30"/>
      <c r="N397" s="97"/>
      <c r="O397" s="48"/>
      <c r="P397" s="47"/>
      <c r="Q397" s="24"/>
    </row>
    <row r="398" spans="1:17" ht="12.5">
      <c r="A398" s="101"/>
      <c r="B398" s="24"/>
      <c r="C398" s="99"/>
      <c r="E398" s="47"/>
      <c r="F398" s="48"/>
      <c r="G398" s="47"/>
      <c r="J398" s="61"/>
      <c r="K398" s="61"/>
      <c r="L398" s="30"/>
      <c r="N398" s="97"/>
      <c r="O398" s="48"/>
      <c r="P398" s="47"/>
      <c r="Q398" s="24"/>
    </row>
    <row r="399" spans="1:17" ht="12.5">
      <c r="A399" s="101"/>
      <c r="B399" s="24"/>
      <c r="C399" s="99"/>
      <c r="E399" s="47"/>
      <c r="F399" s="48"/>
      <c r="G399" s="47"/>
      <c r="J399" s="61"/>
      <c r="K399" s="61"/>
      <c r="L399" s="30"/>
      <c r="N399" s="97"/>
      <c r="O399" s="48"/>
      <c r="P399" s="47"/>
      <c r="Q399" s="24"/>
    </row>
    <row r="400" spans="1:17" ht="12.5">
      <c r="A400" s="101"/>
      <c r="B400" s="24"/>
      <c r="C400" s="99"/>
      <c r="E400" s="47"/>
      <c r="F400" s="48"/>
      <c r="G400" s="47"/>
      <c r="J400" s="61"/>
      <c r="K400" s="61"/>
      <c r="L400" s="30"/>
      <c r="N400" s="97"/>
      <c r="O400" s="48"/>
      <c r="P400" s="47"/>
      <c r="Q400" s="24"/>
    </row>
    <row r="401" spans="1:17" ht="12.5">
      <c r="A401" s="101"/>
      <c r="B401" s="24"/>
      <c r="C401" s="99"/>
      <c r="E401" s="47"/>
      <c r="F401" s="48"/>
      <c r="G401" s="47"/>
      <c r="J401" s="61"/>
      <c r="K401" s="61"/>
      <c r="L401" s="30"/>
      <c r="N401" s="97"/>
      <c r="O401" s="48"/>
      <c r="P401" s="47"/>
      <c r="Q401" s="24"/>
    </row>
    <row r="402" spans="1:17" ht="12.5">
      <c r="A402" s="101"/>
      <c r="B402" s="24"/>
      <c r="C402" s="99"/>
      <c r="E402" s="47"/>
      <c r="F402" s="48"/>
      <c r="G402" s="47"/>
      <c r="J402" s="61"/>
      <c r="K402" s="61"/>
      <c r="L402" s="30"/>
      <c r="N402" s="97"/>
      <c r="O402" s="48"/>
      <c r="P402" s="47"/>
      <c r="Q402" s="24"/>
    </row>
    <row r="403" spans="1:17" ht="12.5">
      <c r="A403" s="101"/>
      <c r="B403" s="24"/>
      <c r="C403" s="99"/>
      <c r="E403" s="47"/>
      <c r="F403" s="48"/>
      <c r="G403" s="47"/>
      <c r="J403" s="61"/>
      <c r="K403" s="61"/>
      <c r="L403" s="30"/>
      <c r="N403" s="97"/>
      <c r="O403" s="48"/>
      <c r="P403" s="47"/>
      <c r="Q403" s="24"/>
    </row>
    <row r="404" spans="1:17" ht="12.5">
      <c r="A404" s="101"/>
      <c r="B404" s="24"/>
      <c r="C404" s="99"/>
      <c r="E404" s="47"/>
      <c r="F404" s="48"/>
      <c r="G404" s="47"/>
      <c r="J404" s="61"/>
      <c r="K404" s="61"/>
      <c r="L404" s="30"/>
      <c r="N404" s="97"/>
      <c r="O404" s="48"/>
      <c r="P404" s="47"/>
      <c r="Q404" s="24"/>
    </row>
    <row r="405" spans="1:17" ht="12.5">
      <c r="A405" s="101"/>
      <c r="B405" s="24"/>
      <c r="C405" s="99"/>
      <c r="E405" s="47"/>
      <c r="F405" s="48"/>
      <c r="G405" s="47"/>
      <c r="J405" s="61"/>
      <c r="K405" s="61"/>
      <c r="L405" s="30"/>
      <c r="N405" s="97"/>
      <c r="O405" s="48"/>
      <c r="P405" s="47"/>
      <c r="Q405" s="24"/>
    </row>
    <row r="406" spans="1:17" ht="12.5">
      <c r="A406" s="101"/>
      <c r="B406" s="24"/>
      <c r="C406" s="99"/>
      <c r="E406" s="47"/>
      <c r="F406" s="48"/>
      <c r="G406" s="47"/>
      <c r="J406" s="61"/>
      <c r="K406" s="61"/>
      <c r="L406" s="30"/>
      <c r="N406" s="97"/>
      <c r="O406" s="48"/>
      <c r="P406" s="47"/>
      <c r="Q406" s="24"/>
    </row>
    <row r="407" spans="1:17" ht="12.5">
      <c r="A407" s="101"/>
      <c r="B407" s="24"/>
      <c r="C407" s="99"/>
      <c r="E407" s="47"/>
      <c r="F407" s="48"/>
      <c r="G407" s="47"/>
      <c r="J407" s="61"/>
      <c r="K407" s="61"/>
      <c r="L407" s="30"/>
      <c r="N407" s="97"/>
      <c r="O407" s="48"/>
      <c r="P407" s="47"/>
      <c r="Q407" s="24"/>
    </row>
    <row r="408" spans="1:17" ht="12.5">
      <c r="A408" s="101"/>
      <c r="B408" s="24"/>
      <c r="C408" s="99"/>
      <c r="E408" s="47"/>
      <c r="F408" s="48"/>
      <c r="G408" s="47"/>
      <c r="J408" s="61"/>
      <c r="K408" s="61"/>
      <c r="L408" s="30"/>
      <c r="N408" s="97"/>
      <c r="O408" s="48"/>
      <c r="P408" s="47"/>
      <c r="Q408" s="24"/>
    </row>
    <row r="409" spans="1:17" ht="12.5">
      <c r="A409" s="101"/>
      <c r="B409" s="24"/>
      <c r="C409" s="99"/>
      <c r="E409" s="47"/>
      <c r="F409" s="48"/>
      <c r="G409" s="47"/>
      <c r="J409" s="61"/>
      <c r="K409" s="61"/>
      <c r="L409" s="30"/>
      <c r="N409" s="97"/>
      <c r="O409" s="48"/>
      <c r="P409" s="47"/>
      <c r="Q409" s="24"/>
    </row>
    <row r="410" spans="1:17" ht="12.5">
      <c r="A410" s="101"/>
      <c r="B410" s="24"/>
      <c r="C410" s="99"/>
      <c r="E410" s="47"/>
      <c r="F410" s="48"/>
      <c r="G410" s="47"/>
      <c r="J410" s="61"/>
      <c r="K410" s="61"/>
      <c r="L410" s="30"/>
      <c r="N410" s="97"/>
      <c r="O410" s="48"/>
      <c r="P410" s="47"/>
      <c r="Q410" s="24"/>
    </row>
    <row r="411" spans="1:17" ht="12.5">
      <c r="A411" s="101"/>
      <c r="B411" s="24"/>
      <c r="C411" s="99"/>
      <c r="E411" s="47"/>
      <c r="F411" s="48"/>
      <c r="G411" s="47"/>
      <c r="J411" s="61"/>
      <c r="K411" s="61"/>
      <c r="L411" s="30"/>
      <c r="N411" s="97"/>
      <c r="O411" s="48"/>
      <c r="P411" s="47"/>
      <c r="Q411" s="24"/>
    </row>
    <row r="412" spans="1:17" ht="12.5">
      <c r="A412" s="101"/>
      <c r="B412" s="24"/>
      <c r="C412" s="99"/>
      <c r="E412" s="47"/>
      <c r="F412" s="48"/>
      <c r="G412" s="47"/>
      <c r="J412" s="61"/>
      <c r="K412" s="61"/>
      <c r="L412" s="30"/>
      <c r="N412" s="97"/>
      <c r="O412" s="48"/>
      <c r="P412" s="47"/>
      <c r="Q412" s="24"/>
    </row>
    <row r="413" spans="1:17" ht="12.5">
      <c r="A413" s="101"/>
      <c r="B413" s="24"/>
      <c r="C413" s="99"/>
      <c r="E413" s="47"/>
      <c r="F413" s="48"/>
      <c r="G413" s="47"/>
      <c r="J413" s="61"/>
      <c r="K413" s="61"/>
      <c r="L413" s="30"/>
      <c r="N413" s="97"/>
      <c r="O413" s="48"/>
      <c r="P413" s="47"/>
      <c r="Q413" s="24"/>
    </row>
    <row r="414" spans="1:17" ht="12.5">
      <c r="A414" s="101"/>
      <c r="B414" s="24"/>
      <c r="C414" s="99"/>
      <c r="E414" s="47"/>
      <c r="F414" s="48"/>
      <c r="G414" s="47"/>
      <c r="J414" s="61"/>
      <c r="K414" s="61"/>
      <c r="L414" s="30"/>
      <c r="N414" s="97"/>
      <c r="O414" s="48"/>
      <c r="P414" s="47"/>
      <c r="Q414" s="24"/>
    </row>
    <row r="415" spans="1:17" ht="12.5">
      <c r="A415" s="101"/>
      <c r="B415" s="24"/>
      <c r="C415" s="99"/>
      <c r="E415" s="47"/>
      <c r="F415" s="48"/>
      <c r="G415" s="47"/>
      <c r="J415" s="61"/>
      <c r="K415" s="61"/>
      <c r="L415" s="30"/>
      <c r="N415" s="97"/>
      <c r="O415" s="48"/>
      <c r="P415" s="47"/>
      <c r="Q415" s="24"/>
    </row>
    <row r="416" spans="1:17" ht="12.5">
      <c r="A416" s="101"/>
      <c r="B416" s="24"/>
      <c r="C416" s="99"/>
      <c r="E416" s="47"/>
      <c r="F416" s="48"/>
      <c r="G416" s="47"/>
      <c r="J416" s="61"/>
      <c r="K416" s="61"/>
      <c r="L416" s="30"/>
      <c r="N416" s="97"/>
      <c r="O416" s="48"/>
      <c r="P416" s="47"/>
      <c r="Q416" s="24"/>
    </row>
    <row r="417" spans="1:17" ht="12.5">
      <c r="A417" s="101"/>
      <c r="B417" s="24"/>
      <c r="C417" s="99"/>
      <c r="E417" s="47"/>
      <c r="F417" s="48"/>
      <c r="G417" s="47"/>
      <c r="J417" s="61"/>
      <c r="K417" s="61"/>
      <c r="L417" s="30"/>
      <c r="N417" s="97"/>
      <c r="O417" s="48"/>
      <c r="P417" s="47"/>
      <c r="Q417" s="24"/>
    </row>
    <row r="418" spans="1:17" ht="12.5">
      <c r="A418" s="101"/>
      <c r="B418" s="24"/>
      <c r="C418" s="99"/>
      <c r="E418" s="47"/>
      <c r="F418" s="48"/>
      <c r="G418" s="47"/>
      <c r="J418" s="61"/>
      <c r="K418" s="61"/>
      <c r="L418" s="30"/>
      <c r="N418" s="97"/>
      <c r="O418" s="48"/>
      <c r="P418" s="47"/>
      <c r="Q418" s="24"/>
    </row>
    <row r="419" spans="1:17" ht="12.5">
      <c r="A419" s="101"/>
      <c r="B419" s="24"/>
      <c r="C419" s="99"/>
      <c r="E419" s="47"/>
      <c r="F419" s="48"/>
      <c r="G419" s="47"/>
      <c r="J419" s="61"/>
      <c r="K419" s="61"/>
      <c r="L419" s="30"/>
      <c r="N419" s="97"/>
      <c r="O419" s="48"/>
      <c r="P419" s="47"/>
      <c r="Q419" s="24"/>
    </row>
    <row r="420" spans="1:17" ht="12.5">
      <c r="A420" s="101"/>
      <c r="B420" s="24"/>
      <c r="C420" s="99"/>
      <c r="E420" s="47"/>
      <c r="F420" s="48"/>
      <c r="G420" s="47"/>
      <c r="J420" s="61"/>
      <c r="K420" s="61"/>
      <c r="L420" s="30"/>
      <c r="N420" s="97"/>
      <c r="O420" s="48"/>
      <c r="P420" s="47"/>
      <c r="Q420" s="24"/>
    </row>
    <row r="421" spans="1:17" ht="12.5">
      <c r="A421" s="101"/>
      <c r="B421" s="24"/>
      <c r="C421" s="99"/>
      <c r="E421" s="47"/>
      <c r="F421" s="48"/>
      <c r="G421" s="47"/>
      <c r="J421" s="61"/>
      <c r="K421" s="61"/>
      <c r="L421" s="30"/>
      <c r="N421" s="97"/>
      <c r="O421" s="48"/>
      <c r="P421" s="47"/>
      <c r="Q421" s="24"/>
    </row>
    <row r="422" spans="1:17" ht="12.5">
      <c r="A422" s="101"/>
      <c r="B422" s="24"/>
      <c r="C422" s="99"/>
      <c r="E422" s="47"/>
      <c r="F422" s="48"/>
      <c r="G422" s="47"/>
      <c r="J422" s="61"/>
      <c r="K422" s="61"/>
      <c r="L422" s="30"/>
      <c r="N422" s="97"/>
      <c r="O422" s="48"/>
      <c r="P422" s="47"/>
      <c r="Q422" s="24"/>
    </row>
    <row r="423" spans="1:17" ht="12.5">
      <c r="A423" s="101"/>
      <c r="B423" s="24"/>
      <c r="C423" s="99"/>
      <c r="E423" s="47"/>
      <c r="F423" s="48"/>
      <c r="G423" s="47"/>
      <c r="J423" s="61"/>
      <c r="K423" s="61"/>
      <c r="L423" s="30"/>
      <c r="N423" s="97"/>
      <c r="O423" s="48"/>
      <c r="P423" s="47"/>
      <c r="Q423" s="24"/>
    </row>
    <row r="424" spans="1:17" ht="12.5">
      <c r="A424" s="101"/>
      <c r="B424" s="24"/>
      <c r="C424" s="99"/>
      <c r="E424" s="47"/>
      <c r="F424" s="48"/>
      <c r="G424" s="47"/>
      <c r="J424" s="61"/>
      <c r="K424" s="61"/>
      <c r="L424" s="30"/>
      <c r="N424" s="97"/>
      <c r="O424" s="48"/>
      <c r="P424" s="47"/>
      <c r="Q424" s="24"/>
    </row>
    <row r="425" spans="1:17" ht="12.5">
      <c r="A425" s="101"/>
      <c r="B425" s="24"/>
      <c r="C425" s="99"/>
      <c r="E425" s="47"/>
      <c r="F425" s="48"/>
      <c r="G425" s="47"/>
      <c r="J425" s="61"/>
      <c r="K425" s="61"/>
      <c r="L425" s="30"/>
      <c r="N425" s="97"/>
      <c r="O425" s="48"/>
      <c r="P425" s="47"/>
      <c r="Q425" s="24"/>
    </row>
    <row r="426" spans="1:17" ht="12.5">
      <c r="A426" s="101"/>
      <c r="B426" s="24"/>
      <c r="C426" s="99"/>
      <c r="E426" s="47"/>
      <c r="F426" s="48"/>
      <c r="G426" s="47"/>
      <c r="J426" s="61"/>
      <c r="K426" s="61"/>
      <c r="L426" s="30"/>
      <c r="N426" s="97"/>
      <c r="O426" s="48"/>
      <c r="P426" s="47"/>
      <c r="Q426" s="24"/>
    </row>
    <row r="427" spans="1:17" ht="12.5">
      <c r="A427" s="101"/>
      <c r="B427" s="24"/>
      <c r="C427" s="99"/>
      <c r="E427" s="47"/>
      <c r="F427" s="48"/>
      <c r="G427" s="47"/>
      <c r="J427" s="61"/>
      <c r="K427" s="61"/>
      <c r="L427" s="30"/>
      <c r="N427" s="97"/>
      <c r="O427" s="48"/>
      <c r="P427" s="47"/>
      <c r="Q427" s="24"/>
    </row>
    <row r="428" spans="1:17" ht="12.5">
      <c r="A428" s="101"/>
      <c r="B428" s="24"/>
      <c r="C428" s="99"/>
      <c r="E428" s="47"/>
      <c r="F428" s="48"/>
      <c r="G428" s="47"/>
      <c r="J428" s="61"/>
      <c r="K428" s="61"/>
      <c r="L428" s="30"/>
      <c r="N428" s="97"/>
      <c r="O428" s="48"/>
      <c r="P428" s="47"/>
      <c r="Q428" s="24"/>
    </row>
    <row r="429" spans="1:17" ht="12.5">
      <c r="A429" s="101"/>
      <c r="B429" s="24"/>
      <c r="C429" s="99"/>
      <c r="E429" s="47"/>
      <c r="F429" s="48"/>
      <c r="G429" s="47"/>
      <c r="J429" s="61"/>
      <c r="K429" s="61"/>
      <c r="L429" s="30"/>
      <c r="N429" s="97"/>
      <c r="O429" s="48"/>
      <c r="P429" s="47"/>
      <c r="Q429" s="24"/>
    </row>
    <row r="430" spans="1:17" ht="12.5">
      <c r="A430" s="101"/>
      <c r="B430" s="24"/>
      <c r="C430" s="99"/>
      <c r="E430" s="47"/>
      <c r="F430" s="48"/>
      <c r="G430" s="47"/>
      <c r="J430" s="61"/>
      <c r="K430" s="61"/>
      <c r="L430" s="30"/>
      <c r="N430" s="97"/>
      <c r="O430" s="48"/>
      <c r="P430" s="47"/>
      <c r="Q430" s="24"/>
    </row>
    <row r="431" spans="1:17" ht="12.5">
      <c r="A431" s="101"/>
      <c r="B431" s="24"/>
      <c r="C431" s="99"/>
      <c r="E431" s="47"/>
      <c r="F431" s="48"/>
      <c r="G431" s="47"/>
      <c r="J431" s="61"/>
      <c r="K431" s="61"/>
      <c r="L431" s="30"/>
      <c r="N431" s="97"/>
      <c r="O431" s="48"/>
      <c r="P431" s="47"/>
      <c r="Q431" s="24"/>
    </row>
    <row r="432" spans="1:17" ht="12.5">
      <c r="A432" s="101"/>
      <c r="B432" s="24"/>
      <c r="C432" s="99"/>
      <c r="E432" s="47"/>
      <c r="F432" s="48"/>
      <c r="G432" s="47"/>
      <c r="J432" s="61"/>
      <c r="K432" s="61"/>
      <c r="L432" s="30"/>
      <c r="N432" s="97"/>
      <c r="O432" s="48"/>
      <c r="P432" s="47"/>
      <c r="Q432" s="24"/>
    </row>
    <row r="433" spans="1:17" ht="12.5">
      <c r="A433" s="101"/>
      <c r="B433" s="24"/>
      <c r="C433" s="99"/>
      <c r="E433" s="47"/>
      <c r="F433" s="48"/>
      <c r="G433" s="47"/>
      <c r="J433" s="61"/>
      <c r="K433" s="61"/>
      <c r="L433" s="30"/>
      <c r="N433" s="97"/>
      <c r="O433" s="48"/>
      <c r="P433" s="47"/>
      <c r="Q433" s="24"/>
    </row>
    <row r="434" spans="1:17" ht="12.5">
      <c r="A434" s="101"/>
      <c r="B434" s="24"/>
      <c r="C434" s="99"/>
      <c r="E434" s="47"/>
      <c r="F434" s="48"/>
      <c r="G434" s="47"/>
      <c r="J434" s="61"/>
      <c r="K434" s="61"/>
      <c r="L434" s="30"/>
      <c r="N434" s="97"/>
      <c r="O434" s="48"/>
      <c r="P434" s="47"/>
      <c r="Q434" s="24"/>
    </row>
    <row r="435" spans="1:17" ht="12.5">
      <c r="A435" s="101"/>
      <c r="B435" s="24"/>
      <c r="C435" s="99"/>
      <c r="E435" s="47"/>
      <c r="F435" s="48"/>
      <c r="G435" s="47"/>
      <c r="J435" s="61"/>
      <c r="K435" s="61"/>
      <c r="L435" s="30"/>
      <c r="N435" s="97"/>
      <c r="O435" s="48"/>
      <c r="P435" s="47"/>
      <c r="Q435" s="24"/>
    </row>
    <row r="436" spans="1:17" ht="12.5">
      <c r="A436" s="101"/>
      <c r="B436" s="24"/>
      <c r="C436" s="99"/>
      <c r="E436" s="47"/>
      <c r="F436" s="48"/>
      <c r="G436" s="47"/>
      <c r="J436" s="61"/>
      <c r="K436" s="61"/>
      <c r="L436" s="30"/>
      <c r="N436" s="97"/>
      <c r="O436" s="48"/>
      <c r="P436" s="47"/>
      <c r="Q436" s="24"/>
    </row>
    <row r="437" spans="1:17" ht="12.5">
      <c r="A437" s="101"/>
      <c r="B437" s="24"/>
      <c r="C437" s="99"/>
      <c r="E437" s="47"/>
      <c r="F437" s="48"/>
      <c r="G437" s="47"/>
      <c r="J437" s="61"/>
      <c r="K437" s="61"/>
      <c r="L437" s="30"/>
      <c r="N437" s="97"/>
      <c r="O437" s="48"/>
      <c r="P437" s="47"/>
      <c r="Q437" s="24"/>
    </row>
    <row r="438" spans="1:17" ht="12.5">
      <c r="A438" s="101"/>
      <c r="B438" s="24"/>
      <c r="C438" s="99"/>
      <c r="E438" s="47"/>
      <c r="F438" s="48"/>
      <c r="G438" s="47"/>
      <c r="J438" s="61"/>
      <c r="K438" s="61"/>
      <c r="L438" s="30"/>
      <c r="N438" s="97"/>
      <c r="O438" s="48"/>
      <c r="P438" s="47"/>
      <c r="Q438" s="24"/>
    </row>
    <row r="439" spans="1:17" ht="12.5">
      <c r="A439" s="101"/>
      <c r="B439" s="24"/>
      <c r="C439" s="99"/>
      <c r="E439" s="47"/>
      <c r="F439" s="48"/>
      <c r="G439" s="47"/>
      <c r="J439" s="61"/>
      <c r="K439" s="61"/>
      <c r="L439" s="30"/>
      <c r="N439" s="97"/>
      <c r="O439" s="48"/>
      <c r="P439" s="47"/>
      <c r="Q439" s="24"/>
    </row>
    <row r="440" spans="1:17" ht="12.5">
      <c r="A440" s="101"/>
      <c r="B440" s="24"/>
      <c r="C440" s="99"/>
      <c r="E440" s="47"/>
      <c r="F440" s="48"/>
      <c r="G440" s="47"/>
      <c r="J440" s="61"/>
      <c r="K440" s="61"/>
      <c r="L440" s="30"/>
      <c r="N440" s="97"/>
      <c r="O440" s="48"/>
      <c r="P440" s="47"/>
      <c r="Q440" s="24"/>
    </row>
    <row r="441" spans="1:17" ht="12.5">
      <c r="A441" s="101"/>
      <c r="B441" s="24"/>
      <c r="C441" s="99"/>
      <c r="E441" s="47"/>
      <c r="F441" s="48"/>
      <c r="G441" s="47"/>
      <c r="J441" s="61"/>
      <c r="K441" s="61"/>
      <c r="L441" s="30"/>
      <c r="N441" s="97"/>
      <c r="O441" s="48"/>
      <c r="P441" s="47"/>
      <c r="Q441" s="24"/>
    </row>
    <row r="442" spans="1:17" ht="12.5">
      <c r="A442" s="101"/>
      <c r="B442" s="24"/>
      <c r="C442" s="99"/>
      <c r="E442" s="47"/>
      <c r="F442" s="48"/>
      <c r="G442" s="47"/>
      <c r="J442" s="61"/>
      <c r="K442" s="61"/>
      <c r="L442" s="30"/>
      <c r="N442" s="97"/>
      <c r="O442" s="48"/>
      <c r="P442" s="47"/>
      <c r="Q442" s="24"/>
    </row>
    <row r="443" spans="1:17" ht="12.5">
      <c r="A443" s="101"/>
      <c r="B443" s="24"/>
      <c r="C443" s="99"/>
      <c r="E443" s="47"/>
      <c r="F443" s="48"/>
      <c r="G443" s="47"/>
      <c r="J443" s="61"/>
      <c r="K443" s="61"/>
      <c r="L443" s="30"/>
      <c r="N443" s="97"/>
      <c r="O443" s="48"/>
      <c r="P443" s="47"/>
      <c r="Q443" s="24"/>
    </row>
    <row r="444" spans="1:17" ht="12.5">
      <c r="A444" s="101"/>
      <c r="B444" s="24"/>
      <c r="C444" s="99"/>
      <c r="E444" s="47"/>
      <c r="F444" s="48"/>
      <c r="G444" s="47"/>
      <c r="J444" s="61"/>
      <c r="K444" s="61"/>
      <c r="L444" s="30"/>
      <c r="N444" s="97"/>
      <c r="O444" s="48"/>
      <c r="P444" s="47"/>
      <c r="Q444" s="24"/>
    </row>
    <row r="445" spans="1:17" ht="12.5">
      <c r="A445" s="101"/>
      <c r="B445" s="24"/>
      <c r="C445" s="99"/>
      <c r="E445" s="47"/>
      <c r="F445" s="48"/>
      <c r="G445" s="47"/>
      <c r="J445" s="61"/>
      <c r="K445" s="61"/>
      <c r="L445" s="30"/>
      <c r="N445" s="97"/>
      <c r="O445" s="48"/>
      <c r="P445" s="47"/>
      <c r="Q445" s="24"/>
    </row>
    <row r="446" spans="1:17" ht="12.5">
      <c r="A446" s="101"/>
      <c r="B446" s="24"/>
      <c r="C446" s="99"/>
      <c r="E446" s="47"/>
      <c r="F446" s="48"/>
      <c r="G446" s="47"/>
      <c r="J446" s="61"/>
      <c r="K446" s="61"/>
      <c r="L446" s="30"/>
      <c r="N446" s="97"/>
      <c r="O446" s="48"/>
      <c r="P446" s="47"/>
      <c r="Q446" s="24"/>
    </row>
    <row r="447" spans="1:17" ht="12.5">
      <c r="A447" s="101"/>
      <c r="B447" s="24"/>
      <c r="C447" s="99"/>
      <c r="E447" s="47"/>
      <c r="F447" s="48"/>
      <c r="G447" s="47"/>
      <c r="J447" s="61"/>
      <c r="K447" s="61"/>
      <c r="L447" s="30"/>
      <c r="N447" s="97"/>
      <c r="O447" s="48"/>
      <c r="P447" s="47"/>
      <c r="Q447" s="24"/>
    </row>
    <row r="448" spans="1:17" ht="12.5">
      <c r="A448" s="101"/>
      <c r="B448" s="24"/>
      <c r="C448" s="99"/>
      <c r="E448" s="47"/>
      <c r="F448" s="48"/>
      <c r="G448" s="47"/>
      <c r="J448" s="61"/>
      <c r="K448" s="61"/>
      <c r="L448" s="30"/>
      <c r="N448" s="97"/>
      <c r="O448" s="48"/>
      <c r="P448" s="47"/>
      <c r="Q448" s="24"/>
    </row>
    <row r="449" spans="1:17" ht="12.5">
      <c r="A449" s="101"/>
      <c r="B449" s="24"/>
      <c r="C449" s="99"/>
      <c r="E449" s="47"/>
      <c r="F449" s="48"/>
      <c r="G449" s="47"/>
      <c r="J449" s="61"/>
      <c r="K449" s="61"/>
      <c r="L449" s="30"/>
      <c r="N449" s="97"/>
      <c r="O449" s="48"/>
      <c r="P449" s="47"/>
      <c r="Q449" s="24"/>
    </row>
    <row r="450" spans="1:17" ht="12.5">
      <c r="A450" s="101"/>
      <c r="B450" s="24"/>
      <c r="C450" s="99"/>
      <c r="E450" s="47"/>
      <c r="F450" s="48"/>
      <c r="G450" s="47"/>
      <c r="J450" s="61"/>
      <c r="K450" s="61"/>
      <c r="L450" s="30"/>
      <c r="N450" s="97"/>
      <c r="O450" s="48"/>
      <c r="P450" s="47"/>
      <c r="Q450" s="24"/>
    </row>
    <row r="451" spans="1:17" ht="12.5">
      <c r="A451" s="101"/>
      <c r="B451" s="24"/>
      <c r="C451" s="99"/>
      <c r="E451" s="47"/>
      <c r="F451" s="48"/>
      <c r="G451" s="47"/>
      <c r="J451" s="61"/>
      <c r="K451" s="61"/>
      <c r="L451" s="30"/>
      <c r="N451" s="97"/>
      <c r="O451" s="48"/>
      <c r="P451" s="47"/>
      <c r="Q451" s="24"/>
    </row>
    <row r="452" spans="1:17" ht="12.5">
      <c r="A452" s="101"/>
      <c r="B452" s="24"/>
      <c r="C452" s="99"/>
      <c r="E452" s="47"/>
      <c r="F452" s="48"/>
      <c r="G452" s="47"/>
      <c r="J452" s="61"/>
      <c r="K452" s="61"/>
      <c r="L452" s="30"/>
      <c r="N452" s="97"/>
      <c r="O452" s="48"/>
      <c r="P452" s="47"/>
      <c r="Q452" s="24"/>
    </row>
    <row r="453" spans="1:17" ht="12.5">
      <c r="A453" s="101"/>
      <c r="B453" s="24"/>
      <c r="C453" s="99"/>
      <c r="E453" s="47"/>
      <c r="F453" s="48"/>
      <c r="G453" s="47"/>
      <c r="J453" s="61"/>
      <c r="K453" s="61"/>
      <c r="L453" s="30"/>
      <c r="N453" s="97"/>
      <c r="O453" s="48"/>
      <c r="P453" s="47"/>
      <c r="Q453" s="24"/>
    </row>
    <row r="454" spans="1:17" ht="12.5">
      <c r="A454" s="101"/>
      <c r="B454" s="24"/>
      <c r="C454" s="99"/>
      <c r="E454" s="47"/>
      <c r="F454" s="48"/>
      <c r="G454" s="47"/>
      <c r="J454" s="61"/>
      <c r="K454" s="61"/>
      <c r="L454" s="30"/>
      <c r="N454" s="97"/>
      <c r="O454" s="48"/>
      <c r="P454" s="47"/>
      <c r="Q454" s="24"/>
    </row>
    <row r="455" spans="1:17" ht="12.5">
      <c r="A455" s="101"/>
      <c r="B455" s="24"/>
      <c r="C455" s="99"/>
      <c r="E455" s="47"/>
      <c r="F455" s="48"/>
      <c r="G455" s="47"/>
      <c r="J455" s="61"/>
      <c r="K455" s="61"/>
      <c r="L455" s="30"/>
      <c r="N455" s="97"/>
      <c r="O455" s="48"/>
      <c r="P455" s="47"/>
      <c r="Q455" s="24"/>
    </row>
    <row r="456" spans="1:17" ht="12.5">
      <c r="A456" s="101"/>
      <c r="B456" s="24"/>
      <c r="C456" s="99"/>
      <c r="E456" s="47"/>
      <c r="F456" s="48"/>
      <c r="G456" s="47"/>
      <c r="J456" s="61"/>
      <c r="K456" s="61"/>
      <c r="L456" s="30"/>
      <c r="N456" s="97"/>
      <c r="O456" s="48"/>
      <c r="P456" s="47"/>
      <c r="Q456" s="24"/>
    </row>
    <row r="457" spans="1:17" ht="12.5">
      <c r="A457" s="101"/>
      <c r="B457" s="24"/>
      <c r="C457" s="99"/>
      <c r="E457" s="47"/>
      <c r="F457" s="48"/>
      <c r="G457" s="47"/>
      <c r="J457" s="61"/>
      <c r="K457" s="61"/>
      <c r="L457" s="30"/>
      <c r="N457" s="97"/>
      <c r="O457" s="48"/>
      <c r="P457" s="47"/>
      <c r="Q457" s="24"/>
    </row>
    <row r="458" spans="1:17" ht="12.5">
      <c r="A458" s="101"/>
      <c r="B458" s="24"/>
      <c r="C458" s="99"/>
      <c r="E458" s="47"/>
      <c r="F458" s="48"/>
      <c r="G458" s="47"/>
      <c r="J458" s="61"/>
      <c r="K458" s="61"/>
      <c r="L458" s="30"/>
      <c r="N458" s="97"/>
      <c r="O458" s="48"/>
      <c r="P458" s="47"/>
      <c r="Q458" s="24"/>
    </row>
    <row r="459" spans="1:17" ht="12.5">
      <c r="A459" s="101"/>
      <c r="B459" s="24"/>
      <c r="C459" s="99"/>
      <c r="E459" s="47"/>
      <c r="F459" s="48"/>
      <c r="G459" s="47"/>
      <c r="J459" s="61"/>
      <c r="K459" s="61"/>
      <c r="L459" s="30"/>
      <c r="N459" s="97"/>
      <c r="O459" s="48"/>
      <c r="P459" s="47"/>
      <c r="Q459" s="24"/>
    </row>
    <row r="460" spans="1:17" ht="12.5">
      <c r="A460" s="101"/>
      <c r="B460" s="24"/>
      <c r="C460" s="99"/>
      <c r="E460" s="47"/>
      <c r="F460" s="48"/>
      <c r="G460" s="47"/>
      <c r="J460" s="61"/>
      <c r="K460" s="61"/>
      <c r="L460" s="30"/>
      <c r="N460" s="97"/>
      <c r="O460" s="48"/>
      <c r="P460" s="47"/>
      <c r="Q460" s="24"/>
    </row>
    <row r="461" spans="1:17" ht="12.5">
      <c r="A461" s="101"/>
      <c r="B461" s="24"/>
      <c r="C461" s="99"/>
      <c r="E461" s="47"/>
      <c r="F461" s="48"/>
      <c r="G461" s="47"/>
      <c r="J461" s="61"/>
      <c r="K461" s="61"/>
      <c r="L461" s="30"/>
      <c r="N461" s="97"/>
      <c r="O461" s="48"/>
      <c r="P461" s="47"/>
      <c r="Q461" s="24"/>
    </row>
    <row r="462" spans="1:17" ht="12.5">
      <c r="A462" s="101"/>
      <c r="B462" s="24"/>
      <c r="C462" s="99"/>
      <c r="E462" s="47"/>
      <c r="F462" s="48"/>
      <c r="G462" s="47"/>
      <c r="J462" s="61"/>
      <c r="K462" s="61"/>
      <c r="L462" s="30"/>
      <c r="N462" s="97"/>
      <c r="O462" s="48"/>
      <c r="P462" s="47"/>
      <c r="Q462" s="24"/>
    </row>
    <row r="463" spans="1:17" ht="12.5">
      <c r="A463" s="101"/>
      <c r="B463" s="24"/>
      <c r="C463" s="99"/>
      <c r="E463" s="47"/>
      <c r="F463" s="48"/>
      <c r="G463" s="47"/>
      <c r="J463" s="61"/>
      <c r="K463" s="61"/>
      <c r="L463" s="30"/>
      <c r="N463" s="97"/>
      <c r="O463" s="48"/>
      <c r="P463" s="47"/>
      <c r="Q463" s="24"/>
    </row>
    <row r="464" spans="1:17" ht="12.5">
      <c r="A464" s="101"/>
      <c r="B464" s="24"/>
      <c r="C464" s="99"/>
      <c r="E464" s="47"/>
      <c r="F464" s="48"/>
      <c r="G464" s="47"/>
      <c r="J464" s="61"/>
      <c r="K464" s="61"/>
      <c r="L464" s="30"/>
      <c r="N464" s="97"/>
      <c r="O464" s="48"/>
      <c r="P464" s="47"/>
      <c r="Q464" s="24"/>
    </row>
    <row r="465" spans="1:17" ht="12.5">
      <c r="A465" s="101"/>
      <c r="B465" s="24"/>
      <c r="C465" s="99"/>
      <c r="E465" s="47"/>
      <c r="F465" s="48"/>
      <c r="G465" s="47"/>
      <c r="J465" s="61"/>
      <c r="K465" s="61"/>
      <c r="L465" s="30"/>
      <c r="N465" s="97"/>
      <c r="O465" s="48"/>
      <c r="P465" s="47"/>
      <c r="Q465" s="24"/>
    </row>
    <row r="466" spans="1:17" ht="12.5">
      <c r="A466" s="101"/>
      <c r="B466" s="24"/>
      <c r="C466" s="99"/>
      <c r="E466" s="47"/>
      <c r="F466" s="48"/>
      <c r="G466" s="47"/>
      <c r="J466" s="61"/>
      <c r="K466" s="61"/>
      <c r="L466" s="30"/>
      <c r="N466" s="97"/>
      <c r="O466" s="48"/>
      <c r="P466" s="47"/>
      <c r="Q466" s="24"/>
    </row>
    <row r="467" spans="1:17" ht="12.5">
      <c r="A467" s="101"/>
      <c r="B467" s="24"/>
      <c r="C467" s="99"/>
      <c r="E467" s="47"/>
      <c r="F467" s="48"/>
      <c r="G467" s="47"/>
      <c r="J467" s="61"/>
      <c r="K467" s="61"/>
      <c r="L467" s="30"/>
      <c r="N467" s="97"/>
      <c r="O467" s="48"/>
      <c r="P467" s="47"/>
      <c r="Q467" s="24"/>
    </row>
    <row r="468" spans="1:17" ht="12.5">
      <c r="A468" s="101"/>
      <c r="B468" s="24"/>
      <c r="C468" s="99"/>
      <c r="E468" s="47"/>
      <c r="F468" s="48"/>
      <c r="G468" s="47"/>
      <c r="J468" s="61"/>
      <c r="K468" s="61"/>
      <c r="L468" s="30"/>
      <c r="N468" s="97"/>
      <c r="O468" s="48"/>
      <c r="P468" s="47"/>
      <c r="Q468" s="24"/>
    </row>
    <row r="469" spans="1:17" ht="12.5">
      <c r="A469" s="101"/>
      <c r="B469" s="24"/>
      <c r="C469" s="99"/>
      <c r="E469" s="47"/>
      <c r="F469" s="48"/>
      <c r="G469" s="47"/>
      <c r="J469" s="61"/>
      <c r="K469" s="61"/>
      <c r="L469" s="30"/>
      <c r="N469" s="97"/>
      <c r="O469" s="48"/>
      <c r="P469" s="47"/>
      <c r="Q469" s="24"/>
    </row>
    <row r="470" spans="1:17" ht="12.5">
      <c r="A470" s="101"/>
      <c r="B470" s="24"/>
      <c r="C470" s="99"/>
      <c r="E470" s="47"/>
      <c r="F470" s="48"/>
      <c r="G470" s="47"/>
      <c r="J470" s="61"/>
      <c r="K470" s="61"/>
      <c r="L470" s="30"/>
      <c r="N470" s="97"/>
      <c r="O470" s="48"/>
      <c r="P470" s="47"/>
      <c r="Q470" s="24"/>
    </row>
    <row r="471" spans="1:17" ht="12.5">
      <c r="A471" s="101"/>
      <c r="B471" s="24"/>
      <c r="C471" s="99"/>
      <c r="E471" s="47"/>
      <c r="F471" s="48"/>
      <c r="G471" s="47"/>
      <c r="J471" s="61"/>
      <c r="K471" s="61"/>
      <c r="L471" s="30"/>
      <c r="N471" s="97"/>
      <c r="O471" s="48"/>
      <c r="P471" s="47"/>
      <c r="Q471" s="24"/>
    </row>
    <row r="472" spans="1:17" ht="12.5">
      <c r="A472" s="101"/>
      <c r="B472" s="24"/>
      <c r="C472" s="99"/>
      <c r="E472" s="47"/>
      <c r="F472" s="48"/>
      <c r="G472" s="47"/>
      <c r="J472" s="61"/>
      <c r="K472" s="61"/>
      <c r="L472" s="30"/>
      <c r="N472" s="97"/>
      <c r="O472" s="48"/>
      <c r="P472" s="47"/>
      <c r="Q472" s="24"/>
    </row>
    <row r="473" spans="1:17" ht="12.5">
      <c r="A473" s="101"/>
      <c r="B473" s="24"/>
      <c r="C473" s="99"/>
      <c r="E473" s="47"/>
      <c r="F473" s="48"/>
      <c r="G473" s="47"/>
      <c r="J473" s="61"/>
      <c r="K473" s="61"/>
      <c r="L473" s="30"/>
      <c r="N473" s="97"/>
      <c r="O473" s="48"/>
      <c r="P473" s="47"/>
      <c r="Q473" s="24"/>
    </row>
    <row r="474" spans="1:17" ht="12.5">
      <c r="A474" s="101"/>
      <c r="B474" s="24"/>
      <c r="C474" s="99"/>
      <c r="E474" s="47"/>
      <c r="F474" s="48"/>
      <c r="G474" s="47"/>
      <c r="J474" s="61"/>
      <c r="K474" s="61"/>
      <c r="L474" s="30"/>
      <c r="N474" s="97"/>
      <c r="O474" s="48"/>
      <c r="P474" s="47"/>
      <c r="Q474" s="24"/>
    </row>
    <row r="475" spans="1:17" ht="12.5">
      <c r="A475" s="101"/>
      <c r="B475" s="24"/>
      <c r="C475" s="99"/>
      <c r="E475" s="47"/>
      <c r="F475" s="48"/>
      <c r="G475" s="47"/>
      <c r="J475" s="61"/>
      <c r="K475" s="61"/>
      <c r="L475" s="30"/>
      <c r="N475" s="97"/>
      <c r="O475" s="48"/>
      <c r="P475" s="47"/>
      <c r="Q475" s="24"/>
    </row>
    <row r="476" spans="1:17" ht="12.5">
      <c r="A476" s="101"/>
      <c r="B476" s="24"/>
      <c r="C476" s="99"/>
      <c r="E476" s="47"/>
      <c r="F476" s="48"/>
      <c r="G476" s="47"/>
      <c r="J476" s="61"/>
      <c r="K476" s="61"/>
      <c r="L476" s="30"/>
      <c r="N476" s="97"/>
      <c r="O476" s="48"/>
      <c r="P476" s="47"/>
      <c r="Q476" s="24"/>
    </row>
    <row r="477" spans="1:17" ht="12.5">
      <c r="A477" s="101"/>
      <c r="B477" s="24"/>
      <c r="C477" s="99"/>
      <c r="E477" s="47"/>
      <c r="F477" s="48"/>
      <c r="G477" s="47"/>
      <c r="J477" s="61"/>
      <c r="K477" s="61"/>
      <c r="L477" s="30"/>
      <c r="N477" s="97"/>
      <c r="O477" s="48"/>
      <c r="P477" s="47"/>
      <c r="Q477" s="24"/>
    </row>
    <row r="478" spans="1:17" ht="12.5">
      <c r="A478" s="101"/>
      <c r="B478" s="24"/>
      <c r="C478" s="99"/>
      <c r="E478" s="47"/>
      <c r="F478" s="48"/>
      <c r="G478" s="47"/>
      <c r="J478" s="61"/>
      <c r="K478" s="61"/>
      <c r="L478" s="30"/>
      <c r="N478" s="97"/>
      <c r="O478" s="48"/>
      <c r="P478" s="47"/>
      <c r="Q478" s="24"/>
    </row>
    <row r="479" spans="1:17" ht="12.5">
      <c r="A479" s="101"/>
      <c r="B479" s="24"/>
      <c r="C479" s="99"/>
      <c r="E479" s="47"/>
      <c r="F479" s="48"/>
      <c r="G479" s="47"/>
      <c r="J479" s="61"/>
      <c r="K479" s="61"/>
      <c r="L479" s="30"/>
      <c r="N479" s="97"/>
      <c r="O479" s="48"/>
      <c r="P479" s="47"/>
      <c r="Q479" s="24"/>
    </row>
    <row r="480" spans="1:17" ht="12.5">
      <c r="A480" s="101"/>
      <c r="B480" s="24"/>
      <c r="C480" s="99"/>
      <c r="E480" s="47"/>
      <c r="F480" s="48"/>
      <c r="G480" s="47"/>
      <c r="J480" s="61"/>
      <c r="K480" s="61"/>
      <c r="L480" s="30"/>
      <c r="N480" s="97"/>
      <c r="O480" s="48"/>
      <c r="P480" s="47"/>
      <c r="Q480" s="24"/>
    </row>
    <row r="481" spans="1:17" ht="12.5">
      <c r="A481" s="101"/>
      <c r="B481" s="24"/>
      <c r="C481" s="99"/>
      <c r="E481" s="47"/>
      <c r="F481" s="48"/>
      <c r="G481" s="47"/>
      <c r="J481" s="61"/>
      <c r="K481" s="61"/>
      <c r="L481" s="30"/>
      <c r="N481" s="97"/>
      <c r="O481" s="48"/>
      <c r="P481" s="47"/>
      <c r="Q481" s="24"/>
    </row>
    <row r="482" spans="1:17" ht="12.5">
      <c r="A482" s="101"/>
      <c r="B482" s="24"/>
      <c r="C482" s="99"/>
      <c r="E482" s="47"/>
      <c r="F482" s="48"/>
      <c r="G482" s="47"/>
      <c r="J482" s="61"/>
      <c r="K482" s="61"/>
      <c r="L482" s="30"/>
      <c r="N482" s="97"/>
      <c r="O482" s="48"/>
      <c r="P482" s="47"/>
      <c r="Q482" s="24"/>
    </row>
    <row r="483" spans="1:17" ht="12.5">
      <c r="A483" s="101"/>
      <c r="B483" s="24"/>
      <c r="C483" s="99"/>
      <c r="E483" s="47"/>
      <c r="F483" s="48"/>
      <c r="G483" s="47"/>
      <c r="J483" s="61"/>
      <c r="K483" s="61"/>
      <c r="L483" s="30"/>
      <c r="N483" s="97"/>
      <c r="O483" s="48"/>
      <c r="P483" s="47"/>
      <c r="Q483" s="24"/>
    </row>
    <row r="484" spans="1:17" ht="12.5">
      <c r="A484" s="101"/>
      <c r="B484" s="24"/>
      <c r="C484" s="99"/>
      <c r="E484" s="47"/>
      <c r="F484" s="48"/>
      <c r="G484" s="47"/>
      <c r="J484" s="61"/>
      <c r="K484" s="61"/>
      <c r="L484" s="30"/>
      <c r="N484" s="97"/>
      <c r="O484" s="48"/>
      <c r="P484" s="47"/>
      <c r="Q484" s="24"/>
    </row>
    <row r="485" spans="1:17" ht="12.5">
      <c r="A485" s="101"/>
      <c r="B485" s="24"/>
      <c r="C485" s="99"/>
      <c r="E485" s="47"/>
      <c r="F485" s="48"/>
      <c r="G485" s="47"/>
      <c r="J485" s="61"/>
      <c r="K485" s="61"/>
      <c r="L485" s="30"/>
      <c r="N485" s="97"/>
      <c r="O485" s="48"/>
      <c r="P485" s="47"/>
      <c r="Q485" s="24"/>
    </row>
    <row r="486" spans="1:17" ht="12.5">
      <c r="A486" s="101"/>
      <c r="B486" s="24"/>
      <c r="C486" s="99"/>
      <c r="E486" s="47"/>
      <c r="F486" s="48"/>
      <c r="G486" s="47"/>
      <c r="J486" s="61"/>
      <c r="K486" s="61"/>
      <c r="L486" s="30"/>
      <c r="N486" s="97"/>
      <c r="O486" s="48"/>
      <c r="P486" s="47"/>
      <c r="Q486" s="24"/>
    </row>
    <row r="487" spans="1:17" ht="12.5">
      <c r="A487" s="101"/>
      <c r="B487" s="24"/>
      <c r="C487" s="99"/>
      <c r="E487" s="47"/>
      <c r="F487" s="48"/>
      <c r="G487" s="47"/>
      <c r="J487" s="61"/>
      <c r="K487" s="61"/>
      <c r="L487" s="30"/>
      <c r="N487" s="97"/>
      <c r="O487" s="48"/>
      <c r="P487" s="47"/>
      <c r="Q487" s="24"/>
    </row>
    <row r="488" spans="1:17" ht="12.5">
      <c r="A488" s="101"/>
      <c r="B488" s="24"/>
      <c r="C488" s="99"/>
      <c r="E488" s="47"/>
      <c r="F488" s="48"/>
      <c r="G488" s="47"/>
      <c r="J488" s="61"/>
      <c r="K488" s="61"/>
      <c r="L488" s="30"/>
      <c r="N488" s="97"/>
      <c r="O488" s="48"/>
      <c r="P488" s="47"/>
      <c r="Q488" s="24"/>
    </row>
    <row r="489" spans="1:17" ht="12.5">
      <c r="A489" s="101"/>
      <c r="B489" s="24"/>
      <c r="C489" s="99"/>
      <c r="E489" s="47"/>
      <c r="F489" s="48"/>
      <c r="G489" s="47"/>
      <c r="J489" s="61"/>
      <c r="K489" s="61"/>
      <c r="L489" s="30"/>
      <c r="N489" s="97"/>
      <c r="O489" s="48"/>
      <c r="P489" s="47"/>
      <c r="Q489" s="24"/>
    </row>
    <row r="490" spans="1:17" ht="12.5">
      <c r="A490" s="101"/>
      <c r="B490" s="24"/>
      <c r="C490" s="99"/>
      <c r="E490" s="47"/>
      <c r="F490" s="48"/>
      <c r="G490" s="47"/>
      <c r="J490" s="61"/>
      <c r="K490" s="61"/>
      <c r="L490" s="30"/>
      <c r="N490" s="97"/>
      <c r="O490" s="48"/>
      <c r="P490" s="47"/>
      <c r="Q490" s="24"/>
    </row>
    <row r="491" spans="1:17" ht="12.5">
      <c r="A491" s="101"/>
      <c r="B491" s="24"/>
      <c r="C491" s="99"/>
      <c r="E491" s="47"/>
      <c r="F491" s="48"/>
      <c r="G491" s="47"/>
      <c r="J491" s="61"/>
      <c r="K491" s="61"/>
      <c r="L491" s="30"/>
      <c r="N491" s="97"/>
      <c r="O491" s="48"/>
      <c r="P491" s="47"/>
      <c r="Q491" s="24"/>
    </row>
    <row r="492" spans="1:17" ht="12.5">
      <c r="A492" s="101"/>
      <c r="B492" s="24"/>
      <c r="C492" s="99"/>
      <c r="E492" s="47"/>
      <c r="F492" s="48"/>
      <c r="G492" s="47"/>
      <c r="J492" s="61"/>
      <c r="K492" s="61"/>
      <c r="L492" s="30"/>
      <c r="N492" s="97"/>
      <c r="O492" s="48"/>
      <c r="P492" s="47"/>
      <c r="Q492" s="24"/>
    </row>
    <row r="493" spans="1:17" ht="12.5">
      <c r="A493" s="101"/>
      <c r="B493" s="24"/>
      <c r="C493" s="99"/>
      <c r="E493" s="47"/>
      <c r="F493" s="48"/>
      <c r="G493" s="47"/>
      <c r="J493" s="61"/>
      <c r="K493" s="61"/>
      <c r="L493" s="30"/>
      <c r="N493" s="97"/>
      <c r="O493" s="48"/>
      <c r="P493" s="47"/>
      <c r="Q493" s="24"/>
    </row>
    <row r="494" spans="1:17" ht="12.5">
      <c r="A494" s="101"/>
      <c r="B494" s="24"/>
      <c r="C494" s="99"/>
      <c r="E494" s="47"/>
      <c r="F494" s="48"/>
      <c r="G494" s="47"/>
      <c r="J494" s="61"/>
      <c r="K494" s="61"/>
      <c r="L494" s="30"/>
      <c r="N494" s="97"/>
      <c r="O494" s="48"/>
      <c r="P494" s="47"/>
      <c r="Q494" s="24"/>
    </row>
    <row r="495" spans="1:17" ht="12.5">
      <c r="A495" s="101"/>
      <c r="B495" s="24"/>
      <c r="C495" s="99"/>
      <c r="E495" s="47"/>
      <c r="F495" s="48"/>
      <c r="G495" s="47"/>
      <c r="J495" s="61"/>
      <c r="K495" s="61"/>
      <c r="L495" s="30"/>
      <c r="N495" s="97"/>
      <c r="O495" s="48"/>
      <c r="P495" s="47"/>
      <c r="Q495" s="24"/>
    </row>
    <row r="496" spans="1:17" ht="12.5">
      <c r="A496" s="101"/>
      <c r="B496" s="24"/>
      <c r="C496" s="99"/>
      <c r="E496" s="47"/>
      <c r="F496" s="48"/>
      <c r="G496" s="47"/>
      <c r="J496" s="61"/>
      <c r="K496" s="61"/>
      <c r="L496" s="30"/>
      <c r="N496" s="97"/>
      <c r="O496" s="48"/>
      <c r="P496" s="47"/>
      <c r="Q496" s="24"/>
    </row>
    <row r="497" spans="1:17" ht="12.5">
      <c r="A497" s="101"/>
      <c r="B497" s="24"/>
      <c r="C497" s="99"/>
      <c r="E497" s="47"/>
      <c r="F497" s="48"/>
      <c r="G497" s="47"/>
      <c r="J497" s="61"/>
      <c r="K497" s="61"/>
      <c r="L497" s="30"/>
      <c r="N497" s="97"/>
      <c r="O497" s="48"/>
      <c r="P497" s="47"/>
      <c r="Q497" s="24"/>
    </row>
    <row r="498" spans="1:17" ht="12.5">
      <c r="A498" s="101"/>
      <c r="B498" s="24"/>
      <c r="C498" s="99"/>
      <c r="E498" s="47"/>
      <c r="F498" s="48"/>
      <c r="G498" s="47"/>
      <c r="J498" s="61"/>
      <c r="K498" s="61"/>
      <c r="L498" s="30"/>
      <c r="N498" s="97"/>
      <c r="O498" s="48"/>
      <c r="P498" s="47"/>
      <c r="Q498" s="24"/>
    </row>
    <row r="499" spans="1:17" ht="12.5">
      <c r="A499" s="101"/>
      <c r="B499" s="24"/>
      <c r="C499" s="99"/>
      <c r="E499" s="47"/>
      <c r="F499" s="48"/>
      <c r="G499" s="47"/>
      <c r="J499" s="61"/>
      <c r="K499" s="61"/>
      <c r="L499" s="30"/>
      <c r="N499" s="97"/>
      <c r="O499" s="48"/>
      <c r="P499" s="47"/>
      <c r="Q499" s="24"/>
    </row>
    <row r="500" spans="1:17" ht="12.5">
      <c r="A500" s="101"/>
      <c r="B500" s="24"/>
      <c r="C500" s="99"/>
      <c r="E500" s="47"/>
      <c r="F500" s="48"/>
      <c r="G500" s="47"/>
      <c r="J500" s="61"/>
      <c r="K500" s="61"/>
      <c r="L500" s="30"/>
      <c r="N500" s="97"/>
      <c r="O500" s="48"/>
      <c r="P500" s="47"/>
      <c r="Q500" s="24"/>
    </row>
    <row r="501" spans="1:17" ht="12.5">
      <c r="A501" s="101"/>
      <c r="B501" s="24"/>
      <c r="C501" s="99"/>
      <c r="E501" s="47"/>
      <c r="F501" s="48"/>
      <c r="G501" s="47"/>
      <c r="J501" s="61"/>
      <c r="K501" s="61"/>
      <c r="L501" s="30"/>
      <c r="N501" s="97"/>
      <c r="O501" s="48"/>
      <c r="P501" s="47"/>
      <c r="Q501" s="24"/>
    </row>
    <row r="502" spans="1:17" ht="12.5">
      <c r="A502" s="101"/>
      <c r="B502" s="24"/>
      <c r="C502" s="99"/>
      <c r="E502" s="47"/>
      <c r="F502" s="48"/>
      <c r="G502" s="47"/>
      <c r="J502" s="61"/>
      <c r="K502" s="61"/>
      <c r="L502" s="30"/>
      <c r="N502" s="97"/>
      <c r="O502" s="48"/>
      <c r="P502" s="47"/>
      <c r="Q502" s="24"/>
    </row>
    <row r="503" spans="1:17" ht="12.5">
      <c r="A503" s="101"/>
      <c r="B503" s="24"/>
      <c r="C503" s="99"/>
      <c r="E503" s="47"/>
      <c r="F503" s="48"/>
      <c r="G503" s="47"/>
      <c r="J503" s="61"/>
      <c r="K503" s="61"/>
      <c r="L503" s="30"/>
      <c r="N503" s="97"/>
      <c r="O503" s="48"/>
      <c r="P503" s="47"/>
      <c r="Q503" s="24"/>
    </row>
    <row r="504" spans="1:17" ht="12.5">
      <c r="A504" s="101"/>
      <c r="B504" s="24"/>
      <c r="C504" s="99"/>
      <c r="E504" s="47"/>
      <c r="F504" s="48"/>
      <c r="G504" s="47"/>
      <c r="J504" s="61"/>
      <c r="K504" s="61"/>
      <c r="L504" s="30"/>
      <c r="N504" s="97"/>
      <c r="O504" s="48"/>
      <c r="P504" s="47"/>
      <c r="Q504" s="24"/>
    </row>
    <row r="505" spans="1:17" ht="12.5">
      <c r="A505" s="101"/>
      <c r="B505" s="24"/>
      <c r="C505" s="99"/>
      <c r="E505" s="47"/>
      <c r="F505" s="48"/>
      <c r="G505" s="47"/>
      <c r="J505" s="61"/>
      <c r="K505" s="61"/>
      <c r="L505" s="30"/>
      <c r="N505" s="97"/>
      <c r="O505" s="48"/>
      <c r="P505" s="47"/>
      <c r="Q505" s="24"/>
    </row>
    <row r="506" spans="1:17" ht="12.5">
      <c r="A506" s="101"/>
      <c r="B506" s="24"/>
      <c r="C506" s="99"/>
      <c r="E506" s="47"/>
      <c r="F506" s="48"/>
      <c r="G506" s="47"/>
      <c r="J506" s="61"/>
      <c r="K506" s="61"/>
      <c r="L506" s="30"/>
      <c r="N506" s="97"/>
      <c r="O506" s="48"/>
      <c r="P506" s="47"/>
      <c r="Q506" s="24"/>
    </row>
    <row r="507" spans="1:17" ht="12.5">
      <c r="A507" s="101"/>
      <c r="B507" s="24"/>
      <c r="C507" s="99"/>
      <c r="E507" s="47"/>
      <c r="F507" s="48"/>
      <c r="G507" s="47"/>
      <c r="J507" s="61"/>
      <c r="K507" s="61"/>
      <c r="L507" s="30"/>
      <c r="N507" s="97"/>
      <c r="O507" s="48"/>
      <c r="P507" s="47"/>
      <c r="Q507" s="24"/>
    </row>
    <row r="508" spans="1:17" ht="12.5">
      <c r="A508" s="101"/>
      <c r="B508" s="24"/>
      <c r="C508" s="99"/>
      <c r="E508" s="47"/>
      <c r="F508" s="48"/>
      <c r="G508" s="47"/>
      <c r="J508" s="61"/>
      <c r="K508" s="61"/>
      <c r="L508" s="30"/>
      <c r="N508" s="97"/>
      <c r="O508" s="48"/>
      <c r="P508" s="47"/>
      <c r="Q508" s="24"/>
    </row>
    <row r="509" spans="1:17" ht="12.5">
      <c r="A509" s="101"/>
      <c r="B509" s="24"/>
      <c r="C509" s="99"/>
      <c r="E509" s="47"/>
      <c r="F509" s="48"/>
      <c r="G509" s="47"/>
      <c r="J509" s="61"/>
      <c r="K509" s="61"/>
      <c r="L509" s="30"/>
      <c r="N509" s="97"/>
      <c r="O509" s="48"/>
      <c r="P509" s="47"/>
      <c r="Q509" s="24"/>
    </row>
    <row r="510" spans="1:17" ht="12.5">
      <c r="A510" s="101"/>
      <c r="B510" s="24"/>
      <c r="C510" s="99"/>
      <c r="E510" s="47"/>
      <c r="F510" s="48"/>
      <c r="G510" s="47"/>
      <c r="J510" s="61"/>
      <c r="K510" s="61"/>
      <c r="L510" s="30"/>
      <c r="N510" s="97"/>
      <c r="O510" s="48"/>
      <c r="P510" s="47"/>
      <c r="Q510" s="24"/>
    </row>
    <row r="511" spans="1:17" ht="12.5">
      <c r="A511" s="101"/>
      <c r="B511" s="24"/>
      <c r="C511" s="99"/>
      <c r="E511" s="47"/>
      <c r="F511" s="48"/>
      <c r="G511" s="47"/>
      <c r="J511" s="61"/>
      <c r="K511" s="61"/>
      <c r="L511" s="30"/>
      <c r="N511" s="97"/>
      <c r="O511" s="48"/>
      <c r="P511" s="47"/>
      <c r="Q511" s="24"/>
    </row>
    <row r="512" spans="1:17" ht="12.5">
      <c r="A512" s="101"/>
      <c r="B512" s="24"/>
      <c r="C512" s="99"/>
      <c r="E512" s="47"/>
      <c r="F512" s="48"/>
      <c r="G512" s="47"/>
      <c r="J512" s="61"/>
      <c r="K512" s="61"/>
      <c r="L512" s="30"/>
      <c r="N512" s="97"/>
      <c r="O512" s="48"/>
      <c r="P512" s="47"/>
      <c r="Q512" s="24"/>
    </row>
    <row r="513" spans="1:17" ht="12.5">
      <c r="A513" s="101"/>
      <c r="B513" s="24"/>
      <c r="C513" s="99"/>
      <c r="E513" s="47"/>
      <c r="F513" s="48"/>
      <c r="G513" s="47"/>
      <c r="J513" s="61"/>
      <c r="K513" s="61"/>
      <c r="L513" s="30"/>
      <c r="N513" s="97"/>
      <c r="O513" s="48"/>
      <c r="P513" s="47"/>
      <c r="Q513" s="24"/>
    </row>
    <row r="514" spans="1:17" ht="12.5">
      <c r="A514" s="101"/>
      <c r="B514" s="24"/>
      <c r="C514" s="99"/>
      <c r="E514" s="47"/>
      <c r="F514" s="48"/>
      <c r="G514" s="47"/>
      <c r="J514" s="61"/>
      <c r="K514" s="61"/>
      <c r="L514" s="30"/>
      <c r="N514" s="97"/>
      <c r="O514" s="48"/>
      <c r="P514" s="47"/>
      <c r="Q514" s="24"/>
    </row>
    <row r="515" spans="1:17" ht="12.5">
      <c r="A515" s="101"/>
      <c r="B515" s="24"/>
      <c r="C515" s="99"/>
      <c r="E515" s="47"/>
      <c r="F515" s="48"/>
      <c r="G515" s="47"/>
      <c r="J515" s="61"/>
      <c r="K515" s="61"/>
      <c r="L515" s="30"/>
      <c r="N515" s="97"/>
      <c r="O515" s="48"/>
      <c r="P515" s="47"/>
      <c r="Q515" s="24"/>
    </row>
    <row r="516" spans="1:17" ht="12.5">
      <c r="A516" s="101"/>
      <c r="B516" s="24"/>
      <c r="C516" s="99"/>
      <c r="E516" s="47"/>
      <c r="F516" s="48"/>
      <c r="G516" s="47"/>
      <c r="J516" s="61"/>
      <c r="K516" s="61"/>
      <c r="L516" s="30"/>
      <c r="N516" s="97"/>
      <c r="O516" s="48"/>
      <c r="P516" s="47"/>
      <c r="Q516" s="24"/>
    </row>
    <row r="517" spans="1:17" ht="12.5">
      <c r="A517" s="101"/>
      <c r="B517" s="24"/>
      <c r="C517" s="99"/>
      <c r="E517" s="47"/>
      <c r="F517" s="48"/>
      <c r="G517" s="47"/>
      <c r="J517" s="61"/>
      <c r="K517" s="61"/>
      <c r="L517" s="30"/>
      <c r="N517" s="97"/>
      <c r="O517" s="48"/>
      <c r="P517" s="47"/>
      <c r="Q517" s="24"/>
    </row>
    <row r="518" spans="1:17" ht="12.5">
      <c r="A518" s="101"/>
      <c r="B518" s="24"/>
      <c r="C518" s="99"/>
      <c r="E518" s="47"/>
      <c r="F518" s="48"/>
      <c r="G518" s="47"/>
      <c r="J518" s="61"/>
      <c r="K518" s="61"/>
      <c r="L518" s="30"/>
      <c r="N518" s="97"/>
      <c r="O518" s="48"/>
      <c r="P518" s="47"/>
      <c r="Q518" s="24"/>
    </row>
    <row r="519" spans="1:17" ht="12.5">
      <c r="A519" s="101"/>
      <c r="B519" s="24"/>
      <c r="C519" s="99"/>
      <c r="E519" s="47"/>
      <c r="F519" s="48"/>
      <c r="G519" s="47"/>
      <c r="J519" s="61"/>
      <c r="K519" s="61"/>
      <c r="L519" s="30"/>
      <c r="N519" s="97"/>
      <c r="O519" s="48"/>
      <c r="P519" s="47"/>
      <c r="Q519" s="24"/>
    </row>
    <row r="520" spans="1:17" ht="12.5">
      <c r="A520" s="101"/>
      <c r="B520" s="24"/>
      <c r="C520" s="99"/>
      <c r="E520" s="47"/>
      <c r="F520" s="48"/>
      <c r="G520" s="47"/>
      <c r="J520" s="61"/>
      <c r="K520" s="61"/>
      <c r="L520" s="30"/>
      <c r="N520" s="97"/>
      <c r="O520" s="48"/>
      <c r="P520" s="47"/>
      <c r="Q520" s="24"/>
    </row>
    <row r="521" spans="1:17" ht="12.5">
      <c r="A521" s="101"/>
      <c r="B521" s="24"/>
      <c r="C521" s="99"/>
      <c r="E521" s="47"/>
      <c r="F521" s="48"/>
      <c r="G521" s="47"/>
      <c r="J521" s="61"/>
      <c r="K521" s="61"/>
      <c r="L521" s="30"/>
      <c r="N521" s="97"/>
      <c r="O521" s="48"/>
      <c r="P521" s="47"/>
      <c r="Q521" s="24"/>
    </row>
    <row r="522" spans="1:17" ht="12.5">
      <c r="A522" s="101"/>
      <c r="B522" s="24"/>
      <c r="C522" s="99"/>
      <c r="E522" s="47"/>
      <c r="F522" s="48"/>
      <c r="G522" s="47"/>
      <c r="J522" s="61"/>
      <c r="K522" s="61"/>
      <c r="L522" s="30"/>
      <c r="N522" s="97"/>
      <c r="O522" s="48"/>
      <c r="P522" s="47"/>
      <c r="Q522" s="24"/>
    </row>
    <row r="523" spans="1:17" ht="12.5">
      <c r="A523" s="101"/>
      <c r="B523" s="24"/>
      <c r="C523" s="99"/>
      <c r="E523" s="47"/>
      <c r="F523" s="48"/>
      <c r="G523" s="47"/>
      <c r="J523" s="61"/>
      <c r="K523" s="61"/>
      <c r="L523" s="30"/>
      <c r="N523" s="97"/>
      <c r="O523" s="48"/>
      <c r="P523" s="47"/>
      <c r="Q523" s="24"/>
    </row>
    <row r="524" spans="1:17" ht="12.5">
      <c r="A524" s="101"/>
      <c r="B524" s="24"/>
      <c r="C524" s="99"/>
      <c r="E524" s="47"/>
      <c r="F524" s="48"/>
      <c r="G524" s="47"/>
      <c r="J524" s="61"/>
      <c r="K524" s="61"/>
      <c r="L524" s="30"/>
      <c r="N524" s="97"/>
      <c r="O524" s="48"/>
      <c r="P524" s="47"/>
      <c r="Q524" s="24"/>
    </row>
    <row r="525" spans="1:17" ht="12.5">
      <c r="A525" s="101"/>
      <c r="B525" s="24"/>
      <c r="C525" s="99"/>
      <c r="E525" s="47"/>
      <c r="F525" s="48"/>
      <c r="G525" s="47"/>
      <c r="J525" s="61"/>
      <c r="K525" s="61"/>
      <c r="L525" s="30"/>
      <c r="N525" s="97"/>
      <c r="O525" s="48"/>
      <c r="P525" s="47"/>
      <c r="Q525" s="24"/>
    </row>
    <row r="526" spans="1:17" ht="12.5">
      <c r="A526" s="101"/>
      <c r="B526" s="24"/>
      <c r="C526" s="99"/>
      <c r="E526" s="47"/>
      <c r="F526" s="48"/>
      <c r="G526" s="47"/>
      <c r="J526" s="61"/>
      <c r="K526" s="61"/>
      <c r="L526" s="30"/>
      <c r="N526" s="97"/>
      <c r="O526" s="48"/>
      <c r="P526" s="47"/>
      <c r="Q526" s="24"/>
    </row>
    <row r="527" spans="1:17" ht="12.5">
      <c r="A527" s="101"/>
      <c r="B527" s="24"/>
      <c r="C527" s="99"/>
      <c r="E527" s="47"/>
      <c r="F527" s="48"/>
      <c r="G527" s="47"/>
      <c r="J527" s="61"/>
      <c r="K527" s="61"/>
      <c r="L527" s="30"/>
      <c r="N527" s="97"/>
      <c r="O527" s="48"/>
      <c r="P527" s="47"/>
      <c r="Q527" s="24"/>
    </row>
    <row r="528" spans="1:17" ht="12.5">
      <c r="A528" s="101"/>
      <c r="B528" s="24"/>
      <c r="C528" s="99"/>
      <c r="E528" s="47"/>
      <c r="F528" s="48"/>
      <c r="G528" s="47"/>
      <c r="J528" s="61"/>
      <c r="K528" s="61"/>
      <c r="L528" s="30"/>
      <c r="N528" s="97"/>
      <c r="O528" s="48"/>
      <c r="P528" s="47"/>
      <c r="Q528" s="24"/>
    </row>
    <row r="529" spans="1:17" ht="12.5">
      <c r="A529" s="101"/>
      <c r="B529" s="24"/>
      <c r="C529" s="99"/>
      <c r="E529" s="47"/>
      <c r="F529" s="48"/>
      <c r="G529" s="47"/>
      <c r="J529" s="61"/>
      <c r="K529" s="61"/>
      <c r="L529" s="30"/>
      <c r="N529" s="97"/>
      <c r="O529" s="48"/>
      <c r="P529" s="47"/>
      <c r="Q529" s="24"/>
    </row>
    <row r="530" spans="1:17" ht="12.5">
      <c r="A530" s="101"/>
      <c r="B530" s="24"/>
      <c r="C530" s="99"/>
      <c r="E530" s="47"/>
      <c r="F530" s="48"/>
      <c r="G530" s="47"/>
      <c r="J530" s="61"/>
      <c r="K530" s="61"/>
      <c r="L530" s="30"/>
      <c r="N530" s="97"/>
      <c r="O530" s="48"/>
      <c r="P530" s="47"/>
      <c r="Q530" s="24"/>
    </row>
    <row r="531" spans="1:17" ht="12.5">
      <c r="A531" s="101"/>
      <c r="B531" s="24"/>
      <c r="C531" s="99"/>
      <c r="E531" s="47"/>
      <c r="F531" s="48"/>
      <c r="G531" s="47"/>
      <c r="J531" s="61"/>
      <c r="K531" s="61"/>
      <c r="L531" s="30"/>
      <c r="N531" s="97"/>
      <c r="O531" s="48"/>
      <c r="P531" s="47"/>
      <c r="Q531" s="24"/>
    </row>
    <row r="532" spans="1:17" ht="12.5">
      <c r="A532" s="101"/>
      <c r="B532" s="24"/>
      <c r="C532" s="99"/>
      <c r="E532" s="47"/>
      <c r="F532" s="48"/>
      <c r="G532" s="47"/>
      <c r="J532" s="61"/>
      <c r="K532" s="61"/>
      <c r="L532" s="30"/>
      <c r="N532" s="97"/>
      <c r="O532" s="48"/>
      <c r="P532" s="47"/>
      <c r="Q532" s="24"/>
    </row>
    <row r="533" spans="1:17" ht="12.5">
      <c r="A533" s="101"/>
      <c r="B533" s="24"/>
      <c r="C533" s="99"/>
      <c r="E533" s="47"/>
      <c r="F533" s="48"/>
      <c r="G533" s="47"/>
      <c r="J533" s="61"/>
      <c r="K533" s="61"/>
      <c r="L533" s="30"/>
      <c r="N533" s="97"/>
      <c r="O533" s="48"/>
      <c r="P533" s="47"/>
      <c r="Q533" s="24"/>
    </row>
    <row r="534" spans="1:17" ht="12.5">
      <c r="A534" s="101"/>
      <c r="B534" s="24"/>
      <c r="C534" s="99"/>
      <c r="E534" s="47"/>
      <c r="F534" s="48"/>
      <c r="G534" s="47"/>
      <c r="J534" s="61"/>
      <c r="K534" s="61"/>
      <c r="L534" s="30"/>
      <c r="N534" s="97"/>
      <c r="O534" s="48"/>
      <c r="P534" s="47"/>
      <c r="Q534" s="24"/>
    </row>
    <row r="535" spans="1:17" ht="12.5">
      <c r="A535" s="101"/>
      <c r="B535" s="24"/>
      <c r="C535" s="99"/>
      <c r="E535" s="47"/>
      <c r="F535" s="48"/>
      <c r="G535" s="47"/>
      <c r="J535" s="61"/>
      <c r="K535" s="61"/>
      <c r="L535" s="30"/>
      <c r="N535" s="97"/>
      <c r="O535" s="48"/>
      <c r="P535" s="47"/>
      <c r="Q535" s="24"/>
    </row>
    <row r="536" spans="1:17" ht="12.5">
      <c r="A536" s="101"/>
      <c r="B536" s="24"/>
      <c r="C536" s="99"/>
      <c r="E536" s="47"/>
      <c r="F536" s="48"/>
      <c r="G536" s="47"/>
      <c r="J536" s="61"/>
      <c r="K536" s="61"/>
      <c r="L536" s="30"/>
      <c r="N536" s="97"/>
      <c r="O536" s="48"/>
      <c r="P536" s="47"/>
      <c r="Q536" s="24"/>
    </row>
    <row r="537" spans="1:17" ht="12.5">
      <c r="A537" s="101"/>
      <c r="B537" s="24"/>
      <c r="C537" s="99"/>
      <c r="E537" s="47"/>
      <c r="F537" s="48"/>
      <c r="G537" s="47"/>
      <c r="J537" s="61"/>
      <c r="K537" s="61"/>
      <c r="L537" s="30"/>
      <c r="N537" s="97"/>
      <c r="O537" s="48"/>
      <c r="P537" s="47"/>
      <c r="Q537" s="24"/>
    </row>
    <row r="538" spans="1:17" ht="12.5">
      <c r="A538" s="101"/>
      <c r="B538" s="24"/>
      <c r="C538" s="99"/>
      <c r="E538" s="47"/>
      <c r="F538" s="48"/>
      <c r="G538" s="47"/>
      <c r="J538" s="61"/>
      <c r="K538" s="61"/>
      <c r="L538" s="30"/>
      <c r="N538" s="97"/>
      <c r="O538" s="48"/>
      <c r="P538" s="47"/>
      <c r="Q538" s="24"/>
    </row>
    <row r="539" spans="1:17" ht="12.5">
      <c r="A539" s="101"/>
      <c r="B539" s="24"/>
      <c r="C539" s="99"/>
      <c r="E539" s="47"/>
      <c r="F539" s="48"/>
      <c r="G539" s="47"/>
      <c r="J539" s="61"/>
      <c r="K539" s="61"/>
      <c r="L539" s="30"/>
      <c r="N539" s="97"/>
      <c r="O539" s="48"/>
      <c r="P539" s="47"/>
      <c r="Q539" s="24"/>
    </row>
    <row r="540" spans="1:17" ht="12.5">
      <c r="A540" s="101"/>
      <c r="B540" s="24"/>
      <c r="C540" s="99"/>
      <c r="E540" s="47"/>
      <c r="F540" s="48"/>
      <c r="G540" s="47"/>
      <c r="J540" s="61"/>
      <c r="K540" s="61"/>
      <c r="L540" s="30"/>
      <c r="N540" s="97"/>
      <c r="O540" s="48"/>
      <c r="P540" s="47"/>
      <c r="Q540" s="24"/>
    </row>
    <row r="541" spans="1:17" ht="12.5">
      <c r="A541" s="101"/>
      <c r="B541" s="24"/>
      <c r="C541" s="99"/>
      <c r="E541" s="47"/>
      <c r="F541" s="48"/>
      <c r="G541" s="47"/>
      <c r="J541" s="61"/>
      <c r="K541" s="61"/>
      <c r="L541" s="30"/>
      <c r="N541" s="97"/>
      <c r="O541" s="48"/>
      <c r="P541" s="47"/>
      <c r="Q541" s="24"/>
    </row>
    <row r="542" spans="1:17" ht="12.5">
      <c r="A542" s="101"/>
      <c r="B542" s="24"/>
      <c r="C542" s="99"/>
      <c r="E542" s="47"/>
      <c r="F542" s="48"/>
      <c r="G542" s="47"/>
      <c r="J542" s="61"/>
      <c r="K542" s="61"/>
      <c r="L542" s="30"/>
      <c r="N542" s="97"/>
      <c r="O542" s="48"/>
      <c r="P542" s="47"/>
      <c r="Q542" s="24"/>
    </row>
    <row r="543" spans="1:17" ht="12.5">
      <c r="A543" s="101"/>
      <c r="B543" s="24"/>
      <c r="C543" s="99"/>
      <c r="E543" s="47"/>
      <c r="F543" s="48"/>
      <c r="G543" s="47"/>
      <c r="J543" s="61"/>
      <c r="K543" s="61"/>
      <c r="L543" s="30"/>
      <c r="N543" s="97"/>
      <c r="O543" s="48"/>
      <c r="P543" s="47"/>
      <c r="Q543" s="24"/>
    </row>
    <row r="544" spans="1:17" ht="12.5">
      <c r="A544" s="101"/>
      <c r="B544" s="24"/>
      <c r="C544" s="99"/>
      <c r="E544" s="47"/>
      <c r="F544" s="48"/>
      <c r="G544" s="47"/>
      <c r="J544" s="61"/>
      <c r="K544" s="61"/>
      <c r="L544" s="30"/>
      <c r="N544" s="97"/>
      <c r="O544" s="48"/>
      <c r="P544" s="47"/>
      <c r="Q544" s="24"/>
    </row>
    <row r="545" spans="1:17" ht="12.5">
      <c r="A545" s="101"/>
      <c r="B545" s="24"/>
      <c r="C545" s="99"/>
      <c r="E545" s="47"/>
      <c r="F545" s="48"/>
      <c r="G545" s="47"/>
      <c r="J545" s="61"/>
      <c r="K545" s="61"/>
      <c r="L545" s="30"/>
      <c r="N545" s="97"/>
      <c r="O545" s="48"/>
      <c r="P545" s="47"/>
      <c r="Q545" s="24"/>
    </row>
    <row r="546" spans="1:17" ht="12.5">
      <c r="A546" s="101"/>
      <c r="B546" s="24"/>
      <c r="C546" s="99"/>
      <c r="E546" s="47"/>
      <c r="F546" s="48"/>
      <c r="G546" s="47"/>
      <c r="J546" s="61"/>
      <c r="K546" s="61"/>
      <c r="L546" s="30"/>
      <c r="N546" s="97"/>
      <c r="O546" s="48"/>
      <c r="P546" s="47"/>
      <c r="Q546" s="24"/>
    </row>
    <row r="547" spans="1:17" ht="12.5">
      <c r="A547" s="101"/>
      <c r="B547" s="24"/>
      <c r="C547" s="99"/>
      <c r="E547" s="47"/>
      <c r="F547" s="48"/>
      <c r="G547" s="47"/>
      <c r="J547" s="61"/>
      <c r="K547" s="61"/>
      <c r="L547" s="30"/>
      <c r="N547" s="97"/>
      <c r="O547" s="48"/>
      <c r="P547" s="47"/>
      <c r="Q547" s="24"/>
    </row>
    <row r="548" spans="1:17" ht="12.5">
      <c r="A548" s="101"/>
      <c r="B548" s="24"/>
      <c r="C548" s="99"/>
      <c r="E548" s="47"/>
      <c r="F548" s="48"/>
      <c r="G548" s="47"/>
      <c r="J548" s="61"/>
      <c r="K548" s="61"/>
      <c r="L548" s="30"/>
      <c r="N548" s="97"/>
      <c r="O548" s="48"/>
      <c r="P548" s="47"/>
      <c r="Q548" s="24"/>
    </row>
    <row r="549" spans="1:17" ht="12.5">
      <c r="A549" s="101"/>
      <c r="B549" s="24"/>
      <c r="C549" s="99"/>
      <c r="E549" s="47"/>
      <c r="F549" s="48"/>
      <c r="G549" s="47"/>
      <c r="J549" s="61"/>
      <c r="K549" s="61"/>
      <c r="L549" s="30"/>
      <c r="N549" s="97"/>
      <c r="O549" s="48"/>
      <c r="P549" s="47"/>
      <c r="Q549" s="24"/>
    </row>
    <row r="550" spans="1:17" ht="12.5">
      <c r="A550" s="101"/>
      <c r="B550" s="24"/>
      <c r="C550" s="99"/>
      <c r="E550" s="47"/>
      <c r="F550" s="48"/>
      <c r="G550" s="47"/>
      <c r="J550" s="61"/>
      <c r="K550" s="61"/>
      <c r="L550" s="30"/>
      <c r="N550" s="97"/>
      <c r="O550" s="48"/>
      <c r="P550" s="47"/>
      <c r="Q550" s="24"/>
    </row>
    <row r="551" spans="1:17" ht="12.5">
      <c r="A551" s="101"/>
      <c r="B551" s="24"/>
      <c r="C551" s="99"/>
      <c r="E551" s="47"/>
      <c r="F551" s="48"/>
      <c r="G551" s="47"/>
      <c r="J551" s="61"/>
      <c r="K551" s="61"/>
      <c r="L551" s="30"/>
      <c r="N551" s="97"/>
      <c r="O551" s="48"/>
      <c r="P551" s="47"/>
      <c r="Q551" s="24"/>
    </row>
    <row r="552" spans="1:17" ht="12.5">
      <c r="A552" s="101"/>
      <c r="B552" s="24"/>
      <c r="C552" s="99"/>
      <c r="E552" s="47"/>
      <c r="F552" s="48"/>
      <c r="G552" s="47"/>
      <c r="J552" s="61"/>
      <c r="K552" s="61"/>
      <c r="L552" s="30"/>
      <c r="N552" s="97"/>
      <c r="O552" s="48"/>
      <c r="P552" s="47"/>
      <c r="Q552" s="24"/>
    </row>
    <row r="553" spans="1:17" ht="12.5">
      <c r="A553" s="101"/>
      <c r="B553" s="24"/>
      <c r="C553" s="99"/>
      <c r="E553" s="47"/>
      <c r="F553" s="48"/>
      <c r="G553" s="47"/>
      <c r="J553" s="61"/>
      <c r="K553" s="61"/>
      <c r="L553" s="30"/>
      <c r="N553" s="97"/>
      <c r="O553" s="48"/>
      <c r="P553" s="47"/>
      <c r="Q553" s="24"/>
    </row>
    <row r="554" spans="1:17" ht="12.5">
      <c r="A554" s="101"/>
      <c r="B554" s="24"/>
      <c r="C554" s="99"/>
      <c r="E554" s="47"/>
      <c r="F554" s="48"/>
      <c r="G554" s="47"/>
      <c r="J554" s="61"/>
      <c r="K554" s="61"/>
      <c r="L554" s="30"/>
      <c r="N554" s="97"/>
      <c r="O554" s="48"/>
      <c r="P554" s="47"/>
      <c r="Q554" s="24"/>
    </row>
    <row r="555" spans="1:17" ht="12.5">
      <c r="A555" s="101"/>
      <c r="B555" s="24"/>
      <c r="C555" s="99"/>
      <c r="E555" s="47"/>
      <c r="F555" s="48"/>
      <c r="G555" s="47"/>
      <c r="J555" s="61"/>
      <c r="K555" s="61"/>
      <c r="L555" s="30"/>
      <c r="N555" s="97"/>
      <c r="O555" s="48"/>
      <c r="P555" s="47"/>
      <c r="Q555" s="24"/>
    </row>
    <row r="556" spans="1:17" ht="12.5">
      <c r="A556" s="101"/>
      <c r="B556" s="24"/>
      <c r="C556" s="99"/>
      <c r="E556" s="47"/>
      <c r="F556" s="48"/>
      <c r="G556" s="47"/>
      <c r="J556" s="61"/>
      <c r="K556" s="61"/>
      <c r="L556" s="30"/>
      <c r="N556" s="97"/>
      <c r="O556" s="48"/>
      <c r="P556" s="47"/>
      <c r="Q556" s="24"/>
    </row>
    <row r="557" spans="1:17" ht="12.5">
      <c r="A557" s="101"/>
      <c r="B557" s="24"/>
      <c r="C557" s="99"/>
      <c r="E557" s="47"/>
      <c r="F557" s="48"/>
      <c r="G557" s="47"/>
      <c r="J557" s="61"/>
      <c r="K557" s="61"/>
      <c r="L557" s="30"/>
      <c r="N557" s="97"/>
      <c r="O557" s="48"/>
      <c r="P557" s="47"/>
      <c r="Q557" s="24"/>
    </row>
    <row r="558" spans="1:17" ht="12.5">
      <c r="A558" s="101"/>
      <c r="B558" s="24"/>
      <c r="C558" s="99"/>
      <c r="E558" s="47"/>
      <c r="F558" s="48"/>
      <c r="G558" s="47"/>
      <c r="J558" s="61"/>
      <c r="K558" s="61"/>
      <c r="L558" s="30"/>
      <c r="N558" s="97"/>
      <c r="O558" s="48"/>
      <c r="P558" s="47"/>
      <c r="Q558" s="24"/>
    </row>
    <row r="559" spans="1:17" ht="12.5">
      <c r="A559" s="101"/>
      <c r="B559" s="24"/>
      <c r="C559" s="99"/>
      <c r="E559" s="47"/>
      <c r="F559" s="48"/>
      <c r="G559" s="47"/>
      <c r="J559" s="61"/>
      <c r="K559" s="61"/>
      <c r="L559" s="30"/>
      <c r="N559" s="97"/>
      <c r="O559" s="48"/>
      <c r="P559" s="47"/>
      <c r="Q559" s="24"/>
    </row>
    <row r="560" spans="1:17" ht="12.5">
      <c r="A560" s="101"/>
      <c r="B560" s="24"/>
      <c r="C560" s="99"/>
      <c r="E560" s="47"/>
      <c r="F560" s="48"/>
      <c r="G560" s="47"/>
      <c r="J560" s="61"/>
      <c r="K560" s="61"/>
      <c r="L560" s="30"/>
      <c r="N560" s="97"/>
      <c r="O560" s="48"/>
      <c r="P560" s="47"/>
      <c r="Q560" s="24"/>
    </row>
    <row r="561" spans="1:17" ht="12.5">
      <c r="A561" s="101"/>
      <c r="B561" s="24"/>
      <c r="C561" s="99"/>
      <c r="E561" s="47"/>
      <c r="F561" s="48"/>
      <c r="G561" s="47"/>
      <c r="J561" s="61"/>
      <c r="K561" s="61"/>
      <c r="L561" s="30"/>
      <c r="N561" s="97"/>
      <c r="O561" s="48"/>
      <c r="P561" s="47"/>
      <c r="Q561" s="24"/>
    </row>
    <row r="562" spans="1:17" ht="12.5">
      <c r="A562" s="101"/>
      <c r="B562" s="24"/>
      <c r="C562" s="99"/>
      <c r="E562" s="47"/>
      <c r="F562" s="48"/>
      <c r="G562" s="47"/>
      <c r="J562" s="61"/>
      <c r="K562" s="61"/>
      <c r="L562" s="30"/>
      <c r="N562" s="97"/>
      <c r="O562" s="48"/>
      <c r="P562" s="47"/>
      <c r="Q562" s="24"/>
    </row>
    <row r="563" spans="1:17" ht="12.5">
      <c r="A563" s="101"/>
      <c r="B563" s="24"/>
      <c r="C563" s="99"/>
      <c r="E563" s="47"/>
      <c r="F563" s="48"/>
      <c r="G563" s="47"/>
      <c r="J563" s="61"/>
      <c r="K563" s="61"/>
      <c r="L563" s="30"/>
      <c r="N563" s="97"/>
      <c r="O563" s="48"/>
      <c r="P563" s="47"/>
      <c r="Q563" s="24"/>
    </row>
    <row r="564" spans="1:17" ht="12.5">
      <c r="A564" s="101"/>
      <c r="B564" s="24"/>
      <c r="C564" s="99"/>
      <c r="E564" s="47"/>
      <c r="F564" s="48"/>
      <c r="G564" s="47"/>
      <c r="J564" s="61"/>
      <c r="K564" s="61"/>
      <c r="L564" s="30"/>
      <c r="N564" s="97"/>
      <c r="O564" s="48"/>
      <c r="P564" s="47"/>
      <c r="Q564" s="24"/>
    </row>
    <row r="565" spans="1:17" ht="12.5">
      <c r="A565" s="101"/>
      <c r="B565" s="24"/>
      <c r="C565" s="99"/>
      <c r="E565" s="47"/>
      <c r="F565" s="48"/>
      <c r="G565" s="47"/>
      <c r="J565" s="61"/>
      <c r="K565" s="61"/>
      <c r="L565" s="30"/>
      <c r="N565" s="97"/>
      <c r="O565" s="48"/>
      <c r="P565" s="47"/>
      <c r="Q565" s="24"/>
    </row>
    <row r="566" spans="1:17" ht="12.5">
      <c r="A566" s="101"/>
      <c r="B566" s="24"/>
      <c r="C566" s="99"/>
      <c r="E566" s="47"/>
      <c r="F566" s="48"/>
      <c r="G566" s="47"/>
      <c r="J566" s="61"/>
      <c r="K566" s="61"/>
      <c r="L566" s="30"/>
      <c r="N566" s="97"/>
      <c r="O566" s="48"/>
      <c r="P566" s="47"/>
      <c r="Q566" s="24"/>
    </row>
    <row r="567" spans="1:17" ht="12.5">
      <c r="A567" s="101"/>
      <c r="B567" s="24"/>
      <c r="C567" s="99"/>
      <c r="E567" s="47"/>
      <c r="F567" s="48"/>
      <c r="G567" s="47"/>
      <c r="J567" s="61"/>
      <c r="K567" s="61"/>
      <c r="L567" s="30"/>
      <c r="N567" s="97"/>
      <c r="O567" s="48"/>
      <c r="P567" s="47"/>
      <c r="Q567" s="24"/>
    </row>
    <row r="568" spans="1:17" ht="12.5">
      <c r="A568" s="101"/>
      <c r="B568" s="24"/>
      <c r="C568" s="99"/>
      <c r="E568" s="47"/>
      <c r="F568" s="48"/>
      <c r="G568" s="47"/>
      <c r="J568" s="61"/>
      <c r="K568" s="61"/>
      <c r="L568" s="30"/>
      <c r="N568" s="97"/>
      <c r="O568" s="48"/>
      <c r="P568" s="47"/>
      <c r="Q568" s="24"/>
    </row>
    <row r="569" spans="1:17" ht="12.5">
      <c r="A569" s="101"/>
      <c r="B569" s="24"/>
      <c r="C569" s="99"/>
      <c r="E569" s="47"/>
      <c r="F569" s="48"/>
      <c r="G569" s="47"/>
      <c r="J569" s="61"/>
      <c r="K569" s="61"/>
      <c r="L569" s="30"/>
      <c r="N569" s="97"/>
      <c r="O569" s="48"/>
      <c r="P569" s="47"/>
      <c r="Q569" s="24"/>
    </row>
    <row r="570" spans="1:17" ht="12.5">
      <c r="A570" s="101"/>
      <c r="B570" s="24"/>
      <c r="C570" s="99"/>
      <c r="E570" s="47"/>
      <c r="F570" s="48"/>
      <c r="G570" s="47"/>
      <c r="J570" s="61"/>
      <c r="K570" s="61"/>
      <c r="L570" s="30"/>
      <c r="N570" s="97"/>
      <c r="O570" s="48"/>
      <c r="P570" s="47"/>
      <c r="Q570" s="24"/>
    </row>
    <row r="571" spans="1:17" ht="12.5">
      <c r="A571" s="101"/>
      <c r="B571" s="24"/>
      <c r="C571" s="99"/>
      <c r="E571" s="47"/>
      <c r="F571" s="48"/>
      <c r="G571" s="47"/>
      <c r="J571" s="61"/>
      <c r="K571" s="61"/>
      <c r="L571" s="30"/>
      <c r="N571" s="97"/>
      <c r="O571" s="48"/>
      <c r="P571" s="47"/>
      <c r="Q571" s="24"/>
    </row>
    <row r="572" spans="1:17" ht="12.5">
      <c r="A572" s="101"/>
      <c r="B572" s="24"/>
      <c r="C572" s="99"/>
      <c r="E572" s="47"/>
      <c r="F572" s="48"/>
      <c r="G572" s="47"/>
      <c r="J572" s="61"/>
      <c r="K572" s="61"/>
      <c r="L572" s="30"/>
      <c r="N572" s="97"/>
      <c r="O572" s="48"/>
      <c r="P572" s="47"/>
      <c r="Q572" s="24"/>
    </row>
    <row r="573" spans="1:17" ht="12.5">
      <c r="A573" s="101"/>
      <c r="B573" s="24"/>
      <c r="C573" s="99"/>
      <c r="E573" s="47"/>
      <c r="F573" s="48"/>
      <c r="G573" s="47"/>
      <c r="J573" s="61"/>
      <c r="K573" s="61"/>
      <c r="L573" s="30"/>
      <c r="N573" s="97"/>
      <c r="O573" s="48"/>
      <c r="P573" s="47"/>
      <c r="Q573" s="24"/>
    </row>
    <row r="574" spans="1:17" ht="12.5">
      <c r="A574" s="101"/>
      <c r="B574" s="24"/>
      <c r="C574" s="99"/>
      <c r="E574" s="47"/>
      <c r="F574" s="48"/>
      <c r="G574" s="47"/>
      <c r="J574" s="61"/>
      <c r="K574" s="61"/>
      <c r="L574" s="30"/>
      <c r="N574" s="97"/>
      <c r="O574" s="48"/>
      <c r="P574" s="47"/>
      <c r="Q574" s="24"/>
    </row>
    <row r="575" spans="1:17" ht="12.5">
      <c r="A575" s="101"/>
      <c r="B575" s="24"/>
      <c r="C575" s="99"/>
      <c r="E575" s="47"/>
      <c r="F575" s="48"/>
      <c r="G575" s="47"/>
      <c r="J575" s="61"/>
      <c r="K575" s="61"/>
      <c r="L575" s="30"/>
      <c r="N575" s="97"/>
      <c r="O575" s="48"/>
      <c r="P575" s="47"/>
      <c r="Q575" s="24"/>
    </row>
    <row r="576" spans="1:17" ht="12.5">
      <c r="A576" s="101"/>
      <c r="B576" s="24"/>
      <c r="C576" s="99"/>
      <c r="E576" s="47"/>
      <c r="F576" s="48"/>
      <c r="G576" s="47"/>
      <c r="J576" s="61"/>
      <c r="K576" s="61"/>
      <c r="L576" s="30"/>
      <c r="N576" s="97"/>
      <c r="O576" s="48"/>
      <c r="P576" s="47"/>
      <c r="Q576" s="24"/>
    </row>
    <row r="577" spans="1:17" ht="12.5">
      <c r="A577" s="101"/>
      <c r="B577" s="24"/>
      <c r="C577" s="99"/>
      <c r="E577" s="47"/>
      <c r="F577" s="48"/>
      <c r="G577" s="47"/>
      <c r="J577" s="61"/>
      <c r="K577" s="61"/>
      <c r="L577" s="30"/>
      <c r="N577" s="97"/>
      <c r="O577" s="48"/>
      <c r="P577" s="47"/>
      <c r="Q577" s="24"/>
    </row>
    <row r="578" spans="1:17" ht="12.5">
      <c r="A578" s="101"/>
      <c r="B578" s="24"/>
      <c r="C578" s="99"/>
      <c r="E578" s="47"/>
      <c r="F578" s="48"/>
      <c r="G578" s="47"/>
      <c r="J578" s="61"/>
      <c r="K578" s="61"/>
      <c r="L578" s="30"/>
      <c r="N578" s="97"/>
      <c r="O578" s="48"/>
      <c r="P578" s="47"/>
      <c r="Q578" s="24"/>
    </row>
    <row r="579" spans="1:17" ht="12.5">
      <c r="A579" s="101"/>
      <c r="B579" s="24"/>
      <c r="C579" s="99"/>
      <c r="E579" s="47"/>
      <c r="F579" s="48"/>
      <c r="G579" s="47"/>
      <c r="J579" s="61"/>
      <c r="K579" s="61"/>
      <c r="L579" s="30"/>
      <c r="N579" s="97"/>
      <c r="O579" s="48"/>
      <c r="P579" s="47"/>
      <c r="Q579" s="24"/>
    </row>
    <row r="580" spans="1:17" ht="12.5">
      <c r="A580" s="101"/>
      <c r="B580" s="24"/>
      <c r="C580" s="99"/>
      <c r="E580" s="47"/>
      <c r="F580" s="48"/>
      <c r="G580" s="47"/>
      <c r="J580" s="61"/>
      <c r="K580" s="61"/>
      <c r="L580" s="30"/>
      <c r="N580" s="97"/>
      <c r="O580" s="48"/>
      <c r="P580" s="47"/>
      <c r="Q580" s="24"/>
    </row>
    <row r="581" spans="1:17" ht="12.5">
      <c r="A581" s="101"/>
      <c r="B581" s="24"/>
      <c r="C581" s="99"/>
      <c r="E581" s="47"/>
      <c r="F581" s="48"/>
      <c r="G581" s="47"/>
      <c r="J581" s="61"/>
      <c r="K581" s="61"/>
      <c r="L581" s="30"/>
      <c r="N581" s="97"/>
      <c r="O581" s="48"/>
      <c r="P581" s="47"/>
      <c r="Q581" s="24"/>
    </row>
    <row r="582" spans="1:17" ht="12.5">
      <c r="A582" s="101"/>
      <c r="B582" s="24"/>
      <c r="C582" s="99"/>
      <c r="E582" s="47"/>
      <c r="F582" s="48"/>
      <c r="G582" s="47"/>
      <c r="J582" s="61"/>
      <c r="K582" s="61"/>
      <c r="L582" s="30"/>
      <c r="N582" s="97"/>
      <c r="O582" s="48"/>
      <c r="P582" s="47"/>
      <c r="Q582" s="24"/>
    </row>
    <row r="583" spans="1:17" ht="12.5">
      <c r="A583" s="101"/>
      <c r="B583" s="24"/>
      <c r="C583" s="99"/>
      <c r="E583" s="47"/>
      <c r="F583" s="48"/>
      <c r="G583" s="47"/>
      <c r="J583" s="61"/>
      <c r="K583" s="61"/>
      <c r="L583" s="30"/>
      <c r="N583" s="97"/>
      <c r="O583" s="48"/>
      <c r="P583" s="47"/>
      <c r="Q583" s="24"/>
    </row>
    <row r="584" spans="1:17" ht="12.5">
      <c r="A584" s="101"/>
      <c r="B584" s="24"/>
      <c r="C584" s="99"/>
      <c r="E584" s="47"/>
      <c r="F584" s="48"/>
      <c r="G584" s="47"/>
      <c r="J584" s="61"/>
      <c r="K584" s="61"/>
      <c r="L584" s="30"/>
      <c r="N584" s="97"/>
      <c r="O584" s="48"/>
      <c r="P584" s="47"/>
      <c r="Q584" s="24"/>
    </row>
    <row r="585" spans="1:17" ht="12.5">
      <c r="A585" s="101"/>
      <c r="B585" s="24"/>
      <c r="C585" s="99"/>
      <c r="E585" s="47"/>
      <c r="F585" s="48"/>
      <c r="G585" s="47"/>
      <c r="J585" s="61"/>
      <c r="K585" s="61"/>
      <c r="L585" s="30"/>
      <c r="N585" s="97"/>
      <c r="O585" s="48"/>
      <c r="P585" s="47"/>
      <c r="Q585" s="24"/>
    </row>
    <row r="586" spans="1:17" ht="12.5">
      <c r="A586" s="101"/>
      <c r="B586" s="24"/>
      <c r="C586" s="99"/>
      <c r="E586" s="47"/>
      <c r="F586" s="48"/>
      <c r="G586" s="47"/>
      <c r="J586" s="61"/>
      <c r="K586" s="61"/>
      <c r="L586" s="30"/>
      <c r="N586" s="97"/>
      <c r="O586" s="48"/>
      <c r="P586" s="47"/>
      <c r="Q586" s="24"/>
    </row>
    <row r="587" spans="1:17" ht="12.5">
      <c r="A587" s="101"/>
      <c r="B587" s="24"/>
      <c r="C587" s="99"/>
      <c r="E587" s="47"/>
      <c r="F587" s="48"/>
      <c r="G587" s="47"/>
      <c r="J587" s="61"/>
      <c r="K587" s="61"/>
      <c r="L587" s="30"/>
      <c r="N587" s="97"/>
      <c r="O587" s="48"/>
      <c r="P587" s="47"/>
      <c r="Q587" s="24"/>
    </row>
    <row r="588" spans="1:17" ht="12.5">
      <c r="A588" s="101"/>
      <c r="B588" s="24"/>
      <c r="C588" s="99"/>
      <c r="E588" s="47"/>
      <c r="F588" s="48"/>
      <c r="G588" s="47"/>
      <c r="J588" s="61"/>
      <c r="K588" s="61"/>
      <c r="L588" s="30"/>
      <c r="N588" s="97"/>
      <c r="O588" s="48"/>
      <c r="P588" s="47"/>
      <c r="Q588" s="24"/>
    </row>
    <row r="589" spans="1:17" ht="12.5">
      <c r="A589" s="101"/>
      <c r="B589" s="24"/>
      <c r="C589" s="99"/>
      <c r="E589" s="47"/>
      <c r="F589" s="48"/>
      <c r="G589" s="47"/>
      <c r="J589" s="61"/>
      <c r="K589" s="61"/>
      <c r="L589" s="30"/>
      <c r="N589" s="97"/>
      <c r="O589" s="48"/>
      <c r="P589" s="47"/>
      <c r="Q589" s="24"/>
    </row>
    <row r="590" spans="1:17" ht="12.5">
      <c r="A590" s="101"/>
      <c r="B590" s="24"/>
      <c r="C590" s="99"/>
      <c r="E590" s="47"/>
      <c r="F590" s="48"/>
      <c r="G590" s="47"/>
      <c r="J590" s="61"/>
      <c r="K590" s="61"/>
      <c r="L590" s="30"/>
      <c r="N590" s="97"/>
      <c r="O590" s="48"/>
      <c r="P590" s="47"/>
      <c r="Q590" s="24"/>
    </row>
    <row r="591" spans="1:17" ht="12.5">
      <c r="A591" s="101"/>
      <c r="B591" s="24"/>
      <c r="C591" s="99"/>
      <c r="E591" s="47"/>
      <c r="F591" s="48"/>
      <c r="G591" s="47"/>
      <c r="J591" s="61"/>
      <c r="K591" s="61"/>
      <c r="L591" s="30"/>
      <c r="N591" s="97"/>
      <c r="O591" s="48"/>
      <c r="P591" s="47"/>
      <c r="Q591" s="24"/>
    </row>
    <row r="592" spans="1:17" ht="12.5">
      <c r="A592" s="101"/>
      <c r="B592" s="24"/>
      <c r="C592" s="99"/>
      <c r="E592" s="47"/>
      <c r="F592" s="48"/>
      <c r="G592" s="47"/>
      <c r="J592" s="61"/>
      <c r="K592" s="61"/>
      <c r="L592" s="30"/>
      <c r="N592" s="97"/>
      <c r="O592" s="48"/>
      <c r="P592" s="47"/>
      <c r="Q592" s="24"/>
    </row>
    <row r="593" spans="1:17" ht="12.5">
      <c r="A593" s="101"/>
      <c r="B593" s="24"/>
      <c r="C593" s="99"/>
      <c r="E593" s="47"/>
      <c r="F593" s="48"/>
      <c r="G593" s="47"/>
      <c r="J593" s="61"/>
      <c r="K593" s="61"/>
      <c r="L593" s="30"/>
      <c r="N593" s="97"/>
      <c r="O593" s="48"/>
      <c r="P593" s="47"/>
      <c r="Q593" s="24"/>
    </row>
    <row r="594" spans="1:17" ht="12.5">
      <c r="A594" s="101"/>
      <c r="B594" s="24"/>
      <c r="C594" s="99"/>
      <c r="E594" s="47"/>
      <c r="F594" s="48"/>
      <c r="G594" s="47"/>
      <c r="J594" s="61"/>
      <c r="K594" s="61"/>
      <c r="L594" s="30"/>
      <c r="N594" s="97"/>
      <c r="O594" s="48"/>
      <c r="P594" s="47"/>
      <c r="Q594" s="24"/>
    </row>
    <row r="595" spans="1:17" ht="12.5">
      <c r="A595" s="101"/>
      <c r="B595" s="24"/>
      <c r="C595" s="99"/>
      <c r="E595" s="47"/>
      <c r="F595" s="48"/>
      <c r="G595" s="47"/>
      <c r="J595" s="61"/>
      <c r="K595" s="61"/>
      <c r="L595" s="30"/>
      <c r="N595" s="97"/>
      <c r="O595" s="48"/>
      <c r="P595" s="47"/>
      <c r="Q595" s="24"/>
    </row>
    <row r="596" spans="1:17" ht="12.5">
      <c r="A596" s="101"/>
      <c r="B596" s="24"/>
      <c r="C596" s="99"/>
      <c r="E596" s="47"/>
      <c r="F596" s="48"/>
      <c r="G596" s="47"/>
      <c r="J596" s="61"/>
      <c r="K596" s="61"/>
      <c r="L596" s="30"/>
      <c r="N596" s="97"/>
      <c r="O596" s="48"/>
      <c r="P596" s="47"/>
      <c r="Q596" s="24"/>
    </row>
    <row r="597" spans="1:17" ht="12.5">
      <c r="A597" s="101"/>
      <c r="B597" s="24"/>
      <c r="C597" s="99"/>
      <c r="E597" s="47"/>
      <c r="F597" s="48"/>
      <c r="G597" s="47"/>
      <c r="J597" s="61"/>
      <c r="K597" s="61"/>
      <c r="L597" s="30"/>
      <c r="N597" s="97"/>
      <c r="O597" s="48"/>
      <c r="P597" s="47"/>
      <c r="Q597" s="24"/>
    </row>
    <row r="598" spans="1:17" ht="12.5">
      <c r="A598" s="101"/>
      <c r="B598" s="24"/>
      <c r="C598" s="99"/>
      <c r="E598" s="47"/>
      <c r="F598" s="48"/>
      <c r="G598" s="47"/>
      <c r="J598" s="61"/>
      <c r="K598" s="61"/>
      <c r="L598" s="30"/>
      <c r="N598" s="97"/>
      <c r="O598" s="48"/>
      <c r="P598" s="47"/>
      <c r="Q598" s="24"/>
    </row>
    <row r="599" spans="1:17" ht="12.5">
      <c r="A599" s="101"/>
      <c r="B599" s="24"/>
      <c r="C599" s="99"/>
      <c r="E599" s="47"/>
      <c r="F599" s="48"/>
      <c r="G599" s="47"/>
      <c r="J599" s="61"/>
      <c r="K599" s="61"/>
      <c r="L599" s="30"/>
      <c r="N599" s="97"/>
      <c r="O599" s="48"/>
      <c r="P599" s="47"/>
      <c r="Q599" s="24"/>
    </row>
    <row r="600" spans="1:17" ht="12.5">
      <c r="A600" s="101"/>
      <c r="B600" s="24"/>
      <c r="C600" s="99"/>
      <c r="E600" s="47"/>
      <c r="F600" s="48"/>
      <c r="G600" s="47"/>
      <c r="J600" s="61"/>
      <c r="K600" s="61"/>
      <c r="L600" s="30"/>
      <c r="N600" s="97"/>
      <c r="O600" s="48"/>
      <c r="P600" s="47"/>
      <c r="Q600" s="24"/>
    </row>
    <row r="601" spans="1:17" ht="12.5">
      <c r="A601" s="101"/>
      <c r="B601" s="24"/>
      <c r="C601" s="99"/>
      <c r="E601" s="47"/>
      <c r="F601" s="48"/>
      <c r="G601" s="47"/>
      <c r="J601" s="61"/>
      <c r="K601" s="61"/>
      <c r="L601" s="30"/>
      <c r="N601" s="97"/>
      <c r="O601" s="48"/>
      <c r="P601" s="47"/>
      <c r="Q601" s="24"/>
    </row>
    <row r="602" spans="1:17" ht="12.5">
      <c r="A602" s="101"/>
      <c r="B602" s="24"/>
      <c r="C602" s="99"/>
      <c r="E602" s="47"/>
      <c r="F602" s="48"/>
      <c r="G602" s="47"/>
      <c r="J602" s="61"/>
      <c r="K602" s="61"/>
      <c r="L602" s="30"/>
      <c r="N602" s="97"/>
      <c r="O602" s="48"/>
      <c r="P602" s="47"/>
      <c r="Q602" s="24"/>
    </row>
    <row r="603" spans="1:17" ht="12.5">
      <c r="A603" s="101"/>
      <c r="B603" s="24"/>
      <c r="C603" s="99"/>
      <c r="E603" s="47"/>
      <c r="F603" s="48"/>
      <c r="G603" s="47"/>
      <c r="J603" s="61"/>
      <c r="K603" s="61"/>
      <c r="L603" s="30"/>
      <c r="N603" s="97"/>
      <c r="O603" s="48"/>
      <c r="P603" s="47"/>
      <c r="Q603" s="24"/>
    </row>
    <row r="604" spans="1:17" ht="12.5">
      <c r="A604" s="101"/>
      <c r="B604" s="24"/>
      <c r="C604" s="99"/>
      <c r="E604" s="47"/>
      <c r="F604" s="48"/>
      <c r="G604" s="47"/>
      <c r="J604" s="61"/>
      <c r="K604" s="61"/>
      <c r="L604" s="30"/>
      <c r="N604" s="97"/>
      <c r="O604" s="48"/>
      <c r="P604" s="47"/>
      <c r="Q604" s="24"/>
    </row>
    <row r="605" spans="1:17" ht="12.5">
      <c r="A605" s="101"/>
      <c r="B605" s="24"/>
      <c r="C605" s="99"/>
      <c r="E605" s="47"/>
      <c r="F605" s="48"/>
      <c r="G605" s="47"/>
      <c r="J605" s="61"/>
      <c r="K605" s="61"/>
      <c r="L605" s="30"/>
      <c r="N605" s="97"/>
      <c r="O605" s="48"/>
      <c r="P605" s="47"/>
      <c r="Q605" s="24"/>
    </row>
    <row r="606" spans="1:17" ht="12.5">
      <c r="A606" s="101"/>
      <c r="B606" s="24"/>
      <c r="C606" s="99"/>
      <c r="E606" s="47"/>
      <c r="F606" s="48"/>
      <c r="G606" s="47"/>
      <c r="J606" s="61"/>
      <c r="K606" s="61"/>
      <c r="L606" s="30"/>
      <c r="N606" s="97"/>
      <c r="O606" s="48"/>
      <c r="P606" s="47"/>
      <c r="Q606" s="24"/>
    </row>
    <row r="607" spans="1:17" ht="12.5">
      <c r="A607" s="101"/>
      <c r="B607" s="24"/>
      <c r="C607" s="99"/>
      <c r="E607" s="47"/>
      <c r="F607" s="48"/>
      <c r="G607" s="47"/>
      <c r="J607" s="61"/>
      <c r="K607" s="61"/>
      <c r="L607" s="30"/>
      <c r="N607" s="97"/>
      <c r="O607" s="48"/>
      <c r="P607" s="47"/>
      <c r="Q607" s="24"/>
    </row>
    <row r="608" spans="1:17" ht="12.5">
      <c r="A608" s="101"/>
      <c r="B608" s="24"/>
      <c r="C608" s="99"/>
      <c r="E608" s="47"/>
      <c r="F608" s="48"/>
      <c r="G608" s="47"/>
      <c r="J608" s="61"/>
      <c r="K608" s="61"/>
      <c r="L608" s="30"/>
      <c r="N608" s="97"/>
      <c r="O608" s="48"/>
      <c r="P608" s="47"/>
      <c r="Q608" s="24"/>
    </row>
    <row r="609" spans="1:17" ht="12.5">
      <c r="A609" s="101"/>
      <c r="B609" s="24"/>
      <c r="C609" s="99"/>
      <c r="E609" s="47"/>
      <c r="F609" s="48"/>
      <c r="G609" s="47"/>
      <c r="J609" s="61"/>
      <c r="K609" s="61"/>
      <c r="L609" s="30"/>
      <c r="N609" s="97"/>
      <c r="O609" s="48"/>
      <c r="P609" s="47"/>
      <c r="Q609" s="24"/>
    </row>
    <row r="610" spans="1:17" ht="12.5">
      <c r="A610" s="101"/>
      <c r="B610" s="24"/>
      <c r="C610" s="99"/>
      <c r="E610" s="47"/>
      <c r="F610" s="48"/>
      <c r="G610" s="47"/>
      <c r="J610" s="61"/>
      <c r="K610" s="61"/>
      <c r="L610" s="30"/>
      <c r="N610" s="97"/>
      <c r="O610" s="48"/>
      <c r="P610" s="47"/>
      <c r="Q610" s="24"/>
    </row>
    <row r="611" spans="1:17" ht="12.5">
      <c r="A611" s="101"/>
      <c r="B611" s="24"/>
      <c r="C611" s="99"/>
      <c r="E611" s="47"/>
      <c r="F611" s="48"/>
      <c r="G611" s="47"/>
      <c r="J611" s="61"/>
      <c r="K611" s="61"/>
      <c r="L611" s="30"/>
      <c r="N611" s="97"/>
      <c r="O611" s="48"/>
      <c r="P611" s="47"/>
      <c r="Q611" s="24"/>
    </row>
    <row r="612" spans="1:17" ht="12.5">
      <c r="A612" s="101"/>
      <c r="B612" s="24"/>
      <c r="C612" s="99"/>
      <c r="E612" s="47"/>
      <c r="F612" s="48"/>
      <c r="G612" s="47"/>
      <c r="J612" s="61"/>
      <c r="K612" s="61"/>
      <c r="L612" s="30"/>
      <c r="N612" s="97"/>
      <c r="O612" s="48"/>
      <c r="P612" s="47"/>
      <c r="Q612" s="24"/>
    </row>
    <row r="613" spans="1:17" ht="12.5">
      <c r="A613" s="101"/>
      <c r="B613" s="24"/>
      <c r="C613" s="99"/>
      <c r="E613" s="47"/>
      <c r="F613" s="48"/>
      <c r="G613" s="47"/>
      <c r="J613" s="61"/>
      <c r="K613" s="61"/>
      <c r="L613" s="30"/>
      <c r="N613" s="97"/>
      <c r="O613" s="48"/>
      <c r="P613" s="47"/>
      <c r="Q613" s="24"/>
    </row>
    <row r="614" spans="1:17" ht="12.5">
      <c r="A614" s="101"/>
      <c r="B614" s="24"/>
      <c r="C614" s="99"/>
      <c r="E614" s="47"/>
      <c r="F614" s="48"/>
      <c r="G614" s="47"/>
      <c r="J614" s="61"/>
      <c r="K614" s="61"/>
      <c r="L614" s="30"/>
      <c r="N614" s="97"/>
      <c r="O614" s="48"/>
      <c r="P614" s="47"/>
      <c r="Q614" s="24"/>
    </row>
    <row r="615" spans="1:17" ht="12.5">
      <c r="A615" s="101"/>
      <c r="B615" s="24"/>
      <c r="C615" s="99"/>
      <c r="E615" s="47"/>
      <c r="F615" s="48"/>
      <c r="G615" s="47"/>
      <c r="J615" s="61"/>
      <c r="K615" s="61"/>
      <c r="L615" s="30"/>
      <c r="N615" s="97"/>
      <c r="O615" s="48"/>
      <c r="P615" s="47"/>
      <c r="Q615" s="24"/>
    </row>
    <row r="616" spans="1:17" ht="12.5">
      <c r="A616" s="101"/>
      <c r="B616" s="24"/>
      <c r="C616" s="99"/>
      <c r="E616" s="47"/>
      <c r="F616" s="48"/>
      <c r="G616" s="47"/>
      <c r="J616" s="61"/>
      <c r="K616" s="61"/>
      <c r="L616" s="30"/>
      <c r="N616" s="97"/>
      <c r="O616" s="48"/>
      <c r="P616" s="47"/>
      <c r="Q616" s="24"/>
    </row>
    <row r="617" spans="1:17" ht="12.5">
      <c r="A617" s="101"/>
      <c r="B617" s="24"/>
      <c r="C617" s="99"/>
      <c r="E617" s="47"/>
      <c r="F617" s="48"/>
      <c r="G617" s="47"/>
      <c r="J617" s="61"/>
      <c r="K617" s="61"/>
      <c r="L617" s="30"/>
      <c r="N617" s="97"/>
      <c r="O617" s="48"/>
      <c r="P617" s="47"/>
      <c r="Q617" s="24"/>
    </row>
    <row r="618" spans="1:17" ht="12.5">
      <c r="A618" s="101"/>
      <c r="B618" s="24"/>
      <c r="C618" s="99"/>
      <c r="E618" s="47"/>
      <c r="F618" s="48"/>
      <c r="G618" s="47"/>
      <c r="J618" s="61"/>
      <c r="K618" s="61"/>
      <c r="L618" s="30"/>
      <c r="N618" s="97"/>
      <c r="O618" s="48"/>
      <c r="P618" s="47"/>
      <c r="Q618" s="24"/>
    </row>
    <row r="619" spans="1:17" ht="12.5">
      <c r="A619" s="101"/>
      <c r="B619" s="24"/>
      <c r="C619" s="99"/>
      <c r="E619" s="47"/>
      <c r="F619" s="48"/>
      <c r="G619" s="47"/>
      <c r="J619" s="61"/>
      <c r="K619" s="61"/>
      <c r="L619" s="30"/>
      <c r="N619" s="97"/>
      <c r="O619" s="48"/>
      <c r="P619" s="47"/>
      <c r="Q619" s="24"/>
    </row>
    <row r="620" spans="1:17" ht="12.5">
      <c r="A620" s="101"/>
      <c r="B620" s="24"/>
      <c r="C620" s="99"/>
      <c r="E620" s="47"/>
      <c r="F620" s="48"/>
      <c r="G620" s="47"/>
      <c r="J620" s="61"/>
      <c r="K620" s="61"/>
      <c r="L620" s="30"/>
      <c r="N620" s="97"/>
      <c r="O620" s="48"/>
      <c r="P620" s="47"/>
      <c r="Q620" s="24"/>
    </row>
    <row r="621" spans="1:17" ht="12.5">
      <c r="A621" s="101"/>
      <c r="B621" s="24"/>
      <c r="C621" s="99"/>
      <c r="E621" s="47"/>
      <c r="F621" s="48"/>
      <c r="G621" s="47"/>
      <c r="J621" s="61"/>
      <c r="K621" s="61"/>
      <c r="L621" s="30"/>
      <c r="N621" s="97"/>
      <c r="O621" s="48"/>
      <c r="P621" s="47"/>
      <c r="Q621" s="24"/>
    </row>
    <row r="622" spans="1:17" ht="12.5">
      <c r="A622" s="101"/>
      <c r="B622" s="24"/>
      <c r="C622" s="99"/>
      <c r="E622" s="47"/>
      <c r="F622" s="48"/>
      <c r="G622" s="47"/>
      <c r="J622" s="61"/>
      <c r="K622" s="61"/>
      <c r="L622" s="30"/>
      <c r="N622" s="97"/>
      <c r="O622" s="48"/>
      <c r="P622" s="47"/>
      <c r="Q622" s="24"/>
    </row>
    <row r="623" spans="1:17" ht="12.5">
      <c r="A623" s="101"/>
      <c r="B623" s="24"/>
      <c r="C623" s="99"/>
      <c r="E623" s="47"/>
      <c r="F623" s="48"/>
      <c r="G623" s="47"/>
      <c r="J623" s="61"/>
      <c r="K623" s="61"/>
      <c r="L623" s="30"/>
      <c r="N623" s="97"/>
      <c r="O623" s="48"/>
      <c r="P623" s="47"/>
      <c r="Q623" s="24"/>
    </row>
    <row r="624" spans="1:17" ht="12.5">
      <c r="A624" s="101"/>
      <c r="B624" s="24"/>
      <c r="C624" s="99"/>
      <c r="E624" s="47"/>
      <c r="F624" s="48"/>
      <c r="G624" s="47"/>
      <c r="J624" s="61"/>
      <c r="K624" s="61"/>
      <c r="L624" s="30"/>
      <c r="N624" s="97"/>
      <c r="O624" s="48"/>
      <c r="P624" s="47"/>
      <c r="Q624" s="24"/>
    </row>
    <row r="625" spans="1:17" ht="12.5">
      <c r="A625" s="101"/>
      <c r="B625" s="24"/>
      <c r="C625" s="99"/>
      <c r="E625" s="47"/>
      <c r="F625" s="48"/>
      <c r="G625" s="47"/>
      <c r="J625" s="61"/>
      <c r="K625" s="61"/>
      <c r="L625" s="30"/>
      <c r="N625" s="97"/>
      <c r="O625" s="48"/>
      <c r="P625" s="47"/>
      <c r="Q625" s="24"/>
    </row>
    <row r="626" spans="1:17" ht="12.5">
      <c r="A626" s="101"/>
      <c r="B626" s="24"/>
      <c r="C626" s="99"/>
      <c r="E626" s="47"/>
      <c r="F626" s="48"/>
      <c r="G626" s="47"/>
      <c r="J626" s="61"/>
      <c r="K626" s="61"/>
      <c r="L626" s="30"/>
      <c r="N626" s="97"/>
      <c r="O626" s="48"/>
      <c r="P626" s="47"/>
      <c r="Q626" s="24"/>
    </row>
    <row r="627" spans="1:17" ht="12.5">
      <c r="A627" s="101"/>
      <c r="B627" s="24"/>
      <c r="C627" s="99"/>
      <c r="E627" s="47"/>
      <c r="F627" s="48"/>
      <c r="G627" s="47"/>
      <c r="J627" s="61"/>
      <c r="K627" s="61"/>
      <c r="L627" s="30"/>
      <c r="N627" s="97"/>
      <c r="O627" s="48"/>
      <c r="P627" s="47"/>
      <c r="Q627" s="24"/>
    </row>
    <row r="628" spans="1:17" ht="12.5">
      <c r="A628" s="101"/>
      <c r="B628" s="24"/>
      <c r="C628" s="99"/>
      <c r="E628" s="47"/>
      <c r="F628" s="48"/>
      <c r="G628" s="47"/>
      <c r="J628" s="61"/>
      <c r="K628" s="61"/>
      <c r="L628" s="30"/>
      <c r="N628" s="97"/>
      <c r="O628" s="48"/>
      <c r="P628" s="47"/>
      <c r="Q628" s="24"/>
    </row>
    <row r="629" spans="1:17" ht="12.5">
      <c r="A629" s="101"/>
      <c r="B629" s="24"/>
      <c r="C629" s="99"/>
      <c r="E629" s="47"/>
      <c r="F629" s="48"/>
      <c r="G629" s="47"/>
      <c r="J629" s="61"/>
      <c r="K629" s="61"/>
      <c r="L629" s="30"/>
      <c r="N629" s="97"/>
      <c r="O629" s="48"/>
      <c r="P629" s="47"/>
      <c r="Q629" s="24"/>
    </row>
    <row r="630" spans="1:17" ht="12.5">
      <c r="A630" s="101"/>
      <c r="B630" s="24"/>
      <c r="C630" s="99"/>
      <c r="E630" s="47"/>
      <c r="F630" s="48"/>
      <c r="G630" s="47"/>
      <c r="J630" s="61"/>
      <c r="K630" s="61"/>
      <c r="L630" s="30"/>
      <c r="N630" s="97"/>
      <c r="O630" s="48"/>
      <c r="P630" s="47"/>
      <c r="Q630" s="24"/>
    </row>
    <row r="631" spans="1:17" ht="12.5">
      <c r="A631" s="101"/>
      <c r="B631" s="24"/>
      <c r="C631" s="99"/>
      <c r="E631" s="47"/>
      <c r="F631" s="48"/>
      <c r="G631" s="47"/>
      <c r="J631" s="61"/>
      <c r="K631" s="61"/>
      <c r="L631" s="30"/>
      <c r="N631" s="97"/>
      <c r="O631" s="48"/>
      <c r="P631" s="47"/>
      <c r="Q631" s="24"/>
    </row>
    <row r="632" spans="1:17" ht="12.5">
      <c r="A632" s="101"/>
      <c r="B632" s="24"/>
      <c r="C632" s="99"/>
      <c r="E632" s="47"/>
      <c r="F632" s="48"/>
      <c r="G632" s="47"/>
      <c r="J632" s="61"/>
      <c r="K632" s="61"/>
      <c r="L632" s="30"/>
      <c r="N632" s="97"/>
      <c r="O632" s="48"/>
      <c r="P632" s="47"/>
      <c r="Q632" s="24"/>
    </row>
    <row r="633" spans="1:17" ht="12.5">
      <c r="A633" s="101"/>
      <c r="B633" s="24"/>
      <c r="C633" s="99"/>
      <c r="E633" s="47"/>
      <c r="F633" s="48"/>
      <c r="G633" s="47"/>
      <c r="J633" s="61"/>
      <c r="K633" s="61"/>
      <c r="L633" s="30"/>
      <c r="N633" s="97"/>
      <c r="O633" s="48"/>
      <c r="P633" s="47"/>
      <c r="Q633" s="24"/>
    </row>
    <row r="634" spans="1:17" ht="12.5">
      <c r="A634" s="101"/>
      <c r="B634" s="24"/>
      <c r="C634" s="99"/>
      <c r="E634" s="47"/>
      <c r="F634" s="48"/>
      <c r="G634" s="47"/>
      <c r="J634" s="61"/>
      <c r="K634" s="61"/>
      <c r="L634" s="30"/>
      <c r="N634" s="97"/>
      <c r="O634" s="48"/>
      <c r="P634" s="47"/>
      <c r="Q634" s="24"/>
    </row>
    <row r="635" spans="1:17" ht="12.5">
      <c r="A635" s="101"/>
      <c r="B635" s="24"/>
      <c r="C635" s="99"/>
      <c r="E635" s="47"/>
      <c r="F635" s="48"/>
      <c r="G635" s="47"/>
      <c r="J635" s="61"/>
      <c r="K635" s="61"/>
      <c r="L635" s="30"/>
      <c r="N635" s="97"/>
      <c r="O635" s="48"/>
      <c r="P635" s="47"/>
      <c r="Q635" s="24"/>
    </row>
    <row r="636" spans="1:17" ht="12.5">
      <c r="A636" s="101"/>
      <c r="B636" s="24"/>
      <c r="C636" s="99"/>
      <c r="E636" s="47"/>
      <c r="F636" s="48"/>
      <c r="G636" s="47"/>
      <c r="J636" s="61"/>
      <c r="K636" s="61"/>
      <c r="L636" s="30"/>
      <c r="N636" s="97"/>
      <c r="O636" s="48"/>
      <c r="P636" s="47"/>
      <c r="Q636" s="24"/>
    </row>
    <row r="637" spans="1:17" ht="12.5">
      <c r="A637" s="101"/>
      <c r="B637" s="24"/>
      <c r="C637" s="99"/>
      <c r="E637" s="47"/>
      <c r="F637" s="48"/>
      <c r="G637" s="47"/>
      <c r="J637" s="61"/>
      <c r="K637" s="61"/>
      <c r="L637" s="30"/>
      <c r="N637" s="97"/>
      <c r="O637" s="48"/>
      <c r="P637" s="47"/>
      <c r="Q637" s="24"/>
    </row>
    <row r="638" spans="1:17" ht="12.5">
      <c r="A638" s="101"/>
      <c r="B638" s="24"/>
      <c r="C638" s="99"/>
      <c r="E638" s="47"/>
      <c r="F638" s="48"/>
      <c r="G638" s="47"/>
      <c r="J638" s="61"/>
      <c r="K638" s="61"/>
      <c r="L638" s="30"/>
      <c r="N638" s="97"/>
      <c r="O638" s="48"/>
      <c r="P638" s="47"/>
      <c r="Q638" s="24"/>
    </row>
    <row r="639" spans="1:17" ht="12.5">
      <c r="A639" s="101"/>
      <c r="B639" s="24"/>
      <c r="C639" s="99"/>
      <c r="E639" s="47"/>
      <c r="F639" s="48"/>
      <c r="G639" s="47"/>
      <c r="J639" s="61"/>
      <c r="K639" s="61"/>
      <c r="L639" s="30"/>
      <c r="N639" s="97"/>
      <c r="O639" s="48"/>
      <c r="P639" s="47"/>
      <c r="Q639" s="24"/>
    </row>
    <row r="640" spans="1:17" ht="12.5">
      <c r="A640" s="101"/>
      <c r="B640" s="24"/>
      <c r="C640" s="99"/>
      <c r="E640" s="47"/>
      <c r="F640" s="48"/>
      <c r="G640" s="47"/>
      <c r="J640" s="61"/>
      <c r="K640" s="61"/>
      <c r="L640" s="30"/>
      <c r="N640" s="97"/>
      <c r="O640" s="48"/>
      <c r="P640" s="47"/>
      <c r="Q640" s="24"/>
    </row>
    <row r="641" spans="1:17" ht="12.5">
      <c r="A641" s="101"/>
      <c r="B641" s="24"/>
      <c r="C641" s="99"/>
      <c r="E641" s="47"/>
      <c r="F641" s="48"/>
      <c r="G641" s="47"/>
      <c r="J641" s="61"/>
      <c r="K641" s="61"/>
      <c r="L641" s="30"/>
      <c r="N641" s="97"/>
      <c r="O641" s="48"/>
      <c r="P641" s="47"/>
      <c r="Q641" s="24"/>
    </row>
    <row r="642" spans="1:17" ht="12.5">
      <c r="A642" s="101"/>
      <c r="B642" s="24"/>
      <c r="C642" s="99"/>
      <c r="E642" s="47"/>
      <c r="F642" s="48"/>
      <c r="G642" s="47"/>
      <c r="J642" s="61"/>
      <c r="K642" s="61"/>
      <c r="L642" s="30"/>
      <c r="N642" s="97"/>
      <c r="O642" s="48"/>
      <c r="P642" s="47"/>
      <c r="Q642" s="24"/>
    </row>
    <row r="643" spans="1:17" ht="12.5">
      <c r="A643" s="101"/>
      <c r="B643" s="24"/>
      <c r="C643" s="99"/>
      <c r="E643" s="47"/>
      <c r="F643" s="48"/>
      <c r="G643" s="47"/>
      <c r="J643" s="61"/>
      <c r="K643" s="61"/>
      <c r="L643" s="30"/>
      <c r="N643" s="97"/>
      <c r="O643" s="48"/>
      <c r="P643" s="47"/>
      <c r="Q643" s="24"/>
    </row>
    <row r="644" spans="1:17" ht="12.5">
      <c r="A644" s="101"/>
      <c r="B644" s="24"/>
      <c r="C644" s="99"/>
      <c r="E644" s="47"/>
      <c r="F644" s="48"/>
      <c r="G644" s="47"/>
      <c r="J644" s="61"/>
      <c r="K644" s="61"/>
      <c r="L644" s="30"/>
      <c r="N644" s="97"/>
      <c r="O644" s="48"/>
      <c r="P644" s="47"/>
      <c r="Q644" s="24"/>
    </row>
    <row r="645" spans="1:17" ht="12.5">
      <c r="A645" s="101"/>
      <c r="B645" s="24"/>
      <c r="C645" s="99"/>
      <c r="E645" s="47"/>
      <c r="F645" s="48"/>
      <c r="G645" s="47"/>
      <c r="J645" s="61"/>
      <c r="K645" s="61"/>
      <c r="L645" s="30"/>
      <c r="N645" s="97"/>
      <c r="O645" s="48"/>
      <c r="P645" s="47"/>
      <c r="Q645" s="24"/>
    </row>
    <row r="646" spans="1:17" ht="12.5">
      <c r="A646" s="101"/>
      <c r="B646" s="24"/>
      <c r="C646" s="99"/>
      <c r="E646" s="47"/>
      <c r="F646" s="48"/>
      <c r="G646" s="47"/>
      <c r="J646" s="61"/>
      <c r="K646" s="61"/>
      <c r="L646" s="30"/>
      <c r="N646" s="97"/>
      <c r="O646" s="48"/>
      <c r="P646" s="47"/>
      <c r="Q646" s="24"/>
    </row>
    <row r="647" spans="1:17" ht="12.5">
      <c r="A647" s="101"/>
      <c r="B647" s="24"/>
      <c r="C647" s="99"/>
      <c r="E647" s="47"/>
      <c r="F647" s="48"/>
      <c r="G647" s="47"/>
      <c r="J647" s="61"/>
      <c r="K647" s="61"/>
      <c r="L647" s="30"/>
      <c r="N647" s="97"/>
      <c r="O647" s="48"/>
      <c r="P647" s="47"/>
      <c r="Q647" s="24"/>
    </row>
    <row r="648" spans="1:17" ht="12.5">
      <c r="A648" s="101"/>
      <c r="B648" s="24"/>
      <c r="C648" s="99"/>
      <c r="E648" s="47"/>
      <c r="F648" s="48"/>
      <c r="G648" s="47"/>
      <c r="J648" s="61"/>
      <c r="K648" s="61"/>
      <c r="L648" s="30"/>
      <c r="N648" s="97"/>
      <c r="O648" s="48"/>
      <c r="P648" s="47"/>
      <c r="Q648" s="24"/>
    </row>
    <row r="649" spans="1:17" ht="12.5">
      <c r="A649" s="101"/>
      <c r="B649" s="24"/>
      <c r="C649" s="99"/>
      <c r="E649" s="47"/>
      <c r="F649" s="48"/>
      <c r="G649" s="47"/>
      <c r="J649" s="61"/>
      <c r="K649" s="61"/>
      <c r="L649" s="30"/>
      <c r="N649" s="97"/>
      <c r="O649" s="48"/>
      <c r="P649" s="47"/>
      <c r="Q649" s="24"/>
    </row>
    <row r="650" spans="1:17" ht="12.5">
      <c r="A650" s="101"/>
      <c r="B650" s="24"/>
      <c r="C650" s="99"/>
      <c r="E650" s="47"/>
      <c r="F650" s="48"/>
      <c r="G650" s="47"/>
      <c r="J650" s="61"/>
      <c r="K650" s="61"/>
      <c r="L650" s="30"/>
      <c r="N650" s="97"/>
      <c r="O650" s="48"/>
      <c r="P650" s="47"/>
      <c r="Q650" s="24"/>
    </row>
    <row r="651" spans="1:17" ht="12.5">
      <c r="A651" s="101"/>
      <c r="B651" s="24"/>
      <c r="C651" s="99"/>
      <c r="E651" s="47"/>
      <c r="F651" s="48"/>
      <c r="G651" s="47"/>
      <c r="J651" s="61"/>
      <c r="K651" s="61"/>
      <c r="L651" s="30"/>
      <c r="N651" s="97"/>
      <c r="O651" s="48"/>
      <c r="P651" s="47"/>
      <c r="Q651" s="24"/>
    </row>
    <row r="652" spans="1:17" ht="12.5">
      <c r="A652" s="101"/>
      <c r="B652" s="24"/>
      <c r="C652" s="99"/>
      <c r="E652" s="47"/>
      <c r="F652" s="48"/>
      <c r="G652" s="47"/>
      <c r="J652" s="61"/>
      <c r="K652" s="61"/>
      <c r="L652" s="30"/>
      <c r="N652" s="97"/>
      <c r="O652" s="48"/>
      <c r="P652" s="47"/>
      <c r="Q652" s="24"/>
    </row>
    <row r="653" spans="1:17" ht="12.5">
      <c r="A653" s="101"/>
      <c r="B653" s="24"/>
      <c r="C653" s="99"/>
      <c r="E653" s="47"/>
      <c r="F653" s="48"/>
      <c r="G653" s="47"/>
      <c r="J653" s="61"/>
      <c r="K653" s="61"/>
      <c r="L653" s="30"/>
      <c r="N653" s="97"/>
      <c r="O653" s="48"/>
      <c r="P653" s="47"/>
      <c r="Q653" s="24"/>
    </row>
    <row r="654" spans="1:17" ht="12.5">
      <c r="A654" s="101"/>
      <c r="B654" s="24"/>
      <c r="C654" s="99"/>
      <c r="E654" s="47"/>
      <c r="F654" s="48"/>
      <c r="G654" s="47"/>
      <c r="J654" s="61"/>
      <c r="K654" s="61"/>
      <c r="L654" s="30"/>
      <c r="N654" s="97"/>
      <c r="O654" s="48"/>
      <c r="P654" s="47"/>
      <c r="Q654" s="24"/>
    </row>
    <row r="655" spans="1:17" ht="12.5">
      <c r="A655" s="101"/>
      <c r="B655" s="24"/>
      <c r="C655" s="99"/>
      <c r="E655" s="47"/>
      <c r="F655" s="48"/>
      <c r="G655" s="47"/>
      <c r="J655" s="61"/>
      <c r="K655" s="61"/>
      <c r="L655" s="30"/>
      <c r="N655" s="97"/>
      <c r="O655" s="48"/>
      <c r="P655" s="47"/>
      <c r="Q655" s="24"/>
    </row>
    <row r="656" spans="1:17" ht="12.5">
      <c r="A656" s="101"/>
      <c r="B656" s="24"/>
      <c r="C656" s="99"/>
      <c r="E656" s="47"/>
      <c r="F656" s="48"/>
      <c r="G656" s="47"/>
      <c r="J656" s="61"/>
      <c r="K656" s="61"/>
      <c r="L656" s="30"/>
      <c r="N656" s="97"/>
      <c r="O656" s="48"/>
      <c r="P656" s="47"/>
      <c r="Q656" s="24"/>
    </row>
    <row r="657" spans="1:17" ht="12.5">
      <c r="A657" s="101"/>
      <c r="B657" s="24"/>
      <c r="C657" s="99"/>
      <c r="E657" s="47"/>
      <c r="F657" s="48"/>
      <c r="G657" s="47"/>
      <c r="J657" s="61"/>
      <c r="K657" s="61"/>
      <c r="L657" s="30"/>
      <c r="N657" s="97"/>
      <c r="O657" s="48"/>
      <c r="P657" s="47"/>
      <c r="Q657" s="24"/>
    </row>
    <row r="658" spans="1:17" ht="12.5">
      <c r="A658" s="101"/>
      <c r="B658" s="24"/>
      <c r="C658" s="99"/>
      <c r="E658" s="47"/>
      <c r="F658" s="48"/>
      <c r="G658" s="47"/>
      <c r="J658" s="61"/>
      <c r="K658" s="61"/>
      <c r="L658" s="30"/>
      <c r="N658" s="97"/>
      <c r="O658" s="48"/>
      <c r="P658" s="47"/>
      <c r="Q658" s="24"/>
    </row>
    <row r="659" spans="1:17" ht="12.5">
      <c r="A659" s="101"/>
      <c r="B659" s="24"/>
      <c r="C659" s="99"/>
      <c r="E659" s="47"/>
      <c r="F659" s="48"/>
      <c r="G659" s="47"/>
      <c r="J659" s="61"/>
      <c r="K659" s="61"/>
      <c r="L659" s="30"/>
      <c r="N659" s="97"/>
      <c r="O659" s="48"/>
      <c r="P659" s="47"/>
      <c r="Q659" s="24"/>
    </row>
    <row r="660" spans="1:17" ht="12.5">
      <c r="A660" s="101"/>
      <c r="B660" s="24"/>
      <c r="C660" s="99"/>
      <c r="E660" s="47"/>
      <c r="F660" s="48"/>
      <c r="G660" s="47"/>
      <c r="J660" s="61"/>
      <c r="K660" s="61"/>
      <c r="L660" s="30"/>
      <c r="N660" s="97"/>
      <c r="O660" s="48"/>
      <c r="P660" s="47"/>
      <c r="Q660" s="24"/>
    </row>
    <row r="661" spans="1:17" ht="12.5">
      <c r="A661" s="101"/>
      <c r="B661" s="24"/>
      <c r="C661" s="99"/>
      <c r="E661" s="47"/>
      <c r="F661" s="48"/>
      <c r="G661" s="47"/>
      <c r="J661" s="61"/>
      <c r="K661" s="61"/>
      <c r="L661" s="30"/>
      <c r="N661" s="97"/>
      <c r="O661" s="48"/>
      <c r="P661" s="47"/>
      <c r="Q661" s="24"/>
    </row>
    <row r="662" spans="1:17" ht="12.5">
      <c r="A662" s="101"/>
      <c r="B662" s="24"/>
      <c r="C662" s="99"/>
      <c r="E662" s="47"/>
      <c r="F662" s="48"/>
      <c r="G662" s="47"/>
      <c r="J662" s="61"/>
      <c r="K662" s="61"/>
      <c r="L662" s="30"/>
      <c r="N662" s="97"/>
      <c r="O662" s="48"/>
      <c r="P662" s="47"/>
      <c r="Q662" s="24"/>
    </row>
    <row r="663" spans="1:17" ht="12.5">
      <c r="A663" s="101"/>
      <c r="B663" s="24"/>
      <c r="C663" s="99"/>
      <c r="E663" s="47"/>
      <c r="F663" s="48"/>
      <c r="G663" s="47"/>
      <c r="J663" s="61"/>
      <c r="K663" s="61"/>
      <c r="L663" s="30"/>
      <c r="N663" s="97"/>
      <c r="O663" s="48"/>
      <c r="P663" s="47"/>
      <c r="Q663" s="24"/>
    </row>
    <row r="664" spans="1:17" ht="12.5">
      <c r="A664" s="101"/>
      <c r="B664" s="24"/>
      <c r="C664" s="99"/>
      <c r="E664" s="47"/>
      <c r="F664" s="48"/>
      <c r="G664" s="47"/>
      <c r="J664" s="61"/>
      <c r="K664" s="61"/>
      <c r="L664" s="30"/>
      <c r="N664" s="97"/>
      <c r="O664" s="48"/>
      <c r="P664" s="47"/>
      <c r="Q664" s="24"/>
    </row>
    <row r="665" spans="1:17" ht="12.5">
      <c r="A665" s="101"/>
      <c r="B665" s="24"/>
      <c r="C665" s="99"/>
      <c r="E665" s="47"/>
      <c r="F665" s="48"/>
      <c r="G665" s="47"/>
      <c r="J665" s="61"/>
      <c r="K665" s="61"/>
      <c r="L665" s="30"/>
      <c r="N665" s="97"/>
      <c r="O665" s="48"/>
      <c r="P665" s="47"/>
      <c r="Q665" s="24"/>
    </row>
    <row r="666" spans="1:17" ht="12.5">
      <c r="A666" s="101"/>
      <c r="B666" s="24"/>
      <c r="C666" s="99"/>
      <c r="E666" s="47"/>
      <c r="F666" s="48"/>
      <c r="G666" s="47"/>
      <c r="J666" s="61"/>
      <c r="K666" s="61"/>
      <c r="L666" s="30"/>
      <c r="N666" s="97"/>
      <c r="O666" s="48"/>
      <c r="P666" s="47"/>
      <c r="Q666" s="24"/>
    </row>
    <row r="667" spans="1:17" ht="12.5">
      <c r="A667" s="101"/>
      <c r="B667" s="24"/>
      <c r="C667" s="99"/>
      <c r="E667" s="47"/>
      <c r="F667" s="48"/>
      <c r="G667" s="47"/>
      <c r="J667" s="61"/>
      <c r="K667" s="61"/>
      <c r="L667" s="30"/>
      <c r="N667" s="97"/>
      <c r="O667" s="48"/>
      <c r="P667" s="47"/>
      <c r="Q667" s="24"/>
    </row>
    <row r="668" spans="1:17" ht="12.5">
      <c r="A668" s="101"/>
      <c r="B668" s="24"/>
      <c r="C668" s="99"/>
      <c r="E668" s="47"/>
      <c r="F668" s="48"/>
      <c r="G668" s="47"/>
      <c r="J668" s="61"/>
      <c r="K668" s="61"/>
      <c r="L668" s="30"/>
      <c r="N668" s="97"/>
      <c r="O668" s="48"/>
      <c r="P668" s="47"/>
      <c r="Q668" s="24"/>
    </row>
    <row r="669" spans="1:17" ht="12.5">
      <c r="A669" s="101"/>
      <c r="B669" s="24"/>
      <c r="C669" s="99"/>
      <c r="E669" s="47"/>
      <c r="F669" s="48"/>
      <c r="G669" s="47"/>
      <c r="J669" s="61"/>
      <c r="K669" s="61"/>
      <c r="L669" s="30"/>
      <c r="N669" s="97"/>
      <c r="O669" s="48"/>
      <c r="P669" s="47"/>
      <c r="Q669" s="24"/>
    </row>
    <row r="670" spans="1:17" ht="12.5">
      <c r="A670" s="101"/>
      <c r="B670" s="24"/>
      <c r="C670" s="99"/>
      <c r="E670" s="47"/>
      <c r="F670" s="48"/>
      <c r="G670" s="47"/>
      <c r="J670" s="61"/>
      <c r="K670" s="61"/>
      <c r="L670" s="30"/>
      <c r="N670" s="97"/>
      <c r="O670" s="48"/>
      <c r="P670" s="47"/>
      <c r="Q670" s="24"/>
    </row>
    <row r="671" spans="1:17" ht="12.5">
      <c r="A671" s="101"/>
      <c r="B671" s="24"/>
      <c r="C671" s="99"/>
      <c r="E671" s="47"/>
      <c r="F671" s="48"/>
      <c r="G671" s="47"/>
      <c r="J671" s="61"/>
      <c r="K671" s="61"/>
      <c r="L671" s="30"/>
      <c r="N671" s="97"/>
      <c r="O671" s="48"/>
      <c r="P671" s="47"/>
      <c r="Q671" s="24"/>
    </row>
    <row r="672" spans="1:17" ht="12.5">
      <c r="A672" s="101"/>
      <c r="B672" s="24"/>
      <c r="C672" s="99"/>
      <c r="E672" s="47"/>
      <c r="F672" s="48"/>
      <c r="G672" s="47"/>
      <c r="J672" s="61"/>
      <c r="K672" s="61"/>
      <c r="L672" s="30"/>
      <c r="N672" s="97"/>
      <c r="O672" s="48"/>
      <c r="P672" s="47"/>
      <c r="Q672" s="24"/>
    </row>
    <row r="673" spans="1:17" ht="12.5">
      <c r="A673" s="101"/>
      <c r="B673" s="24"/>
      <c r="C673" s="99"/>
      <c r="E673" s="47"/>
      <c r="F673" s="48"/>
      <c r="G673" s="47"/>
      <c r="J673" s="61"/>
      <c r="K673" s="61"/>
      <c r="L673" s="30"/>
      <c r="N673" s="97"/>
      <c r="O673" s="48"/>
      <c r="P673" s="47"/>
      <c r="Q673" s="24"/>
    </row>
    <row r="674" spans="1:17" ht="12.5">
      <c r="A674" s="101"/>
      <c r="B674" s="24"/>
      <c r="C674" s="99"/>
      <c r="E674" s="47"/>
      <c r="F674" s="48"/>
      <c r="G674" s="47"/>
      <c r="J674" s="61"/>
      <c r="K674" s="61"/>
      <c r="L674" s="30"/>
      <c r="N674" s="97"/>
      <c r="O674" s="48"/>
      <c r="P674" s="47"/>
      <c r="Q674" s="24"/>
    </row>
    <row r="675" spans="1:17" ht="12.5">
      <c r="A675" s="101"/>
      <c r="B675" s="24"/>
      <c r="C675" s="99"/>
      <c r="E675" s="47"/>
      <c r="F675" s="48"/>
      <c r="G675" s="47"/>
      <c r="J675" s="61"/>
      <c r="K675" s="61"/>
      <c r="L675" s="30"/>
      <c r="N675" s="97"/>
      <c r="O675" s="48"/>
      <c r="P675" s="47"/>
      <c r="Q675" s="24"/>
    </row>
    <row r="676" spans="1:17" ht="12.5">
      <c r="A676" s="101"/>
      <c r="B676" s="24"/>
      <c r="C676" s="99"/>
      <c r="E676" s="47"/>
      <c r="F676" s="48"/>
      <c r="G676" s="47"/>
      <c r="J676" s="61"/>
      <c r="K676" s="61"/>
      <c r="L676" s="30"/>
      <c r="N676" s="97"/>
      <c r="O676" s="48"/>
      <c r="P676" s="47"/>
      <c r="Q676" s="24"/>
    </row>
    <row r="677" spans="1:17" ht="12.5">
      <c r="A677" s="101"/>
      <c r="B677" s="24"/>
      <c r="C677" s="99"/>
      <c r="E677" s="47"/>
      <c r="F677" s="48"/>
      <c r="G677" s="47"/>
      <c r="J677" s="61"/>
      <c r="K677" s="61"/>
      <c r="L677" s="30"/>
      <c r="N677" s="97"/>
      <c r="O677" s="48"/>
      <c r="P677" s="47"/>
      <c r="Q677" s="24"/>
    </row>
    <row r="678" spans="1:17" ht="12.5">
      <c r="A678" s="101"/>
      <c r="B678" s="24"/>
      <c r="C678" s="99"/>
      <c r="E678" s="47"/>
      <c r="F678" s="48"/>
      <c r="G678" s="47"/>
      <c r="J678" s="61"/>
      <c r="K678" s="61"/>
      <c r="L678" s="30"/>
      <c r="N678" s="97"/>
      <c r="O678" s="48"/>
      <c r="P678" s="47"/>
      <c r="Q678" s="24"/>
    </row>
    <row r="679" spans="1:17" ht="12.5">
      <c r="A679" s="101"/>
      <c r="B679" s="24"/>
      <c r="C679" s="99"/>
      <c r="E679" s="47"/>
      <c r="F679" s="48"/>
      <c r="G679" s="47"/>
      <c r="J679" s="61"/>
      <c r="K679" s="61"/>
      <c r="L679" s="30"/>
      <c r="N679" s="97"/>
      <c r="O679" s="48"/>
      <c r="P679" s="47"/>
      <c r="Q679" s="24"/>
    </row>
    <row r="680" spans="1:17" ht="12.5">
      <c r="A680" s="101"/>
      <c r="B680" s="24"/>
      <c r="C680" s="99"/>
      <c r="E680" s="47"/>
      <c r="F680" s="48"/>
      <c r="G680" s="47"/>
      <c r="J680" s="61"/>
      <c r="K680" s="61"/>
      <c r="L680" s="30"/>
      <c r="N680" s="97"/>
      <c r="O680" s="48"/>
      <c r="P680" s="47"/>
      <c r="Q680" s="24"/>
    </row>
    <row r="681" spans="1:17" ht="12.5">
      <c r="A681" s="101"/>
      <c r="B681" s="24"/>
      <c r="C681" s="99"/>
      <c r="E681" s="47"/>
      <c r="F681" s="48"/>
      <c r="G681" s="47"/>
      <c r="J681" s="61"/>
      <c r="K681" s="61"/>
      <c r="L681" s="30"/>
      <c r="N681" s="97"/>
      <c r="O681" s="48"/>
      <c r="P681" s="47"/>
      <c r="Q681" s="24"/>
    </row>
    <row r="682" spans="1:17" ht="12.5">
      <c r="A682" s="101"/>
      <c r="B682" s="24"/>
      <c r="C682" s="99"/>
      <c r="E682" s="47"/>
      <c r="F682" s="48"/>
      <c r="G682" s="47"/>
      <c r="J682" s="61"/>
      <c r="K682" s="61"/>
      <c r="L682" s="30"/>
      <c r="N682" s="97"/>
      <c r="O682" s="48"/>
      <c r="P682" s="47"/>
      <c r="Q682" s="24"/>
    </row>
    <row r="683" spans="1:17" ht="12.5">
      <c r="A683" s="101"/>
      <c r="B683" s="24"/>
      <c r="C683" s="99"/>
      <c r="E683" s="47"/>
      <c r="F683" s="48"/>
      <c r="G683" s="47"/>
      <c r="J683" s="61"/>
      <c r="K683" s="61"/>
      <c r="L683" s="30"/>
      <c r="N683" s="97"/>
      <c r="O683" s="48"/>
      <c r="P683" s="47"/>
      <c r="Q683" s="24"/>
    </row>
    <row r="684" spans="1:17" ht="12.5">
      <c r="A684" s="101"/>
      <c r="B684" s="24"/>
      <c r="C684" s="99"/>
      <c r="E684" s="47"/>
      <c r="F684" s="48"/>
      <c r="G684" s="47"/>
      <c r="J684" s="61"/>
      <c r="K684" s="61"/>
      <c r="L684" s="30"/>
      <c r="N684" s="97"/>
      <c r="O684" s="48"/>
      <c r="P684" s="47"/>
      <c r="Q684" s="24"/>
    </row>
    <row r="685" spans="1:17" ht="12.5">
      <c r="A685" s="101"/>
      <c r="B685" s="24"/>
      <c r="C685" s="99"/>
      <c r="E685" s="47"/>
      <c r="F685" s="48"/>
      <c r="G685" s="47"/>
      <c r="J685" s="61"/>
      <c r="K685" s="61"/>
      <c r="L685" s="30"/>
      <c r="N685" s="97"/>
      <c r="O685" s="48"/>
      <c r="P685" s="47"/>
      <c r="Q685" s="24"/>
    </row>
    <row r="686" spans="1:17" ht="12.5">
      <c r="A686" s="101"/>
      <c r="B686" s="24"/>
      <c r="C686" s="99"/>
      <c r="E686" s="47"/>
      <c r="F686" s="48"/>
      <c r="G686" s="47"/>
      <c r="J686" s="61"/>
      <c r="K686" s="61"/>
      <c r="L686" s="30"/>
      <c r="N686" s="97"/>
      <c r="O686" s="48"/>
      <c r="P686" s="47"/>
      <c r="Q686" s="24"/>
    </row>
    <row r="687" spans="1:17" ht="12.5">
      <c r="A687" s="101"/>
      <c r="B687" s="24"/>
      <c r="C687" s="99"/>
      <c r="E687" s="47"/>
      <c r="F687" s="48"/>
      <c r="G687" s="47"/>
      <c r="J687" s="61"/>
      <c r="K687" s="61"/>
      <c r="L687" s="30"/>
      <c r="N687" s="97"/>
      <c r="O687" s="48"/>
      <c r="P687" s="47"/>
      <c r="Q687" s="24"/>
    </row>
    <row r="688" spans="1:17" ht="12.5">
      <c r="A688" s="101"/>
      <c r="B688" s="24"/>
      <c r="C688" s="99"/>
      <c r="E688" s="47"/>
      <c r="F688" s="48"/>
      <c r="G688" s="47"/>
      <c r="J688" s="61"/>
      <c r="K688" s="61"/>
      <c r="L688" s="30"/>
      <c r="N688" s="97"/>
      <c r="O688" s="48"/>
      <c r="P688" s="47"/>
      <c r="Q688" s="24"/>
    </row>
    <row r="689" spans="1:17" ht="12.5">
      <c r="A689" s="101"/>
      <c r="B689" s="24"/>
      <c r="C689" s="99"/>
      <c r="E689" s="47"/>
      <c r="F689" s="48"/>
      <c r="G689" s="47"/>
      <c r="J689" s="61"/>
      <c r="K689" s="61"/>
      <c r="L689" s="30"/>
      <c r="N689" s="97"/>
      <c r="O689" s="48"/>
      <c r="P689" s="47"/>
      <c r="Q689" s="24"/>
    </row>
    <row r="690" spans="1:17" ht="12.5">
      <c r="A690" s="101"/>
      <c r="B690" s="24"/>
      <c r="C690" s="99"/>
      <c r="E690" s="47"/>
      <c r="F690" s="48"/>
      <c r="G690" s="47"/>
      <c r="J690" s="61"/>
      <c r="K690" s="61"/>
      <c r="L690" s="30"/>
      <c r="N690" s="97"/>
      <c r="O690" s="48"/>
      <c r="P690" s="47"/>
      <c r="Q690" s="24"/>
    </row>
    <row r="691" spans="1:17" ht="12.5">
      <c r="A691" s="101"/>
      <c r="B691" s="24"/>
      <c r="C691" s="99"/>
      <c r="E691" s="47"/>
      <c r="F691" s="48"/>
      <c r="G691" s="47"/>
      <c r="J691" s="61"/>
      <c r="K691" s="61"/>
      <c r="L691" s="30"/>
      <c r="N691" s="97"/>
      <c r="O691" s="48"/>
      <c r="P691" s="47"/>
      <c r="Q691" s="24"/>
    </row>
    <row r="692" spans="1:17" ht="12.5">
      <c r="A692" s="101"/>
      <c r="B692" s="24"/>
      <c r="C692" s="99"/>
      <c r="E692" s="47"/>
      <c r="F692" s="48"/>
      <c r="G692" s="47"/>
      <c r="J692" s="61"/>
      <c r="K692" s="61"/>
      <c r="L692" s="30"/>
      <c r="N692" s="97"/>
      <c r="O692" s="48"/>
      <c r="P692" s="47"/>
      <c r="Q692" s="24"/>
    </row>
    <row r="693" spans="1:17" ht="12.5">
      <c r="A693" s="101"/>
      <c r="B693" s="24"/>
      <c r="C693" s="99"/>
      <c r="E693" s="47"/>
      <c r="F693" s="48"/>
      <c r="G693" s="47"/>
      <c r="J693" s="61"/>
      <c r="K693" s="61"/>
      <c r="L693" s="30"/>
      <c r="N693" s="97"/>
      <c r="O693" s="48"/>
      <c r="P693" s="47"/>
      <c r="Q693" s="24"/>
    </row>
    <row r="694" spans="1:17" ht="12.5">
      <c r="A694" s="101"/>
      <c r="B694" s="24"/>
      <c r="C694" s="99"/>
      <c r="E694" s="47"/>
      <c r="F694" s="48"/>
      <c r="G694" s="47"/>
      <c r="J694" s="61"/>
      <c r="K694" s="61"/>
      <c r="L694" s="30"/>
      <c r="N694" s="97"/>
      <c r="O694" s="48"/>
      <c r="P694" s="47"/>
      <c r="Q694" s="24"/>
    </row>
    <row r="695" spans="1:17" ht="12.5">
      <c r="A695" s="101"/>
      <c r="B695" s="24"/>
      <c r="C695" s="99"/>
      <c r="E695" s="47"/>
      <c r="F695" s="48"/>
      <c r="G695" s="47"/>
      <c r="J695" s="61"/>
      <c r="K695" s="61"/>
      <c r="L695" s="30"/>
      <c r="N695" s="97"/>
      <c r="O695" s="48"/>
      <c r="P695" s="47"/>
      <c r="Q695" s="24"/>
    </row>
    <row r="696" spans="1:17" ht="12.5">
      <c r="A696" s="101"/>
      <c r="B696" s="24"/>
      <c r="C696" s="99"/>
      <c r="E696" s="47"/>
      <c r="F696" s="48"/>
      <c r="G696" s="47"/>
      <c r="J696" s="61"/>
      <c r="K696" s="61"/>
      <c r="L696" s="30"/>
      <c r="N696" s="97"/>
      <c r="O696" s="48"/>
      <c r="P696" s="47"/>
      <c r="Q696" s="24"/>
    </row>
    <row r="697" spans="1:17" ht="12.5">
      <c r="A697" s="101"/>
      <c r="B697" s="24"/>
      <c r="C697" s="99"/>
      <c r="E697" s="47"/>
      <c r="F697" s="48"/>
      <c r="G697" s="47"/>
      <c r="J697" s="61"/>
      <c r="K697" s="61"/>
      <c r="L697" s="30"/>
      <c r="N697" s="97"/>
      <c r="O697" s="48"/>
      <c r="P697" s="47"/>
      <c r="Q697" s="24"/>
    </row>
    <row r="698" spans="1:17" ht="12.5">
      <c r="A698" s="101"/>
      <c r="B698" s="24"/>
      <c r="C698" s="99"/>
      <c r="E698" s="47"/>
      <c r="F698" s="48"/>
      <c r="G698" s="47"/>
      <c r="J698" s="61"/>
      <c r="K698" s="61"/>
      <c r="L698" s="30"/>
      <c r="N698" s="97"/>
      <c r="O698" s="48"/>
      <c r="P698" s="47"/>
      <c r="Q698" s="24"/>
    </row>
    <row r="699" spans="1:17" ht="12.5">
      <c r="A699" s="101"/>
      <c r="B699" s="24"/>
      <c r="C699" s="99"/>
      <c r="E699" s="47"/>
      <c r="F699" s="48"/>
      <c r="G699" s="47"/>
      <c r="J699" s="61"/>
      <c r="K699" s="61"/>
      <c r="L699" s="30"/>
      <c r="N699" s="97"/>
      <c r="O699" s="48"/>
      <c r="P699" s="47"/>
      <c r="Q699" s="24"/>
    </row>
    <row r="700" spans="1:17" ht="12.5">
      <c r="A700" s="101"/>
      <c r="B700" s="24"/>
      <c r="C700" s="99"/>
      <c r="E700" s="47"/>
      <c r="F700" s="48"/>
      <c r="G700" s="47"/>
      <c r="J700" s="61"/>
      <c r="K700" s="61"/>
      <c r="L700" s="30"/>
      <c r="N700" s="97"/>
      <c r="O700" s="48"/>
      <c r="P700" s="47"/>
      <c r="Q700" s="24"/>
    </row>
    <row r="701" spans="1:17" ht="12.5">
      <c r="A701" s="101"/>
      <c r="B701" s="24"/>
      <c r="C701" s="99"/>
      <c r="E701" s="47"/>
      <c r="F701" s="48"/>
      <c r="G701" s="47"/>
      <c r="J701" s="61"/>
      <c r="K701" s="61"/>
      <c r="L701" s="30"/>
      <c r="N701" s="97"/>
      <c r="O701" s="48"/>
      <c r="P701" s="47"/>
      <c r="Q701" s="24"/>
    </row>
    <row r="702" spans="1:17" ht="12.5">
      <c r="A702" s="101"/>
      <c r="B702" s="24"/>
      <c r="C702" s="99"/>
      <c r="E702" s="47"/>
      <c r="F702" s="48"/>
      <c r="G702" s="47"/>
      <c r="J702" s="61"/>
      <c r="K702" s="61"/>
      <c r="L702" s="30"/>
      <c r="N702" s="97"/>
      <c r="O702" s="48"/>
      <c r="P702" s="47"/>
      <c r="Q702" s="24"/>
    </row>
    <row r="703" spans="1:17" ht="12.5">
      <c r="A703" s="101"/>
      <c r="B703" s="24"/>
      <c r="C703" s="99"/>
      <c r="E703" s="47"/>
      <c r="F703" s="48"/>
      <c r="G703" s="47"/>
      <c r="J703" s="61"/>
      <c r="K703" s="61"/>
      <c r="L703" s="30"/>
      <c r="N703" s="97"/>
      <c r="O703" s="48"/>
      <c r="P703" s="47"/>
      <c r="Q703" s="24"/>
    </row>
    <row r="704" spans="1:17" ht="12.5">
      <c r="A704" s="101"/>
      <c r="B704" s="24"/>
      <c r="C704" s="99"/>
      <c r="E704" s="47"/>
      <c r="F704" s="48"/>
      <c r="G704" s="47"/>
      <c r="J704" s="61"/>
      <c r="K704" s="61"/>
      <c r="L704" s="30"/>
      <c r="N704" s="97"/>
      <c r="O704" s="48"/>
      <c r="P704" s="47"/>
      <c r="Q704" s="24"/>
    </row>
    <row r="705" spans="1:17" ht="12.5">
      <c r="A705" s="101"/>
      <c r="B705" s="24"/>
      <c r="C705" s="99"/>
      <c r="E705" s="47"/>
      <c r="F705" s="48"/>
      <c r="G705" s="47"/>
      <c r="J705" s="61"/>
      <c r="K705" s="61"/>
      <c r="L705" s="30"/>
      <c r="N705" s="97"/>
      <c r="O705" s="48"/>
      <c r="P705" s="47"/>
      <c r="Q705" s="24"/>
    </row>
    <row r="706" spans="1:17" ht="12.5">
      <c r="A706" s="101"/>
      <c r="B706" s="24"/>
      <c r="C706" s="99"/>
      <c r="E706" s="47"/>
      <c r="F706" s="48"/>
      <c r="G706" s="47"/>
      <c r="J706" s="61"/>
      <c r="K706" s="61"/>
      <c r="L706" s="30"/>
      <c r="N706" s="97"/>
      <c r="O706" s="48"/>
      <c r="P706" s="47"/>
      <c r="Q706" s="24"/>
    </row>
    <row r="707" spans="1:17" ht="12.5">
      <c r="A707" s="101"/>
      <c r="B707" s="24"/>
      <c r="C707" s="99"/>
      <c r="E707" s="47"/>
      <c r="F707" s="48"/>
      <c r="G707" s="47"/>
      <c r="J707" s="61"/>
      <c r="K707" s="61"/>
      <c r="L707" s="30"/>
      <c r="N707" s="97"/>
      <c r="O707" s="48"/>
      <c r="P707" s="47"/>
      <c r="Q707" s="24"/>
    </row>
    <row r="708" spans="1:17" ht="12.5">
      <c r="A708" s="101"/>
      <c r="B708" s="24"/>
      <c r="C708" s="99"/>
      <c r="E708" s="47"/>
      <c r="F708" s="48"/>
      <c r="G708" s="47"/>
      <c r="J708" s="61"/>
      <c r="K708" s="61"/>
      <c r="L708" s="30"/>
      <c r="N708" s="97"/>
      <c r="O708" s="48"/>
      <c r="P708" s="47"/>
      <c r="Q708" s="24"/>
    </row>
    <row r="709" spans="1:17" ht="12.5">
      <c r="A709" s="101"/>
      <c r="B709" s="24"/>
      <c r="C709" s="99"/>
      <c r="E709" s="47"/>
      <c r="F709" s="48"/>
      <c r="G709" s="47"/>
      <c r="J709" s="61"/>
      <c r="K709" s="61"/>
      <c r="L709" s="30"/>
      <c r="N709" s="97"/>
      <c r="O709" s="48"/>
      <c r="P709" s="47"/>
      <c r="Q709" s="24"/>
    </row>
    <row r="710" spans="1:17" ht="12.5">
      <c r="A710" s="101"/>
      <c r="B710" s="24"/>
      <c r="C710" s="99"/>
      <c r="E710" s="47"/>
      <c r="F710" s="48"/>
      <c r="G710" s="47"/>
      <c r="J710" s="61"/>
      <c r="K710" s="61"/>
      <c r="L710" s="30"/>
      <c r="N710" s="97"/>
      <c r="O710" s="48"/>
      <c r="P710" s="47"/>
      <c r="Q710" s="24"/>
    </row>
    <row r="711" spans="1:17" ht="12.5">
      <c r="A711" s="101"/>
      <c r="B711" s="24"/>
      <c r="C711" s="99"/>
      <c r="E711" s="47"/>
      <c r="F711" s="48"/>
      <c r="G711" s="47"/>
      <c r="J711" s="61"/>
      <c r="K711" s="61"/>
      <c r="L711" s="30"/>
      <c r="N711" s="97"/>
      <c r="O711" s="48"/>
      <c r="P711" s="47"/>
      <c r="Q711" s="24"/>
    </row>
    <row r="712" spans="1:17" ht="12.5">
      <c r="A712" s="101"/>
      <c r="B712" s="24"/>
      <c r="C712" s="99"/>
      <c r="E712" s="47"/>
      <c r="F712" s="48"/>
      <c r="G712" s="47"/>
      <c r="J712" s="61"/>
      <c r="K712" s="61"/>
      <c r="L712" s="30"/>
      <c r="N712" s="97"/>
      <c r="O712" s="48"/>
      <c r="P712" s="47"/>
      <c r="Q712" s="24"/>
    </row>
    <row r="713" spans="1:17" ht="12.5">
      <c r="A713" s="101"/>
      <c r="B713" s="24"/>
      <c r="C713" s="99"/>
      <c r="E713" s="47"/>
      <c r="F713" s="48"/>
      <c r="G713" s="47"/>
      <c r="J713" s="61"/>
      <c r="K713" s="61"/>
      <c r="L713" s="30"/>
      <c r="N713" s="97"/>
      <c r="O713" s="48"/>
      <c r="P713" s="47"/>
      <c r="Q713" s="24"/>
    </row>
    <row r="714" spans="1:17" ht="12.5">
      <c r="A714" s="101"/>
      <c r="B714" s="24"/>
      <c r="C714" s="99"/>
      <c r="E714" s="47"/>
      <c r="F714" s="48"/>
      <c r="G714" s="47"/>
      <c r="J714" s="61"/>
      <c r="K714" s="61"/>
      <c r="L714" s="30"/>
      <c r="N714" s="97"/>
      <c r="O714" s="48"/>
      <c r="P714" s="47"/>
      <c r="Q714" s="24"/>
    </row>
    <row r="715" spans="1:17" ht="12.5">
      <c r="A715" s="101"/>
      <c r="B715" s="24"/>
      <c r="C715" s="99"/>
      <c r="E715" s="47"/>
      <c r="F715" s="48"/>
      <c r="G715" s="47"/>
      <c r="J715" s="61"/>
      <c r="K715" s="61"/>
      <c r="L715" s="30"/>
      <c r="N715" s="97"/>
      <c r="O715" s="48"/>
      <c r="P715" s="47"/>
      <c r="Q715" s="24"/>
    </row>
    <row r="716" spans="1:17" ht="12.5">
      <c r="A716" s="101"/>
      <c r="B716" s="24"/>
      <c r="C716" s="99"/>
      <c r="E716" s="47"/>
      <c r="F716" s="48"/>
      <c r="G716" s="47"/>
      <c r="J716" s="61"/>
      <c r="K716" s="61"/>
      <c r="L716" s="30"/>
      <c r="N716" s="97"/>
      <c r="O716" s="48"/>
      <c r="P716" s="47"/>
      <c r="Q716" s="24"/>
    </row>
    <row r="717" spans="1:17" ht="12.5">
      <c r="A717" s="101"/>
      <c r="B717" s="24"/>
      <c r="C717" s="99"/>
      <c r="E717" s="47"/>
      <c r="F717" s="48"/>
      <c r="G717" s="47"/>
      <c r="J717" s="61"/>
      <c r="K717" s="61"/>
      <c r="L717" s="30"/>
      <c r="N717" s="97"/>
      <c r="O717" s="48"/>
      <c r="P717" s="47"/>
      <c r="Q717" s="24"/>
    </row>
    <row r="718" spans="1:17" ht="12.5">
      <c r="A718" s="101"/>
      <c r="B718" s="24"/>
      <c r="C718" s="99"/>
      <c r="E718" s="47"/>
      <c r="F718" s="48"/>
      <c r="G718" s="47"/>
      <c r="J718" s="61"/>
      <c r="K718" s="61"/>
      <c r="L718" s="30"/>
      <c r="N718" s="97"/>
      <c r="O718" s="48"/>
      <c r="P718" s="47"/>
      <c r="Q718" s="24"/>
    </row>
    <row r="719" spans="1:17" ht="12.5">
      <c r="A719" s="101"/>
      <c r="B719" s="24"/>
      <c r="C719" s="99"/>
      <c r="E719" s="47"/>
      <c r="F719" s="48"/>
      <c r="G719" s="47"/>
      <c r="J719" s="61"/>
      <c r="K719" s="61"/>
      <c r="L719" s="30"/>
      <c r="N719" s="97"/>
      <c r="O719" s="48"/>
      <c r="P719" s="47"/>
      <c r="Q719" s="24"/>
    </row>
    <row r="720" spans="1:17" ht="12.5">
      <c r="A720" s="101"/>
      <c r="B720" s="24"/>
      <c r="C720" s="99"/>
      <c r="E720" s="47"/>
      <c r="F720" s="48"/>
      <c r="G720" s="47"/>
      <c r="J720" s="61"/>
      <c r="K720" s="61"/>
      <c r="L720" s="30"/>
      <c r="N720" s="97"/>
      <c r="O720" s="48"/>
      <c r="P720" s="47"/>
      <c r="Q720" s="24"/>
    </row>
    <row r="721" spans="1:17" ht="12.5">
      <c r="A721" s="101"/>
      <c r="B721" s="24"/>
      <c r="C721" s="99"/>
      <c r="E721" s="47"/>
      <c r="F721" s="48"/>
      <c r="G721" s="47"/>
      <c r="J721" s="61"/>
      <c r="K721" s="61"/>
      <c r="L721" s="30"/>
      <c r="N721" s="97"/>
      <c r="O721" s="48"/>
      <c r="P721" s="47"/>
      <c r="Q721" s="24"/>
    </row>
    <row r="722" spans="1:17" ht="12.5">
      <c r="A722" s="101"/>
      <c r="B722" s="24"/>
      <c r="C722" s="99"/>
      <c r="E722" s="47"/>
      <c r="F722" s="48"/>
      <c r="G722" s="47"/>
      <c r="J722" s="61"/>
      <c r="K722" s="61"/>
      <c r="L722" s="30"/>
      <c r="N722" s="97"/>
      <c r="O722" s="48"/>
      <c r="P722" s="47"/>
      <c r="Q722" s="24"/>
    </row>
    <row r="723" spans="1:17" ht="12.5">
      <c r="A723" s="101"/>
      <c r="B723" s="24"/>
      <c r="C723" s="99"/>
      <c r="E723" s="47"/>
      <c r="F723" s="48"/>
      <c r="G723" s="47"/>
      <c r="J723" s="61"/>
      <c r="K723" s="61"/>
      <c r="L723" s="30"/>
      <c r="N723" s="97"/>
      <c r="O723" s="48"/>
      <c r="P723" s="47"/>
      <c r="Q723" s="24"/>
    </row>
    <row r="724" spans="1:17" ht="12.5">
      <c r="A724" s="101"/>
      <c r="B724" s="24"/>
      <c r="C724" s="99"/>
      <c r="E724" s="47"/>
      <c r="F724" s="48"/>
      <c r="G724" s="47"/>
      <c r="J724" s="61"/>
      <c r="K724" s="61"/>
      <c r="L724" s="30"/>
      <c r="N724" s="97"/>
      <c r="O724" s="48"/>
      <c r="P724" s="47"/>
      <c r="Q724" s="24"/>
    </row>
    <row r="725" spans="1:17" ht="12.5">
      <c r="A725" s="101"/>
      <c r="B725" s="24"/>
      <c r="C725" s="99"/>
      <c r="E725" s="47"/>
      <c r="F725" s="48"/>
      <c r="G725" s="47"/>
      <c r="J725" s="61"/>
      <c r="K725" s="61"/>
      <c r="L725" s="30"/>
      <c r="N725" s="97"/>
      <c r="O725" s="48"/>
      <c r="P725" s="47"/>
      <c r="Q725" s="24"/>
    </row>
    <row r="726" spans="1:17" ht="12.5">
      <c r="A726" s="101"/>
      <c r="B726" s="24"/>
      <c r="C726" s="99"/>
      <c r="E726" s="47"/>
      <c r="F726" s="48"/>
      <c r="G726" s="47"/>
      <c r="J726" s="61"/>
      <c r="K726" s="61"/>
      <c r="L726" s="30"/>
      <c r="N726" s="97"/>
      <c r="O726" s="48"/>
      <c r="P726" s="47"/>
      <c r="Q726" s="24"/>
    </row>
    <row r="727" spans="1:17" ht="12.5">
      <c r="A727" s="101"/>
      <c r="B727" s="24"/>
      <c r="C727" s="99"/>
      <c r="E727" s="47"/>
      <c r="F727" s="48"/>
      <c r="G727" s="47"/>
      <c r="J727" s="61"/>
      <c r="K727" s="61"/>
      <c r="L727" s="30"/>
      <c r="N727" s="97"/>
      <c r="O727" s="48"/>
      <c r="P727" s="47"/>
      <c r="Q727" s="24"/>
    </row>
    <row r="728" spans="1:17" ht="12.5">
      <c r="A728" s="101"/>
      <c r="B728" s="24"/>
      <c r="C728" s="99"/>
      <c r="E728" s="47"/>
      <c r="F728" s="48"/>
      <c r="G728" s="47"/>
      <c r="J728" s="61"/>
      <c r="K728" s="61"/>
      <c r="L728" s="30"/>
      <c r="N728" s="97"/>
      <c r="O728" s="48"/>
      <c r="P728" s="47"/>
      <c r="Q728" s="24"/>
    </row>
    <row r="729" spans="1:17" ht="12.5">
      <c r="A729" s="101"/>
      <c r="B729" s="24"/>
      <c r="C729" s="99"/>
      <c r="E729" s="47"/>
      <c r="F729" s="48"/>
      <c r="G729" s="47"/>
      <c r="J729" s="61"/>
      <c r="K729" s="61"/>
      <c r="L729" s="30"/>
      <c r="N729" s="97"/>
      <c r="O729" s="48"/>
      <c r="P729" s="47"/>
      <c r="Q729" s="24"/>
    </row>
    <row r="730" spans="1:17" ht="12.5">
      <c r="A730" s="101"/>
      <c r="B730" s="24"/>
      <c r="C730" s="99"/>
      <c r="E730" s="47"/>
      <c r="F730" s="48"/>
      <c r="G730" s="47"/>
      <c r="J730" s="61"/>
      <c r="K730" s="61"/>
      <c r="L730" s="30"/>
      <c r="N730" s="97"/>
      <c r="O730" s="48"/>
      <c r="P730" s="47"/>
      <c r="Q730" s="24"/>
    </row>
    <row r="731" spans="1:17" ht="12.5">
      <c r="A731" s="101"/>
      <c r="B731" s="24"/>
      <c r="C731" s="99"/>
      <c r="E731" s="47"/>
      <c r="F731" s="48"/>
      <c r="G731" s="47"/>
      <c r="J731" s="61"/>
      <c r="K731" s="61"/>
      <c r="L731" s="30"/>
      <c r="N731" s="97"/>
      <c r="O731" s="48"/>
      <c r="P731" s="47"/>
      <c r="Q731" s="24"/>
    </row>
    <row r="732" spans="1:17" ht="12.5">
      <c r="A732" s="101"/>
      <c r="B732" s="24"/>
      <c r="C732" s="99"/>
      <c r="E732" s="47"/>
      <c r="F732" s="48"/>
      <c r="G732" s="47"/>
      <c r="J732" s="61"/>
      <c r="K732" s="61"/>
      <c r="L732" s="30"/>
      <c r="N732" s="97"/>
      <c r="O732" s="48"/>
      <c r="P732" s="47"/>
      <c r="Q732" s="24"/>
    </row>
    <row r="733" spans="1:17" ht="12.5">
      <c r="A733" s="101"/>
      <c r="B733" s="24"/>
      <c r="C733" s="99"/>
      <c r="E733" s="47"/>
      <c r="F733" s="48"/>
      <c r="G733" s="47"/>
      <c r="J733" s="61"/>
      <c r="K733" s="61"/>
      <c r="L733" s="30"/>
      <c r="N733" s="97"/>
      <c r="O733" s="48"/>
      <c r="P733" s="47"/>
      <c r="Q733" s="24"/>
    </row>
    <row r="734" spans="1:17" ht="12.5">
      <c r="A734" s="101"/>
      <c r="B734" s="24"/>
      <c r="C734" s="99"/>
      <c r="E734" s="47"/>
      <c r="F734" s="48"/>
      <c r="G734" s="47"/>
      <c r="J734" s="61"/>
      <c r="K734" s="61"/>
      <c r="L734" s="30"/>
      <c r="N734" s="97"/>
      <c r="O734" s="48"/>
      <c r="P734" s="47"/>
      <c r="Q734" s="24"/>
    </row>
    <row r="735" spans="1:17" ht="12.5">
      <c r="A735" s="101"/>
      <c r="B735" s="24"/>
      <c r="C735" s="99"/>
      <c r="E735" s="47"/>
      <c r="F735" s="48"/>
      <c r="G735" s="47"/>
      <c r="J735" s="61"/>
      <c r="K735" s="61"/>
      <c r="L735" s="30"/>
      <c r="N735" s="97"/>
      <c r="O735" s="48"/>
      <c r="P735" s="47"/>
      <c r="Q735" s="24"/>
    </row>
    <row r="736" spans="1:17" ht="12.5">
      <c r="A736" s="101"/>
      <c r="B736" s="24"/>
      <c r="C736" s="99"/>
      <c r="E736" s="47"/>
      <c r="F736" s="48"/>
      <c r="G736" s="47"/>
      <c r="J736" s="61"/>
      <c r="K736" s="61"/>
      <c r="L736" s="30"/>
      <c r="N736" s="97"/>
      <c r="O736" s="48"/>
      <c r="P736" s="47"/>
      <c r="Q736" s="24"/>
    </row>
    <row r="737" spans="1:17" ht="12.5">
      <c r="A737" s="101"/>
      <c r="B737" s="24"/>
      <c r="C737" s="99"/>
      <c r="E737" s="47"/>
      <c r="F737" s="48"/>
      <c r="G737" s="47"/>
      <c r="J737" s="61"/>
      <c r="K737" s="61"/>
      <c r="L737" s="30"/>
      <c r="N737" s="97"/>
      <c r="O737" s="48"/>
      <c r="P737" s="47"/>
      <c r="Q737" s="24"/>
    </row>
    <row r="738" spans="1:17" ht="12.5">
      <c r="A738" s="101"/>
      <c r="B738" s="24"/>
      <c r="C738" s="99"/>
      <c r="E738" s="47"/>
      <c r="F738" s="48"/>
      <c r="G738" s="47"/>
      <c r="J738" s="61"/>
      <c r="K738" s="61"/>
      <c r="L738" s="30"/>
      <c r="N738" s="97"/>
      <c r="O738" s="48"/>
      <c r="P738" s="47"/>
      <c r="Q738" s="24"/>
    </row>
    <row r="739" spans="1:17" ht="12.5">
      <c r="A739" s="101"/>
      <c r="B739" s="24"/>
      <c r="C739" s="99"/>
      <c r="E739" s="47"/>
      <c r="F739" s="48"/>
      <c r="G739" s="47"/>
      <c r="J739" s="61"/>
      <c r="K739" s="61"/>
      <c r="L739" s="30"/>
      <c r="N739" s="97"/>
      <c r="O739" s="48"/>
      <c r="P739" s="47"/>
      <c r="Q739" s="24"/>
    </row>
    <row r="740" spans="1:17" ht="12.5">
      <c r="A740" s="101"/>
      <c r="B740" s="24"/>
      <c r="C740" s="99"/>
      <c r="E740" s="47"/>
      <c r="F740" s="48"/>
      <c r="G740" s="47"/>
      <c r="J740" s="61"/>
      <c r="K740" s="61"/>
      <c r="L740" s="30"/>
      <c r="N740" s="97"/>
      <c r="O740" s="48"/>
      <c r="P740" s="47"/>
      <c r="Q740" s="24"/>
    </row>
    <row r="741" spans="1:17" ht="12.5">
      <c r="A741" s="101"/>
      <c r="B741" s="24"/>
      <c r="C741" s="99"/>
      <c r="E741" s="47"/>
      <c r="F741" s="48"/>
      <c r="G741" s="47"/>
      <c r="J741" s="61"/>
      <c r="K741" s="61"/>
      <c r="L741" s="30"/>
      <c r="N741" s="97"/>
      <c r="O741" s="48"/>
      <c r="P741" s="47"/>
      <c r="Q741" s="24"/>
    </row>
    <row r="742" spans="1:17" ht="12.5">
      <c r="A742" s="101"/>
      <c r="B742" s="24"/>
      <c r="C742" s="99"/>
      <c r="E742" s="47"/>
      <c r="F742" s="48"/>
      <c r="G742" s="47"/>
      <c r="J742" s="61"/>
      <c r="K742" s="61"/>
      <c r="L742" s="30"/>
      <c r="N742" s="97"/>
      <c r="O742" s="48"/>
      <c r="P742" s="47"/>
      <c r="Q742" s="24"/>
    </row>
    <row r="743" spans="1:17" ht="12.5">
      <c r="A743" s="101"/>
      <c r="B743" s="24"/>
      <c r="C743" s="99"/>
      <c r="E743" s="47"/>
      <c r="F743" s="48"/>
      <c r="G743" s="47"/>
      <c r="J743" s="61"/>
      <c r="K743" s="61"/>
      <c r="L743" s="30"/>
      <c r="N743" s="97"/>
      <c r="O743" s="48"/>
      <c r="P743" s="47"/>
      <c r="Q743" s="24"/>
    </row>
    <row r="744" spans="1:17" ht="12.5">
      <c r="A744" s="101"/>
      <c r="B744" s="24"/>
      <c r="C744" s="99"/>
      <c r="E744" s="47"/>
      <c r="F744" s="48"/>
      <c r="G744" s="47"/>
      <c r="J744" s="61"/>
      <c r="K744" s="61"/>
      <c r="L744" s="30"/>
      <c r="N744" s="97"/>
      <c r="O744" s="48"/>
      <c r="P744" s="47"/>
      <c r="Q744" s="24"/>
    </row>
    <row r="745" spans="1:17" ht="12.5">
      <c r="A745" s="101"/>
      <c r="B745" s="24"/>
      <c r="C745" s="99"/>
      <c r="E745" s="47"/>
      <c r="F745" s="48"/>
      <c r="G745" s="47"/>
      <c r="J745" s="61"/>
      <c r="K745" s="61"/>
      <c r="L745" s="30"/>
      <c r="N745" s="97"/>
      <c r="O745" s="48"/>
      <c r="P745" s="47"/>
      <c r="Q745" s="24"/>
    </row>
    <row r="746" spans="1:17" ht="12.5">
      <c r="A746" s="101"/>
      <c r="B746" s="24"/>
      <c r="C746" s="99"/>
      <c r="E746" s="47"/>
      <c r="F746" s="48"/>
      <c r="G746" s="47"/>
      <c r="J746" s="61"/>
      <c r="K746" s="61"/>
      <c r="L746" s="30"/>
      <c r="N746" s="97"/>
      <c r="O746" s="48"/>
      <c r="P746" s="47"/>
      <c r="Q746" s="24"/>
    </row>
    <row r="747" spans="1:17" ht="12.5">
      <c r="A747" s="101"/>
      <c r="B747" s="24"/>
      <c r="C747" s="99"/>
      <c r="E747" s="47"/>
      <c r="F747" s="48"/>
      <c r="G747" s="47"/>
      <c r="J747" s="61"/>
      <c r="K747" s="61"/>
      <c r="L747" s="30"/>
      <c r="N747" s="97"/>
      <c r="O747" s="48"/>
      <c r="P747" s="47"/>
      <c r="Q747" s="24"/>
    </row>
    <row r="748" spans="1:17" ht="12.5">
      <c r="A748" s="101"/>
      <c r="B748" s="24"/>
      <c r="C748" s="99"/>
      <c r="E748" s="47"/>
      <c r="F748" s="48"/>
      <c r="G748" s="47"/>
      <c r="J748" s="61"/>
      <c r="K748" s="61"/>
      <c r="L748" s="30"/>
      <c r="N748" s="97"/>
      <c r="O748" s="48"/>
      <c r="P748" s="47"/>
      <c r="Q748" s="24"/>
    </row>
    <row r="749" spans="1:17" ht="12.5">
      <c r="A749" s="101"/>
      <c r="B749" s="24"/>
      <c r="C749" s="99"/>
      <c r="E749" s="47"/>
      <c r="F749" s="48"/>
      <c r="G749" s="47"/>
      <c r="J749" s="61"/>
      <c r="K749" s="61"/>
      <c r="L749" s="30"/>
      <c r="N749" s="97"/>
      <c r="O749" s="48"/>
      <c r="P749" s="47"/>
      <c r="Q749" s="24"/>
    </row>
    <row r="750" spans="1:17" ht="12.5">
      <c r="A750" s="101"/>
      <c r="B750" s="24"/>
      <c r="C750" s="99"/>
      <c r="E750" s="47"/>
      <c r="F750" s="48"/>
      <c r="G750" s="47"/>
      <c r="J750" s="24"/>
      <c r="K750" s="24"/>
      <c r="L750" s="30"/>
      <c r="N750" s="47"/>
      <c r="O750" s="48"/>
      <c r="P750" s="47"/>
      <c r="Q750" s="24"/>
    </row>
    <row r="751" spans="1:17" ht="15">
      <c r="A751" s="101"/>
      <c r="B751" s="24"/>
      <c r="C751" s="99"/>
      <c r="E751" s="47"/>
      <c r="F751" s="48"/>
      <c r="G751" s="47"/>
      <c r="O751" s="49"/>
      <c r="P751" s="50"/>
      <c r="Q751" s="51">
        <f>SUM(Q82:Q750)</f>
        <v>15531769</v>
      </c>
    </row>
    <row r="752" spans="1:17" ht="12.5">
      <c r="B752" s="24"/>
      <c r="C752" s="99"/>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23" priority="10" operator="containsText" text="ERROR">
      <formula>NOT(ISERROR(SEARCH("ERROR",T17)))</formula>
    </cfRule>
  </conditionalFormatting>
  <conditionalFormatting sqref="T42">
    <cfRule type="containsText" dxfId="22" priority="9" operator="containsText" text="ERROR">
      <formula>NOT(ISERROR(SEARCH("ERROR",T42)))</formula>
    </cfRule>
  </conditionalFormatting>
  <conditionalFormatting sqref="W19">
    <cfRule type="containsText" dxfId="21" priority="5" operator="containsText" text="ERROR">
      <formula>NOT(ISERROR(SEARCH("ERROR",W19)))</formula>
    </cfRule>
  </conditionalFormatting>
  <conditionalFormatting sqref="BL72">
    <cfRule type="containsText" dxfId="20" priority="6" operator="containsText" text="ERROR">
      <formula>NOT(ISERROR(SEARCH("ERROR",BL72)))</formula>
    </cfRule>
  </conditionalFormatting>
  <dataValidations count="5">
    <dataValidation type="list" allowBlank="1" showInputMessage="1" showErrorMessage="1" sqref="C84:C752" xr:uid="{F284D904-0670-41E2-8BFB-C48349756CF2}">
      <formula1>Compadjust</formula1>
    </dataValidation>
    <dataValidation type="list" allowBlank="1" showInputMessage="1" showErrorMessage="1" sqref="M93:M95 L100:L748 M131:M748 L97:M98 L84:L96" xr:uid="{C9CCA4B9-8836-45AD-A558-15D12802897E}">
      <formula1>Taxes</formula1>
    </dataValidation>
    <dataValidation type="list" allowBlank="1" showInputMessage="1" showErrorMessage="1" sqref="N84:N749" xr:uid="{52904446-BFE3-4A37-904B-893887AABCAC}">
      <formula1>Govadjust</formula1>
    </dataValidation>
    <dataValidation type="list" allowBlank="1" showInputMessage="1" showErrorMessage="1" sqref="N5:N8 N75 N73 N77:N79 N10:N71" xr:uid="{B9F927C5-29E9-4DF3-BC86-F93405D735D6}">
      <formula1>FinalDiff</formula1>
    </dataValidation>
    <dataValidation type="list" allowBlank="1" showErrorMessage="1" errorTitle="Taxes" error="Non valid entry. Please check the tax list" promptTitle="Taxes" prompt="Please select the tax subject to adjustment" sqref="B89:B117" xr:uid="{ACF5F2DC-B1F9-429D-AE8F-BD6B41DC3D81}">
      <formula1>$A$135:$A$136</formula1>
    </dataValidation>
  </dataValidations>
  <pageMargins left="0.7" right="0.7" top="0.75" bottom="0.75" header="0.3" footer="0.3"/>
  <pageSetup paperSize="9" orientation="landscape"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625BCD54-AE8E-4941-8C62-7A94DFB0850C}">
          <x14:formula1>
            <xm:f>Lists!$A$131:$A$132</xm:f>
          </x14:formula1>
          <xm:sqref>B84:B88 K84:K749</xm:sqref>
        </x14:dataValidation>
        <x14:dataValidation type="list" allowBlank="1" showErrorMessage="1" errorTitle="Taxes" error="Non valid entry. Please check the tax list" promptTitle="Taxes" prompt="Please select the tax subject to adjustment" xr:uid="{1DB5140C-A558-4580-AEEA-4FC88DF7F815}">
          <x14:formula1>
            <xm:f>Lists!$A$7:$A$64</xm:f>
          </x14:formula1>
          <xm:sqref>A84:A751 J89:J749</xm:sqref>
        </x14:dataValidation>
        <x14:dataValidation type="list" allowBlank="1" showInputMessage="1" showErrorMessage="1" xr:uid="{C3AF94E8-9B45-4E39-87C8-8DDBAEE96786}">
          <x14:formula1>
            <xm:f>Lists!$A$7:$A$64</xm:f>
          </x14:formula1>
          <xm:sqref>J84:J88</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7"/>
  <dimension ref="A1:BL753"/>
  <sheetViews>
    <sheetView showGridLines="0" topLeftCell="B16" zoomScaleNormal="100" workbookViewId="0">
      <selection activeCell="E32" sqref="E32"/>
    </sheetView>
  </sheetViews>
  <sheetFormatPr baseColWidth="10" defaultColWidth="11.54296875" defaultRowHeight="12" outlineLevelCol="1"/>
  <cols>
    <col min="1" max="1" width="28.54296875" style="17" hidden="1" customWidth="1"/>
    <col min="2" max="2" width="4.453125" style="17" customWidth="1"/>
    <col min="3" max="3" width="49.81640625" style="30" bestFit="1" customWidth="1"/>
    <col min="4" max="4" width="0.81640625" style="21" customWidth="1"/>
    <col min="5" max="5" width="15.54296875" style="21" customWidth="1"/>
    <col min="6" max="6" width="14.26953125" style="17" customWidth="1"/>
    <col min="7" max="7" width="15.26953125" style="21" customWidth="1"/>
    <col min="8" max="8" width="0.81640625" style="21" customWidth="1"/>
    <col min="9" max="9" width="15.26953125" style="21" bestFit="1" customWidth="1"/>
    <col min="10" max="10" width="17.269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Companies!B24</f>
        <v>CENTRA BOIS</v>
      </c>
      <c r="F1" s="32" t="str">
        <f>Companies!C24</f>
        <v>M344523U001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SUMIF($N$9:$N$79,U3,$M$9:$M$79)</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-8943294.6953039914</v>
      </c>
      <c r="BE5" s="81">
        <f t="shared" ca="1" si="15"/>
        <v>0</v>
      </c>
      <c r="BF5" s="81">
        <f t="shared" ca="1" si="15"/>
        <v>-2145500</v>
      </c>
      <c r="BG5" s="81">
        <f t="shared" ca="1" si="15"/>
        <v>15566650</v>
      </c>
      <c r="BH5" s="81">
        <f t="shared" ca="1" si="15"/>
        <v>0</v>
      </c>
      <c r="BI5" s="81">
        <f t="shared" ca="1" si="15"/>
        <v>0</v>
      </c>
      <c r="BJ5" s="81">
        <f t="shared" ca="1" si="15"/>
        <v>0</v>
      </c>
      <c r="BK5" s="81">
        <f t="shared" ca="1" si="15"/>
        <v>-502943.71428571641</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1360035</v>
      </c>
      <c r="BE6" s="29">
        <f t="shared" ca="1" si="21"/>
        <v>0</v>
      </c>
      <c r="BF6" s="29">
        <f t="shared" ca="1" si="21"/>
        <v>0</v>
      </c>
      <c r="BG6" s="29">
        <f t="shared" ca="1" si="21"/>
        <v>0</v>
      </c>
      <c r="BH6" s="29">
        <f t="shared" ca="1" si="21"/>
        <v>0</v>
      </c>
      <c r="BI6" s="29">
        <f t="shared" ca="1" si="21"/>
        <v>0</v>
      </c>
      <c r="BJ6" s="29">
        <f t="shared" ca="1" si="21"/>
        <v>0</v>
      </c>
      <c r="BK6" s="29">
        <f t="shared" ca="1" si="21"/>
        <v>-309278</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ca="1" si="4"/>
        <v>-105335332.83090401</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-309278</v>
      </c>
    </row>
    <row r="8" spans="1:63">
      <c r="B8" s="78" t="s">
        <v>93</v>
      </c>
      <c r="C8" s="77"/>
      <c r="E8" s="164">
        <f>+E9+E13+E15+E17+E40+E45+E47+E52+E55+E62+E65+E68+E77</f>
        <v>413544189</v>
      </c>
      <c r="F8" s="164">
        <f>+F9+F13+F15+F17+F40+F45+F47+F52+F55+F62+F65+F68+F77</f>
        <v>27682069</v>
      </c>
      <c r="G8" s="164">
        <f>+G9+G13+G15+G17+G40+G45+G47+G52+G55+G62+G65+G68+G77</f>
        <v>441226258</v>
      </c>
      <c r="H8" s="114"/>
      <c r="I8" s="164">
        <f>+I9+I13+I15+I17+I40+I45+I47+I52+I55+I62+I65+I68+I77</f>
        <v>487075551.83090401</v>
      </c>
      <c r="J8" s="164">
        <f ca="1">+J9+J13+J15+J17+J40+J45+J47+J52+J55+J62+J65+J68+J77</f>
        <v>46567832.714285716</v>
      </c>
      <c r="K8" s="164">
        <f ca="1">+K9+K13+K15+K17+K40+K45+K47+K52+K55+K62+K65+K68+K77</f>
        <v>533643384.54518974</v>
      </c>
      <c r="L8" s="114"/>
      <c r="M8" s="164">
        <f ca="1">+M9+M13+M15+M17+M40+M45+M52+M55+M62+M65+M68+M77+M47</f>
        <v>-92417126.545189708</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1360035</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36973751</v>
      </c>
      <c r="F9" s="166">
        <f t="shared" ref="F9:G9" si="25">SUM(F10:F12)</f>
        <v>0</v>
      </c>
      <c r="G9" s="166">
        <f t="shared" si="25"/>
        <v>36973751</v>
      </c>
      <c r="H9" s="114"/>
      <c r="I9" s="166">
        <f>SUM(I10:I12)</f>
        <v>0</v>
      </c>
      <c r="J9" s="166">
        <f t="shared" ref="J9" ca="1" si="26">SUM(J10:J12)</f>
        <v>35922994</v>
      </c>
      <c r="K9" s="166">
        <f t="shared" ref="K9" ca="1" si="27">SUM(K10:K12)</f>
        <v>35922994</v>
      </c>
      <c r="L9" s="114"/>
      <c r="M9" s="166">
        <f t="shared" ref="M9" ca="1" si="28">SUM(M10:M12)</f>
        <v>1050757</v>
      </c>
      <c r="N9" s="58"/>
      <c r="Q9" s="35"/>
      <c r="R9" s="21" t="str">
        <f>Lists!A74</f>
        <v>Erreur de classification</v>
      </c>
      <c r="S9" s="18">
        <f t="shared" si="3"/>
        <v>0</v>
      </c>
      <c r="U9" s="21" t="str">
        <f>Lists!A97</f>
        <v>Taxes non reportées par l'Entreprise Extractive</v>
      </c>
      <c r="V9" s="18">
        <f t="shared" ca="1" si="4"/>
        <v>-2145500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v>1540558</v>
      </c>
      <c r="F10" s="165">
        <f>SUMIF($A$84:$A$751,B10&amp;"- "&amp;C10,$G$84:$G$751)</f>
        <v>0</v>
      </c>
      <c r="G10" s="165">
        <f>E10+F10</f>
        <v>1540558</v>
      </c>
      <c r="H10" s="114"/>
      <c r="I10" s="165"/>
      <c r="J10" s="165">
        <f>SUMIF($J$83:$J$1048576,C10,$Q$83:$Q$1048576)</f>
        <v>1849836</v>
      </c>
      <c r="K10" s="165">
        <f>I10+J10</f>
        <v>1849836</v>
      </c>
      <c r="L10" s="114"/>
      <c r="M10" s="165">
        <f>+G10-K10</f>
        <v>-309278</v>
      </c>
      <c r="N10" s="68" t="s">
        <v>229</v>
      </c>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ca="1" si="4"/>
        <v>15566650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v>35433193</v>
      </c>
      <c r="F11" s="114">
        <f>SUMIF($A$84:$A$751,B11&amp;"- "&amp;C11,$G$84:$G$751)</f>
        <v>0</v>
      </c>
      <c r="G11" s="114">
        <f>E11+F11</f>
        <v>35433193</v>
      </c>
      <c r="H11" s="114"/>
      <c r="I11" s="114"/>
      <c r="J11" s="114">
        <f>SUMIF($J$83:$J$1048576,C11,$Q$83:$Q$1048576)</f>
        <v>34073158</v>
      </c>
      <c r="K11" s="114">
        <f>I11+J11</f>
        <v>34073158</v>
      </c>
      <c r="L11" s="114"/>
      <c r="M11" s="114">
        <f>+G11-K11</f>
        <v>1360035</v>
      </c>
      <c r="N11" s="18" t="s">
        <v>85</v>
      </c>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t="s">
        <v>54</v>
      </c>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-493665.71428571641</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ca="1" si="4"/>
        <v>-502943.71428571641</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 ca="1">SUM(V3:V14)</f>
        <v>-92417126.545189723</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-849670</v>
      </c>
    </row>
    <row r="17" spans="1:63">
      <c r="A17" s="80">
        <f t="shared" si="29"/>
        <v>0</v>
      </c>
      <c r="B17" s="163"/>
      <c r="C17" s="58" t="str">
        <f>+'Taxes RCA 2022'!B10</f>
        <v>DGID</v>
      </c>
      <c r="E17" s="166">
        <f>SUM(E18:E39)</f>
        <v>47734415</v>
      </c>
      <c r="F17" s="166">
        <f t="shared" ref="F17:G17" si="51">SUM(F18:F39)</f>
        <v>128587323</v>
      </c>
      <c r="G17" s="166">
        <f t="shared" si="51"/>
        <v>176321738</v>
      </c>
      <c r="H17" s="114"/>
      <c r="I17" s="166">
        <f>SUM(I18:I39)</f>
        <v>187137999</v>
      </c>
      <c r="J17" s="166">
        <f t="shared" ref="J17" ca="1" si="52">SUM(J18:J39)</f>
        <v>10644838.714285716</v>
      </c>
      <c r="K17" s="166">
        <f t="shared" ref="K17" ca="1" si="53">SUM(K18:K39)</f>
        <v>197782837.71428573</v>
      </c>
      <c r="L17" s="114"/>
      <c r="M17" s="166">
        <f t="shared" ref="M17" ca="1" si="54">SUM(M18:M39)</f>
        <v>-21461099.714285716</v>
      </c>
      <c r="N17" s="58"/>
      <c r="O17" s="38" t="str">
        <f t="shared" ca="1" si="46"/>
        <v>ERROR</v>
      </c>
      <c r="P17" s="39" t="str">
        <f t="shared" ca="1" si="47"/>
        <v>Please insert comment</v>
      </c>
      <c r="Q17" s="35"/>
      <c r="T17" s="41" t="str">
        <f>IF(F8=S12,"","ERROR")</f>
        <v>ERROR</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356000</v>
      </c>
    </row>
    <row r="18" spans="1:63">
      <c r="A18" s="80"/>
      <c r="B18" s="53">
        <f>+'Taxes RCA 2022'!A11</f>
        <v>6</v>
      </c>
      <c r="C18" s="18" t="str">
        <f>+'Taxes RCA 2022'!B11</f>
        <v>Redevance à la production (+)</v>
      </c>
      <c r="E18" s="114"/>
      <c r="F18" s="114">
        <f t="shared" ref="F18:F30" si="55">SUMIF($A$84:$A$751,B18&amp;"- "&amp;C18,$G$84:$G$751)</f>
        <v>0</v>
      </c>
      <c r="G18" s="114">
        <f t="shared" ref="G18:G39" si="56">E18+F18</f>
        <v>0</v>
      </c>
      <c r="H18" s="114"/>
      <c r="I18" s="114"/>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v>20617833</v>
      </c>
      <c r="F19" s="165">
        <f t="shared" si="55"/>
        <v>0</v>
      </c>
      <c r="G19" s="165">
        <f t="shared" si="56"/>
        <v>20617833</v>
      </c>
      <c r="H19" s="114"/>
      <c r="I19" s="165">
        <v>21467503</v>
      </c>
      <c r="J19" s="165">
        <f ca="1">SUMIF($J$84:$M$749,C19,$Q$84:$Q$749)</f>
        <v>0</v>
      </c>
      <c r="K19" s="165">
        <f t="shared" ca="1" si="57"/>
        <v>21467503</v>
      </c>
      <c r="L19" s="114"/>
      <c r="M19" s="165">
        <f t="shared" ca="1" si="58"/>
        <v>-849670</v>
      </c>
      <c r="N19" s="68" t="s">
        <v>229</v>
      </c>
      <c r="O19" s="38" t="str">
        <f t="shared" ca="1" si="46"/>
        <v/>
      </c>
      <c r="P19" s="39" t="str">
        <f t="shared" ca="1" si="47"/>
        <v/>
      </c>
      <c r="Q19" s="35"/>
      <c r="W19" s="41" t="str">
        <f ca="1">IF(M8=V15,"","ERROR")</f>
        <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v>716000</v>
      </c>
      <c r="F20" s="114">
        <f t="shared" si="55"/>
        <v>0</v>
      </c>
      <c r="G20" s="114">
        <f t="shared" si="56"/>
        <v>716000</v>
      </c>
      <c r="H20" s="114"/>
      <c r="I20" s="114">
        <v>360000</v>
      </c>
      <c r="J20" s="114">
        <f ca="1">SUMIF($J$84:$M$749,C20,$Q$84:$Q$749)</f>
        <v>0</v>
      </c>
      <c r="K20" s="114">
        <f t="shared" ca="1" si="57"/>
        <v>360000</v>
      </c>
      <c r="L20" s="114"/>
      <c r="M20" s="114">
        <f t="shared" ca="1" si="58"/>
        <v>356000</v>
      </c>
      <c r="N20" s="18" t="s">
        <v>229</v>
      </c>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4.2857142835855484</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ca="1">SUMIF($J$84:$M$749,B21&amp;"- "&amp;C21,$Q$84:$Q$749)</f>
        <v>0</v>
      </c>
      <c r="K21" s="165">
        <f t="shared" ca="1" si="57"/>
        <v>0</v>
      </c>
      <c r="L21" s="114"/>
      <c r="M21" s="165">
        <f t="shared" ca="1" si="58"/>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-17208064</v>
      </c>
      <c r="BE22" s="29">
        <f t="shared" ca="1" si="64"/>
        <v>0</v>
      </c>
      <c r="BF22" s="29">
        <f t="shared" ca="1" si="64"/>
        <v>-2145500</v>
      </c>
      <c r="BG22" s="29">
        <f t="shared" ca="1" si="64"/>
        <v>13066650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v>35482800</v>
      </c>
      <c r="F23" s="165">
        <f t="shared" si="55"/>
        <v>0</v>
      </c>
      <c r="G23" s="165">
        <f t="shared" si="56"/>
        <v>35482800</v>
      </c>
      <c r="H23" s="114"/>
      <c r="I23" s="165">
        <v>24837957</v>
      </c>
      <c r="J23" s="165">
        <f ca="1">SUMIF($J$84:$M$749,C23,$Q$84:$Q$749)</f>
        <v>10644838.714285715</v>
      </c>
      <c r="K23" s="165">
        <f t="shared" ca="1" si="57"/>
        <v>35482795.714285716</v>
      </c>
      <c r="L23" s="114"/>
      <c r="M23" s="165">
        <f t="shared" ca="1" si="58"/>
        <v>4.2857142835855484</v>
      </c>
      <c r="N23" s="68" t="s">
        <v>229</v>
      </c>
      <c r="O23" s="38" t="str">
        <f t="shared" ca="1" si="46"/>
        <v/>
      </c>
      <c r="P23" s="39" t="str">
        <f t="shared" ca="1" si="47"/>
        <v/>
      </c>
      <c r="Q23" s="35"/>
      <c r="Y23" s="15">
        <f t="shared" ref="Y23:Y32" si="65">B26</f>
        <v>14</v>
      </c>
      <c r="Z23" s="25" t="str">
        <f t="shared" si="59"/>
        <v xml:space="preserve">Taxe de reboisement  </v>
      </c>
      <c r="AA23" s="16">
        <f t="shared" ref="AA23:AI32" si="66">SUMPRODUCT(($A$84:$A$751=$Y23&amp;"- "&amp;$Z23)*($C$84:$C$751=AA$1)*($G$84:$G$751))</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-15071228</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c r="J24" s="114">
        <f ca="1">SUMIF($J$84:$M$749,B24&amp;"- "&amp;C24,$Q$84:$Q$749)</f>
        <v>0</v>
      </c>
      <c r="K24" s="114">
        <f t="shared" ca="1" si="57"/>
        <v>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-2145500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v>56267888</v>
      </c>
      <c r="F25" s="165">
        <f t="shared" si="55"/>
        <v>0</v>
      </c>
      <c r="G25" s="165">
        <f t="shared" si="56"/>
        <v>56267888</v>
      </c>
      <c r="H25" s="114"/>
      <c r="I25" s="165">
        <v>73448408</v>
      </c>
      <c r="J25" s="165">
        <f ca="1">SUMIF($J$84:$M$749,C25,$Q$84:$Q$749)</f>
        <v>0</v>
      </c>
      <c r="K25" s="165">
        <f t="shared" ca="1" si="57"/>
        <v>73448408</v>
      </c>
      <c r="L25" s="114"/>
      <c r="M25" s="165">
        <f t="shared" ca="1" si="58"/>
        <v>-17180520</v>
      </c>
      <c r="N25" s="68" t="s">
        <v>85</v>
      </c>
      <c r="O25" s="38" t="str">
        <f t="shared" ca="1" si="46"/>
        <v/>
      </c>
      <c r="P25" s="39"/>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v>47580567</v>
      </c>
      <c r="F26" s="114">
        <f t="shared" si="55"/>
        <v>0</v>
      </c>
      <c r="G26" s="114">
        <f t="shared" si="56"/>
        <v>47580567</v>
      </c>
      <c r="H26" s="114"/>
      <c r="I26" s="114"/>
      <c r="J26" s="114">
        <f ca="1">SUMIF($J$84:$M$749,C26,$Q$84:$Q$749)</f>
        <v>62651795</v>
      </c>
      <c r="K26" s="114">
        <f t="shared" ca="1" si="57"/>
        <v>62651795</v>
      </c>
      <c r="L26" s="114"/>
      <c r="M26" s="114">
        <f t="shared" ca="1" si="58"/>
        <v>-15071228</v>
      </c>
      <c r="N26" s="18" t="s">
        <v>85</v>
      </c>
      <c r="O26" s="38" t="str">
        <f t="shared" ca="1" si="46"/>
        <v/>
      </c>
      <c r="P26" s="39" t="str">
        <f t="shared" ca="1" si="47"/>
        <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v>2145500</v>
      </c>
      <c r="J27" s="165">
        <f t="shared" ref="J27:J37" ca="1" si="74">SUMIF($J$84:$M$749,B27&amp;"- "&amp;C27,$Q$84:$Q$749)</f>
        <v>0</v>
      </c>
      <c r="K27" s="165">
        <f t="shared" ca="1" si="57"/>
        <v>2145500</v>
      </c>
      <c r="L27" s="114"/>
      <c r="M27" s="165">
        <f t="shared" ca="1" si="58"/>
        <v>-2145500</v>
      </c>
      <c r="N27" s="68" t="s">
        <v>53</v>
      </c>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13066650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74"/>
        <v>0</v>
      </c>
      <c r="K28" s="114">
        <f t="shared" ca="1" si="57"/>
        <v>0</v>
      </c>
      <c r="L28" s="114"/>
      <c r="M28" s="114">
        <f t="shared" ca="1" si="58"/>
        <v>0</v>
      </c>
      <c r="N28" s="18"/>
      <c r="O28" s="38" t="str">
        <f t="shared" ca="1" si="46"/>
        <v/>
      </c>
      <c r="P28" s="39" t="str">
        <f t="shared" ca="1" si="47"/>
        <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-2136836</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74"/>
        <v>0</v>
      </c>
      <c r="K29" s="165">
        <f t="shared" ca="1" si="57"/>
        <v>0</v>
      </c>
      <c r="L29" s="114"/>
      <c r="M29" s="165">
        <f t="shared" ca="1" si="58"/>
        <v>0</v>
      </c>
      <c r="N29" s="68"/>
      <c r="O29" s="38" t="str">
        <f t="shared" ca="1" si="46"/>
        <v/>
      </c>
      <c r="P29" s="39" t="str">
        <f t="shared" ca="1" si="47"/>
        <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v>13156650</v>
      </c>
      <c r="F30" s="114">
        <f t="shared" si="55"/>
        <v>0</v>
      </c>
      <c r="G30" s="114">
        <f t="shared" si="56"/>
        <v>13156650</v>
      </c>
      <c r="H30" s="114"/>
      <c r="I30" s="114">
        <v>90000</v>
      </c>
      <c r="J30" s="114">
        <f t="shared" ca="1" si="74"/>
        <v>0</v>
      </c>
      <c r="K30" s="114">
        <f t="shared" ca="1" si="57"/>
        <v>90000</v>
      </c>
      <c r="L30" s="114"/>
      <c r="M30" s="114">
        <f t="shared" ca="1" si="58"/>
        <v>13066650</v>
      </c>
      <c r="N30" s="18" t="s">
        <v>54</v>
      </c>
      <c r="O30" s="38" t="str">
        <f t="shared" ca="1" si="46"/>
        <v/>
      </c>
      <c r="P30" s="39" t="str">
        <f t="shared" ca="1" si="47"/>
        <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v>-126087323</v>
      </c>
      <c r="F31" s="165">
        <f>G84</f>
        <v>126087323</v>
      </c>
      <c r="G31" s="165">
        <f t="shared" si="56"/>
        <v>0</v>
      </c>
      <c r="H31" s="114"/>
      <c r="I31" s="165">
        <v>2136836</v>
      </c>
      <c r="J31" s="165">
        <f t="shared" ca="1" si="74"/>
        <v>0</v>
      </c>
      <c r="K31" s="165">
        <f t="shared" ca="1" si="57"/>
        <v>2136836</v>
      </c>
      <c r="L31" s="114"/>
      <c r="M31" s="165">
        <f t="shared" ca="1" si="58"/>
        <v>-2136836</v>
      </c>
      <c r="N31" s="68" t="s">
        <v>85</v>
      </c>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SUMIF($A$84:$A$751,B32&amp;"- "&amp;C32,$G$84:$G$751)</f>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SUMIF($A$84:$A$751,B33&amp;"- "&amp;C33,$G$84:$G$751)</f>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-29855584.631551996</v>
      </c>
      <c r="BE33" s="29">
        <f t="shared" ca="1" si="77"/>
        <v>0</v>
      </c>
      <c r="BF33" s="29">
        <f t="shared" ca="1" si="77"/>
        <v>0</v>
      </c>
      <c r="BG33" s="29">
        <f t="shared" ca="1" si="77"/>
        <v>2500000</v>
      </c>
      <c r="BH33" s="29">
        <f t="shared" ca="1" si="77"/>
        <v>0</v>
      </c>
      <c r="BI33" s="29">
        <f t="shared" ca="1" si="77"/>
        <v>0</v>
      </c>
      <c r="BJ33" s="29">
        <f t="shared" ca="1" si="77"/>
        <v>0</v>
      </c>
      <c r="BK33" s="29">
        <f t="shared" ca="1" si="77"/>
        <v>300000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SUMIF($A$84:$A$751,B34&amp;"- "&amp;C34,$G$84:$G$751)</f>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2500000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SUMIF($A$84:$A$751,B35&amp;"- "&amp;C35,$G$84:$G$751)</f>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SUMIF($A$84:$A$751,B36&amp;"- "&amp;C36,$G$84:$G$751)</f>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+G90</f>
        <v>2500000</v>
      </c>
      <c r="G37" s="165">
        <f t="shared" si="56"/>
        <v>2500000</v>
      </c>
      <c r="H37" s="114"/>
      <c r="I37" s="165"/>
      <c r="J37" s="165">
        <f t="shared" ca="1" si="74"/>
        <v>0</v>
      </c>
      <c r="K37" s="165">
        <f t="shared" ca="1" si="57"/>
        <v>0</v>
      </c>
      <c r="L37" s="114"/>
      <c r="M37" s="165">
        <f t="shared" ca="1" si="58"/>
        <v>2500000</v>
      </c>
      <c r="N37" s="68" t="s">
        <v>54</v>
      </c>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SUMIF($A$84:$A$751,B38&amp;"- "&amp;C38,$G$84:$G$751)</f>
        <v>0</v>
      </c>
      <c r="G38" s="114">
        <f t="shared" si="56"/>
        <v>0</v>
      </c>
      <c r="H38" s="114"/>
      <c r="I38" s="114">
        <v>62651795</v>
      </c>
      <c r="J38" s="114">
        <f ca="1">SUMIF($J$84:$M$749,C38,$Q$84:$Q$749)</f>
        <v>-62651795</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SUMIF($A$84:$A$751,B39&amp;"- "&amp;C39,$G$84:$G$751)</f>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-12775006.063751996</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-17080578.5678</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86485700</v>
      </c>
      <c r="F47" s="166">
        <f>SUM(F48:F51)</f>
        <v>0</v>
      </c>
      <c r="G47" s="166">
        <f>SUM(G48:G51)</f>
        <v>86485700</v>
      </c>
      <c r="H47" s="114"/>
      <c r="I47" s="166">
        <f>SUM(I48:I51)</f>
        <v>116341284.631552</v>
      </c>
      <c r="J47" s="166">
        <f ca="1">SUM(J48:J51)</f>
        <v>0</v>
      </c>
      <c r="K47" s="166">
        <f ca="1">SUM(K48:K51)</f>
        <v>116341284.631552</v>
      </c>
      <c r="L47" s="114"/>
      <c r="M47" s="166">
        <f ca="1">SUM(M48:M51)</f>
        <v>-29855584.631551996</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v>42311295</v>
      </c>
      <c r="F48" s="114">
        <f>SUMIF($A$84:$A$751,B48&amp;"- "&amp;C48,$G$84:$G$751)</f>
        <v>0</v>
      </c>
      <c r="G48" s="114">
        <f>E48+F48</f>
        <v>42311295</v>
      </c>
      <c r="H48" s="114"/>
      <c r="I48" s="114">
        <v>55086301.063751996</v>
      </c>
      <c r="J48" s="114">
        <f ca="1">SUMIF($J$84:$M$749,B48&amp;"- "&amp;C48,$Q$84:$Q$749)</f>
        <v>0</v>
      </c>
      <c r="K48" s="114">
        <f ca="1">I48+J48</f>
        <v>55086301.063751996</v>
      </c>
      <c r="L48" s="114"/>
      <c r="M48" s="114">
        <f ca="1">+G48-K48</f>
        <v>-12775006.063751996</v>
      </c>
      <c r="N48" s="18" t="s">
        <v>85</v>
      </c>
      <c r="O48" s="38" t="str">
        <f t="shared" ca="1" si="46"/>
        <v/>
      </c>
      <c r="P48" s="39" t="str">
        <f t="shared" ca="1" si="86"/>
        <v/>
      </c>
      <c r="Y48" s="15">
        <f t="shared" si="78"/>
        <v>36</v>
      </c>
      <c r="Z48" s="25" t="str">
        <f t="shared" si="59"/>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300000</v>
      </c>
    </row>
    <row r="49" spans="1:63">
      <c r="A49" s="80">
        <f t="shared" si="29"/>
        <v>34</v>
      </c>
      <c r="B49" s="64">
        <f>+'Taxes RCA 2022'!A42</f>
        <v>34</v>
      </c>
      <c r="C49" s="68" t="str">
        <f>+'Taxes RCA 2022'!B42</f>
        <v>Taxe de reboisement (+)</v>
      </c>
      <c r="E49" s="165">
        <v>44174405</v>
      </c>
      <c r="F49" s="165">
        <f>SUMIF($A$84:$A$751,B49&amp;"- "&amp;C49,$G$84:$G$751)</f>
        <v>0</v>
      </c>
      <c r="G49" s="165">
        <f>E49+F49</f>
        <v>44174405</v>
      </c>
      <c r="H49" s="114"/>
      <c r="I49" s="165">
        <v>61254983.5678</v>
      </c>
      <c r="J49" s="165">
        <f ca="1">SUMIF($J$84:$M$749,B49&amp;"- "&amp;C49,$Q$84:$Q$749)</f>
        <v>0</v>
      </c>
      <c r="K49" s="165">
        <f ca="1">I49+J49</f>
        <v>61254983.5678</v>
      </c>
      <c r="L49" s="114"/>
      <c r="M49" s="165">
        <f ca="1">+G49-K49</f>
        <v>-17080578.5678</v>
      </c>
      <c r="N49" s="68" t="s">
        <v>85</v>
      </c>
      <c r="O49" s="38" t="str">
        <f t="shared" ca="1" si="46"/>
        <v/>
      </c>
      <c r="P49" s="39" t="str">
        <f t="shared" ca="1" si="86"/>
        <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36760318.936248004</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36760318.936248004</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135145069</v>
      </c>
      <c r="F52" s="166">
        <f t="shared" ref="F52:G52" si="104">+F53+F54</f>
        <v>0</v>
      </c>
      <c r="G52" s="166">
        <f t="shared" si="104"/>
        <v>135145069</v>
      </c>
      <c r="H52" s="114"/>
      <c r="I52" s="166">
        <f>+I53+I54</f>
        <v>177596268.199352</v>
      </c>
      <c r="J52" s="166">
        <f t="shared" ref="J52" ca="1" si="105">+J53+J54</f>
        <v>0</v>
      </c>
      <c r="K52" s="166">
        <f t="shared" ref="K52" ca="1" si="106">+K53+K54</f>
        <v>177596268.199352</v>
      </c>
      <c r="L52" s="114"/>
      <c r="M52" s="166">
        <f t="shared" ref="M52" ca="1" si="107">+M53+M54</f>
        <v>-42451199.199351996</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v>43298449</v>
      </c>
      <c r="F53" s="114">
        <f>SUMIF($A$84:$A$751,B53&amp;"- "&amp;C53,$G$84:$G$751)</f>
        <v>0</v>
      </c>
      <c r="G53" s="114">
        <f>E53+F53</f>
        <v>43298449</v>
      </c>
      <c r="H53" s="114"/>
      <c r="I53" s="114">
        <v>122509967.1356</v>
      </c>
      <c r="J53" s="114">
        <f ca="1">SUMIF($J$84:$M$749,B53&amp;"- "&amp;C53,$Q$84:$Q$749)</f>
        <v>0</v>
      </c>
      <c r="K53" s="114">
        <f ca="1">I53+J53</f>
        <v>122509967.1356</v>
      </c>
      <c r="L53" s="114"/>
      <c r="M53" s="114">
        <f ca="1">+G53-K53</f>
        <v>-79211518.135600001</v>
      </c>
      <c r="N53" s="18" t="s">
        <v>85</v>
      </c>
      <c r="O53" s="38"/>
      <c r="P53" s="39"/>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v>91846620</v>
      </c>
      <c r="F54" s="165">
        <f>SUMIF($A$84:$A$751,B54&amp;"- "&amp;C54,$G$84:$G$751)</f>
        <v>0</v>
      </c>
      <c r="G54" s="165">
        <f>E54+F54</f>
        <v>91846620</v>
      </c>
      <c r="H54" s="114"/>
      <c r="I54" s="165">
        <v>55086301.063751996</v>
      </c>
      <c r="J54" s="165">
        <f ca="1">SUMIF($J$84:$M$749,B54&amp;"- "&amp;C54,$Q$84:$Q$749)</f>
        <v>0</v>
      </c>
      <c r="K54" s="165">
        <f ca="1">I54+J54</f>
        <v>55086301.063751996</v>
      </c>
      <c r="L54" s="114"/>
      <c r="M54" s="165">
        <f ca="1">+G54-K54</f>
        <v>36760318.936248004</v>
      </c>
      <c r="N54" s="68" t="s">
        <v>85</v>
      </c>
      <c r="O54" s="38" t="str">
        <f t="shared" ca="1" si="46"/>
        <v/>
      </c>
      <c r="P54" s="39" t="str">
        <f ca="1">IF(O54="ERROR","Please insert comment","")</f>
        <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6300000</v>
      </c>
      <c r="G68" s="166">
        <f t="shared" si="146"/>
        <v>6300000</v>
      </c>
      <c r="H68" s="114"/>
      <c r="I68" s="166">
        <f>SUM(I69:I76)</f>
        <v>6000000</v>
      </c>
      <c r="J68" s="166">
        <f t="shared" ref="J68" ca="1" si="147">SUM(J69:J76)</f>
        <v>0</v>
      </c>
      <c r="K68" s="166">
        <f t="shared" ref="K68" ca="1" si="148">SUM(K69:K76)</f>
        <v>6000000</v>
      </c>
      <c r="L68" s="114"/>
      <c r="M68" s="166">
        <f t="shared" ref="M68" ca="1" si="149">SUM(M69:M76)</f>
        <v>300000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SUMIF($A$84:$A$751,B69&amp;"- "&amp;C69,$G$84:$G$751)</f>
        <v>0</v>
      </c>
      <c r="G69" s="114">
        <f t="shared" ref="G69:G76" si="153">E69+F69</f>
        <v>0</v>
      </c>
      <c r="H69" s="114"/>
      <c r="I69" s="114"/>
      <c r="J69" s="114">
        <f t="shared" ref="J69:J76" ca="1" si="154">SUMIF($J$84:$M$749,B69&amp;"- "&amp;C69,$Q$84:$Q$749)</f>
        <v>0</v>
      </c>
      <c r="K69" s="114">
        <f t="shared" ref="K69:K76" ca="1" si="155">I69+J69</f>
        <v>0</v>
      </c>
      <c r="L69" s="114"/>
      <c r="M69" s="114">
        <f t="shared" ref="M69:M76" ca="1" si="156">+G69-K69</f>
        <v>0</v>
      </c>
      <c r="N69" s="18"/>
      <c r="O69" s="38"/>
      <c r="P69" s="39"/>
      <c r="Y69" s="15">
        <f>B71</f>
        <v>50</v>
      </c>
      <c r="Z69" s="25" t="str">
        <f t="shared" si="137"/>
        <v>Redevances annuelles résultant des inspections et contrôle des installations classées (+)</v>
      </c>
      <c r="AA69" s="16">
        <f t="shared" ref="AA69:AI69" si="157">SUMPRODUCT(($A$84:$A$751=$Y69&amp;"- "&amp;$Z69)*($C$84:$C$751=AA$1)*($G$84:$G$751))</f>
        <v>0</v>
      </c>
      <c r="AB69" s="16">
        <f t="shared" si="157"/>
        <v>0</v>
      </c>
      <c r="AC69" s="16">
        <f t="shared" si="157"/>
        <v>0</v>
      </c>
      <c r="AD69" s="16">
        <f t="shared" si="157"/>
        <v>0</v>
      </c>
      <c r="AE69" s="16">
        <f t="shared" si="157"/>
        <v>0</v>
      </c>
      <c r="AF69" s="16">
        <f t="shared" si="157"/>
        <v>0</v>
      </c>
      <c r="AG69" s="16">
        <f t="shared" si="157"/>
        <v>0</v>
      </c>
      <c r="AH69" s="16">
        <f t="shared" si="157"/>
        <v>0</v>
      </c>
      <c r="AI69" s="16">
        <f t="shared" si="157"/>
        <v>0</v>
      </c>
      <c r="AJ69" s="16">
        <f>SUM(AA69:AI69)</f>
        <v>0</v>
      </c>
      <c r="AL69" s="17">
        <f>+B71</f>
        <v>50</v>
      </c>
      <c r="AM69" s="26" t="str">
        <f t="shared" si="139"/>
        <v>Redevances annuelles résultant des inspections et contrôle des installations classées (+)</v>
      </c>
      <c r="AN69" s="18">
        <f t="shared" ref="AN69:AU69" si="158">SUMPRODUCT(($J$84:$M$748=$AL69&amp;"- "&amp;$AM69)*($N$84:$N$748=AN$1)*($Q$84:$Q$748))</f>
        <v>0</v>
      </c>
      <c r="AO69" s="18">
        <f t="shared" si="158"/>
        <v>0</v>
      </c>
      <c r="AP69" s="18">
        <f t="shared" si="158"/>
        <v>0</v>
      </c>
      <c r="AQ69" s="18">
        <f t="shared" si="158"/>
        <v>0</v>
      </c>
      <c r="AR69" s="18">
        <f t="shared" si="158"/>
        <v>0</v>
      </c>
      <c r="AS69" s="18">
        <f t="shared" si="158"/>
        <v>0</v>
      </c>
      <c r="AT69" s="18">
        <f t="shared" si="158"/>
        <v>0</v>
      </c>
      <c r="AU69" s="18">
        <f t="shared" si="158"/>
        <v>0</v>
      </c>
      <c r="AV69" s="18">
        <f>SUM(AN69:AU69)</f>
        <v>0</v>
      </c>
      <c r="AW69" s="18"/>
      <c r="AX69" s="17">
        <f>B71</f>
        <v>50</v>
      </c>
      <c r="AY69" s="26" t="str">
        <f t="shared" si="141"/>
        <v>Redevances annuelles résultant des inspections et contrôle des installations classées (+)</v>
      </c>
      <c r="AZ69" s="18">
        <f t="shared" ref="AZ69:BK69" ca="1" si="159">SUMPRODUCT(($C$10:$C$75=$AY69)*($N$10:$N$75=AZ$1)*($M$10:$M$75))</f>
        <v>0</v>
      </c>
      <c r="BA69" s="18">
        <f t="shared" ca="1" si="159"/>
        <v>0</v>
      </c>
      <c r="BB69" s="18">
        <f t="shared" ca="1" si="159"/>
        <v>0</v>
      </c>
      <c r="BC69" s="18">
        <f t="shared" ca="1" si="159"/>
        <v>0</v>
      </c>
      <c r="BD69" s="18">
        <f t="shared" ca="1" si="159"/>
        <v>0</v>
      </c>
      <c r="BE69" s="18">
        <f t="shared" ca="1" si="159"/>
        <v>0</v>
      </c>
      <c r="BF69" s="18">
        <f t="shared" ca="1" si="159"/>
        <v>0</v>
      </c>
      <c r="BG69" s="18">
        <f t="shared" ca="1" si="159"/>
        <v>0</v>
      </c>
      <c r="BH69" s="18">
        <f t="shared" ca="1" si="159"/>
        <v>0</v>
      </c>
      <c r="BI69" s="18">
        <f t="shared" ca="1" si="159"/>
        <v>0</v>
      </c>
      <c r="BJ69" s="18">
        <f t="shared" ca="1" si="159"/>
        <v>0</v>
      </c>
      <c r="BK69" s="18">
        <f t="shared" ca="1" si="159"/>
        <v>0</v>
      </c>
    </row>
    <row r="70" spans="1:64">
      <c r="A70" s="80">
        <f t="shared" si="29"/>
        <v>49</v>
      </c>
      <c r="B70" s="64">
        <f>+'Taxes RCA 2022'!A63</f>
        <v>49</v>
      </c>
      <c r="C70" s="68" t="str">
        <f>+'Taxes RCA 2022'!B63</f>
        <v>Taxes à la pollution (+)</v>
      </c>
      <c r="E70" s="165"/>
      <c r="F70" s="165">
        <f>SUMIF($A$84:$A$751,B70&amp;"- "&amp;C70,$G$84:$G$751)</f>
        <v>0</v>
      </c>
      <c r="G70" s="165">
        <f t="shared" si="153"/>
        <v>0</v>
      </c>
      <c r="H70" s="114"/>
      <c r="I70" s="165"/>
      <c r="J70" s="165">
        <f t="shared" ca="1" si="154"/>
        <v>0</v>
      </c>
      <c r="K70" s="165">
        <f t="shared" ca="1" si="155"/>
        <v>0</v>
      </c>
      <c r="L70" s="114"/>
      <c r="M70" s="165">
        <f t="shared" ca="1" si="156"/>
        <v>0</v>
      </c>
      <c r="N70" s="68"/>
      <c r="O70" s="38"/>
      <c r="P70" s="39"/>
      <c r="Y70" s="15"/>
      <c r="Z70" s="25" t="str">
        <f t="shared" si="137"/>
        <v>Taxes superficiaires encaissées par le FNE (+)</v>
      </c>
      <c r="AA70" s="16">
        <f t="shared" ref="AA70:AJ70" si="160">SUM(AA71:AA71)</f>
        <v>0</v>
      </c>
      <c r="AB70" s="16">
        <f t="shared" si="160"/>
        <v>0</v>
      </c>
      <c r="AC70" s="16">
        <f t="shared" si="160"/>
        <v>0</v>
      </c>
      <c r="AD70" s="16">
        <f t="shared" si="160"/>
        <v>0</v>
      </c>
      <c r="AE70" s="16">
        <f t="shared" si="160"/>
        <v>0</v>
      </c>
      <c r="AF70" s="16">
        <f t="shared" si="160"/>
        <v>0</v>
      </c>
      <c r="AG70" s="16">
        <f t="shared" si="160"/>
        <v>0</v>
      </c>
      <c r="AH70" s="16">
        <f t="shared" si="160"/>
        <v>0</v>
      </c>
      <c r="AI70" s="16">
        <f t="shared" si="160"/>
        <v>0</v>
      </c>
      <c r="AJ70" s="16">
        <f t="shared" si="160"/>
        <v>0</v>
      </c>
      <c r="AL70" s="17"/>
      <c r="AM70" s="26" t="str">
        <f t="shared" si="139"/>
        <v>Taxes superficiaires encaissées par le FNE (+)</v>
      </c>
      <c r="AN70" s="18">
        <f t="shared" ref="AN70:AU70" si="161">SUM(AN71:AN71)</f>
        <v>0</v>
      </c>
      <c r="AO70" s="18">
        <f t="shared" si="161"/>
        <v>0</v>
      </c>
      <c r="AP70" s="18">
        <f t="shared" si="161"/>
        <v>0</v>
      </c>
      <c r="AQ70" s="18">
        <f t="shared" si="161"/>
        <v>0</v>
      </c>
      <c r="AR70" s="18">
        <f t="shared" si="161"/>
        <v>0</v>
      </c>
      <c r="AS70" s="18">
        <f t="shared" si="161"/>
        <v>0</v>
      </c>
      <c r="AT70" s="18">
        <f t="shared" si="161"/>
        <v>0</v>
      </c>
      <c r="AU70" s="18">
        <f t="shared" si="161"/>
        <v>0</v>
      </c>
      <c r="AV70" s="18">
        <f>SUM(AV71:AV71)</f>
        <v>0</v>
      </c>
      <c r="AW70" s="18"/>
      <c r="AX70" s="17"/>
      <c r="AY70" s="26" t="str">
        <f t="shared" si="141"/>
        <v>Taxes superficiaires encaissées par le FNE (+)</v>
      </c>
      <c r="AZ70" s="18">
        <f t="shared" ref="AZ70:BK70" ca="1" si="162">SUM(AZ71:AZ71)</f>
        <v>0</v>
      </c>
      <c r="BA70" s="18">
        <f t="shared" ca="1" si="162"/>
        <v>0</v>
      </c>
      <c r="BB70" s="18">
        <f t="shared" ca="1" si="162"/>
        <v>0</v>
      </c>
      <c r="BC70" s="18">
        <f t="shared" ca="1" si="162"/>
        <v>0</v>
      </c>
      <c r="BD70" s="18">
        <f t="shared" ca="1" si="162"/>
        <v>0</v>
      </c>
      <c r="BE70" s="18">
        <f t="shared" ca="1" si="162"/>
        <v>0</v>
      </c>
      <c r="BF70" s="18">
        <f t="shared" ca="1" si="162"/>
        <v>0</v>
      </c>
      <c r="BG70" s="18">
        <f t="shared" ca="1" si="162"/>
        <v>0</v>
      </c>
      <c r="BH70" s="18">
        <f t="shared" ca="1" si="162"/>
        <v>0</v>
      </c>
      <c r="BI70" s="18">
        <f t="shared" ca="1" si="162"/>
        <v>0</v>
      </c>
      <c r="BJ70" s="18">
        <f t="shared" ca="1" si="162"/>
        <v>0</v>
      </c>
      <c r="BK70" s="18">
        <f t="shared" ca="1" si="162"/>
        <v>0</v>
      </c>
      <c r="BL70" s="23"/>
    </row>
    <row r="71" spans="1:64" ht="24">
      <c r="A71" s="80">
        <f t="shared" si="29"/>
        <v>50</v>
      </c>
      <c r="B71" s="53">
        <f>+'Taxes RCA 2022'!A64</f>
        <v>50</v>
      </c>
      <c r="C71" s="171" t="str">
        <f>+'Taxes RCA 2022'!B64</f>
        <v>Redevances annuelles résultant des inspections et contrôle des installations classées (+)</v>
      </c>
      <c r="E71" s="114"/>
      <c r="F71" s="114">
        <f>SUMIF($A$84:$A$751,B71&amp;"- "&amp;C71,$G$84:$G$751)</f>
        <v>0</v>
      </c>
      <c r="G71" s="114">
        <f t="shared" si="153"/>
        <v>0</v>
      </c>
      <c r="H71" s="114"/>
      <c r="I71" s="114"/>
      <c r="J71" s="114">
        <f t="shared" ca="1" si="154"/>
        <v>0</v>
      </c>
      <c r="K71" s="114">
        <f t="shared" ca="1" si="155"/>
        <v>0</v>
      </c>
      <c r="L71" s="114"/>
      <c r="M71" s="114">
        <f t="shared" ca="1" si="156"/>
        <v>0</v>
      </c>
      <c r="N71" s="18"/>
      <c r="O71" s="38" t="str">
        <f t="shared" ca="1" si="46"/>
        <v/>
      </c>
      <c r="P71" s="39" t="str">
        <f ca="1">IF(O71="ERROR","Please insert comment","")</f>
        <v/>
      </c>
      <c r="Y71" s="15">
        <f>B73</f>
        <v>52</v>
      </c>
      <c r="Z71" s="25" t="str">
        <f t="shared" si="137"/>
        <v>Taxes de remise en état (+)</v>
      </c>
      <c r="AA71" s="16">
        <f t="shared" ref="AA71:AI73" si="163">SUMPRODUCT(($A$84:$A$751=$Y71&amp;"- "&amp;$Z71)*($C$84:$C$751=AA$1)*($G$84:$G$751))</f>
        <v>0</v>
      </c>
      <c r="AB71" s="16">
        <f t="shared" si="163"/>
        <v>0</v>
      </c>
      <c r="AC71" s="16">
        <f t="shared" si="163"/>
        <v>0</v>
      </c>
      <c r="AD71" s="16">
        <f t="shared" si="163"/>
        <v>0</v>
      </c>
      <c r="AE71" s="16">
        <f t="shared" si="163"/>
        <v>0</v>
      </c>
      <c r="AF71" s="16">
        <f t="shared" si="163"/>
        <v>0</v>
      </c>
      <c r="AG71" s="16">
        <f t="shared" si="163"/>
        <v>0</v>
      </c>
      <c r="AH71" s="16">
        <f t="shared" si="163"/>
        <v>0</v>
      </c>
      <c r="AI71" s="16">
        <f t="shared" si="163"/>
        <v>0</v>
      </c>
      <c r="AJ71" s="16">
        <f>SUM(AA71:AI71)</f>
        <v>0</v>
      </c>
      <c r="AL71" s="17">
        <f>+B73</f>
        <v>52</v>
      </c>
      <c r="AM71" s="26" t="str">
        <f t="shared" si="139"/>
        <v>Taxes de remise en état (+)</v>
      </c>
      <c r="AN71" s="18">
        <f t="shared" ref="AN71:AU71" si="164">SUMPRODUCT(($J$84:$M$748=$AL71&amp;"- "&amp;$AM71)*($N$84:$N$748=AN$1)*($Q$84:$Q$748))</f>
        <v>0</v>
      </c>
      <c r="AO71" s="18">
        <f t="shared" si="164"/>
        <v>0</v>
      </c>
      <c r="AP71" s="18">
        <f t="shared" si="164"/>
        <v>0</v>
      </c>
      <c r="AQ71" s="18">
        <f t="shared" si="164"/>
        <v>0</v>
      </c>
      <c r="AR71" s="18">
        <f t="shared" si="164"/>
        <v>0</v>
      </c>
      <c r="AS71" s="18">
        <f t="shared" si="164"/>
        <v>0</v>
      </c>
      <c r="AT71" s="18">
        <f t="shared" si="164"/>
        <v>0</v>
      </c>
      <c r="AU71" s="18">
        <f t="shared" si="164"/>
        <v>0</v>
      </c>
      <c r="AV71" s="18">
        <f>SUM(AN71:AU71)</f>
        <v>0</v>
      </c>
      <c r="AW71" s="18"/>
      <c r="AX71" s="17">
        <f>B73</f>
        <v>52</v>
      </c>
      <c r="AY71" s="26" t="str">
        <f t="shared" si="141"/>
        <v>Taxes de remise en état (+)</v>
      </c>
      <c r="AZ71" s="18">
        <f t="shared" ref="AZ71:BK71" ca="1" si="165">SUMPRODUCT(($C$10:$C$75=$AY71)*($N$10:$N$75=AZ$1)*($M$10:$M$75))</f>
        <v>0</v>
      </c>
      <c r="BA71" s="18">
        <f t="shared" ca="1" si="165"/>
        <v>0</v>
      </c>
      <c r="BB71" s="18">
        <f t="shared" ca="1" si="165"/>
        <v>0</v>
      </c>
      <c r="BC71" s="18">
        <f t="shared" ca="1" si="165"/>
        <v>0</v>
      </c>
      <c r="BD71" s="18">
        <f t="shared" ca="1" si="165"/>
        <v>0</v>
      </c>
      <c r="BE71" s="18">
        <f t="shared" ca="1" si="165"/>
        <v>0</v>
      </c>
      <c r="BF71" s="18">
        <f t="shared" ca="1" si="165"/>
        <v>0</v>
      </c>
      <c r="BG71" s="18">
        <f t="shared" ca="1" si="165"/>
        <v>0</v>
      </c>
      <c r="BH71" s="18">
        <f t="shared" ca="1" si="165"/>
        <v>0</v>
      </c>
      <c r="BI71" s="18">
        <f t="shared" ca="1" si="165"/>
        <v>0</v>
      </c>
      <c r="BJ71" s="18">
        <f t="shared" ca="1" si="165"/>
        <v>0</v>
      </c>
      <c r="BK71" s="18">
        <f t="shared" ca="1" si="165"/>
        <v>0</v>
      </c>
    </row>
    <row r="72" spans="1:64">
      <c r="A72" s="80">
        <f t="shared" si="29"/>
        <v>51</v>
      </c>
      <c r="B72" s="64">
        <f>+'Taxes RCA 2022'!A65</f>
        <v>51</v>
      </c>
      <c r="C72" s="68" t="str">
        <f>+'Taxes RCA 2022'!B65</f>
        <v>Taxes superficiaires encaissées par le FNE (+)</v>
      </c>
      <c r="E72" s="165"/>
      <c r="F72" s="165">
        <f>SUMIF($A$84:$A$751,B72&amp;"- "&amp;C72,$G$84:$G$751)</f>
        <v>0</v>
      </c>
      <c r="G72" s="165">
        <f t="shared" si="153"/>
        <v>0</v>
      </c>
      <c r="H72" s="114"/>
      <c r="I72" s="165"/>
      <c r="J72" s="165">
        <f t="shared" ca="1" si="154"/>
        <v>0</v>
      </c>
      <c r="K72" s="165">
        <f t="shared" ca="1" si="155"/>
        <v>0</v>
      </c>
      <c r="L72" s="114"/>
      <c r="M72" s="165">
        <f t="shared" ca="1" si="156"/>
        <v>0</v>
      </c>
      <c r="N72" s="68"/>
      <c r="Y72" s="15"/>
      <c r="Z72" s="25" t="str">
        <f t="shared" si="137"/>
        <v>Taxes environnementales sur les Stes forestières et Minières (+)</v>
      </c>
      <c r="AA72" s="16">
        <f t="shared" si="163"/>
        <v>0</v>
      </c>
      <c r="AB72" s="16">
        <f t="shared" si="163"/>
        <v>0</v>
      </c>
      <c r="AC72" s="16">
        <f t="shared" si="163"/>
        <v>0</v>
      </c>
      <c r="AD72" s="16">
        <f t="shared" si="163"/>
        <v>0</v>
      </c>
      <c r="AE72" s="16">
        <f t="shared" si="163"/>
        <v>0</v>
      </c>
      <c r="AF72" s="16">
        <f t="shared" si="163"/>
        <v>0</v>
      </c>
      <c r="AG72" s="16">
        <f t="shared" si="163"/>
        <v>0</v>
      </c>
      <c r="AH72" s="16">
        <f t="shared" si="163"/>
        <v>0</v>
      </c>
      <c r="AI72" s="16">
        <f t="shared" si="163"/>
        <v>0</v>
      </c>
      <c r="AJ72" s="16">
        <f>SUM(AA72:AI72)</f>
        <v>0</v>
      </c>
      <c r="AL72" s="17"/>
      <c r="AM72" s="26" t="str">
        <f t="shared" si="139"/>
        <v>Taxes environnementales sur les Stes forestières et Minières (+)</v>
      </c>
      <c r="AN72" s="18">
        <f t="shared" ref="AN72:AV72" si="166">SUM(AN73:AN73)</f>
        <v>0</v>
      </c>
      <c r="AO72" s="18">
        <f t="shared" si="166"/>
        <v>0</v>
      </c>
      <c r="AP72" s="18">
        <f t="shared" si="166"/>
        <v>0</v>
      </c>
      <c r="AQ72" s="18">
        <f t="shared" si="166"/>
        <v>0</v>
      </c>
      <c r="AR72" s="18">
        <f t="shared" si="166"/>
        <v>0</v>
      </c>
      <c r="AS72" s="18">
        <f t="shared" si="166"/>
        <v>0</v>
      </c>
      <c r="AT72" s="18">
        <f t="shared" si="166"/>
        <v>0</v>
      </c>
      <c r="AU72" s="18">
        <f t="shared" si="166"/>
        <v>0</v>
      </c>
      <c r="AV72" s="18">
        <f t="shared" si="166"/>
        <v>0</v>
      </c>
      <c r="AW72" s="18"/>
      <c r="AX72" s="17"/>
      <c r="AY72" s="26" t="str">
        <f t="shared" si="141"/>
        <v>Taxes environnementales sur les Stes forestières et Minières (+)</v>
      </c>
      <c r="AZ72" s="18">
        <f t="shared" ref="AZ72:BK72" ca="1" si="167">SUM(AZ73:AZ73)</f>
        <v>0</v>
      </c>
      <c r="BA72" s="18">
        <f t="shared" ca="1" si="167"/>
        <v>0</v>
      </c>
      <c r="BB72" s="18">
        <f t="shared" ca="1" si="167"/>
        <v>0</v>
      </c>
      <c r="BC72" s="18">
        <f t="shared" ca="1" si="167"/>
        <v>0</v>
      </c>
      <c r="BD72" s="18">
        <f t="shared" ca="1" si="167"/>
        <v>0</v>
      </c>
      <c r="BE72" s="18">
        <f t="shared" ca="1" si="167"/>
        <v>0</v>
      </c>
      <c r="BF72" s="18">
        <f t="shared" ca="1" si="167"/>
        <v>0</v>
      </c>
      <c r="BG72" s="18">
        <f t="shared" ca="1" si="167"/>
        <v>0</v>
      </c>
      <c r="BH72" s="18">
        <f t="shared" ca="1" si="167"/>
        <v>0</v>
      </c>
      <c r="BI72" s="18">
        <f t="shared" ca="1" si="167"/>
        <v>0</v>
      </c>
      <c r="BJ72" s="18">
        <f t="shared" ca="1" si="167"/>
        <v>0</v>
      </c>
      <c r="BK72" s="18">
        <f t="shared" ca="1" si="167"/>
        <v>0</v>
      </c>
      <c r="BL72" s="41"/>
    </row>
    <row r="73" spans="1:64">
      <c r="A73" s="80">
        <f t="shared" si="29"/>
        <v>52</v>
      </c>
      <c r="B73" s="53">
        <f>+'Taxes RCA 2022'!A66</f>
        <v>52</v>
      </c>
      <c r="C73" s="18" t="str">
        <f>+'Taxes RCA 2022'!B66</f>
        <v>Taxes de remise en état (+)</v>
      </c>
      <c r="E73" s="114"/>
      <c r="F73" s="114">
        <f>SUMIF($A$84:$A$751,B73&amp;"- "&amp;C73,$G$84:$G$751)</f>
        <v>0</v>
      </c>
      <c r="G73" s="114">
        <f t="shared" si="153"/>
        <v>0</v>
      </c>
      <c r="H73" s="114"/>
      <c r="I73" s="114"/>
      <c r="J73" s="114">
        <f t="shared" ca="1" si="154"/>
        <v>0</v>
      </c>
      <c r="K73" s="114">
        <f t="shared" ca="1" si="155"/>
        <v>0</v>
      </c>
      <c r="L73" s="114"/>
      <c r="M73" s="114">
        <f t="shared" ca="1" si="156"/>
        <v>0</v>
      </c>
      <c r="N73" s="18"/>
      <c r="O73" s="38" t="str">
        <f ca="1">IF(M73=0,"",IF(N73=0,"ERROR",""))</f>
        <v/>
      </c>
      <c r="P73" s="39" t="str">
        <f ca="1">IF(O73="ERROR","Please insert comment","")</f>
        <v/>
      </c>
      <c r="Y73" s="15">
        <v>58</v>
      </c>
      <c r="Z73" s="25" t="str">
        <f t="shared" si="137"/>
        <v xml:space="preserve">Amendes environnementales </v>
      </c>
      <c r="AA73" s="16">
        <f t="shared" si="163"/>
        <v>0</v>
      </c>
      <c r="AB73" s="16">
        <f t="shared" si="163"/>
        <v>0</v>
      </c>
      <c r="AC73" s="16">
        <f t="shared" si="163"/>
        <v>0</v>
      </c>
      <c r="AD73" s="16">
        <f t="shared" si="163"/>
        <v>0</v>
      </c>
      <c r="AE73" s="16">
        <f t="shared" si="163"/>
        <v>0</v>
      </c>
      <c r="AF73" s="16">
        <f t="shared" si="163"/>
        <v>0</v>
      </c>
      <c r="AG73" s="16">
        <f t="shared" si="163"/>
        <v>0</v>
      </c>
      <c r="AH73" s="16">
        <f t="shared" si="163"/>
        <v>0</v>
      </c>
      <c r="AI73" s="16">
        <f t="shared" si="163"/>
        <v>0</v>
      </c>
      <c r="AJ73" s="16">
        <f>SUM(AA73:AI73)</f>
        <v>0</v>
      </c>
      <c r="AL73" s="17">
        <f>+B75</f>
        <v>54</v>
      </c>
      <c r="AM73" s="26" t="str">
        <f t="shared" si="139"/>
        <v xml:space="preserve">Amendes environnementales </v>
      </c>
      <c r="AN73" s="18">
        <f t="shared" ref="AN73:AU73" si="168">SUMPRODUCT(($J$84:$M$748=$AL73&amp;"- "&amp;$AM73)*($N$84:$N$748=AN$1)*($Q$84:$Q$748))</f>
        <v>0</v>
      </c>
      <c r="AO73" s="18">
        <f t="shared" si="168"/>
        <v>0</v>
      </c>
      <c r="AP73" s="18">
        <f t="shared" si="168"/>
        <v>0</v>
      </c>
      <c r="AQ73" s="18">
        <f t="shared" si="168"/>
        <v>0</v>
      </c>
      <c r="AR73" s="18">
        <f t="shared" si="168"/>
        <v>0</v>
      </c>
      <c r="AS73" s="18">
        <f t="shared" si="168"/>
        <v>0</v>
      </c>
      <c r="AT73" s="18">
        <f t="shared" si="168"/>
        <v>0</v>
      </c>
      <c r="AU73" s="18">
        <f t="shared" si="168"/>
        <v>0</v>
      </c>
      <c r="AV73" s="18">
        <f>SUM(AN73:AU73)</f>
        <v>0</v>
      </c>
      <c r="AW73" s="18"/>
      <c r="AX73" s="17">
        <f>B75</f>
        <v>54</v>
      </c>
      <c r="AY73" s="26" t="str">
        <f t="shared" si="141"/>
        <v xml:space="preserve">Amendes environnementales </v>
      </c>
      <c r="AZ73" s="18">
        <f t="shared" ref="AZ73:BK73" ca="1" si="169">SUMPRODUCT(($C$10:$C$75=$AY73)*($N$10:$N$75=AZ$1)*($M$10:$M$75))</f>
        <v>0</v>
      </c>
      <c r="BA73" s="18">
        <f t="shared" ca="1" si="169"/>
        <v>0</v>
      </c>
      <c r="BB73" s="18">
        <f t="shared" ca="1" si="169"/>
        <v>0</v>
      </c>
      <c r="BC73" s="18">
        <f t="shared" ca="1" si="169"/>
        <v>0</v>
      </c>
      <c r="BD73" s="18">
        <f t="shared" ca="1" si="169"/>
        <v>0</v>
      </c>
      <c r="BE73" s="18">
        <f t="shared" ca="1" si="169"/>
        <v>0</v>
      </c>
      <c r="BF73" s="18">
        <f t="shared" ca="1" si="169"/>
        <v>0</v>
      </c>
      <c r="BG73" s="18">
        <f t="shared" ca="1" si="169"/>
        <v>0</v>
      </c>
      <c r="BH73" s="18">
        <f t="shared" ca="1" si="169"/>
        <v>0</v>
      </c>
      <c r="BI73" s="18">
        <f t="shared" ca="1" si="169"/>
        <v>0</v>
      </c>
      <c r="BJ73" s="18">
        <f t="shared" ca="1" si="169"/>
        <v>0</v>
      </c>
      <c r="BK73" s="18">
        <f t="shared" ca="1" si="169"/>
        <v>0</v>
      </c>
    </row>
    <row r="74" spans="1:64">
      <c r="A74" s="80"/>
      <c r="B74" s="64">
        <f>+'Taxes RCA 2022'!A67</f>
        <v>53</v>
      </c>
      <c r="C74" s="68" t="str">
        <f>+'Taxes RCA 2022'!B67</f>
        <v>Taxes environnementales sur les Stes forestières et Minières (+)</v>
      </c>
      <c r="E74" s="165"/>
      <c r="F74" s="165">
        <f>+G85</f>
        <v>6300000</v>
      </c>
      <c r="G74" s="165">
        <f t="shared" si="153"/>
        <v>6300000</v>
      </c>
      <c r="H74" s="167">
        <v>808920</v>
      </c>
      <c r="I74" s="165">
        <v>6000000</v>
      </c>
      <c r="J74" s="165">
        <f t="shared" ca="1" si="154"/>
        <v>0</v>
      </c>
      <c r="K74" s="165">
        <f t="shared" ca="1" si="155"/>
        <v>6000000</v>
      </c>
      <c r="L74" s="114"/>
      <c r="M74" s="165">
        <f t="shared" ca="1" si="156"/>
        <v>300000</v>
      </c>
      <c r="N74" s="68" t="s">
        <v>229</v>
      </c>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SUMIF($A$84:$A$751,B75&amp;"- "&amp;C75,$G$84:$G$751)</f>
        <v>0</v>
      </c>
      <c r="G75" s="114">
        <f t="shared" si="153"/>
        <v>0</v>
      </c>
      <c r="H75" s="114"/>
      <c r="I75" s="114"/>
      <c r="J75" s="114">
        <f t="shared" ca="1" si="154"/>
        <v>0</v>
      </c>
      <c r="K75" s="114">
        <f t="shared" ca="1" si="155"/>
        <v>0</v>
      </c>
      <c r="L75" s="114"/>
      <c r="M75" s="114">
        <f t="shared" ca="1" si="156"/>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SUMIF($A$84:$A$751,B76&amp;"- "&amp;C76,$G$84:$G$751)</f>
        <v>0</v>
      </c>
      <c r="G76" s="165">
        <f t="shared" si="153"/>
        <v>0</v>
      </c>
      <c r="H76" s="168"/>
      <c r="I76" s="165"/>
      <c r="J76" s="165">
        <f t="shared" ca="1" si="154"/>
        <v>0</v>
      </c>
      <c r="K76" s="165">
        <f t="shared" ca="1" si="155"/>
        <v>0</v>
      </c>
      <c r="L76" s="168"/>
      <c r="M76" s="165">
        <f t="shared" ca="1" si="156"/>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107205254</v>
      </c>
      <c r="F77" s="166">
        <f t="shared" ref="F77:G77" si="170">+F78+F79</f>
        <v>-107205254</v>
      </c>
      <c r="G77" s="166">
        <f t="shared" si="170"/>
        <v>0</v>
      </c>
      <c r="H77" s="169"/>
      <c r="I77" s="166">
        <f t="shared" ref="I77:K77" si="171">+I78+I79</f>
        <v>0</v>
      </c>
      <c r="J77" s="166">
        <f t="shared" ca="1" si="171"/>
        <v>0</v>
      </c>
      <c r="K77" s="166">
        <f t="shared" ca="1" si="171"/>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2">SUMPRODUCT(($A$84:$A$751=$Y78&amp;"- "&amp;$Z78)*($C$84:$C$751=AA$1)*($G$84:$G$751))</f>
        <v>0</v>
      </c>
      <c r="AB78" s="16">
        <f t="shared" si="172"/>
        <v>0</v>
      </c>
      <c r="AC78" s="16">
        <f t="shared" si="172"/>
        <v>0</v>
      </c>
      <c r="AD78" s="16">
        <f t="shared" si="172"/>
        <v>0</v>
      </c>
      <c r="AE78" s="16">
        <f t="shared" si="172"/>
        <v>0</v>
      </c>
      <c r="AF78" s="16">
        <f t="shared" si="172"/>
        <v>0</v>
      </c>
      <c r="AG78" s="16">
        <f t="shared" si="172"/>
        <v>0</v>
      </c>
      <c r="AH78" s="16">
        <f t="shared" si="172"/>
        <v>0</v>
      </c>
      <c r="AI78" s="16">
        <f t="shared" si="172"/>
        <v>0</v>
      </c>
      <c r="AJ78" s="16">
        <f>SUM(AA78:AI78)</f>
        <v>0</v>
      </c>
      <c r="AL78" s="17">
        <f>+B45</f>
        <v>0</v>
      </c>
      <c r="AM78" s="26" t="str">
        <f>+C45</f>
        <v xml:space="preserve">Paiements infranationaux au profit des communes </v>
      </c>
      <c r="AN78" s="18">
        <f t="shared" ref="AN78:AU78" si="173">SUMPRODUCT(($J$84:$M$748=$AL78&amp;"- "&amp;$AM78)*($N$84:$N$748=AN$1)*($Q$84:$Q$748))</f>
        <v>0</v>
      </c>
      <c r="AO78" s="18">
        <f t="shared" si="173"/>
        <v>0</v>
      </c>
      <c r="AP78" s="18">
        <f t="shared" si="173"/>
        <v>0</v>
      </c>
      <c r="AQ78" s="18">
        <f t="shared" si="173"/>
        <v>0</v>
      </c>
      <c r="AR78" s="18">
        <f t="shared" si="173"/>
        <v>0</v>
      </c>
      <c r="AS78" s="18">
        <f t="shared" si="173"/>
        <v>0</v>
      </c>
      <c r="AT78" s="18">
        <f t="shared" si="173"/>
        <v>0</v>
      </c>
      <c r="AU78" s="18">
        <f t="shared" si="173"/>
        <v>0</v>
      </c>
      <c r="AV78" s="18">
        <f>SUM(AN78:AU78)</f>
        <v>0</v>
      </c>
      <c r="AW78" s="18"/>
      <c r="AX78" s="17">
        <f>B45</f>
        <v>0</v>
      </c>
      <c r="AY78" s="26" t="str">
        <f>C45</f>
        <v xml:space="preserve">Paiements infranationaux au profit des communes </v>
      </c>
      <c r="AZ78" s="18">
        <f t="shared" ref="AZ78:BK78" ca="1" si="174">SUMPRODUCT(($C$10:$C$75=$AY78)*($N$10:$N$75=AZ$1)*($M$10:$M$75))</f>
        <v>0</v>
      </c>
      <c r="BA78" s="18">
        <f t="shared" ca="1" si="174"/>
        <v>0</v>
      </c>
      <c r="BB78" s="18">
        <f t="shared" ca="1" si="174"/>
        <v>0</v>
      </c>
      <c r="BC78" s="18">
        <f t="shared" ca="1" si="174"/>
        <v>0</v>
      </c>
      <c r="BD78" s="18">
        <f t="shared" ca="1" si="174"/>
        <v>0</v>
      </c>
      <c r="BE78" s="18">
        <f t="shared" ca="1" si="174"/>
        <v>0</v>
      </c>
      <c r="BF78" s="18">
        <f t="shared" ca="1" si="174"/>
        <v>0</v>
      </c>
      <c r="BG78" s="18">
        <f t="shared" ca="1" si="174"/>
        <v>0</v>
      </c>
      <c r="BH78" s="18">
        <f t="shared" ca="1" si="174"/>
        <v>0</v>
      </c>
      <c r="BI78" s="18">
        <f t="shared" ca="1" si="174"/>
        <v>0</v>
      </c>
      <c r="BJ78" s="18">
        <f t="shared" ca="1" si="174"/>
        <v>0</v>
      </c>
      <c r="BK78" s="18">
        <f t="shared" ca="1" si="174"/>
        <v>0</v>
      </c>
    </row>
    <row r="79" spans="1:64">
      <c r="A79" s="80">
        <f t="shared" si="29"/>
        <v>57</v>
      </c>
      <c r="B79" s="64">
        <f>+'Taxes RCA 2022'!A72</f>
        <v>57</v>
      </c>
      <c r="C79" s="68" t="str">
        <f>+'Taxes RCA 2022'!B72</f>
        <v>Autres paiements significatifs versés aux entités gouvernementales (&gt;10 millions FCFA)</v>
      </c>
      <c r="E79" s="165">
        <v>107205254</v>
      </c>
      <c r="F79" s="165">
        <f>+G86+G87+G88+G89</f>
        <v>-107205254</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B84" s="68" t="s">
        <v>183</v>
      </c>
      <c r="C84" s="60"/>
      <c r="E84" s="125"/>
      <c r="F84" s="122"/>
      <c r="G84" s="146">
        <f>-E31</f>
        <v>126087323</v>
      </c>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t="s">
        <v>211</v>
      </c>
      <c r="E85" s="125" t="s">
        <v>510</v>
      </c>
      <c r="F85" s="122"/>
      <c r="G85" s="146">
        <v>6300000</v>
      </c>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ht="24">
      <c r="C86" s="60" t="s">
        <v>225</v>
      </c>
      <c r="E86" s="125" t="s">
        <v>510</v>
      </c>
      <c r="F86" s="122"/>
      <c r="G86" s="146">
        <f>-G85</f>
        <v>-6300000</v>
      </c>
      <c r="J86" s="61" t="s">
        <v>190</v>
      </c>
      <c r="L86" s="60"/>
      <c r="N86" s="97"/>
      <c r="P86" s="129"/>
      <c r="Q86" s="145">
        <f>-I38</f>
        <v>-62651795</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t="s">
        <v>511</v>
      </c>
      <c r="F87" s="122"/>
      <c r="G87" s="146">
        <f>-SUM([12]Feuil1!$C$3:$C$25)-(+G86+G88+G89)</f>
        <v>-60503254</v>
      </c>
      <c r="J87" s="61" t="s">
        <v>178</v>
      </c>
      <c r="L87" s="60"/>
      <c r="N87" s="97"/>
      <c r="O87" s="121"/>
      <c r="P87" s="129"/>
      <c r="Q87" s="145">
        <f>-Q86</f>
        <v>62651795</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t="s">
        <v>512</v>
      </c>
      <c r="F88" s="122"/>
      <c r="G88" s="146">
        <f>-[13]Feuil1!$C$13-[13]Feuil1!$C$14</f>
        <v>-37902000</v>
      </c>
      <c r="J88" s="61" t="s">
        <v>176</v>
      </c>
      <c r="L88" s="60"/>
      <c r="N88" s="97"/>
      <c r="O88" s="125"/>
      <c r="P88" s="122"/>
      <c r="Q88" s="146">
        <f>+I23/0.7*0.3</f>
        <v>10644838.714285715</v>
      </c>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t="s">
        <v>513</v>
      </c>
      <c r="F89" s="122"/>
      <c r="G89" s="146">
        <f>-[12]Feuil1!$C$23</f>
        <v>-2500000</v>
      </c>
      <c r="J89" s="61" t="s">
        <v>165</v>
      </c>
      <c r="Q89" s="61">
        <v>1849836</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t="s">
        <v>189</v>
      </c>
      <c r="E90" s="125"/>
      <c r="F90" s="122"/>
      <c r="G90" s="146">
        <f>-G89</f>
        <v>2500000</v>
      </c>
      <c r="J90" s="61" t="s">
        <v>167</v>
      </c>
      <c r="Q90" s="61">
        <v>34073158</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0"/>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0"/>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46567832.714285716</v>
      </c>
    </row>
    <row r="752" spans="1:17">
      <c r="B752" s="24"/>
      <c r="C752" s="60"/>
      <c r="E752" s="47"/>
      <c r="F752" s="48"/>
      <c r="G752" s="47"/>
    </row>
    <row r="753" spans="5:7" ht="15">
      <c r="E753" s="49"/>
      <c r="F753" s="50"/>
      <c r="G753" s="51">
        <f>SUM(G84:G752)</f>
        <v>27682069</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19" priority="8" operator="containsText" text="ERROR">
      <formula>NOT(ISERROR(SEARCH("ERROR",T17)))</formula>
    </cfRule>
  </conditionalFormatting>
  <conditionalFormatting sqref="T42">
    <cfRule type="containsText" dxfId="18" priority="7" operator="containsText" text="ERROR">
      <formula>NOT(ISERROR(SEARCH("ERROR",T42)))</formula>
    </cfRule>
  </conditionalFormatting>
  <conditionalFormatting sqref="W19">
    <cfRule type="containsText" dxfId="17" priority="3" operator="containsText" text="ERROR">
      <formula>NOT(ISERROR(SEARCH("ERROR",W19)))</formula>
    </cfRule>
  </conditionalFormatting>
  <conditionalFormatting sqref="BL72">
    <cfRule type="containsText" dxfId="16" priority="4" operator="containsText" text="ERROR">
      <formula>NOT(ISERROR(SEARCH("ERROR",BL72)))</formula>
    </cfRule>
  </conditionalFormatting>
  <dataValidations count="5">
    <dataValidation type="list" allowBlank="1" showInputMessage="1" showErrorMessage="1" sqref="N5:N8 N73:N75 N77:N79 N10:N71" xr:uid="{4BF48783-AC0C-40BF-9876-DE85A3D83C60}">
      <formula1>FinalDiff</formula1>
    </dataValidation>
    <dataValidation type="list" allowBlank="1" showInputMessage="1" showErrorMessage="1" sqref="M93:M95 M131:M748 L97:M98 L100:L748 L91:L96 L84:L88" xr:uid="{C9CC7B2A-2722-41FF-ABA1-28496D8A4E08}">
      <formula1>Taxes</formula1>
    </dataValidation>
    <dataValidation type="list" allowBlank="1" showInputMessage="1" showErrorMessage="1" sqref="C84:C752" xr:uid="{05774B34-3080-4596-A5FC-8F47FA09E6F4}">
      <formula1>Compadjust</formula1>
    </dataValidation>
    <dataValidation type="list" allowBlank="1" showErrorMessage="1" errorTitle="Taxes" error="Non valid entry. Please check the tax list" promptTitle="Taxes" prompt="Please select the tax subject to adjustment" sqref="B85:B105" xr:uid="{8DC31423-BCAC-411C-B62E-B08D9744F9D3}">
      <formula1>$A$135:$A$136</formula1>
    </dataValidation>
    <dataValidation type="list" allowBlank="1" showInputMessage="1" showErrorMessage="1" sqref="N91:N749 N84:N88" xr:uid="{9BFA837F-A985-4607-8DCC-9381A3967931}">
      <formula1>Govadjust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0355158F-DEBA-427E-A108-0F69F9A8B7B1}">
          <x14:formula1>
            <xm:f>Lists!$A$7:$A$64</xm:f>
          </x14:formula1>
          <xm:sqref>A84:A751</xm:sqref>
        </x14:dataValidation>
        <x14:dataValidation type="list" allowBlank="1" showErrorMessage="1" errorTitle="Taxes" error="Non valid entry. Please check the tax list" promptTitle="Taxes" prompt="Please select the tax subject to adjustment" xr:uid="{058495D0-AD9C-4DD9-AAF9-43C7BA7C7883}">
          <x14:formula1>
            <xm:f>Lists!$A$131:$A$132</xm:f>
          </x14:formula1>
          <xm:sqref>K91:K749 K84:K88</xm:sqref>
        </x14:dataValidation>
        <x14:dataValidation type="list" allowBlank="1" showInputMessage="1" showErrorMessage="1" xr:uid="{E2D8DB09-DD50-41DC-ACDE-BCCBE9A76FF3}">
          <x14:formula1>
            <xm:f>Lists!$A$7:$A$64</xm:f>
          </x14:formula1>
          <xm:sqref>J91:J749 J84:J88</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8"/>
  <dimension ref="A1:BL753"/>
  <sheetViews>
    <sheetView showGridLines="0" topLeftCell="B43" zoomScaleNormal="100" workbookViewId="0">
      <selection activeCell="I53" sqref="I53"/>
    </sheetView>
  </sheetViews>
  <sheetFormatPr baseColWidth="10" defaultColWidth="11.54296875" defaultRowHeight="12" outlineLevelCol="1"/>
  <cols>
    <col min="1" max="1" width="28.54296875" style="17" hidden="1" customWidth="1"/>
    <col min="2" max="2" width="4.453125" style="17" customWidth="1"/>
    <col min="3" max="3" width="56"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4.17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Companies!B25</f>
        <v>SOCIETE TRANSFORMATION DE BOIS CENTRAF.</v>
      </c>
      <c r="F1" s="32" t="str">
        <f>Companies!C25</f>
        <v>M310458U003</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t="shared" ref="AZ2:BK2" ca="1" si="2">AZ3+AZ4</f>
        <v>0</v>
      </c>
      <c r="BA2" s="81">
        <f t="shared" ca="1" si="2"/>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ca="1">J6+J7</f>
        <v>0</v>
      </c>
      <c r="K5" s="164">
        <f ca="1">K6+K7</f>
        <v>0</v>
      </c>
      <c r="L5" s="114"/>
      <c r="M5" s="164">
        <f ca="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9">B8</f>
        <v>Paiements en numéraire</v>
      </c>
      <c r="Z5" s="811"/>
      <c r="AA5" s="81">
        <f t="shared" ref="AA5:AJ5" si="10">AA6+AA12+AA22+AA33+AA50+AA60+AA68+AA70+AA72+AA65</f>
        <v>0</v>
      </c>
      <c r="AB5" s="81">
        <f t="shared" si="10"/>
        <v>0</v>
      </c>
      <c r="AC5" s="81">
        <f t="shared" si="10"/>
        <v>0</v>
      </c>
      <c r="AD5" s="81">
        <f t="shared" si="10"/>
        <v>0</v>
      </c>
      <c r="AE5" s="81">
        <f t="shared" si="10"/>
        <v>0</v>
      </c>
      <c r="AF5" s="81">
        <f t="shared" si="10"/>
        <v>0</v>
      </c>
      <c r="AG5" s="81">
        <f t="shared" si="10"/>
        <v>0</v>
      </c>
      <c r="AH5" s="81">
        <f t="shared" si="10"/>
        <v>0</v>
      </c>
      <c r="AI5" s="81">
        <f t="shared" si="10"/>
        <v>0</v>
      </c>
      <c r="AJ5" s="81">
        <f t="shared" si="10"/>
        <v>0</v>
      </c>
      <c r="AL5" s="811" t="str">
        <f>B8</f>
        <v>Paiements en numéraire</v>
      </c>
      <c r="AM5" s="811"/>
      <c r="AN5" s="81">
        <f t="shared" ref="AN5:AV5" si="11">AN6+AN12+AN22+AN33+AN50+AN60+AN68+AN70+AN72+AN65</f>
        <v>0</v>
      </c>
      <c r="AO5" s="81">
        <f t="shared" si="11"/>
        <v>0</v>
      </c>
      <c r="AP5" s="81">
        <f t="shared" si="11"/>
        <v>0</v>
      </c>
      <c r="AQ5" s="81">
        <f t="shared" si="11"/>
        <v>0</v>
      </c>
      <c r="AR5" s="81">
        <f t="shared" si="11"/>
        <v>0</v>
      </c>
      <c r="AS5" s="81">
        <f t="shared" si="11"/>
        <v>0</v>
      </c>
      <c r="AT5" s="81">
        <f t="shared" si="11"/>
        <v>0</v>
      </c>
      <c r="AU5" s="81">
        <f t="shared" si="11"/>
        <v>0</v>
      </c>
      <c r="AV5" s="81">
        <f t="shared" si="11"/>
        <v>0</v>
      </c>
      <c r="AW5" s="82"/>
      <c r="AX5" s="811" t="str">
        <f>B8</f>
        <v>Paiements en numéraire</v>
      </c>
      <c r="AY5" s="811"/>
      <c r="AZ5" s="81">
        <f t="shared" ref="AZ5:BK5" ca="1" si="12">AZ6+AZ12+AZ22+AZ33+AZ50+AZ60+AZ68+AZ70+AZ72+AZ65</f>
        <v>0</v>
      </c>
      <c r="BA5" s="81">
        <f t="shared" ca="1" si="12"/>
        <v>0</v>
      </c>
      <c r="BB5" s="81">
        <f t="shared" ca="1" si="12"/>
        <v>0</v>
      </c>
      <c r="BC5" s="81">
        <f t="shared" ca="1" si="12"/>
        <v>0</v>
      </c>
      <c r="BD5" s="81">
        <f t="shared" ca="1" si="12"/>
        <v>0</v>
      </c>
      <c r="BE5" s="81">
        <f t="shared" ca="1" si="12"/>
        <v>0</v>
      </c>
      <c r="BF5" s="81">
        <f t="shared" ca="1" si="12"/>
        <v>0</v>
      </c>
      <c r="BG5" s="81">
        <f t="shared" ca="1" si="12"/>
        <v>0</v>
      </c>
      <c r="BH5" s="81">
        <f t="shared" ca="1" si="12"/>
        <v>0</v>
      </c>
      <c r="BI5" s="81">
        <f t="shared" ca="1" si="12"/>
        <v>0</v>
      </c>
      <c r="BJ5" s="81">
        <f t="shared" ca="1" si="12"/>
        <v>0</v>
      </c>
      <c r="BK5" s="81">
        <f t="shared" ca="1" si="12"/>
        <v>0</v>
      </c>
    </row>
    <row r="6" spans="1:63">
      <c r="B6" s="67"/>
      <c r="C6" s="69"/>
      <c r="E6" s="165"/>
      <c r="F6" s="165">
        <f>SUMIF($A$84:$A$751,B6&amp;"- "&amp;C6,$G$84:$G$751)</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3">C9</f>
        <v>DGDDI</v>
      </c>
      <c r="AA6" s="29">
        <f t="shared" ref="AA6:AJ6" si="14">SUM(AA7:AA11)</f>
        <v>0</v>
      </c>
      <c r="AB6" s="29">
        <f t="shared" si="14"/>
        <v>0</v>
      </c>
      <c r="AC6" s="29">
        <f t="shared" si="14"/>
        <v>0</v>
      </c>
      <c r="AD6" s="29">
        <f t="shared" si="14"/>
        <v>0</v>
      </c>
      <c r="AE6" s="29">
        <f t="shared" si="14"/>
        <v>0</v>
      </c>
      <c r="AF6" s="29">
        <f t="shared" si="14"/>
        <v>0</v>
      </c>
      <c r="AG6" s="29">
        <f t="shared" si="14"/>
        <v>0</v>
      </c>
      <c r="AH6" s="29">
        <f t="shared" si="14"/>
        <v>0</v>
      </c>
      <c r="AI6" s="29">
        <f t="shared" si="14"/>
        <v>0</v>
      </c>
      <c r="AJ6" s="29">
        <f t="shared" si="14"/>
        <v>0</v>
      </c>
      <c r="AL6" s="28"/>
      <c r="AM6" s="28" t="str">
        <f t="shared" ref="AM6:AM14" si="15">+C9</f>
        <v>DGDDI</v>
      </c>
      <c r="AN6" s="29">
        <f t="shared" ref="AN6:AV6" si="16">SUM(AN7:AN11)</f>
        <v>0</v>
      </c>
      <c r="AO6" s="29">
        <f t="shared" si="16"/>
        <v>0</v>
      </c>
      <c r="AP6" s="29">
        <f t="shared" si="16"/>
        <v>0</v>
      </c>
      <c r="AQ6" s="29">
        <f t="shared" si="16"/>
        <v>0</v>
      </c>
      <c r="AR6" s="29">
        <f t="shared" si="16"/>
        <v>0</v>
      </c>
      <c r="AS6" s="29">
        <f t="shared" si="16"/>
        <v>0</v>
      </c>
      <c r="AT6" s="29">
        <f t="shared" si="16"/>
        <v>0</v>
      </c>
      <c r="AU6" s="29">
        <f t="shared" si="16"/>
        <v>0</v>
      </c>
      <c r="AV6" s="29">
        <f t="shared" si="16"/>
        <v>0</v>
      </c>
      <c r="AW6" s="18"/>
      <c r="AX6" s="28"/>
      <c r="AY6" s="28" t="str">
        <f t="shared" ref="AY6:AY14" si="17">C9</f>
        <v>DGDDI</v>
      </c>
      <c r="AZ6" s="29">
        <f t="shared" ref="AZ6:BK6" ca="1" si="18">SUM(AZ7:AZ11)</f>
        <v>0</v>
      </c>
      <c r="BA6" s="29">
        <f t="shared" ca="1" si="18"/>
        <v>0</v>
      </c>
      <c r="BB6" s="29">
        <f t="shared" ca="1" si="18"/>
        <v>0</v>
      </c>
      <c r="BC6" s="29">
        <f t="shared" ca="1" si="18"/>
        <v>0</v>
      </c>
      <c r="BD6" s="29">
        <f t="shared" ca="1" si="18"/>
        <v>0</v>
      </c>
      <c r="BE6" s="29">
        <f t="shared" ca="1" si="18"/>
        <v>0</v>
      </c>
      <c r="BF6" s="29">
        <f t="shared" ca="1" si="18"/>
        <v>0</v>
      </c>
      <c r="BG6" s="29">
        <f t="shared" ca="1" si="18"/>
        <v>0</v>
      </c>
      <c r="BH6" s="29">
        <f t="shared" ca="1" si="18"/>
        <v>0</v>
      </c>
      <c r="BI6" s="29">
        <f t="shared" ca="1" si="18"/>
        <v>0</v>
      </c>
      <c r="BJ6" s="29">
        <f t="shared" ca="1" si="18"/>
        <v>0</v>
      </c>
      <c r="BK6" s="29">
        <f t="shared" ca="1" si="18"/>
        <v>0</v>
      </c>
    </row>
    <row r="7" spans="1:63">
      <c r="C7" s="24"/>
      <c r="E7" s="114"/>
      <c r="F7" s="114">
        <f>SUMIF($A$84:$A$751,B7&amp;"- "&amp;C7,$G$84:$G$751)</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3"/>
        <v>Redevance équipement, informatique et finances (REIF)</v>
      </c>
      <c r="AA7" s="16">
        <f t="shared" ref="AA7:AI11" si="19">SUMPRODUCT(($A$84:$A$751=$Y7&amp;"- "&amp;$Z7)*($C$84:$C$751=AA$1)*($G$84:$G$751))</f>
        <v>0</v>
      </c>
      <c r="AB7" s="16">
        <f t="shared" si="19"/>
        <v>0</v>
      </c>
      <c r="AC7" s="16">
        <f t="shared" si="19"/>
        <v>0</v>
      </c>
      <c r="AD7" s="16">
        <f t="shared" si="19"/>
        <v>0</v>
      </c>
      <c r="AE7" s="16">
        <f t="shared" si="19"/>
        <v>0</v>
      </c>
      <c r="AF7" s="16">
        <f t="shared" si="19"/>
        <v>0</v>
      </c>
      <c r="AG7" s="16">
        <f t="shared" si="19"/>
        <v>0</v>
      </c>
      <c r="AH7" s="16">
        <f t="shared" si="19"/>
        <v>0</v>
      </c>
      <c r="AI7" s="16">
        <f t="shared" si="19"/>
        <v>0</v>
      </c>
      <c r="AJ7" s="16">
        <f>SUM(AA7:AI7)</f>
        <v>0</v>
      </c>
      <c r="AL7" s="17">
        <f>+B10</f>
        <v>1</v>
      </c>
      <c r="AM7" s="26" t="str">
        <f t="shared" si="15"/>
        <v>Redevance équipement, informatique et finances (REIF)</v>
      </c>
      <c r="AN7" s="18">
        <f t="shared" ref="AN7:AU11" si="20">SUMPRODUCT(($J$84:$M$748=$AL7&amp;"- "&amp;$AM7)*($N$84:$N$748=AN$1)*($Q$84:$Q$748))</f>
        <v>0</v>
      </c>
      <c r="AO7" s="18">
        <f t="shared" si="20"/>
        <v>0</v>
      </c>
      <c r="AP7" s="18">
        <f t="shared" si="20"/>
        <v>0</v>
      </c>
      <c r="AQ7" s="18">
        <f t="shared" si="20"/>
        <v>0</v>
      </c>
      <c r="AR7" s="18">
        <f t="shared" si="20"/>
        <v>0</v>
      </c>
      <c r="AS7" s="18">
        <f t="shared" si="20"/>
        <v>0</v>
      </c>
      <c r="AT7" s="18">
        <f t="shared" si="20"/>
        <v>0</v>
      </c>
      <c r="AU7" s="18">
        <f t="shared" si="20"/>
        <v>0</v>
      </c>
      <c r="AV7" s="18">
        <f>SUM(AN7:AU7)</f>
        <v>0</v>
      </c>
      <c r="AW7" s="18"/>
      <c r="AX7" s="17">
        <f>B10</f>
        <v>1</v>
      </c>
      <c r="AY7" s="26" t="str">
        <f t="shared" si="17"/>
        <v>Redevance équipement, informatique et finances (REIF)</v>
      </c>
      <c r="AZ7" s="18">
        <f t="shared" ref="AZ7:BK11" ca="1" si="21">SUMPRODUCT(($C$10:$C$75=$AY7)*($N$10:$N$75=AZ$1)*($M$10:$M$75))</f>
        <v>0</v>
      </c>
      <c r="BA7" s="18">
        <f t="shared" ca="1" si="21"/>
        <v>0</v>
      </c>
      <c r="BB7" s="18">
        <f t="shared" ca="1" si="21"/>
        <v>0</v>
      </c>
      <c r="BC7" s="18">
        <f t="shared" ca="1" si="21"/>
        <v>0</v>
      </c>
      <c r="BD7" s="18">
        <f t="shared" ca="1" si="21"/>
        <v>0</v>
      </c>
      <c r="BE7" s="18">
        <f t="shared" ca="1" si="21"/>
        <v>0</v>
      </c>
      <c r="BF7" s="18">
        <f t="shared" ca="1" si="21"/>
        <v>0</v>
      </c>
      <c r="BG7" s="18">
        <f t="shared" ca="1" si="21"/>
        <v>0</v>
      </c>
      <c r="BH7" s="18">
        <f t="shared" ca="1" si="21"/>
        <v>0</v>
      </c>
      <c r="BI7" s="18">
        <f t="shared" ca="1" si="21"/>
        <v>0</v>
      </c>
      <c r="BJ7" s="18">
        <f t="shared" ca="1" si="21"/>
        <v>0</v>
      </c>
      <c r="BK7" s="18">
        <f t="shared" ca="1" si="21"/>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364928028.18944299</v>
      </c>
      <c r="J8" s="164">
        <f ca="1">+J9+J13+J15+J17+J40+J45+J47+J52+J55+J62+J65+J68+J77</f>
        <v>62837677</v>
      </c>
      <c r="K8" s="164">
        <f ca="1">+K9+K13+K15+K17+K40+K45+K47+K52+K55+K62+K65+K68+K77</f>
        <v>427765705.18944299</v>
      </c>
      <c r="L8" s="114"/>
      <c r="M8" s="164">
        <f ca="1">+M9+M13+M15+M17+M40+M45+M52+M55+M62+M65+M68+M77+M47</f>
        <v>-427765705.18944299</v>
      </c>
      <c r="N8" s="79"/>
      <c r="Q8" s="35"/>
      <c r="R8" s="21" t="str">
        <f>Lists!A73</f>
        <v>Montant doublement déclaré</v>
      </c>
      <c r="S8" s="18">
        <f t="shared" si="3"/>
        <v>0</v>
      </c>
      <c r="U8" s="21" t="str">
        <f>Lists!A96</f>
        <v>Détail non soumis par l'Etat</v>
      </c>
      <c r="V8" s="18">
        <f t="shared" si="4"/>
        <v>0</v>
      </c>
      <c r="Y8" s="15">
        <f>B11</f>
        <v>2</v>
      </c>
      <c r="Z8" s="25" t="str">
        <f t="shared" si="13"/>
        <v>Droit de sortie (DS)</v>
      </c>
      <c r="AA8" s="16">
        <f t="shared" si="19"/>
        <v>0</v>
      </c>
      <c r="AB8" s="16">
        <f t="shared" si="19"/>
        <v>0</v>
      </c>
      <c r="AC8" s="16">
        <f t="shared" si="19"/>
        <v>0</v>
      </c>
      <c r="AD8" s="16">
        <f t="shared" si="19"/>
        <v>0</v>
      </c>
      <c r="AE8" s="16">
        <f t="shared" si="19"/>
        <v>0</v>
      </c>
      <c r="AF8" s="16">
        <f t="shared" si="19"/>
        <v>0</v>
      </c>
      <c r="AG8" s="16">
        <f t="shared" si="19"/>
        <v>0</v>
      </c>
      <c r="AH8" s="16">
        <f t="shared" si="19"/>
        <v>0</v>
      </c>
      <c r="AI8" s="16">
        <f t="shared" si="19"/>
        <v>0</v>
      </c>
      <c r="AJ8" s="16">
        <f>SUM(AA8:AI8)</f>
        <v>0</v>
      </c>
      <c r="AL8" s="17">
        <f>+B11</f>
        <v>2</v>
      </c>
      <c r="AM8" s="26" t="str">
        <f t="shared" si="15"/>
        <v>Droit de sortie (DS)</v>
      </c>
      <c r="AN8" s="18">
        <f t="shared" si="20"/>
        <v>0</v>
      </c>
      <c r="AO8" s="18">
        <f t="shared" si="20"/>
        <v>0</v>
      </c>
      <c r="AP8" s="18">
        <f t="shared" si="20"/>
        <v>0</v>
      </c>
      <c r="AQ8" s="18">
        <f t="shared" si="20"/>
        <v>0</v>
      </c>
      <c r="AR8" s="18">
        <f t="shared" si="20"/>
        <v>0</v>
      </c>
      <c r="AS8" s="18">
        <f t="shared" si="20"/>
        <v>0</v>
      </c>
      <c r="AT8" s="18">
        <f t="shared" si="20"/>
        <v>0</v>
      </c>
      <c r="AU8" s="18">
        <f t="shared" si="20"/>
        <v>0</v>
      </c>
      <c r="AV8" s="18">
        <f>SUM(AN8:AU8)</f>
        <v>0</v>
      </c>
      <c r="AW8" s="18"/>
      <c r="AX8" s="17">
        <f>B11</f>
        <v>2</v>
      </c>
      <c r="AY8" s="26" t="str">
        <f t="shared" si="17"/>
        <v>Droit de sortie (DS)</v>
      </c>
      <c r="AZ8" s="18">
        <f t="shared" ca="1" si="21"/>
        <v>0</v>
      </c>
      <c r="BA8" s="18">
        <f t="shared" ca="1" si="21"/>
        <v>0</v>
      </c>
      <c r="BB8" s="18">
        <f t="shared" ca="1" si="21"/>
        <v>0</v>
      </c>
      <c r="BC8" s="18">
        <f t="shared" ca="1" si="21"/>
        <v>0</v>
      </c>
      <c r="BD8" s="18">
        <f t="shared" ca="1" si="21"/>
        <v>0</v>
      </c>
      <c r="BE8" s="18">
        <f t="shared" ca="1" si="21"/>
        <v>0</v>
      </c>
      <c r="BF8" s="18">
        <f t="shared" ca="1" si="21"/>
        <v>0</v>
      </c>
      <c r="BG8" s="18">
        <f t="shared" ca="1" si="21"/>
        <v>0</v>
      </c>
      <c r="BH8" s="18">
        <f t="shared" ca="1" si="21"/>
        <v>0</v>
      </c>
      <c r="BI8" s="18">
        <f t="shared" ca="1" si="21"/>
        <v>0</v>
      </c>
      <c r="BJ8" s="18">
        <f t="shared" ca="1" si="21"/>
        <v>0</v>
      </c>
      <c r="BK8" s="18">
        <f t="shared" ca="1" si="21"/>
        <v>0</v>
      </c>
    </row>
    <row r="9" spans="1:63">
      <c r="B9" s="58"/>
      <c r="C9" s="58" t="str">
        <f>+'Taxes RCA 2022'!B2</f>
        <v>DGDDI</v>
      </c>
      <c r="E9" s="166">
        <f>SUM(E10:E12)</f>
        <v>0</v>
      </c>
      <c r="F9" s="166">
        <f t="shared" ref="F9:G9" si="22">SUM(F10:F12)</f>
        <v>0</v>
      </c>
      <c r="G9" s="166">
        <f t="shared" si="22"/>
        <v>0</v>
      </c>
      <c r="H9" s="114"/>
      <c r="I9" s="166">
        <f>SUM(I10:I12)</f>
        <v>0</v>
      </c>
      <c r="J9" s="166">
        <f ca="1">SUM(J10:J12)</f>
        <v>10886977</v>
      </c>
      <c r="K9" s="166">
        <f ca="1">SUM(K10:K12)</f>
        <v>10886977</v>
      </c>
      <c r="L9" s="114"/>
      <c r="M9" s="166">
        <f ca="1">SUM(M10:M12)</f>
        <v>-10886977</v>
      </c>
      <c r="N9" s="58"/>
      <c r="Q9" s="35"/>
      <c r="R9" s="21" t="str">
        <f>Lists!A74</f>
        <v>Erreur de classification</v>
      </c>
      <c r="S9" s="18">
        <f t="shared" si="3"/>
        <v>0</v>
      </c>
      <c r="U9" s="21" t="str">
        <f>Lists!A97</f>
        <v>Taxes non reportées par l'Entreprise Extractive</v>
      </c>
      <c r="V9" s="18">
        <f t="shared" si="4"/>
        <v>0</v>
      </c>
      <c r="Y9" s="15">
        <f>B12</f>
        <v>3</v>
      </c>
      <c r="Z9" s="25" t="str">
        <f t="shared" si="13"/>
        <v>Amendes et pénalités payées à la DGDDI (+)</v>
      </c>
      <c r="AA9" s="16">
        <f t="shared" si="19"/>
        <v>0</v>
      </c>
      <c r="AB9" s="16">
        <f t="shared" si="19"/>
        <v>0</v>
      </c>
      <c r="AC9" s="16">
        <f t="shared" si="19"/>
        <v>0</v>
      </c>
      <c r="AD9" s="16">
        <f t="shared" si="19"/>
        <v>0</v>
      </c>
      <c r="AE9" s="16">
        <f t="shared" si="19"/>
        <v>0</v>
      </c>
      <c r="AF9" s="16">
        <f t="shared" si="19"/>
        <v>0</v>
      </c>
      <c r="AG9" s="16">
        <f t="shared" si="19"/>
        <v>0</v>
      </c>
      <c r="AH9" s="16">
        <f t="shared" si="19"/>
        <v>0</v>
      </c>
      <c r="AI9" s="16">
        <f t="shared" si="19"/>
        <v>0</v>
      </c>
      <c r="AJ9" s="16">
        <f>SUM(AA9:AI9)</f>
        <v>0</v>
      </c>
      <c r="AL9" s="17">
        <f>+B12</f>
        <v>3</v>
      </c>
      <c r="AM9" s="26" t="str">
        <f t="shared" si="15"/>
        <v>Amendes et pénalités payées à la DGDDI (+)</v>
      </c>
      <c r="AN9" s="18">
        <f t="shared" si="20"/>
        <v>0</v>
      </c>
      <c r="AO9" s="18">
        <f t="shared" si="20"/>
        <v>0</v>
      </c>
      <c r="AP9" s="18">
        <f t="shared" si="20"/>
        <v>0</v>
      </c>
      <c r="AQ9" s="18">
        <f t="shared" si="20"/>
        <v>0</v>
      </c>
      <c r="AR9" s="18">
        <f t="shared" si="20"/>
        <v>0</v>
      </c>
      <c r="AS9" s="18">
        <f t="shared" si="20"/>
        <v>0</v>
      </c>
      <c r="AT9" s="18">
        <f t="shared" si="20"/>
        <v>0</v>
      </c>
      <c r="AU9" s="18">
        <f t="shared" si="20"/>
        <v>0</v>
      </c>
      <c r="AV9" s="18">
        <f>SUM(AN9:AU9)</f>
        <v>0</v>
      </c>
      <c r="AW9" s="18"/>
      <c r="AX9" s="17">
        <f>B12</f>
        <v>3</v>
      </c>
      <c r="AY9" s="26" t="str">
        <f t="shared" si="17"/>
        <v>Amendes et pénalités payées à la DGDDI (+)</v>
      </c>
      <c r="AZ9" s="18">
        <f t="shared" ca="1" si="21"/>
        <v>0</v>
      </c>
      <c r="BA9" s="18">
        <f t="shared" ca="1" si="21"/>
        <v>0</v>
      </c>
      <c r="BB9" s="18">
        <f t="shared" ca="1" si="21"/>
        <v>0</v>
      </c>
      <c r="BC9" s="18">
        <f t="shared" ca="1" si="21"/>
        <v>0</v>
      </c>
      <c r="BD9" s="18">
        <f t="shared" ca="1" si="21"/>
        <v>0</v>
      </c>
      <c r="BE9" s="18">
        <f t="shared" ca="1" si="21"/>
        <v>0</v>
      </c>
      <c r="BF9" s="18">
        <f t="shared" ca="1" si="21"/>
        <v>0</v>
      </c>
      <c r="BG9" s="18">
        <f t="shared" ca="1" si="21"/>
        <v>0</v>
      </c>
      <c r="BH9" s="18">
        <f t="shared" ca="1" si="21"/>
        <v>0</v>
      </c>
      <c r="BI9" s="18">
        <f t="shared" ca="1" si="21"/>
        <v>0</v>
      </c>
      <c r="BJ9" s="18">
        <f t="shared" ca="1" si="21"/>
        <v>0</v>
      </c>
      <c r="BK9" s="18">
        <f t="shared" ca="1" si="21"/>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472764</v>
      </c>
      <c r="K10" s="165">
        <f>I10+J10</f>
        <v>472764</v>
      </c>
      <c r="L10" s="114"/>
      <c r="M10" s="165">
        <f>+G10-K10</f>
        <v>-472764</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3"/>
        <v>DGTCP</v>
      </c>
      <c r="AA10" s="16">
        <f t="shared" si="19"/>
        <v>0</v>
      </c>
      <c r="AB10" s="16">
        <f t="shared" si="19"/>
        <v>0</v>
      </c>
      <c r="AC10" s="16">
        <f t="shared" si="19"/>
        <v>0</v>
      </c>
      <c r="AD10" s="16">
        <f t="shared" si="19"/>
        <v>0</v>
      </c>
      <c r="AE10" s="16">
        <f t="shared" si="19"/>
        <v>0</v>
      </c>
      <c r="AF10" s="16">
        <f t="shared" si="19"/>
        <v>0</v>
      </c>
      <c r="AG10" s="16">
        <f t="shared" si="19"/>
        <v>0</v>
      </c>
      <c r="AH10" s="16">
        <f t="shared" si="19"/>
        <v>0</v>
      </c>
      <c r="AI10" s="16">
        <f t="shared" si="19"/>
        <v>0</v>
      </c>
      <c r="AJ10" s="16">
        <f>SUM(AA10:AI10)</f>
        <v>0</v>
      </c>
      <c r="AL10" s="17">
        <f>+B13</f>
        <v>0</v>
      </c>
      <c r="AM10" s="26" t="str">
        <f t="shared" si="15"/>
        <v>DGTCP</v>
      </c>
      <c r="AN10" s="18">
        <f t="shared" si="20"/>
        <v>0</v>
      </c>
      <c r="AO10" s="18">
        <f t="shared" si="20"/>
        <v>0</v>
      </c>
      <c r="AP10" s="18">
        <f t="shared" si="20"/>
        <v>0</v>
      </c>
      <c r="AQ10" s="18">
        <f t="shared" si="20"/>
        <v>0</v>
      </c>
      <c r="AR10" s="18">
        <f t="shared" si="20"/>
        <v>0</v>
      </c>
      <c r="AS10" s="18">
        <f t="shared" si="20"/>
        <v>0</v>
      </c>
      <c r="AT10" s="18">
        <f t="shared" si="20"/>
        <v>0</v>
      </c>
      <c r="AU10" s="18">
        <f t="shared" si="20"/>
        <v>0</v>
      </c>
      <c r="AV10" s="18">
        <f>SUM(AN10:AU10)</f>
        <v>0</v>
      </c>
      <c r="AW10" s="18"/>
      <c r="AX10" s="17">
        <f>B13</f>
        <v>0</v>
      </c>
      <c r="AY10" s="26" t="str">
        <f t="shared" si="17"/>
        <v>DGTCP</v>
      </c>
      <c r="AZ10" s="18">
        <f t="shared" ca="1" si="21"/>
        <v>0</v>
      </c>
      <c r="BA10" s="18">
        <f t="shared" ca="1" si="21"/>
        <v>0</v>
      </c>
      <c r="BB10" s="18">
        <f t="shared" ca="1" si="21"/>
        <v>0</v>
      </c>
      <c r="BC10" s="18">
        <f t="shared" ca="1" si="21"/>
        <v>0</v>
      </c>
      <c r="BD10" s="18">
        <f t="shared" ca="1" si="21"/>
        <v>0</v>
      </c>
      <c r="BE10" s="18">
        <f t="shared" ca="1" si="21"/>
        <v>0</v>
      </c>
      <c r="BF10" s="18">
        <f t="shared" ca="1" si="21"/>
        <v>0</v>
      </c>
      <c r="BG10" s="18">
        <f t="shared" ca="1" si="21"/>
        <v>0</v>
      </c>
      <c r="BH10" s="18">
        <f t="shared" ca="1" si="21"/>
        <v>0</v>
      </c>
      <c r="BI10" s="18">
        <f t="shared" ca="1" si="21"/>
        <v>0</v>
      </c>
      <c r="BJ10" s="18">
        <f t="shared" ca="1" si="21"/>
        <v>0</v>
      </c>
      <c r="BK10" s="18">
        <f t="shared" ca="1" si="21"/>
        <v>0</v>
      </c>
    </row>
    <row r="11" spans="1:63">
      <c r="A11" s="80">
        <f t="shared" ref="A11:A79" si="23">B11</f>
        <v>2</v>
      </c>
      <c r="B11" s="53">
        <f>+'Taxes RCA 2022'!A4</f>
        <v>2</v>
      </c>
      <c r="C11" s="18" t="str">
        <f>+'Taxes RCA 2022'!B4</f>
        <v>Droit de sortie (DS)</v>
      </c>
      <c r="E11" s="114"/>
      <c r="F11" s="114">
        <f>SUMIF($A$84:$A$751,B11&amp;"- "&amp;C11,$G$84:$G$751)</f>
        <v>0</v>
      </c>
      <c r="G11" s="114">
        <f>E11+F11</f>
        <v>0</v>
      </c>
      <c r="H11" s="114"/>
      <c r="I11" s="114"/>
      <c r="J11" s="114">
        <f>SUMIF($J$83:$J$1048576,C11,$Q$83:$Q$1048576)</f>
        <v>10414213</v>
      </c>
      <c r="K11" s="114">
        <f>I11+J11</f>
        <v>10414213</v>
      </c>
      <c r="L11" s="114"/>
      <c r="M11" s="114">
        <f>+G11-K11</f>
        <v>-10414213</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3"/>
        <v>Dividendes sur participation de l'Etat (+)</v>
      </c>
      <c r="AA11" s="16">
        <f t="shared" si="19"/>
        <v>0</v>
      </c>
      <c r="AB11" s="16">
        <f t="shared" si="19"/>
        <v>0</v>
      </c>
      <c r="AC11" s="16">
        <f t="shared" si="19"/>
        <v>0</v>
      </c>
      <c r="AD11" s="16">
        <f t="shared" si="19"/>
        <v>0</v>
      </c>
      <c r="AE11" s="16">
        <f t="shared" si="19"/>
        <v>0</v>
      </c>
      <c r="AF11" s="16">
        <f t="shared" si="19"/>
        <v>0</v>
      </c>
      <c r="AG11" s="16">
        <f t="shared" si="19"/>
        <v>0</v>
      </c>
      <c r="AH11" s="16">
        <f t="shared" si="19"/>
        <v>0</v>
      </c>
      <c r="AI11" s="16">
        <f t="shared" si="19"/>
        <v>0</v>
      </c>
      <c r="AJ11" s="16">
        <f>SUM(AA11:AI11)</f>
        <v>0</v>
      </c>
      <c r="AL11" s="17">
        <f>+B14</f>
        <v>4</v>
      </c>
      <c r="AM11" s="26" t="str">
        <f t="shared" si="15"/>
        <v>Dividendes sur participation de l'Etat (+)</v>
      </c>
      <c r="AN11" s="18">
        <f t="shared" si="20"/>
        <v>0</v>
      </c>
      <c r="AO11" s="18">
        <f t="shared" si="20"/>
        <v>0</v>
      </c>
      <c r="AP11" s="18">
        <f t="shared" si="20"/>
        <v>0</v>
      </c>
      <c r="AQ11" s="18">
        <f t="shared" si="20"/>
        <v>0</v>
      </c>
      <c r="AR11" s="18">
        <f t="shared" si="20"/>
        <v>0</v>
      </c>
      <c r="AS11" s="18">
        <f t="shared" si="20"/>
        <v>0</v>
      </c>
      <c r="AT11" s="18">
        <f t="shared" si="20"/>
        <v>0</v>
      </c>
      <c r="AU11" s="18">
        <f t="shared" si="20"/>
        <v>0</v>
      </c>
      <c r="AV11" s="18">
        <f>SUM(AN11:AU11)</f>
        <v>0</v>
      </c>
      <c r="AW11" s="18"/>
      <c r="AX11" s="17">
        <f>B14</f>
        <v>4</v>
      </c>
      <c r="AY11" s="26" t="str">
        <f t="shared" si="17"/>
        <v>Dividendes sur participation de l'Etat (+)</v>
      </c>
      <c r="AZ11" s="18">
        <f t="shared" ca="1" si="21"/>
        <v>0</v>
      </c>
      <c r="BA11" s="18">
        <f t="shared" ca="1" si="21"/>
        <v>0</v>
      </c>
      <c r="BB11" s="18">
        <f t="shared" ca="1" si="21"/>
        <v>0</v>
      </c>
      <c r="BC11" s="18">
        <f t="shared" ca="1" si="21"/>
        <v>0</v>
      </c>
      <c r="BD11" s="18">
        <f t="shared" ca="1" si="21"/>
        <v>0</v>
      </c>
      <c r="BE11" s="18">
        <f t="shared" ca="1" si="21"/>
        <v>0</v>
      </c>
      <c r="BF11" s="18">
        <f t="shared" ca="1" si="21"/>
        <v>0</v>
      </c>
      <c r="BG11" s="18">
        <f t="shared" ca="1" si="21"/>
        <v>0</v>
      </c>
      <c r="BH11" s="18">
        <f t="shared" ca="1" si="21"/>
        <v>0</v>
      </c>
      <c r="BI11" s="18">
        <f t="shared" ca="1" si="21"/>
        <v>0</v>
      </c>
      <c r="BJ11" s="18">
        <f t="shared" ca="1" si="21"/>
        <v>0</v>
      </c>
      <c r="BK11" s="18">
        <f t="shared" ca="1" si="21"/>
        <v>0</v>
      </c>
    </row>
    <row r="12" spans="1:63">
      <c r="A12" s="80">
        <f t="shared" si="23"/>
        <v>3</v>
      </c>
      <c r="B12" s="64">
        <f>+'Taxes RCA 2022'!A5</f>
        <v>3</v>
      </c>
      <c r="C12" s="68" t="str">
        <f>+'Taxes RCA 2022'!B5</f>
        <v>Amendes et pénalités payées à la DGDDI (+)</v>
      </c>
      <c r="E12" s="165"/>
      <c r="F12" s="165">
        <f>SUMIF($A$84:$A$751,B12&amp;"- "&amp;C12,$G$84:$G$751)</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3"/>
        <v>DGTCP (FDM)</v>
      </c>
      <c r="AA12" s="29">
        <f t="shared" ref="AA12:AJ12" si="24">SUM(AA13:AA21)</f>
        <v>0</v>
      </c>
      <c r="AB12" s="29">
        <f t="shared" si="24"/>
        <v>0</v>
      </c>
      <c r="AC12" s="29">
        <f t="shared" si="24"/>
        <v>0</v>
      </c>
      <c r="AD12" s="29">
        <f t="shared" si="24"/>
        <v>0</v>
      </c>
      <c r="AE12" s="29">
        <f t="shared" si="24"/>
        <v>0</v>
      </c>
      <c r="AF12" s="29">
        <f t="shared" si="24"/>
        <v>0</v>
      </c>
      <c r="AG12" s="29">
        <f t="shared" si="24"/>
        <v>0</v>
      </c>
      <c r="AH12" s="29">
        <f t="shared" si="24"/>
        <v>0</v>
      </c>
      <c r="AI12" s="29">
        <f t="shared" si="24"/>
        <v>0</v>
      </c>
      <c r="AJ12" s="29">
        <f t="shared" si="24"/>
        <v>0</v>
      </c>
      <c r="AL12" s="28"/>
      <c r="AM12" s="28" t="str">
        <f t="shared" si="15"/>
        <v>DGTCP (FDM)</v>
      </c>
      <c r="AN12" s="29">
        <f t="shared" ref="AN12:AV12" si="25">SUM(AN13:AN21)</f>
        <v>0</v>
      </c>
      <c r="AO12" s="29">
        <f t="shared" si="25"/>
        <v>0</v>
      </c>
      <c r="AP12" s="29">
        <f t="shared" si="25"/>
        <v>0</v>
      </c>
      <c r="AQ12" s="29">
        <f t="shared" si="25"/>
        <v>0</v>
      </c>
      <c r="AR12" s="29">
        <f t="shared" si="25"/>
        <v>0</v>
      </c>
      <c r="AS12" s="29">
        <f t="shared" si="25"/>
        <v>0</v>
      </c>
      <c r="AT12" s="29">
        <f t="shared" si="25"/>
        <v>0</v>
      </c>
      <c r="AU12" s="29">
        <f t="shared" si="25"/>
        <v>0</v>
      </c>
      <c r="AV12" s="29">
        <f t="shared" si="25"/>
        <v>0</v>
      </c>
      <c r="AW12" s="38"/>
      <c r="AX12" s="28"/>
      <c r="AY12" s="28" t="str">
        <f t="shared" si="17"/>
        <v>DGTCP (FDM)</v>
      </c>
      <c r="AZ12" s="29">
        <f t="shared" ref="AZ12:BK12" ca="1" si="26">SUM(AZ13:AZ21)</f>
        <v>0</v>
      </c>
      <c r="BA12" s="29">
        <f t="shared" ca="1" si="26"/>
        <v>0</v>
      </c>
      <c r="BB12" s="29">
        <f t="shared" ca="1" si="26"/>
        <v>0</v>
      </c>
      <c r="BC12" s="29">
        <f t="shared" ca="1" si="26"/>
        <v>0</v>
      </c>
      <c r="BD12" s="29">
        <f t="shared" ca="1" si="26"/>
        <v>0</v>
      </c>
      <c r="BE12" s="29">
        <f t="shared" ca="1" si="26"/>
        <v>0</v>
      </c>
      <c r="BF12" s="29">
        <f t="shared" ca="1" si="26"/>
        <v>0</v>
      </c>
      <c r="BG12" s="29">
        <f t="shared" ca="1" si="26"/>
        <v>0</v>
      </c>
      <c r="BH12" s="29">
        <f t="shared" ca="1" si="26"/>
        <v>0</v>
      </c>
      <c r="BI12" s="29">
        <f t="shared" ca="1" si="26"/>
        <v>0</v>
      </c>
      <c r="BJ12" s="29">
        <f t="shared" ca="1" si="26"/>
        <v>0</v>
      </c>
      <c r="BK12" s="29">
        <f t="shared" ca="1" si="26"/>
        <v>0</v>
      </c>
    </row>
    <row r="13" spans="1:63">
      <c r="A13" s="80">
        <f t="shared" si="23"/>
        <v>0</v>
      </c>
      <c r="B13" s="163"/>
      <c r="C13" s="58" t="str">
        <f>+'Taxes RCA 2022'!B6</f>
        <v>DGTCP</v>
      </c>
      <c r="E13" s="166">
        <f>+E14</f>
        <v>0</v>
      </c>
      <c r="F13" s="166">
        <f t="shared" ref="F13:G13" si="27">+F14</f>
        <v>0</v>
      </c>
      <c r="G13" s="166">
        <f t="shared" si="27"/>
        <v>0</v>
      </c>
      <c r="H13" s="114"/>
      <c r="I13" s="166">
        <f>+I14</f>
        <v>0</v>
      </c>
      <c r="J13" s="166">
        <f ca="1">+J14</f>
        <v>0</v>
      </c>
      <c r="K13" s="166">
        <f ca="1">+K14</f>
        <v>0</v>
      </c>
      <c r="L13" s="114"/>
      <c r="M13" s="166">
        <f ca="1">+M14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3"/>
        <v>Bonus de signature versés par les investisseurs miniers (+) (DGTCP (FDM))</v>
      </c>
      <c r="AA13" s="16">
        <f t="shared" ref="AA13:AI21" si="28">SUMPRODUCT(($A$84:$A$751=$Y13&amp;"- "&amp;$Z13)*($C$84:$C$751=AA$1)*($G$84:$G$751))</f>
        <v>0</v>
      </c>
      <c r="AB13" s="16">
        <f t="shared" si="28"/>
        <v>0</v>
      </c>
      <c r="AC13" s="16">
        <f t="shared" si="28"/>
        <v>0</v>
      </c>
      <c r="AD13" s="16">
        <f t="shared" si="28"/>
        <v>0</v>
      </c>
      <c r="AE13" s="16">
        <f t="shared" si="28"/>
        <v>0</v>
      </c>
      <c r="AF13" s="16">
        <f t="shared" si="28"/>
        <v>0</v>
      </c>
      <c r="AG13" s="16">
        <f t="shared" si="28"/>
        <v>0</v>
      </c>
      <c r="AH13" s="16">
        <f t="shared" si="28"/>
        <v>0</v>
      </c>
      <c r="AI13" s="16">
        <f t="shared" si="28"/>
        <v>0</v>
      </c>
      <c r="AJ13" s="16">
        <f t="shared" ref="AJ13:AJ21" si="29">SUM(AA13:AI13)</f>
        <v>0</v>
      </c>
      <c r="AL13" s="17">
        <f>+B16</f>
        <v>5</v>
      </c>
      <c r="AM13" s="26" t="str">
        <f t="shared" si="15"/>
        <v>Bonus de signature versés par les investisseurs miniers (+) (DGTCP (FDM))</v>
      </c>
      <c r="AN13" s="18">
        <f t="shared" ref="AN13:AU21" si="30">SUMPRODUCT(($J$84:$M$748=$AL13&amp;"- "&amp;$AM13)*($N$84:$N$748=AN$1)*($Q$84:$Q$748))</f>
        <v>0</v>
      </c>
      <c r="AO13" s="18">
        <f t="shared" si="30"/>
        <v>0</v>
      </c>
      <c r="AP13" s="18">
        <f t="shared" si="30"/>
        <v>0</v>
      </c>
      <c r="AQ13" s="18">
        <f t="shared" si="30"/>
        <v>0</v>
      </c>
      <c r="AR13" s="18">
        <f t="shared" si="30"/>
        <v>0</v>
      </c>
      <c r="AS13" s="18">
        <f t="shared" si="30"/>
        <v>0</v>
      </c>
      <c r="AT13" s="18">
        <f t="shared" si="30"/>
        <v>0</v>
      </c>
      <c r="AU13" s="18">
        <f t="shared" si="30"/>
        <v>0</v>
      </c>
      <c r="AV13" s="18">
        <f t="shared" ref="AV13:AV21" si="31">SUM(AN13:AU13)</f>
        <v>0</v>
      </c>
      <c r="AW13" s="18"/>
      <c r="AX13" s="17">
        <f>B16</f>
        <v>5</v>
      </c>
      <c r="AY13" s="26" t="str">
        <f t="shared" si="17"/>
        <v>Bonus de signature versés par les investisseurs miniers (+) (DGTCP (FDM))</v>
      </c>
      <c r="AZ13" s="18">
        <f t="shared" ref="AZ13:BK21" ca="1" si="32">SUMPRODUCT(($C$10:$C$75=$AY13)*($N$10:$N$75=AZ$1)*($M$10:$M$75))</f>
        <v>0</v>
      </c>
      <c r="BA13" s="18">
        <f t="shared" ca="1" si="32"/>
        <v>0</v>
      </c>
      <c r="BB13" s="18">
        <f t="shared" ca="1" si="32"/>
        <v>0</v>
      </c>
      <c r="BC13" s="18">
        <f t="shared" ca="1" si="32"/>
        <v>0</v>
      </c>
      <c r="BD13" s="18">
        <f t="shared" ca="1" si="32"/>
        <v>0</v>
      </c>
      <c r="BE13" s="18">
        <f t="shared" ca="1" si="32"/>
        <v>0</v>
      </c>
      <c r="BF13" s="18">
        <f t="shared" ca="1" si="32"/>
        <v>0</v>
      </c>
      <c r="BG13" s="18">
        <f t="shared" ca="1" si="32"/>
        <v>0</v>
      </c>
      <c r="BH13" s="18">
        <f t="shared" ca="1" si="32"/>
        <v>0</v>
      </c>
      <c r="BI13" s="18">
        <f t="shared" ca="1" si="32"/>
        <v>0</v>
      </c>
      <c r="BJ13" s="18">
        <f t="shared" ca="1" si="32"/>
        <v>0</v>
      </c>
      <c r="BK13" s="18">
        <f t="shared" ca="1" si="32"/>
        <v>0</v>
      </c>
    </row>
    <row r="14" spans="1:63">
      <c r="A14" s="80">
        <f t="shared" si="23"/>
        <v>4</v>
      </c>
      <c r="B14" s="53">
        <f>+'Taxes RCA 2022'!A7</f>
        <v>4</v>
      </c>
      <c r="C14" s="18" t="str">
        <f>+'Taxes RCA 2022'!B7</f>
        <v>Dividendes sur participation de l'Etat (+)</v>
      </c>
      <c r="E14" s="114"/>
      <c r="F14" s="114">
        <f>SUMIF($A$84:$A$751,B14&amp;"- "&amp;C14,$G$84:$G$751)</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3"/>
        <v>DGID</v>
      </c>
      <c r="AA14" s="16">
        <f t="shared" si="28"/>
        <v>0</v>
      </c>
      <c r="AB14" s="16">
        <f t="shared" si="28"/>
        <v>0</v>
      </c>
      <c r="AC14" s="16">
        <f t="shared" si="28"/>
        <v>0</v>
      </c>
      <c r="AD14" s="16">
        <f t="shared" si="28"/>
        <v>0</v>
      </c>
      <c r="AE14" s="16">
        <f t="shared" si="28"/>
        <v>0</v>
      </c>
      <c r="AF14" s="16">
        <f t="shared" si="28"/>
        <v>0</v>
      </c>
      <c r="AG14" s="16">
        <f t="shared" si="28"/>
        <v>0</v>
      </c>
      <c r="AH14" s="16">
        <f t="shared" si="28"/>
        <v>0</v>
      </c>
      <c r="AI14" s="16">
        <f t="shared" si="28"/>
        <v>0</v>
      </c>
      <c r="AJ14" s="16">
        <f t="shared" si="29"/>
        <v>0</v>
      </c>
      <c r="AL14" s="17">
        <f>+B17</f>
        <v>0</v>
      </c>
      <c r="AM14" s="26" t="str">
        <f t="shared" si="15"/>
        <v>DGID</v>
      </c>
      <c r="AN14" s="18">
        <f t="shared" si="30"/>
        <v>0</v>
      </c>
      <c r="AO14" s="18">
        <f t="shared" si="30"/>
        <v>0</v>
      </c>
      <c r="AP14" s="18">
        <f t="shared" si="30"/>
        <v>0</v>
      </c>
      <c r="AQ14" s="18">
        <f t="shared" si="30"/>
        <v>0</v>
      </c>
      <c r="AR14" s="18">
        <f t="shared" si="30"/>
        <v>0</v>
      </c>
      <c r="AS14" s="18">
        <f t="shared" si="30"/>
        <v>0</v>
      </c>
      <c r="AT14" s="18">
        <f t="shared" si="30"/>
        <v>0</v>
      </c>
      <c r="AU14" s="18">
        <f t="shared" si="30"/>
        <v>0</v>
      </c>
      <c r="AV14" s="18">
        <f t="shared" si="31"/>
        <v>0</v>
      </c>
      <c r="AW14" s="18"/>
      <c r="AX14" s="17">
        <f>B17</f>
        <v>0</v>
      </c>
      <c r="AY14" s="26" t="str">
        <f t="shared" si="17"/>
        <v>DGID</v>
      </c>
      <c r="AZ14" s="18">
        <f t="shared" ca="1" si="32"/>
        <v>0</v>
      </c>
      <c r="BA14" s="18">
        <f t="shared" ca="1" si="32"/>
        <v>0</v>
      </c>
      <c r="BB14" s="18">
        <f t="shared" ca="1" si="32"/>
        <v>0</v>
      </c>
      <c r="BC14" s="18">
        <f t="shared" ca="1" si="32"/>
        <v>0</v>
      </c>
      <c r="BD14" s="18">
        <f t="shared" ca="1" si="32"/>
        <v>0</v>
      </c>
      <c r="BE14" s="18">
        <f t="shared" ca="1" si="32"/>
        <v>0</v>
      </c>
      <c r="BF14" s="18">
        <f t="shared" ca="1" si="32"/>
        <v>0</v>
      </c>
      <c r="BG14" s="18">
        <f t="shared" ca="1" si="32"/>
        <v>0</v>
      </c>
      <c r="BH14" s="18">
        <f t="shared" ca="1" si="32"/>
        <v>0</v>
      </c>
      <c r="BI14" s="18">
        <f t="shared" ca="1" si="32"/>
        <v>0</v>
      </c>
      <c r="BJ14" s="18">
        <f t="shared" ca="1" si="32"/>
        <v>0</v>
      </c>
      <c r="BK14" s="18">
        <f t="shared" ca="1" si="32"/>
        <v>0</v>
      </c>
    </row>
    <row r="15" spans="1:63">
      <c r="A15" s="80">
        <f t="shared" si="23"/>
        <v>0</v>
      </c>
      <c r="B15" s="163"/>
      <c r="C15" s="58" t="str">
        <f>+'Taxes RCA 2022'!B8</f>
        <v>DGTCP (FDM)</v>
      </c>
      <c r="E15" s="166">
        <f>+E16</f>
        <v>0</v>
      </c>
      <c r="F15" s="166">
        <f t="shared" ref="F15:G15" si="33">+F16</f>
        <v>0</v>
      </c>
      <c r="G15" s="166">
        <f t="shared" si="33"/>
        <v>0</v>
      </c>
      <c r="H15" s="114"/>
      <c r="I15" s="166">
        <f>+I16</f>
        <v>0</v>
      </c>
      <c r="J15" s="166">
        <f ca="1">+J16</f>
        <v>0</v>
      </c>
      <c r="K15" s="166">
        <f ca="1">+K16</f>
        <v>0</v>
      </c>
      <c r="L15" s="114"/>
      <c r="M15" s="166">
        <f ca="1">+M16</f>
        <v>0</v>
      </c>
      <c r="N15" s="58"/>
      <c r="O15" s="38"/>
      <c r="P15" s="39"/>
      <c r="Q15" s="35"/>
      <c r="U15" s="40" t="s">
        <v>9</v>
      </c>
      <c r="V15" s="22">
        <f>SUM(V3:V14)</f>
        <v>0</v>
      </c>
      <c r="Y15" s="15">
        <f>B18</f>
        <v>6</v>
      </c>
      <c r="Z15" s="25" t="str">
        <f>C18</f>
        <v>Redevance à la production (+)</v>
      </c>
      <c r="AA15" s="16">
        <f t="shared" si="28"/>
        <v>0</v>
      </c>
      <c r="AB15" s="16">
        <f t="shared" si="28"/>
        <v>0</v>
      </c>
      <c r="AC15" s="16">
        <f t="shared" si="28"/>
        <v>0</v>
      </c>
      <c r="AD15" s="16">
        <f t="shared" si="28"/>
        <v>0</v>
      </c>
      <c r="AE15" s="16">
        <f t="shared" si="28"/>
        <v>0</v>
      </c>
      <c r="AF15" s="16">
        <f t="shared" si="28"/>
        <v>0</v>
      </c>
      <c r="AG15" s="16">
        <f t="shared" si="28"/>
        <v>0</v>
      </c>
      <c r="AH15" s="16">
        <f t="shared" si="28"/>
        <v>0</v>
      </c>
      <c r="AI15" s="16">
        <f t="shared" si="28"/>
        <v>0</v>
      </c>
      <c r="AJ15" s="16">
        <f>SUM(AA15:AI15)</f>
        <v>0</v>
      </c>
      <c r="AL15" s="17">
        <f>+B18</f>
        <v>6</v>
      </c>
      <c r="AM15" s="26" t="str">
        <f>+C18</f>
        <v>Redevance à la production (+)</v>
      </c>
      <c r="AN15" s="18">
        <f t="shared" si="30"/>
        <v>0</v>
      </c>
      <c r="AO15" s="18">
        <f t="shared" si="30"/>
        <v>0</v>
      </c>
      <c r="AP15" s="18">
        <f t="shared" si="30"/>
        <v>0</v>
      </c>
      <c r="AQ15" s="18">
        <f t="shared" si="30"/>
        <v>0</v>
      </c>
      <c r="AR15" s="18">
        <f t="shared" si="30"/>
        <v>0</v>
      </c>
      <c r="AS15" s="18">
        <f t="shared" si="30"/>
        <v>0</v>
      </c>
      <c r="AT15" s="18">
        <f t="shared" si="30"/>
        <v>0</v>
      </c>
      <c r="AU15" s="18">
        <f t="shared" si="30"/>
        <v>0</v>
      </c>
      <c r="AV15" s="18">
        <f>SUM(AN15:AU15)</f>
        <v>0</v>
      </c>
      <c r="AW15" s="18"/>
      <c r="AX15" s="17">
        <f>B18</f>
        <v>6</v>
      </c>
      <c r="AY15" s="26" t="str">
        <f>C18</f>
        <v>Redevance à la production (+)</v>
      </c>
      <c r="AZ15" s="18">
        <f t="shared" ca="1" si="32"/>
        <v>0</v>
      </c>
      <c r="BA15" s="18">
        <f t="shared" ca="1" si="32"/>
        <v>0</v>
      </c>
      <c r="BB15" s="18">
        <f t="shared" ca="1" si="32"/>
        <v>0</v>
      </c>
      <c r="BC15" s="18">
        <f t="shared" ca="1" si="32"/>
        <v>0</v>
      </c>
      <c r="BD15" s="18">
        <f t="shared" ca="1" si="32"/>
        <v>0</v>
      </c>
      <c r="BE15" s="18">
        <f t="shared" ca="1" si="32"/>
        <v>0</v>
      </c>
      <c r="BF15" s="18">
        <f t="shared" ca="1" si="32"/>
        <v>0</v>
      </c>
      <c r="BG15" s="18">
        <f t="shared" ca="1" si="32"/>
        <v>0</v>
      </c>
      <c r="BH15" s="18">
        <f t="shared" ca="1" si="32"/>
        <v>0</v>
      </c>
      <c r="BI15" s="18">
        <f t="shared" ca="1" si="32"/>
        <v>0</v>
      </c>
      <c r="BJ15" s="18">
        <f t="shared" ca="1" si="32"/>
        <v>0</v>
      </c>
      <c r="BK15" s="18">
        <f t="shared" ca="1" si="32"/>
        <v>0</v>
      </c>
    </row>
    <row r="16" spans="1:63">
      <c r="A16" s="80">
        <f t="shared" si="23"/>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SUMIF($J$84:$M$749,B16&amp;"- "&amp;C16,$Q$84:$Q$749)</f>
        <v>0</v>
      </c>
      <c r="K16" s="165">
        <f ca="1">I16+J16</f>
        <v>0</v>
      </c>
      <c r="L16" s="114"/>
      <c r="M16" s="165">
        <f ca="1">+G16-K16</f>
        <v>0</v>
      </c>
      <c r="N16" s="68"/>
      <c r="O16" s="38" t="str">
        <f ca="1">IF(M16=0,"",IF(N16=0,"ERROR",""))</f>
        <v/>
      </c>
      <c r="P16" s="39" t="str">
        <f ca="1">IF(O16="ERROR","Please insert comment","")</f>
        <v/>
      </c>
      <c r="Q16" s="35"/>
      <c r="U16" s="40"/>
      <c r="V16" s="22"/>
      <c r="Y16" s="15">
        <f t="shared" ref="Y16:Z21" si="34">B19</f>
        <v>7</v>
      </c>
      <c r="Z16" s="25" t="str">
        <f t="shared" si="34"/>
        <v>Contribution au développement social (CDS)</v>
      </c>
      <c r="AA16" s="16">
        <f t="shared" si="28"/>
        <v>0</v>
      </c>
      <c r="AB16" s="16">
        <f t="shared" si="28"/>
        <v>0</v>
      </c>
      <c r="AC16" s="16">
        <f t="shared" si="28"/>
        <v>0</v>
      </c>
      <c r="AD16" s="16">
        <f t="shared" si="28"/>
        <v>0</v>
      </c>
      <c r="AE16" s="16">
        <f t="shared" si="28"/>
        <v>0</v>
      </c>
      <c r="AF16" s="16">
        <f t="shared" si="28"/>
        <v>0</v>
      </c>
      <c r="AG16" s="16">
        <f t="shared" si="28"/>
        <v>0</v>
      </c>
      <c r="AH16" s="16">
        <f t="shared" si="28"/>
        <v>0</v>
      </c>
      <c r="AI16" s="16">
        <f t="shared" si="28"/>
        <v>0</v>
      </c>
      <c r="AJ16" s="16">
        <f t="shared" si="29"/>
        <v>0</v>
      </c>
      <c r="AL16" s="17">
        <f t="shared" ref="AL16:AM21" si="35">+B19</f>
        <v>7</v>
      </c>
      <c r="AM16" s="26" t="str">
        <f t="shared" si="35"/>
        <v>Contribution au développement social (CDS)</v>
      </c>
      <c r="AN16" s="18">
        <f t="shared" si="30"/>
        <v>0</v>
      </c>
      <c r="AO16" s="18">
        <f t="shared" si="30"/>
        <v>0</v>
      </c>
      <c r="AP16" s="18">
        <f t="shared" si="30"/>
        <v>0</v>
      </c>
      <c r="AQ16" s="18">
        <f t="shared" si="30"/>
        <v>0</v>
      </c>
      <c r="AR16" s="18">
        <f t="shared" si="30"/>
        <v>0</v>
      </c>
      <c r="AS16" s="18">
        <f t="shared" si="30"/>
        <v>0</v>
      </c>
      <c r="AT16" s="18">
        <f t="shared" si="30"/>
        <v>0</v>
      </c>
      <c r="AU16" s="18">
        <f t="shared" si="30"/>
        <v>0</v>
      </c>
      <c r="AV16" s="18">
        <f t="shared" si="31"/>
        <v>0</v>
      </c>
      <c r="AW16" s="18"/>
      <c r="AX16" s="17">
        <f t="shared" ref="AX16:AY21" si="36">B19</f>
        <v>7</v>
      </c>
      <c r="AY16" s="26" t="str">
        <f t="shared" si="36"/>
        <v>Contribution au développement social (CDS)</v>
      </c>
      <c r="AZ16" s="18">
        <f t="shared" ca="1" si="32"/>
        <v>0</v>
      </c>
      <c r="BA16" s="18">
        <f t="shared" ca="1" si="32"/>
        <v>0</v>
      </c>
      <c r="BB16" s="18">
        <f t="shared" ca="1" si="32"/>
        <v>0</v>
      </c>
      <c r="BC16" s="18">
        <f t="shared" ca="1" si="32"/>
        <v>0</v>
      </c>
      <c r="BD16" s="18">
        <f t="shared" ca="1" si="32"/>
        <v>0</v>
      </c>
      <c r="BE16" s="18">
        <f t="shared" ca="1" si="32"/>
        <v>0</v>
      </c>
      <c r="BF16" s="18">
        <f t="shared" ca="1" si="32"/>
        <v>0</v>
      </c>
      <c r="BG16" s="18">
        <f t="shared" ca="1" si="32"/>
        <v>0</v>
      </c>
      <c r="BH16" s="18">
        <f t="shared" ca="1" si="32"/>
        <v>0</v>
      </c>
      <c r="BI16" s="18">
        <f t="shared" ca="1" si="32"/>
        <v>0</v>
      </c>
      <c r="BJ16" s="18">
        <f t="shared" ca="1" si="32"/>
        <v>0</v>
      </c>
      <c r="BK16" s="18">
        <f t="shared" ca="1" si="32"/>
        <v>0</v>
      </c>
    </row>
    <row r="17" spans="1:63">
      <c r="A17" s="80">
        <f t="shared" si="23"/>
        <v>0</v>
      </c>
      <c r="B17" s="163"/>
      <c r="C17" s="58" t="str">
        <f>+'Taxes RCA 2022'!B10</f>
        <v>DGID</v>
      </c>
      <c r="E17" s="166">
        <f>SUM(E18:E39)</f>
        <v>0</v>
      </c>
      <c r="F17" s="166">
        <f t="shared" ref="F17:G17" si="37">SUM(F18:F39)</f>
        <v>0</v>
      </c>
      <c r="G17" s="166">
        <f t="shared" si="37"/>
        <v>0</v>
      </c>
      <c r="H17" s="114"/>
      <c r="I17" s="166">
        <f>SUM(I18:I39)</f>
        <v>176890967</v>
      </c>
      <c r="J17" s="166">
        <f ca="1">SUM(J18:J39)</f>
        <v>51950700</v>
      </c>
      <c r="K17" s="166">
        <f ca="1">SUM(K18:K39)</f>
        <v>228841667</v>
      </c>
      <c r="L17" s="114"/>
      <c r="M17" s="166">
        <f ca="1">SUM(M18:M39)</f>
        <v>-228841667</v>
      </c>
      <c r="N17" s="58"/>
      <c r="O17" s="38" t="str">
        <f ca="1">IF(M17=0,"",IF(N17=0,"ERROR",""))</f>
        <v>ERROR</v>
      </c>
      <c r="P17" s="39" t="str">
        <f ca="1">IF(O17="ERROR","Please insert comment","")</f>
        <v>Please insert comment</v>
      </c>
      <c r="Q17" s="35"/>
      <c r="T17" s="41" t="str">
        <f>IF(F8=S12,"","ERROR")</f>
        <v/>
      </c>
      <c r="W17" s="42"/>
      <c r="Y17" s="15">
        <f t="shared" si="34"/>
        <v>8</v>
      </c>
      <c r="Z17" s="25" t="str">
        <f t="shared" si="34"/>
        <v>Droit d'enregistrement (DE)</v>
      </c>
      <c r="AA17" s="16">
        <f t="shared" si="28"/>
        <v>0</v>
      </c>
      <c r="AB17" s="16">
        <f t="shared" si="28"/>
        <v>0</v>
      </c>
      <c r="AC17" s="16">
        <f t="shared" si="28"/>
        <v>0</v>
      </c>
      <c r="AD17" s="16">
        <f t="shared" si="28"/>
        <v>0</v>
      </c>
      <c r="AE17" s="16">
        <f t="shared" si="28"/>
        <v>0</v>
      </c>
      <c r="AF17" s="16">
        <f t="shared" si="28"/>
        <v>0</v>
      </c>
      <c r="AG17" s="16">
        <f t="shared" si="28"/>
        <v>0</v>
      </c>
      <c r="AH17" s="16">
        <f t="shared" si="28"/>
        <v>0</v>
      </c>
      <c r="AI17" s="16">
        <f t="shared" si="28"/>
        <v>0</v>
      </c>
      <c r="AJ17" s="16">
        <f t="shared" si="29"/>
        <v>0</v>
      </c>
      <c r="AL17" s="17">
        <f t="shared" si="35"/>
        <v>8</v>
      </c>
      <c r="AM17" s="26" t="str">
        <f t="shared" si="35"/>
        <v>Droit d'enregistrement (DE)</v>
      </c>
      <c r="AN17" s="18">
        <f t="shared" si="30"/>
        <v>0</v>
      </c>
      <c r="AO17" s="18">
        <f t="shared" si="30"/>
        <v>0</v>
      </c>
      <c r="AP17" s="18">
        <f t="shared" si="30"/>
        <v>0</v>
      </c>
      <c r="AQ17" s="18">
        <f t="shared" si="30"/>
        <v>0</v>
      </c>
      <c r="AR17" s="18">
        <f t="shared" si="30"/>
        <v>0</v>
      </c>
      <c r="AS17" s="18">
        <f t="shared" si="30"/>
        <v>0</v>
      </c>
      <c r="AT17" s="18">
        <f t="shared" si="30"/>
        <v>0</v>
      </c>
      <c r="AU17" s="18">
        <f t="shared" si="30"/>
        <v>0</v>
      </c>
      <c r="AV17" s="18">
        <f t="shared" si="31"/>
        <v>0</v>
      </c>
      <c r="AW17" s="18"/>
      <c r="AX17" s="17">
        <f t="shared" si="36"/>
        <v>8</v>
      </c>
      <c r="AY17" s="26" t="str">
        <f t="shared" si="36"/>
        <v>Droit d'enregistrement (DE)</v>
      </c>
      <c r="AZ17" s="18">
        <f t="shared" ca="1" si="32"/>
        <v>0</v>
      </c>
      <c r="BA17" s="18">
        <f t="shared" ca="1" si="32"/>
        <v>0</v>
      </c>
      <c r="BB17" s="18">
        <f t="shared" ca="1" si="32"/>
        <v>0</v>
      </c>
      <c r="BC17" s="18">
        <f t="shared" ca="1" si="32"/>
        <v>0</v>
      </c>
      <c r="BD17" s="18">
        <f t="shared" ca="1" si="32"/>
        <v>0</v>
      </c>
      <c r="BE17" s="18">
        <f t="shared" ca="1" si="32"/>
        <v>0</v>
      </c>
      <c r="BF17" s="18">
        <f t="shared" ca="1" si="32"/>
        <v>0</v>
      </c>
      <c r="BG17" s="18">
        <f t="shared" ca="1" si="32"/>
        <v>0</v>
      </c>
      <c r="BH17" s="18">
        <f t="shared" ca="1" si="32"/>
        <v>0</v>
      </c>
      <c r="BI17" s="18">
        <f t="shared" ca="1" si="32"/>
        <v>0</v>
      </c>
      <c r="BJ17" s="18">
        <f t="shared" ca="1" si="32"/>
        <v>0</v>
      </c>
      <c r="BK17" s="18">
        <f t="shared" ca="1" si="32"/>
        <v>0</v>
      </c>
    </row>
    <row r="18" spans="1:63">
      <c r="A18" s="80"/>
      <c r="B18" s="53">
        <f>+'Taxes RCA 2022'!A11</f>
        <v>6</v>
      </c>
      <c r="C18" s="18" t="str">
        <f>+'Taxes RCA 2022'!B11</f>
        <v>Redevance à la production (+)</v>
      </c>
      <c r="E18" s="114"/>
      <c r="F18" s="114">
        <f t="shared" ref="F18:F39" si="38">SUMIF($A$84:$A$751,B18&amp;"- "&amp;C18,$G$84:$G$751)</f>
        <v>0</v>
      </c>
      <c r="G18" s="114">
        <f t="shared" ref="G18:G39" si="39">E18+F18</f>
        <v>0</v>
      </c>
      <c r="H18" s="114"/>
      <c r="I18" s="114"/>
      <c r="J18" s="114">
        <f ca="1">SUMIF($J$84:$M$749,C18,$Q$84:$Q$749)</f>
        <v>0</v>
      </c>
      <c r="K18" s="114">
        <f t="shared" ref="K18:K39" ca="1" si="40">I18+J18</f>
        <v>0</v>
      </c>
      <c r="L18" s="114"/>
      <c r="M18" s="114">
        <f t="shared" ref="M18:M39" ca="1" si="41">+G18-K18</f>
        <v>0</v>
      </c>
      <c r="N18" s="18"/>
      <c r="O18" s="38"/>
      <c r="P18" s="39"/>
      <c r="Q18" s="35"/>
      <c r="Y18" s="15">
        <f t="shared" si="34"/>
        <v>9</v>
      </c>
      <c r="Z18" s="25" t="str">
        <f t="shared" si="34"/>
        <v>Impôt sur les revenus des personnes physiques (IRPP)</v>
      </c>
      <c r="AA18" s="16">
        <f t="shared" si="28"/>
        <v>0</v>
      </c>
      <c r="AB18" s="16">
        <f t="shared" si="28"/>
        <v>0</v>
      </c>
      <c r="AC18" s="16">
        <f t="shared" si="28"/>
        <v>0</v>
      </c>
      <c r="AD18" s="16">
        <f t="shared" si="28"/>
        <v>0</v>
      </c>
      <c r="AE18" s="16">
        <f t="shared" si="28"/>
        <v>0</v>
      </c>
      <c r="AF18" s="16">
        <f t="shared" si="28"/>
        <v>0</v>
      </c>
      <c r="AG18" s="16">
        <f t="shared" si="28"/>
        <v>0</v>
      </c>
      <c r="AH18" s="16">
        <f t="shared" si="28"/>
        <v>0</v>
      </c>
      <c r="AI18" s="16">
        <f t="shared" si="28"/>
        <v>0</v>
      </c>
      <c r="AJ18" s="16">
        <f t="shared" si="29"/>
        <v>0</v>
      </c>
      <c r="AL18" s="17">
        <f t="shared" si="35"/>
        <v>9</v>
      </c>
      <c r="AM18" s="26" t="str">
        <f t="shared" si="35"/>
        <v>Impôt sur les revenus des personnes physiques (IRPP)</v>
      </c>
      <c r="AN18" s="18">
        <f t="shared" si="30"/>
        <v>0</v>
      </c>
      <c r="AO18" s="18">
        <f t="shared" si="30"/>
        <v>0</v>
      </c>
      <c r="AP18" s="18">
        <f t="shared" si="30"/>
        <v>0</v>
      </c>
      <c r="AQ18" s="18">
        <f t="shared" si="30"/>
        <v>0</v>
      </c>
      <c r="AR18" s="18">
        <f t="shared" si="30"/>
        <v>0</v>
      </c>
      <c r="AS18" s="18">
        <f t="shared" si="30"/>
        <v>0</v>
      </c>
      <c r="AT18" s="18">
        <f t="shared" si="30"/>
        <v>0</v>
      </c>
      <c r="AU18" s="18">
        <f t="shared" si="30"/>
        <v>0</v>
      </c>
      <c r="AV18" s="18">
        <f t="shared" si="31"/>
        <v>0</v>
      </c>
      <c r="AW18" s="18"/>
      <c r="AX18" s="17">
        <f t="shared" si="36"/>
        <v>9</v>
      </c>
      <c r="AY18" s="26" t="str">
        <f t="shared" si="36"/>
        <v>Impôt sur les revenus des personnes physiques (IRPP)</v>
      </c>
      <c r="AZ18" s="18">
        <f t="shared" ca="1" si="32"/>
        <v>0</v>
      </c>
      <c r="BA18" s="18">
        <f t="shared" ca="1" si="32"/>
        <v>0</v>
      </c>
      <c r="BB18" s="18">
        <f t="shared" ca="1" si="32"/>
        <v>0</v>
      </c>
      <c r="BC18" s="18">
        <f t="shared" ca="1" si="32"/>
        <v>0</v>
      </c>
      <c r="BD18" s="18">
        <f t="shared" ca="1" si="32"/>
        <v>0</v>
      </c>
      <c r="BE18" s="18">
        <f t="shared" ca="1" si="32"/>
        <v>0</v>
      </c>
      <c r="BF18" s="18">
        <f t="shared" ca="1" si="32"/>
        <v>0</v>
      </c>
      <c r="BG18" s="18">
        <f t="shared" ca="1" si="32"/>
        <v>0</v>
      </c>
      <c r="BH18" s="18">
        <f t="shared" ca="1" si="32"/>
        <v>0</v>
      </c>
      <c r="BI18" s="18">
        <f t="shared" ca="1" si="32"/>
        <v>0</v>
      </c>
      <c r="BJ18" s="18">
        <f t="shared" ca="1" si="32"/>
        <v>0</v>
      </c>
      <c r="BK18" s="18">
        <f t="shared" ca="1" si="32"/>
        <v>0</v>
      </c>
    </row>
    <row r="19" spans="1:63">
      <c r="A19" s="80">
        <f t="shared" si="23"/>
        <v>7</v>
      </c>
      <c r="B19" s="64">
        <f>+'Taxes RCA 2022'!A12</f>
        <v>7</v>
      </c>
      <c r="C19" s="68" t="str">
        <f>+'Taxes RCA 2022'!B12</f>
        <v>Contribution au développement social (CDS)</v>
      </c>
      <c r="E19" s="165"/>
      <c r="F19" s="165">
        <f t="shared" si="38"/>
        <v>0</v>
      </c>
      <c r="G19" s="165">
        <f t="shared" si="39"/>
        <v>0</v>
      </c>
      <c r="H19" s="114"/>
      <c r="I19" s="165"/>
      <c r="J19" s="165">
        <f ca="1">SUMIF($J$84:$M$749,C19,$Q$84:$Q$749)</f>
        <v>0</v>
      </c>
      <c r="K19" s="165">
        <f t="shared" ca="1" si="40"/>
        <v>0</v>
      </c>
      <c r="L19" s="114"/>
      <c r="M19" s="165">
        <f t="shared" ca="1" si="41"/>
        <v>0</v>
      </c>
      <c r="N19" s="68"/>
      <c r="O19" s="38" t="str">
        <f t="shared" ref="O19:O24" ca="1" si="42">IF(M19=0,"",IF(N19=0,"ERROR",""))</f>
        <v/>
      </c>
      <c r="P19" s="39" t="str">
        <f t="shared" ref="P19:P24" ca="1" si="43">IF(O19="ERROR","Please insert comment","")</f>
        <v/>
      </c>
      <c r="Q19" s="35"/>
      <c r="W19" s="41" t="str">
        <f ca="1">IF(M8=V15,"","ERROR")</f>
        <v>ERROR</v>
      </c>
      <c r="Y19" s="15">
        <f t="shared" si="34"/>
        <v>10</v>
      </c>
      <c r="Z19" s="25" t="str">
        <f t="shared" si="34"/>
        <v>Impôt sur les sociétés (IS)</v>
      </c>
      <c r="AA19" s="16">
        <f t="shared" si="28"/>
        <v>0</v>
      </c>
      <c r="AB19" s="16">
        <f t="shared" si="28"/>
        <v>0</v>
      </c>
      <c r="AC19" s="16">
        <f t="shared" si="28"/>
        <v>0</v>
      </c>
      <c r="AD19" s="16">
        <f t="shared" si="28"/>
        <v>0</v>
      </c>
      <c r="AE19" s="16">
        <f t="shared" si="28"/>
        <v>0</v>
      </c>
      <c r="AF19" s="16">
        <f t="shared" si="28"/>
        <v>0</v>
      </c>
      <c r="AG19" s="16">
        <f t="shared" si="28"/>
        <v>0</v>
      </c>
      <c r="AH19" s="16">
        <f t="shared" si="28"/>
        <v>0</v>
      </c>
      <c r="AI19" s="16">
        <f t="shared" si="28"/>
        <v>0</v>
      </c>
      <c r="AJ19" s="16">
        <f t="shared" si="29"/>
        <v>0</v>
      </c>
      <c r="AL19" s="17">
        <f t="shared" si="35"/>
        <v>10</v>
      </c>
      <c r="AM19" s="26" t="str">
        <f t="shared" si="35"/>
        <v>Impôt sur les sociétés (IS)</v>
      </c>
      <c r="AN19" s="18">
        <f t="shared" si="30"/>
        <v>0</v>
      </c>
      <c r="AO19" s="18">
        <f t="shared" si="30"/>
        <v>0</v>
      </c>
      <c r="AP19" s="18">
        <f t="shared" si="30"/>
        <v>0</v>
      </c>
      <c r="AQ19" s="18">
        <f t="shared" si="30"/>
        <v>0</v>
      </c>
      <c r="AR19" s="18">
        <f t="shared" si="30"/>
        <v>0</v>
      </c>
      <c r="AS19" s="18">
        <f t="shared" si="30"/>
        <v>0</v>
      </c>
      <c r="AT19" s="18">
        <f t="shared" si="30"/>
        <v>0</v>
      </c>
      <c r="AU19" s="18">
        <f t="shared" si="30"/>
        <v>0</v>
      </c>
      <c r="AV19" s="18">
        <f t="shared" si="31"/>
        <v>0</v>
      </c>
      <c r="AW19" s="18"/>
      <c r="AX19" s="17">
        <f t="shared" si="36"/>
        <v>10</v>
      </c>
      <c r="AY19" s="26" t="str">
        <f t="shared" si="36"/>
        <v>Impôt sur les sociétés (IS)</v>
      </c>
      <c r="AZ19" s="18">
        <f t="shared" ca="1" si="32"/>
        <v>0</v>
      </c>
      <c r="BA19" s="18">
        <f t="shared" ca="1" si="32"/>
        <v>0</v>
      </c>
      <c r="BB19" s="18">
        <f t="shared" ca="1" si="32"/>
        <v>0</v>
      </c>
      <c r="BC19" s="18">
        <f t="shared" ca="1" si="32"/>
        <v>0</v>
      </c>
      <c r="BD19" s="18">
        <f t="shared" ca="1" si="32"/>
        <v>0</v>
      </c>
      <c r="BE19" s="18">
        <f t="shared" ca="1" si="32"/>
        <v>0</v>
      </c>
      <c r="BF19" s="18">
        <f t="shared" ca="1" si="32"/>
        <v>0</v>
      </c>
      <c r="BG19" s="18">
        <f t="shared" ca="1" si="32"/>
        <v>0</v>
      </c>
      <c r="BH19" s="18">
        <f t="shared" ca="1" si="32"/>
        <v>0</v>
      </c>
      <c r="BI19" s="18">
        <f t="shared" ca="1" si="32"/>
        <v>0</v>
      </c>
      <c r="BJ19" s="18">
        <f t="shared" ca="1" si="32"/>
        <v>0</v>
      </c>
      <c r="BK19" s="18">
        <f t="shared" ca="1" si="32"/>
        <v>0</v>
      </c>
    </row>
    <row r="20" spans="1:63">
      <c r="A20" s="80">
        <f t="shared" si="23"/>
        <v>8</v>
      </c>
      <c r="B20" s="53">
        <f>+'Taxes RCA 2022'!A13</f>
        <v>8</v>
      </c>
      <c r="C20" s="18" t="str">
        <f>+'Taxes RCA 2022'!B13</f>
        <v>Droit d'enregistrement (DE)</v>
      </c>
      <c r="E20" s="114"/>
      <c r="F20" s="114">
        <f t="shared" si="38"/>
        <v>0</v>
      </c>
      <c r="G20" s="114">
        <f t="shared" si="39"/>
        <v>0</v>
      </c>
      <c r="H20" s="114"/>
      <c r="I20" s="114">
        <v>360000</v>
      </c>
      <c r="J20" s="114">
        <f ca="1">SUMIF($J$84:$M$749,C20,$Q$84:$Q$749)</f>
        <v>0</v>
      </c>
      <c r="K20" s="114">
        <f t="shared" ca="1" si="40"/>
        <v>360000</v>
      </c>
      <c r="L20" s="114"/>
      <c r="M20" s="114">
        <f t="shared" ca="1" si="41"/>
        <v>-360000</v>
      </c>
      <c r="N20" s="18"/>
      <c r="O20" s="38" t="str">
        <f t="shared" ca="1" si="42"/>
        <v>ERROR</v>
      </c>
      <c r="P20" s="39" t="str">
        <f t="shared" ca="1" si="43"/>
        <v>Please insert comment</v>
      </c>
      <c r="Q20" s="35"/>
      <c r="S20" s="18"/>
      <c r="Y20" s="15">
        <f t="shared" si="34"/>
        <v>11</v>
      </c>
      <c r="Z20" s="25" t="str">
        <f t="shared" si="34"/>
        <v>Loyer annuel</v>
      </c>
      <c r="AA20" s="16">
        <f t="shared" si="28"/>
        <v>0</v>
      </c>
      <c r="AB20" s="16">
        <f t="shared" si="28"/>
        <v>0</v>
      </c>
      <c r="AC20" s="16">
        <f t="shared" si="28"/>
        <v>0</v>
      </c>
      <c r="AD20" s="16">
        <f t="shared" si="28"/>
        <v>0</v>
      </c>
      <c r="AE20" s="16">
        <f t="shared" si="28"/>
        <v>0</v>
      </c>
      <c r="AF20" s="16">
        <f t="shared" si="28"/>
        <v>0</v>
      </c>
      <c r="AG20" s="16">
        <f t="shared" si="28"/>
        <v>0</v>
      </c>
      <c r="AH20" s="16">
        <f t="shared" si="28"/>
        <v>0</v>
      </c>
      <c r="AI20" s="16">
        <f t="shared" si="28"/>
        <v>0</v>
      </c>
      <c r="AJ20" s="16">
        <f t="shared" si="29"/>
        <v>0</v>
      </c>
      <c r="AL20" s="17">
        <f t="shared" si="35"/>
        <v>11</v>
      </c>
      <c r="AM20" s="26" t="str">
        <f t="shared" si="35"/>
        <v>Loyer annuel</v>
      </c>
      <c r="AN20" s="18">
        <f t="shared" si="30"/>
        <v>0</v>
      </c>
      <c r="AO20" s="18">
        <f t="shared" si="30"/>
        <v>0</v>
      </c>
      <c r="AP20" s="18">
        <f t="shared" si="30"/>
        <v>0</v>
      </c>
      <c r="AQ20" s="18">
        <f t="shared" si="30"/>
        <v>0</v>
      </c>
      <c r="AR20" s="18">
        <f t="shared" si="30"/>
        <v>0</v>
      </c>
      <c r="AS20" s="18">
        <f t="shared" si="30"/>
        <v>0</v>
      </c>
      <c r="AT20" s="18">
        <f t="shared" si="30"/>
        <v>0</v>
      </c>
      <c r="AU20" s="18">
        <f t="shared" si="30"/>
        <v>0</v>
      </c>
      <c r="AV20" s="18">
        <f t="shared" si="31"/>
        <v>0</v>
      </c>
      <c r="AW20" s="18"/>
      <c r="AX20" s="17">
        <f t="shared" si="36"/>
        <v>11</v>
      </c>
      <c r="AY20" s="26" t="str">
        <f t="shared" si="36"/>
        <v>Loyer annuel</v>
      </c>
      <c r="AZ20" s="18">
        <f t="shared" ca="1" si="32"/>
        <v>0</v>
      </c>
      <c r="BA20" s="18">
        <f t="shared" ca="1" si="32"/>
        <v>0</v>
      </c>
      <c r="BB20" s="18">
        <f t="shared" ca="1" si="32"/>
        <v>0</v>
      </c>
      <c r="BC20" s="18">
        <f t="shared" ca="1" si="32"/>
        <v>0</v>
      </c>
      <c r="BD20" s="18">
        <f t="shared" ca="1" si="32"/>
        <v>0</v>
      </c>
      <c r="BE20" s="18">
        <f t="shared" ca="1" si="32"/>
        <v>0</v>
      </c>
      <c r="BF20" s="18">
        <f t="shared" ca="1" si="32"/>
        <v>0</v>
      </c>
      <c r="BG20" s="18">
        <f t="shared" ca="1" si="32"/>
        <v>0</v>
      </c>
      <c r="BH20" s="18">
        <f t="shared" ca="1" si="32"/>
        <v>0</v>
      </c>
      <c r="BI20" s="18">
        <f t="shared" ca="1" si="32"/>
        <v>0</v>
      </c>
      <c r="BJ20" s="18">
        <f t="shared" ca="1" si="32"/>
        <v>0</v>
      </c>
      <c r="BK20" s="18">
        <f t="shared" ca="1" si="32"/>
        <v>0</v>
      </c>
    </row>
    <row r="21" spans="1:63">
      <c r="A21" s="80">
        <f t="shared" si="23"/>
        <v>9</v>
      </c>
      <c r="B21" s="64">
        <f>+'Taxes RCA 2022'!A14</f>
        <v>9</v>
      </c>
      <c r="C21" s="68" t="str">
        <f>+'Taxes RCA 2022'!B14</f>
        <v>Impôt sur les revenus des personnes physiques (IRPP)</v>
      </c>
      <c r="E21" s="165"/>
      <c r="F21" s="165">
        <f t="shared" si="38"/>
        <v>0</v>
      </c>
      <c r="G21" s="165">
        <f t="shared" si="39"/>
        <v>0</v>
      </c>
      <c r="H21" s="114"/>
      <c r="I21" s="165"/>
      <c r="J21" s="165">
        <f ca="1">SUMIF($J$84:$M$749,B21&amp;"- "&amp;C21,$Q$84:$Q$749)</f>
        <v>0</v>
      </c>
      <c r="K21" s="165">
        <f t="shared" ca="1" si="40"/>
        <v>0</v>
      </c>
      <c r="L21" s="114"/>
      <c r="M21" s="165">
        <f t="shared" ca="1" si="41"/>
        <v>0</v>
      </c>
      <c r="N21" s="68"/>
      <c r="O21" s="38" t="str">
        <f t="shared" ca="1" si="42"/>
        <v/>
      </c>
      <c r="P21" s="39" t="str">
        <f t="shared" ca="1" si="43"/>
        <v/>
      </c>
      <c r="Q21" s="35"/>
      <c r="V21" s="18"/>
      <c r="Y21" s="15">
        <f t="shared" si="34"/>
        <v>12</v>
      </c>
      <c r="Z21" s="25" t="str">
        <f t="shared" si="34"/>
        <v>Patente</v>
      </c>
      <c r="AA21" s="16">
        <f t="shared" si="28"/>
        <v>0</v>
      </c>
      <c r="AB21" s="16">
        <f t="shared" si="28"/>
        <v>0</v>
      </c>
      <c r="AC21" s="16">
        <f t="shared" si="28"/>
        <v>0</v>
      </c>
      <c r="AD21" s="16">
        <f t="shared" si="28"/>
        <v>0</v>
      </c>
      <c r="AE21" s="16">
        <f t="shared" si="28"/>
        <v>0</v>
      </c>
      <c r="AF21" s="16">
        <f t="shared" si="28"/>
        <v>0</v>
      </c>
      <c r="AG21" s="16">
        <f t="shared" si="28"/>
        <v>0</v>
      </c>
      <c r="AH21" s="16">
        <f t="shared" si="28"/>
        <v>0</v>
      </c>
      <c r="AI21" s="16">
        <f t="shared" si="28"/>
        <v>0</v>
      </c>
      <c r="AJ21" s="16">
        <f t="shared" si="29"/>
        <v>0</v>
      </c>
      <c r="AL21" s="17">
        <f t="shared" si="35"/>
        <v>12</v>
      </c>
      <c r="AM21" s="26" t="str">
        <f t="shared" si="35"/>
        <v>Patente</v>
      </c>
      <c r="AN21" s="18">
        <f t="shared" si="30"/>
        <v>0</v>
      </c>
      <c r="AO21" s="18">
        <f t="shared" si="30"/>
        <v>0</v>
      </c>
      <c r="AP21" s="18">
        <f t="shared" si="30"/>
        <v>0</v>
      </c>
      <c r="AQ21" s="18">
        <f t="shared" si="30"/>
        <v>0</v>
      </c>
      <c r="AR21" s="18">
        <f t="shared" si="30"/>
        <v>0</v>
      </c>
      <c r="AS21" s="18">
        <f t="shared" si="30"/>
        <v>0</v>
      </c>
      <c r="AT21" s="18">
        <f t="shared" si="30"/>
        <v>0</v>
      </c>
      <c r="AU21" s="18">
        <f t="shared" si="30"/>
        <v>0</v>
      </c>
      <c r="AV21" s="18">
        <f t="shared" si="31"/>
        <v>0</v>
      </c>
      <c r="AW21" s="18"/>
      <c r="AX21" s="17">
        <f t="shared" si="36"/>
        <v>12</v>
      </c>
      <c r="AY21" s="26" t="str">
        <f t="shared" si="36"/>
        <v>Patente</v>
      </c>
      <c r="AZ21" s="18">
        <f t="shared" ca="1" si="32"/>
        <v>0</v>
      </c>
      <c r="BA21" s="18">
        <f t="shared" ca="1" si="32"/>
        <v>0</v>
      </c>
      <c r="BB21" s="18">
        <f t="shared" ca="1" si="32"/>
        <v>0</v>
      </c>
      <c r="BC21" s="18">
        <f t="shared" ca="1" si="32"/>
        <v>0</v>
      </c>
      <c r="BD21" s="18">
        <f t="shared" ca="1" si="32"/>
        <v>0</v>
      </c>
      <c r="BE21" s="18">
        <f t="shared" ca="1" si="32"/>
        <v>0</v>
      </c>
      <c r="BF21" s="18">
        <f t="shared" ca="1" si="32"/>
        <v>0</v>
      </c>
      <c r="BG21" s="18">
        <f t="shared" ca="1" si="32"/>
        <v>0</v>
      </c>
      <c r="BH21" s="18">
        <f t="shared" ca="1" si="32"/>
        <v>0</v>
      </c>
      <c r="BI21" s="18">
        <f t="shared" ca="1" si="32"/>
        <v>0</v>
      </c>
      <c r="BJ21" s="18">
        <f t="shared" ca="1" si="32"/>
        <v>0</v>
      </c>
      <c r="BK21" s="18">
        <f t="shared" ca="1" si="32"/>
        <v>0</v>
      </c>
    </row>
    <row r="22" spans="1:63">
      <c r="A22" s="80">
        <f t="shared" si="23"/>
        <v>10</v>
      </c>
      <c r="B22" s="53">
        <f>+'Taxes RCA 2022'!A15</f>
        <v>10</v>
      </c>
      <c r="C22" s="18" t="str">
        <f>+'Taxes RCA 2022'!B15</f>
        <v>Impôt sur les sociétés (IS)</v>
      </c>
      <c r="E22" s="114"/>
      <c r="F22" s="114">
        <f t="shared" si="38"/>
        <v>0</v>
      </c>
      <c r="G22" s="114">
        <f t="shared" si="39"/>
        <v>0</v>
      </c>
      <c r="H22" s="114"/>
      <c r="I22" s="114"/>
      <c r="J22" s="114">
        <f ca="1">SUMIF($J$84:$M$749,B22&amp;"- "&amp;C22,$Q$84:$Q$749)</f>
        <v>0</v>
      </c>
      <c r="K22" s="114">
        <f t="shared" ca="1" si="40"/>
        <v>0</v>
      </c>
      <c r="L22" s="114"/>
      <c r="M22" s="114">
        <f t="shared" ca="1" si="41"/>
        <v>0</v>
      </c>
      <c r="N22" s="18"/>
      <c r="O22" s="38" t="str">
        <f t="shared" ca="1" si="42"/>
        <v/>
      </c>
      <c r="P22" s="39" t="str">
        <f t="shared" ca="1" si="43"/>
        <v/>
      </c>
      <c r="Q22" s="35"/>
      <c r="Y22" s="28"/>
      <c r="Z22" s="28" t="str">
        <f t="shared" ref="Z22:Z53" si="44">C25</f>
        <v xml:space="preserve">Taxe d'abattage  </v>
      </c>
      <c r="AA22" s="29">
        <f>SUM(AA23:AA32)</f>
        <v>0</v>
      </c>
      <c r="AB22" s="29">
        <f t="shared" ref="AB22:AJ22" si="45">SUM(AB23:AB32)</f>
        <v>0</v>
      </c>
      <c r="AC22" s="29">
        <f t="shared" si="45"/>
        <v>0</v>
      </c>
      <c r="AD22" s="29">
        <f t="shared" si="45"/>
        <v>0</v>
      </c>
      <c r="AE22" s="29">
        <f t="shared" si="45"/>
        <v>0</v>
      </c>
      <c r="AF22" s="29">
        <f t="shared" si="45"/>
        <v>0</v>
      </c>
      <c r="AG22" s="29">
        <f t="shared" si="45"/>
        <v>0</v>
      </c>
      <c r="AH22" s="29">
        <f t="shared" si="45"/>
        <v>0</v>
      </c>
      <c r="AI22" s="29">
        <f t="shared" si="45"/>
        <v>0</v>
      </c>
      <c r="AJ22" s="29">
        <f t="shared" si="45"/>
        <v>0</v>
      </c>
      <c r="AL22" s="28"/>
      <c r="AM22" s="28" t="str">
        <f t="shared" ref="AM22:AM53" si="46">+C25</f>
        <v xml:space="preserve">Taxe d'abattage  </v>
      </c>
      <c r="AN22" s="29">
        <f>SUM(AN23:AN32)</f>
        <v>0</v>
      </c>
      <c r="AO22" s="29">
        <f t="shared" ref="AO22:AV22" si="47">SUM(AO23:AO32)</f>
        <v>0</v>
      </c>
      <c r="AP22" s="29">
        <f t="shared" si="47"/>
        <v>0</v>
      </c>
      <c r="AQ22" s="29">
        <f t="shared" si="47"/>
        <v>0</v>
      </c>
      <c r="AR22" s="29">
        <f t="shared" si="47"/>
        <v>0</v>
      </c>
      <c r="AS22" s="29">
        <f t="shared" si="47"/>
        <v>0</v>
      </c>
      <c r="AT22" s="29">
        <f t="shared" si="47"/>
        <v>0</v>
      </c>
      <c r="AU22" s="29">
        <f t="shared" si="47"/>
        <v>0</v>
      </c>
      <c r="AV22" s="29">
        <f t="shared" si="47"/>
        <v>0</v>
      </c>
      <c r="AW22" s="38"/>
      <c r="AX22" s="28"/>
      <c r="AY22" s="28" t="str">
        <f t="shared" ref="AY22:AY53" si="48">C25</f>
        <v xml:space="preserve">Taxe d'abattage  </v>
      </c>
      <c r="AZ22" s="29">
        <f t="shared" ref="AZ22:BK22" ca="1" si="49">SUM(AZ23:AZ32)</f>
        <v>0</v>
      </c>
      <c r="BA22" s="29">
        <f t="shared" ca="1" si="49"/>
        <v>0</v>
      </c>
      <c r="BB22" s="29">
        <f t="shared" ca="1" si="49"/>
        <v>0</v>
      </c>
      <c r="BC22" s="29">
        <f t="shared" ca="1" si="49"/>
        <v>0</v>
      </c>
      <c r="BD22" s="29">
        <f t="shared" ca="1" si="49"/>
        <v>0</v>
      </c>
      <c r="BE22" s="29">
        <f t="shared" ca="1" si="49"/>
        <v>0</v>
      </c>
      <c r="BF22" s="29">
        <f t="shared" ca="1" si="49"/>
        <v>0</v>
      </c>
      <c r="BG22" s="29">
        <f t="shared" ca="1" si="49"/>
        <v>0</v>
      </c>
      <c r="BH22" s="29">
        <f t="shared" ca="1" si="49"/>
        <v>0</v>
      </c>
      <c r="BI22" s="29">
        <f t="shared" ca="1" si="49"/>
        <v>0</v>
      </c>
      <c r="BJ22" s="29">
        <f t="shared" ca="1" si="49"/>
        <v>0</v>
      </c>
      <c r="BK22" s="29">
        <f t="shared" ca="1" si="49"/>
        <v>0</v>
      </c>
    </row>
    <row r="23" spans="1:63">
      <c r="A23" s="80">
        <f t="shared" si="23"/>
        <v>11</v>
      </c>
      <c r="B23" s="64">
        <f>+'Taxes RCA 2022'!A16</f>
        <v>11</v>
      </c>
      <c r="C23" s="68" t="str">
        <f>+'Taxes RCA 2022'!B16</f>
        <v>Loyer annuel</v>
      </c>
      <c r="E23" s="165"/>
      <c r="F23" s="165">
        <f t="shared" si="38"/>
        <v>0</v>
      </c>
      <c r="G23" s="165">
        <f t="shared" si="39"/>
        <v>0</v>
      </c>
      <c r="H23" s="114"/>
      <c r="I23" s="165">
        <v>121218300</v>
      </c>
      <c r="J23" s="165">
        <f ca="1">SUMIF($J$84:$M$749,C23,$Q$84:$Q$749)</f>
        <v>51950700</v>
      </c>
      <c r="K23" s="165">
        <f t="shared" ca="1" si="40"/>
        <v>173169000</v>
      </c>
      <c r="L23" s="114"/>
      <c r="M23" s="165">
        <f t="shared" ca="1" si="41"/>
        <v>-173169000</v>
      </c>
      <c r="N23" s="68"/>
      <c r="O23" s="38" t="str">
        <f t="shared" ca="1" si="42"/>
        <v>ERROR</v>
      </c>
      <c r="P23" s="39" t="str">
        <f t="shared" ca="1" si="43"/>
        <v>Please insert comment</v>
      </c>
      <c r="Q23" s="35"/>
      <c r="Y23" s="15">
        <f t="shared" ref="Y23:Y32" si="50">B26</f>
        <v>14</v>
      </c>
      <c r="Z23" s="25" t="str">
        <f t="shared" si="44"/>
        <v xml:space="preserve">Taxe de reboisement  </v>
      </c>
      <c r="AA23" s="16">
        <f t="shared" ref="AA23:AI32" si="51">SUMPRODUCT(($A$84:$A$751=$Y23&amp;"- "&amp;$Z23)*($C$84:$C$751=AA$1)*($G$84:$G$751))</f>
        <v>0</v>
      </c>
      <c r="AB23" s="16">
        <f t="shared" si="51"/>
        <v>0</v>
      </c>
      <c r="AC23" s="16">
        <f t="shared" si="51"/>
        <v>0</v>
      </c>
      <c r="AD23" s="16">
        <f t="shared" si="51"/>
        <v>0</v>
      </c>
      <c r="AE23" s="16">
        <f t="shared" si="51"/>
        <v>0</v>
      </c>
      <c r="AF23" s="16">
        <f t="shared" si="51"/>
        <v>0</v>
      </c>
      <c r="AG23" s="16">
        <f t="shared" si="51"/>
        <v>0</v>
      </c>
      <c r="AH23" s="16">
        <f t="shared" si="51"/>
        <v>0</v>
      </c>
      <c r="AI23" s="16">
        <f t="shared" si="51"/>
        <v>0</v>
      </c>
      <c r="AJ23" s="16">
        <f t="shared" ref="AJ23:AJ28" si="52">SUM(AA23:AI23)</f>
        <v>0</v>
      </c>
      <c r="AL23" s="17">
        <f t="shared" ref="AL23:AL32" si="53">+B26</f>
        <v>14</v>
      </c>
      <c r="AM23" s="26" t="str">
        <f t="shared" si="46"/>
        <v xml:space="preserve">Taxe de reboisement  </v>
      </c>
      <c r="AN23" s="18">
        <f t="shared" ref="AN23:AU32" si="54">SUMPRODUCT(($J$84:$M$748=$AL23&amp;"- "&amp;$AM23)*($N$84:$N$748=AN$1)*($Q$84:$Q$748))</f>
        <v>0</v>
      </c>
      <c r="AO23" s="18">
        <f t="shared" si="54"/>
        <v>0</v>
      </c>
      <c r="AP23" s="18">
        <f t="shared" si="54"/>
        <v>0</v>
      </c>
      <c r="AQ23" s="18">
        <f t="shared" si="54"/>
        <v>0</v>
      </c>
      <c r="AR23" s="18">
        <f t="shared" si="54"/>
        <v>0</v>
      </c>
      <c r="AS23" s="18">
        <f t="shared" si="54"/>
        <v>0</v>
      </c>
      <c r="AT23" s="18">
        <f t="shared" si="54"/>
        <v>0</v>
      </c>
      <c r="AU23" s="18">
        <f t="shared" si="54"/>
        <v>0</v>
      </c>
      <c r="AV23" s="18">
        <f t="shared" ref="AV23:AV28" si="55">SUM(AN23:AU23)</f>
        <v>0</v>
      </c>
      <c r="AW23" s="18"/>
      <c r="AX23" s="17">
        <f t="shared" ref="AX23:AX32" si="56">B26</f>
        <v>14</v>
      </c>
      <c r="AY23" s="26" t="str">
        <f t="shared" si="48"/>
        <v xml:space="preserve">Taxe de reboisement  </v>
      </c>
      <c r="AZ23" s="18">
        <f t="shared" ref="AZ23:BK32" ca="1" si="57">SUMPRODUCT(($C$10:$C$75=$AY23)*($N$10:$N$75=AZ$1)*($M$10:$M$75))</f>
        <v>0</v>
      </c>
      <c r="BA23" s="18">
        <f t="shared" ca="1" si="57"/>
        <v>0</v>
      </c>
      <c r="BB23" s="18">
        <f t="shared" ca="1" si="57"/>
        <v>0</v>
      </c>
      <c r="BC23" s="18">
        <f t="shared" ca="1" si="57"/>
        <v>0</v>
      </c>
      <c r="BD23" s="18">
        <f t="shared" ca="1" si="57"/>
        <v>0</v>
      </c>
      <c r="BE23" s="18">
        <f t="shared" ca="1" si="57"/>
        <v>0</v>
      </c>
      <c r="BF23" s="18">
        <f t="shared" ca="1" si="57"/>
        <v>0</v>
      </c>
      <c r="BG23" s="18">
        <f t="shared" ca="1" si="57"/>
        <v>0</v>
      </c>
      <c r="BH23" s="18">
        <f t="shared" ca="1" si="57"/>
        <v>0</v>
      </c>
      <c r="BI23" s="18">
        <f t="shared" ca="1" si="57"/>
        <v>0</v>
      </c>
      <c r="BJ23" s="18">
        <f t="shared" ca="1" si="57"/>
        <v>0</v>
      </c>
      <c r="BK23" s="18">
        <f t="shared" ca="1" si="57"/>
        <v>0</v>
      </c>
    </row>
    <row r="24" spans="1:63">
      <c r="A24" s="80">
        <f t="shared" si="23"/>
        <v>12</v>
      </c>
      <c r="B24" s="53">
        <f>+'Taxes RCA 2022'!A17</f>
        <v>12</v>
      </c>
      <c r="C24" s="18" t="str">
        <f>+'Taxes RCA 2022'!B17</f>
        <v>Patente</v>
      </c>
      <c r="E24" s="114"/>
      <c r="F24" s="114">
        <f t="shared" si="38"/>
        <v>0</v>
      </c>
      <c r="G24" s="114">
        <f t="shared" si="39"/>
        <v>0</v>
      </c>
      <c r="H24" s="114"/>
      <c r="I24" s="114"/>
      <c r="J24" s="114">
        <f ca="1">SUMIF($J$84:$M$749,B24&amp;"- "&amp;C24,$Q$84:$Q$749)</f>
        <v>0</v>
      </c>
      <c r="K24" s="114">
        <f t="shared" ca="1" si="40"/>
        <v>0</v>
      </c>
      <c r="L24" s="114"/>
      <c r="M24" s="114">
        <f t="shared" ca="1" si="41"/>
        <v>0</v>
      </c>
      <c r="N24" s="18"/>
      <c r="O24" s="38" t="str">
        <f t="shared" ca="1" si="42"/>
        <v/>
      </c>
      <c r="P24" s="39" t="str">
        <f t="shared" ca="1" si="43"/>
        <v/>
      </c>
      <c r="Q24" s="35"/>
      <c r="R24" s="36" t="s">
        <v>17</v>
      </c>
      <c r="S24" s="37" t="s">
        <v>4</v>
      </c>
      <c r="Y24" s="15">
        <f t="shared" si="50"/>
        <v>15</v>
      </c>
      <c r="Z24" s="25" t="str">
        <f t="shared" si="44"/>
        <v>Impôt sur les fonciers bâtis (IFB)</v>
      </c>
      <c r="AA24" s="16">
        <f t="shared" si="51"/>
        <v>0</v>
      </c>
      <c r="AB24" s="16">
        <f t="shared" si="51"/>
        <v>0</v>
      </c>
      <c r="AC24" s="16">
        <f t="shared" si="51"/>
        <v>0</v>
      </c>
      <c r="AD24" s="16">
        <f t="shared" si="51"/>
        <v>0</v>
      </c>
      <c r="AE24" s="16">
        <f t="shared" si="51"/>
        <v>0</v>
      </c>
      <c r="AF24" s="16">
        <f t="shared" si="51"/>
        <v>0</v>
      </c>
      <c r="AG24" s="16">
        <f t="shared" si="51"/>
        <v>0</v>
      </c>
      <c r="AH24" s="16">
        <f t="shared" si="51"/>
        <v>0</v>
      </c>
      <c r="AI24" s="16">
        <f t="shared" si="51"/>
        <v>0</v>
      </c>
      <c r="AJ24" s="16">
        <f t="shared" si="52"/>
        <v>0</v>
      </c>
      <c r="AL24" s="17">
        <f t="shared" si="53"/>
        <v>15</v>
      </c>
      <c r="AM24" s="26" t="str">
        <f t="shared" si="46"/>
        <v>Impôt sur les fonciers bâtis (IFB)</v>
      </c>
      <c r="AN24" s="18">
        <f t="shared" si="54"/>
        <v>0</v>
      </c>
      <c r="AO24" s="18">
        <f t="shared" si="54"/>
        <v>0</v>
      </c>
      <c r="AP24" s="18">
        <f t="shared" si="54"/>
        <v>0</v>
      </c>
      <c r="AQ24" s="18">
        <f t="shared" si="54"/>
        <v>0</v>
      </c>
      <c r="AR24" s="18">
        <f t="shared" si="54"/>
        <v>0</v>
      </c>
      <c r="AS24" s="18">
        <f t="shared" si="54"/>
        <v>0</v>
      </c>
      <c r="AT24" s="18">
        <f t="shared" si="54"/>
        <v>0</v>
      </c>
      <c r="AU24" s="18">
        <f t="shared" si="54"/>
        <v>0</v>
      </c>
      <c r="AV24" s="18">
        <f t="shared" si="55"/>
        <v>0</v>
      </c>
      <c r="AW24" s="18"/>
      <c r="AX24" s="17">
        <f t="shared" si="56"/>
        <v>15</v>
      </c>
      <c r="AY24" s="26" t="str">
        <f t="shared" si="48"/>
        <v>Impôt sur les fonciers bâtis (IFB)</v>
      </c>
      <c r="AZ24" s="18">
        <f t="shared" ca="1" si="57"/>
        <v>0</v>
      </c>
      <c r="BA24" s="18">
        <f t="shared" ca="1" si="57"/>
        <v>0</v>
      </c>
      <c r="BB24" s="18">
        <f t="shared" ca="1" si="57"/>
        <v>0</v>
      </c>
      <c r="BC24" s="18">
        <f t="shared" ca="1" si="57"/>
        <v>0</v>
      </c>
      <c r="BD24" s="18">
        <f t="shared" ca="1" si="57"/>
        <v>0</v>
      </c>
      <c r="BE24" s="18">
        <f t="shared" ca="1" si="57"/>
        <v>0</v>
      </c>
      <c r="BF24" s="18">
        <f t="shared" ca="1" si="57"/>
        <v>0</v>
      </c>
      <c r="BG24" s="18">
        <f t="shared" ca="1" si="57"/>
        <v>0</v>
      </c>
      <c r="BH24" s="18">
        <f t="shared" ca="1" si="57"/>
        <v>0</v>
      </c>
      <c r="BI24" s="18">
        <f t="shared" ca="1" si="57"/>
        <v>0</v>
      </c>
      <c r="BJ24" s="18">
        <f t="shared" ca="1" si="57"/>
        <v>0</v>
      </c>
      <c r="BK24" s="18">
        <f t="shared" ca="1" si="57"/>
        <v>0</v>
      </c>
    </row>
    <row r="25" spans="1:63">
      <c r="A25" s="80">
        <f t="shared" si="23"/>
        <v>13</v>
      </c>
      <c r="B25" s="64">
        <f>+'Taxes RCA 2022'!A18</f>
        <v>13</v>
      </c>
      <c r="C25" s="68" t="str">
        <f>+'Taxes RCA 2022'!B18</f>
        <v xml:space="preserve">Taxe d'abattage  </v>
      </c>
      <c r="E25" s="165"/>
      <c r="F25" s="165">
        <f t="shared" si="38"/>
        <v>0</v>
      </c>
      <c r="G25" s="165">
        <f t="shared" si="39"/>
        <v>0</v>
      </c>
      <c r="H25" s="114"/>
      <c r="I25" s="165">
        <v>53077667</v>
      </c>
      <c r="J25" s="165">
        <f ca="1">SUMIF($J$84:$M$749,C25,$Q$84:$Q$749)</f>
        <v>0</v>
      </c>
      <c r="K25" s="165">
        <f t="shared" ca="1" si="40"/>
        <v>53077667</v>
      </c>
      <c r="L25" s="114"/>
      <c r="M25" s="165">
        <f t="shared" ca="1" si="41"/>
        <v>-53077667</v>
      </c>
      <c r="N25" s="68"/>
      <c r="O25" s="38"/>
      <c r="P25" s="39"/>
      <c r="Q25" s="35"/>
      <c r="R25" s="21" t="str">
        <f>Lists!A80</f>
        <v>Taxes perçues non reportées par l'Etat</v>
      </c>
      <c r="S25" s="18">
        <f t="shared" ref="S25:S32" si="58">SUMIF($N$84:$N$749,R25,$Q$84:$Q$749)</f>
        <v>0</v>
      </c>
      <c r="Y25" s="15">
        <f t="shared" si="50"/>
        <v>16</v>
      </c>
      <c r="Z25" s="25" t="str">
        <f t="shared" si="44"/>
        <v>Minimum impôt sur les sociétés (MIS)</v>
      </c>
      <c r="AA25" s="16">
        <f t="shared" si="51"/>
        <v>0</v>
      </c>
      <c r="AB25" s="16">
        <f t="shared" si="51"/>
        <v>0</v>
      </c>
      <c r="AC25" s="16">
        <f t="shared" si="51"/>
        <v>0</v>
      </c>
      <c r="AD25" s="16">
        <f t="shared" si="51"/>
        <v>0</v>
      </c>
      <c r="AE25" s="16">
        <f t="shared" si="51"/>
        <v>0</v>
      </c>
      <c r="AF25" s="16">
        <f t="shared" si="51"/>
        <v>0</v>
      </c>
      <c r="AG25" s="16">
        <f t="shared" si="51"/>
        <v>0</v>
      </c>
      <c r="AH25" s="16">
        <f t="shared" si="51"/>
        <v>0</v>
      </c>
      <c r="AI25" s="16">
        <f t="shared" si="51"/>
        <v>0</v>
      </c>
      <c r="AJ25" s="16">
        <f t="shared" si="52"/>
        <v>0</v>
      </c>
      <c r="AL25" s="17">
        <f t="shared" si="53"/>
        <v>16</v>
      </c>
      <c r="AM25" s="26" t="str">
        <f t="shared" si="46"/>
        <v>Minimum impôt sur les sociétés (MIS)</v>
      </c>
      <c r="AN25" s="18">
        <f t="shared" si="54"/>
        <v>0</v>
      </c>
      <c r="AO25" s="18">
        <f t="shared" si="54"/>
        <v>0</v>
      </c>
      <c r="AP25" s="18">
        <f t="shared" si="54"/>
        <v>0</v>
      </c>
      <c r="AQ25" s="18">
        <f t="shared" si="54"/>
        <v>0</v>
      </c>
      <c r="AR25" s="18">
        <f t="shared" si="54"/>
        <v>0</v>
      </c>
      <c r="AS25" s="18">
        <f t="shared" si="54"/>
        <v>0</v>
      </c>
      <c r="AT25" s="18">
        <f t="shared" si="54"/>
        <v>0</v>
      </c>
      <c r="AU25" s="18">
        <f t="shared" si="54"/>
        <v>0</v>
      </c>
      <c r="AV25" s="18">
        <f t="shared" si="55"/>
        <v>0</v>
      </c>
      <c r="AW25" s="18"/>
      <c r="AX25" s="17">
        <f t="shared" si="56"/>
        <v>16</v>
      </c>
      <c r="AY25" s="26" t="str">
        <f t="shared" si="48"/>
        <v>Minimum impôt sur les sociétés (MIS)</v>
      </c>
      <c r="AZ25" s="18">
        <f t="shared" ca="1" si="57"/>
        <v>0</v>
      </c>
      <c r="BA25" s="18">
        <f t="shared" ca="1" si="57"/>
        <v>0</v>
      </c>
      <c r="BB25" s="18">
        <f t="shared" ca="1" si="57"/>
        <v>0</v>
      </c>
      <c r="BC25" s="18">
        <f t="shared" ca="1" si="57"/>
        <v>0</v>
      </c>
      <c r="BD25" s="18">
        <f t="shared" ca="1" si="57"/>
        <v>0</v>
      </c>
      <c r="BE25" s="18">
        <f t="shared" ca="1" si="57"/>
        <v>0</v>
      </c>
      <c r="BF25" s="18">
        <f t="shared" ca="1" si="57"/>
        <v>0</v>
      </c>
      <c r="BG25" s="18">
        <f t="shared" ca="1" si="57"/>
        <v>0</v>
      </c>
      <c r="BH25" s="18">
        <f t="shared" ca="1" si="57"/>
        <v>0</v>
      </c>
      <c r="BI25" s="18">
        <f t="shared" ca="1" si="57"/>
        <v>0</v>
      </c>
      <c r="BJ25" s="18">
        <f t="shared" ca="1" si="57"/>
        <v>0</v>
      </c>
      <c r="BK25" s="18">
        <f t="shared" ca="1" si="57"/>
        <v>0</v>
      </c>
    </row>
    <row r="26" spans="1:63">
      <c r="A26" s="80">
        <f t="shared" si="23"/>
        <v>14</v>
      </c>
      <c r="B26" s="53">
        <f>+'Taxes RCA 2022'!A19</f>
        <v>14</v>
      </c>
      <c r="C26" s="18" t="str">
        <f>+'Taxes RCA 2022'!B19</f>
        <v xml:space="preserve">Taxe de reboisement  </v>
      </c>
      <c r="E26" s="114"/>
      <c r="F26" s="114">
        <f t="shared" si="38"/>
        <v>0</v>
      </c>
      <c r="G26" s="114">
        <f t="shared" si="39"/>
        <v>0</v>
      </c>
      <c r="H26" s="114"/>
      <c r="I26" s="114"/>
      <c r="J26" s="114">
        <f ca="1">SUMIF($J$84:$M$749,C26,$Q$84:$Q$749)</f>
        <v>0</v>
      </c>
      <c r="K26" s="114">
        <f t="shared" ca="1" si="40"/>
        <v>0</v>
      </c>
      <c r="L26" s="114"/>
      <c r="M26" s="114">
        <f t="shared" ca="1" si="41"/>
        <v>0</v>
      </c>
      <c r="N26" s="18"/>
      <c r="O26" s="38" t="str">
        <f t="shared" ref="O26:O35" ca="1" si="59">IF(M26=0,"",IF(N26=0,"ERROR",""))</f>
        <v/>
      </c>
      <c r="P26" s="39" t="str">
        <f t="shared" ref="P26:P35" ca="1" si="60">IF(O26="ERROR","Please insert comment","")</f>
        <v/>
      </c>
      <c r="Q26" s="35"/>
      <c r="R26" s="21" t="str">
        <f>Lists!A81</f>
        <v>Montant doublement déclaré</v>
      </c>
      <c r="S26" s="18">
        <f t="shared" si="58"/>
        <v>0</v>
      </c>
      <c r="Y26" s="15">
        <f t="shared" si="50"/>
        <v>17</v>
      </c>
      <c r="Z26" s="25" t="str">
        <f t="shared" si="44"/>
        <v xml:space="preserve">Impôt minimum forfaitaire (IMF) </v>
      </c>
      <c r="AA26" s="16">
        <f t="shared" si="51"/>
        <v>0</v>
      </c>
      <c r="AB26" s="16">
        <f t="shared" si="51"/>
        <v>0</v>
      </c>
      <c r="AC26" s="16">
        <f t="shared" si="51"/>
        <v>0</v>
      </c>
      <c r="AD26" s="16">
        <f t="shared" si="51"/>
        <v>0</v>
      </c>
      <c r="AE26" s="16">
        <f t="shared" si="51"/>
        <v>0</v>
      </c>
      <c r="AF26" s="16">
        <f t="shared" si="51"/>
        <v>0</v>
      </c>
      <c r="AG26" s="16">
        <f t="shared" si="51"/>
        <v>0</v>
      </c>
      <c r="AH26" s="16">
        <f t="shared" si="51"/>
        <v>0</v>
      </c>
      <c r="AI26" s="16">
        <f t="shared" si="51"/>
        <v>0</v>
      </c>
      <c r="AJ26" s="16">
        <f t="shared" si="52"/>
        <v>0</v>
      </c>
      <c r="AL26" s="17">
        <f t="shared" si="53"/>
        <v>17</v>
      </c>
      <c r="AM26" s="26" t="str">
        <f t="shared" si="46"/>
        <v xml:space="preserve">Impôt minimum forfaitaire (IMF) </v>
      </c>
      <c r="AN26" s="18">
        <f t="shared" si="54"/>
        <v>0</v>
      </c>
      <c r="AO26" s="18">
        <f t="shared" si="54"/>
        <v>0</v>
      </c>
      <c r="AP26" s="18">
        <f t="shared" si="54"/>
        <v>0</v>
      </c>
      <c r="AQ26" s="18">
        <f t="shared" si="54"/>
        <v>0</v>
      </c>
      <c r="AR26" s="18">
        <f t="shared" si="54"/>
        <v>0</v>
      </c>
      <c r="AS26" s="18">
        <f t="shared" si="54"/>
        <v>0</v>
      </c>
      <c r="AT26" s="18">
        <f t="shared" si="54"/>
        <v>0</v>
      </c>
      <c r="AU26" s="18">
        <f t="shared" si="54"/>
        <v>0</v>
      </c>
      <c r="AV26" s="18">
        <f t="shared" si="55"/>
        <v>0</v>
      </c>
      <c r="AW26" s="18"/>
      <c r="AX26" s="17">
        <f t="shared" si="56"/>
        <v>17</v>
      </c>
      <c r="AY26" s="26" t="str">
        <f t="shared" si="48"/>
        <v xml:space="preserve">Impôt minimum forfaitaire (IMF) </v>
      </c>
      <c r="AZ26" s="18">
        <f t="shared" ca="1" si="57"/>
        <v>0</v>
      </c>
      <c r="BA26" s="18">
        <f t="shared" ca="1" si="57"/>
        <v>0</v>
      </c>
      <c r="BB26" s="18">
        <f t="shared" ca="1" si="57"/>
        <v>0</v>
      </c>
      <c r="BC26" s="18">
        <f t="shared" ca="1" si="57"/>
        <v>0</v>
      </c>
      <c r="BD26" s="18">
        <f t="shared" ca="1" si="57"/>
        <v>0</v>
      </c>
      <c r="BE26" s="18">
        <f t="shared" ca="1" si="57"/>
        <v>0</v>
      </c>
      <c r="BF26" s="18">
        <f t="shared" ca="1" si="57"/>
        <v>0</v>
      </c>
      <c r="BG26" s="18">
        <f t="shared" ca="1" si="57"/>
        <v>0</v>
      </c>
      <c r="BH26" s="18">
        <f t="shared" ca="1" si="57"/>
        <v>0</v>
      </c>
      <c r="BI26" s="18">
        <f t="shared" ca="1" si="57"/>
        <v>0</v>
      </c>
      <c r="BJ26" s="18">
        <f t="shared" ca="1" si="57"/>
        <v>0</v>
      </c>
      <c r="BK26" s="18">
        <f t="shared" ca="1" si="57"/>
        <v>0</v>
      </c>
    </row>
    <row r="27" spans="1:63">
      <c r="A27" s="80">
        <f t="shared" si="23"/>
        <v>15</v>
      </c>
      <c r="B27" s="64">
        <f>+'Taxes RCA 2022'!A20</f>
        <v>15</v>
      </c>
      <c r="C27" s="68" t="str">
        <f>+'Taxes RCA 2022'!B20</f>
        <v>Impôt sur les fonciers bâtis (IFB)</v>
      </c>
      <c r="E27" s="165"/>
      <c r="F27" s="165">
        <f t="shared" si="38"/>
        <v>0</v>
      </c>
      <c r="G27" s="165">
        <f t="shared" si="39"/>
        <v>0</v>
      </c>
      <c r="H27" s="114"/>
      <c r="I27" s="165">
        <v>2145000</v>
      </c>
      <c r="J27" s="165">
        <f t="shared" ref="J27:J37" ca="1" si="61">SUMIF($J$84:$M$749,B27&amp;"- "&amp;C27,$Q$84:$Q$749)</f>
        <v>0</v>
      </c>
      <c r="K27" s="165">
        <f t="shared" ca="1" si="40"/>
        <v>2145000</v>
      </c>
      <c r="L27" s="114"/>
      <c r="M27" s="165">
        <f t="shared" ca="1" si="41"/>
        <v>-2145000</v>
      </c>
      <c r="N27" s="68"/>
      <c r="O27" s="38" t="str">
        <f t="shared" ca="1" si="59"/>
        <v>ERROR</v>
      </c>
      <c r="P27" s="39" t="str">
        <f t="shared" ca="1" si="60"/>
        <v>Please insert comment</v>
      </c>
      <c r="Q27" s="35"/>
      <c r="R27" s="21" t="str">
        <f>Lists!A82</f>
        <v>Taxes perçues hors de la période de réconciliation</v>
      </c>
      <c r="S27" s="18">
        <f t="shared" si="58"/>
        <v>0</v>
      </c>
      <c r="Y27" s="15">
        <f t="shared" si="50"/>
        <v>18</v>
      </c>
      <c r="Z27" s="25" t="str">
        <f t="shared" si="44"/>
        <v>Précompte</v>
      </c>
      <c r="AA27" s="16">
        <f t="shared" si="51"/>
        <v>0</v>
      </c>
      <c r="AB27" s="16">
        <f t="shared" si="51"/>
        <v>0</v>
      </c>
      <c r="AC27" s="16">
        <f t="shared" si="51"/>
        <v>0</v>
      </c>
      <c r="AD27" s="16">
        <f t="shared" si="51"/>
        <v>0</v>
      </c>
      <c r="AE27" s="16">
        <f t="shared" si="51"/>
        <v>0</v>
      </c>
      <c r="AF27" s="16">
        <f t="shared" si="51"/>
        <v>0</v>
      </c>
      <c r="AG27" s="16">
        <f t="shared" si="51"/>
        <v>0</v>
      </c>
      <c r="AH27" s="16">
        <f t="shared" si="51"/>
        <v>0</v>
      </c>
      <c r="AI27" s="16">
        <f t="shared" si="51"/>
        <v>0</v>
      </c>
      <c r="AJ27" s="16">
        <f t="shared" si="52"/>
        <v>0</v>
      </c>
      <c r="AL27" s="17">
        <f t="shared" si="53"/>
        <v>18</v>
      </c>
      <c r="AM27" s="26" t="str">
        <f t="shared" si="46"/>
        <v>Précompte</v>
      </c>
      <c r="AN27" s="18">
        <f t="shared" si="54"/>
        <v>0</v>
      </c>
      <c r="AO27" s="18">
        <f t="shared" si="54"/>
        <v>0</v>
      </c>
      <c r="AP27" s="18">
        <f t="shared" si="54"/>
        <v>0</v>
      </c>
      <c r="AQ27" s="18">
        <f t="shared" si="54"/>
        <v>0</v>
      </c>
      <c r="AR27" s="18">
        <f t="shared" si="54"/>
        <v>0</v>
      </c>
      <c r="AS27" s="18">
        <f t="shared" si="54"/>
        <v>0</v>
      </c>
      <c r="AT27" s="18">
        <f t="shared" si="54"/>
        <v>0</v>
      </c>
      <c r="AU27" s="18">
        <f t="shared" si="54"/>
        <v>0</v>
      </c>
      <c r="AV27" s="18">
        <f t="shared" si="55"/>
        <v>0</v>
      </c>
      <c r="AW27" s="18"/>
      <c r="AX27" s="17">
        <f t="shared" si="56"/>
        <v>18</v>
      </c>
      <c r="AY27" s="26" t="str">
        <f t="shared" si="48"/>
        <v>Précompte</v>
      </c>
      <c r="AZ27" s="18">
        <f t="shared" ca="1" si="57"/>
        <v>0</v>
      </c>
      <c r="BA27" s="18">
        <f t="shared" ca="1" si="57"/>
        <v>0</v>
      </c>
      <c r="BB27" s="18">
        <f t="shared" ca="1" si="57"/>
        <v>0</v>
      </c>
      <c r="BC27" s="18">
        <f t="shared" ca="1" si="57"/>
        <v>0</v>
      </c>
      <c r="BD27" s="18">
        <f t="shared" ca="1" si="57"/>
        <v>0</v>
      </c>
      <c r="BE27" s="18">
        <f t="shared" ca="1" si="57"/>
        <v>0</v>
      </c>
      <c r="BF27" s="18">
        <f t="shared" ca="1" si="57"/>
        <v>0</v>
      </c>
      <c r="BG27" s="18">
        <f t="shared" ca="1" si="57"/>
        <v>0</v>
      </c>
      <c r="BH27" s="18">
        <f t="shared" ca="1" si="57"/>
        <v>0</v>
      </c>
      <c r="BI27" s="18">
        <f t="shared" ca="1" si="57"/>
        <v>0</v>
      </c>
      <c r="BJ27" s="18">
        <f t="shared" ca="1" si="57"/>
        <v>0</v>
      </c>
      <c r="BK27" s="18">
        <f t="shared" ca="1" si="57"/>
        <v>0</v>
      </c>
    </row>
    <row r="28" spans="1:63">
      <c r="A28" s="80">
        <f t="shared" si="23"/>
        <v>16</v>
      </c>
      <c r="B28" s="53">
        <f>+'Taxes RCA 2022'!A21</f>
        <v>16</v>
      </c>
      <c r="C28" s="18" t="str">
        <f>+'Taxes RCA 2022'!B21</f>
        <v>Minimum impôt sur les sociétés (MIS)</v>
      </c>
      <c r="E28" s="114"/>
      <c r="F28" s="114">
        <f t="shared" si="38"/>
        <v>0</v>
      </c>
      <c r="G28" s="114">
        <f t="shared" si="39"/>
        <v>0</v>
      </c>
      <c r="H28" s="114"/>
      <c r="I28" s="114"/>
      <c r="J28" s="114">
        <f t="shared" ca="1" si="61"/>
        <v>0</v>
      </c>
      <c r="K28" s="114">
        <f t="shared" ca="1" si="40"/>
        <v>0</v>
      </c>
      <c r="L28" s="114"/>
      <c r="M28" s="114">
        <f t="shared" ca="1" si="41"/>
        <v>0</v>
      </c>
      <c r="N28" s="18"/>
      <c r="O28" s="38" t="str">
        <f t="shared" ca="1" si="59"/>
        <v/>
      </c>
      <c r="P28" s="39" t="str">
        <f t="shared" ca="1" si="60"/>
        <v/>
      </c>
      <c r="Q28" s="35"/>
      <c r="R28" s="21" t="str">
        <f>Lists!A83</f>
        <v>Erreur de reporting (montant et détail)</v>
      </c>
      <c r="S28" s="18">
        <f t="shared" si="58"/>
        <v>0</v>
      </c>
      <c r="Y28" s="15">
        <f t="shared" si="50"/>
        <v>19</v>
      </c>
      <c r="Z28" s="25" t="str">
        <f t="shared" si="44"/>
        <v>Taxe sur la valeur ajoutée (TVA)</v>
      </c>
      <c r="AA28" s="16">
        <f t="shared" si="51"/>
        <v>0</v>
      </c>
      <c r="AB28" s="16">
        <f t="shared" si="51"/>
        <v>0</v>
      </c>
      <c r="AC28" s="16">
        <f t="shared" si="51"/>
        <v>0</v>
      </c>
      <c r="AD28" s="16">
        <f t="shared" si="51"/>
        <v>0</v>
      </c>
      <c r="AE28" s="16">
        <f t="shared" si="51"/>
        <v>0</v>
      </c>
      <c r="AF28" s="16">
        <f t="shared" si="51"/>
        <v>0</v>
      </c>
      <c r="AG28" s="16">
        <f t="shared" si="51"/>
        <v>0</v>
      </c>
      <c r="AH28" s="16">
        <f t="shared" si="51"/>
        <v>0</v>
      </c>
      <c r="AI28" s="16">
        <f t="shared" si="51"/>
        <v>0</v>
      </c>
      <c r="AJ28" s="16">
        <f t="shared" si="52"/>
        <v>0</v>
      </c>
      <c r="AL28" s="17">
        <f t="shared" si="53"/>
        <v>19</v>
      </c>
      <c r="AM28" s="26" t="str">
        <f t="shared" si="46"/>
        <v>Taxe sur la valeur ajoutée (TVA)</v>
      </c>
      <c r="AN28" s="18">
        <f t="shared" si="54"/>
        <v>0</v>
      </c>
      <c r="AO28" s="18">
        <f t="shared" si="54"/>
        <v>0</v>
      </c>
      <c r="AP28" s="18">
        <f t="shared" si="54"/>
        <v>0</v>
      </c>
      <c r="AQ28" s="18">
        <f t="shared" si="54"/>
        <v>0</v>
      </c>
      <c r="AR28" s="18">
        <f t="shared" si="54"/>
        <v>0</v>
      </c>
      <c r="AS28" s="18">
        <f t="shared" si="54"/>
        <v>0</v>
      </c>
      <c r="AT28" s="18">
        <f t="shared" si="54"/>
        <v>0</v>
      </c>
      <c r="AU28" s="18">
        <f t="shared" si="54"/>
        <v>0</v>
      </c>
      <c r="AV28" s="18">
        <f t="shared" si="55"/>
        <v>0</v>
      </c>
      <c r="AW28" s="18"/>
      <c r="AX28" s="17">
        <f t="shared" si="56"/>
        <v>19</v>
      </c>
      <c r="AY28" s="26" t="str">
        <f t="shared" si="48"/>
        <v>Taxe sur la valeur ajoutée (TVA)</v>
      </c>
      <c r="AZ28" s="18">
        <f t="shared" ca="1" si="57"/>
        <v>0</v>
      </c>
      <c r="BA28" s="18">
        <f t="shared" ca="1" si="57"/>
        <v>0</v>
      </c>
      <c r="BB28" s="18">
        <f t="shared" ca="1" si="57"/>
        <v>0</v>
      </c>
      <c r="BC28" s="18">
        <f t="shared" ca="1" si="57"/>
        <v>0</v>
      </c>
      <c r="BD28" s="18">
        <f t="shared" ca="1" si="57"/>
        <v>0</v>
      </c>
      <c r="BE28" s="18">
        <f t="shared" ca="1" si="57"/>
        <v>0</v>
      </c>
      <c r="BF28" s="18">
        <f t="shared" ca="1" si="57"/>
        <v>0</v>
      </c>
      <c r="BG28" s="18">
        <f t="shared" ca="1" si="57"/>
        <v>0</v>
      </c>
      <c r="BH28" s="18">
        <f t="shared" ca="1" si="57"/>
        <v>0</v>
      </c>
      <c r="BI28" s="18">
        <f t="shared" ca="1" si="57"/>
        <v>0</v>
      </c>
      <c r="BJ28" s="18">
        <f t="shared" ca="1" si="57"/>
        <v>0</v>
      </c>
      <c r="BK28" s="18">
        <f t="shared" ca="1" si="57"/>
        <v>0</v>
      </c>
    </row>
    <row r="29" spans="1:63">
      <c r="A29" s="80">
        <f t="shared" si="23"/>
        <v>17</v>
      </c>
      <c r="B29" s="64">
        <f>+'Taxes RCA 2022'!A22</f>
        <v>17</v>
      </c>
      <c r="C29" s="68" t="str">
        <f>+'Taxes RCA 2022'!B22</f>
        <v xml:space="preserve">Impôt minimum forfaitaire (IMF) </v>
      </c>
      <c r="E29" s="165"/>
      <c r="F29" s="165">
        <f t="shared" si="38"/>
        <v>0</v>
      </c>
      <c r="G29" s="165">
        <f t="shared" si="39"/>
        <v>0</v>
      </c>
      <c r="H29" s="114"/>
      <c r="I29" s="165"/>
      <c r="J29" s="165">
        <f t="shared" ca="1" si="61"/>
        <v>0</v>
      </c>
      <c r="K29" s="165">
        <f t="shared" ca="1" si="40"/>
        <v>0</v>
      </c>
      <c r="L29" s="114"/>
      <c r="M29" s="165">
        <f t="shared" ca="1" si="41"/>
        <v>0</v>
      </c>
      <c r="N29" s="68"/>
      <c r="O29" s="38" t="str">
        <f t="shared" ca="1" si="59"/>
        <v/>
      </c>
      <c r="P29" s="39" t="str">
        <f t="shared" ca="1" si="60"/>
        <v/>
      </c>
      <c r="Q29" s="35"/>
      <c r="R29" s="21" t="str">
        <f>Lists!A84</f>
        <v>Taxe reportée par l'Etat non réellement encaissée</v>
      </c>
      <c r="S29" s="18">
        <f t="shared" si="58"/>
        <v>0</v>
      </c>
      <c r="Y29" s="15">
        <f t="shared" si="50"/>
        <v>20</v>
      </c>
      <c r="Z29" s="25" t="str">
        <f t="shared" si="44"/>
        <v>Impôt sur les revenus des loyers (IRL)</v>
      </c>
      <c r="AA29" s="16">
        <f t="shared" si="51"/>
        <v>0</v>
      </c>
      <c r="AB29" s="16">
        <f t="shared" si="51"/>
        <v>0</v>
      </c>
      <c r="AC29" s="16">
        <f t="shared" si="51"/>
        <v>0</v>
      </c>
      <c r="AD29" s="16">
        <f t="shared" si="51"/>
        <v>0</v>
      </c>
      <c r="AE29" s="16">
        <f t="shared" si="51"/>
        <v>0</v>
      </c>
      <c r="AF29" s="16">
        <f t="shared" si="51"/>
        <v>0</v>
      </c>
      <c r="AG29" s="16">
        <f t="shared" si="51"/>
        <v>0</v>
      </c>
      <c r="AH29" s="16">
        <f t="shared" si="51"/>
        <v>0</v>
      </c>
      <c r="AI29" s="16">
        <f t="shared" si="51"/>
        <v>0</v>
      </c>
      <c r="AJ29" s="16">
        <f>SUM(AA29:AI29)</f>
        <v>0</v>
      </c>
      <c r="AL29" s="17">
        <f t="shared" si="53"/>
        <v>20</v>
      </c>
      <c r="AM29" s="26" t="str">
        <f t="shared" si="46"/>
        <v>Impôt sur les revenus des loyers (IRL)</v>
      </c>
      <c r="AN29" s="18">
        <f t="shared" si="54"/>
        <v>0</v>
      </c>
      <c r="AO29" s="18">
        <f t="shared" si="54"/>
        <v>0</v>
      </c>
      <c r="AP29" s="18">
        <f t="shared" si="54"/>
        <v>0</v>
      </c>
      <c r="AQ29" s="18">
        <f t="shared" si="54"/>
        <v>0</v>
      </c>
      <c r="AR29" s="18">
        <f t="shared" si="54"/>
        <v>0</v>
      </c>
      <c r="AS29" s="18">
        <f t="shared" si="54"/>
        <v>0</v>
      </c>
      <c r="AT29" s="18">
        <f t="shared" si="54"/>
        <v>0</v>
      </c>
      <c r="AU29" s="18">
        <f t="shared" si="54"/>
        <v>0</v>
      </c>
      <c r="AV29" s="18">
        <f>SUM(AN29:AU29)</f>
        <v>0</v>
      </c>
      <c r="AW29" s="18"/>
      <c r="AX29" s="17">
        <f t="shared" si="56"/>
        <v>20</v>
      </c>
      <c r="AY29" s="26" t="str">
        <f t="shared" si="48"/>
        <v>Impôt sur les revenus des loyers (IRL)</v>
      </c>
      <c r="AZ29" s="18">
        <f t="shared" ca="1" si="57"/>
        <v>0</v>
      </c>
      <c r="BA29" s="18">
        <f t="shared" ca="1" si="57"/>
        <v>0</v>
      </c>
      <c r="BB29" s="18">
        <f t="shared" ca="1" si="57"/>
        <v>0</v>
      </c>
      <c r="BC29" s="18">
        <f t="shared" ca="1" si="57"/>
        <v>0</v>
      </c>
      <c r="BD29" s="18">
        <f t="shared" ca="1" si="57"/>
        <v>0</v>
      </c>
      <c r="BE29" s="18">
        <f t="shared" ca="1" si="57"/>
        <v>0</v>
      </c>
      <c r="BF29" s="18">
        <f t="shared" ca="1" si="57"/>
        <v>0</v>
      </c>
      <c r="BG29" s="18">
        <f t="shared" ca="1" si="57"/>
        <v>0</v>
      </c>
      <c r="BH29" s="18">
        <f t="shared" ca="1" si="57"/>
        <v>0</v>
      </c>
      <c r="BI29" s="18">
        <f t="shared" ca="1" si="57"/>
        <v>0</v>
      </c>
      <c r="BJ29" s="18">
        <f t="shared" ca="1" si="57"/>
        <v>0</v>
      </c>
      <c r="BK29" s="18">
        <f t="shared" ca="1" si="57"/>
        <v>0</v>
      </c>
    </row>
    <row r="30" spans="1:63">
      <c r="A30" s="80">
        <f t="shared" si="23"/>
        <v>18</v>
      </c>
      <c r="B30" s="53">
        <f>+'Taxes RCA 2022'!A23</f>
        <v>18</v>
      </c>
      <c r="C30" s="18" t="str">
        <f>+'Taxes RCA 2022'!B23</f>
        <v>Précompte</v>
      </c>
      <c r="E30" s="114"/>
      <c r="F30" s="114">
        <f t="shared" si="38"/>
        <v>0</v>
      </c>
      <c r="G30" s="114">
        <f t="shared" si="39"/>
        <v>0</v>
      </c>
      <c r="H30" s="114"/>
      <c r="I30" s="114"/>
      <c r="J30" s="114">
        <f t="shared" ca="1" si="61"/>
        <v>0</v>
      </c>
      <c r="K30" s="114">
        <f t="shared" ca="1" si="40"/>
        <v>0</v>
      </c>
      <c r="L30" s="114"/>
      <c r="M30" s="114">
        <f t="shared" ca="1" si="41"/>
        <v>0</v>
      </c>
      <c r="N30" s="18"/>
      <c r="O30" s="38" t="str">
        <f t="shared" ca="1" si="59"/>
        <v/>
      </c>
      <c r="P30" s="39" t="str">
        <f t="shared" ca="1" si="60"/>
        <v/>
      </c>
      <c r="Q30" s="35"/>
      <c r="R30" s="21" t="str">
        <f>Lists!A85</f>
        <v>Erreur de classification</v>
      </c>
      <c r="S30" s="18">
        <f t="shared" si="58"/>
        <v>0</v>
      </c>
      <c r="Y30" s="15">
        <f t="shared" si="50"/>
        <v>21</v>
      </c>
      <c r="Z30" s="25" t="str">
        <f t="shared" si="44"/>
        <v>Droits fixes (sur l'octroi, renouvellement, transfert) (+)</v>
      </c>
      <c r="AA30" s="16">
        <f t="shared" si="51"/>
        <v>0</v>
      </c>
      <c r="AB30" s="16">
        <f t="shared" si="51"/>
        <v>0</v>
      </c>
      <c r="AC30" s="16">
        <f t="shared" si="51"/>
        <v>0</v>
      </c>
      <c r="AD30" s="16">
        <f t="shared" si="51"/>
        <v>0</v>
      </c>
      <c r="AE30" s="16">
        <f t="shared" si="51"/>
        <v>0</v>
      </c>
      <c r="AF30" s="16">
        <f t="shared" si="51"/>
        <v>0</v>
      </c>
      <c r="AG30" s="16">
        <f t="shared" si="51"/>
        <v>0</v>
      </c>
      <c r="AH30" s="16">
        <f t="shared" si="51"/>
        <v>0</v>
      </c>
      <c r="AI30" s="16">
        <f t="shared" si="51"/>
        <v>0</v>
      </c>
      <c r="AJ30" s="16">
        <f>SUM(AA30:AI30)</f>
        <v>0</v>
      </c>
      <c r="AL30" s="17">
        <f t="shared" si="53"/>
        <v>21</v>
      </c>
      <c r="AM30" s="26" t="str">
        <f t="shared" si="46"/>
        <v>Droits fixes (sur l'octroi, renouvellement, transfert) (+)</v>
      </c>
      <c r="AN30" s="18">
        <f t="shared" si="54"/>
        <v>0</v>
      </c>
      <c r="AO30" s="18">
        <f t="shared" si="54"/>
        <v>0</v>
      </c>
      <c r="AP30" s="18">
        <f t="shared" si="54"/>
        <v>0</v>
      </c>
      <c r="AQ30" s="18">
        <f t="shared" si="54"/>
        <v>0</v>
      </c>
      <c r="AR30" s="18">
        <f t="shared" si="54"/>
        <v>0</v>
      </c>
      <c r="AS30" s="18">
        <f t="shared" si="54"/>
        <v>0</v>
      </c>
      <c r="AT30" s="18">
        <f t="shared" si="54"/>
        <v>0</v>
      </c>
      <c r="AU30" s="18">
        <f t="shared" si="54"/>
        <v>0</v>
      </c>
      <c r="AV30" s="18">
        <f>SUM(AN30:AU30)</f>
        <v>0</v>
      </c>
      <c r="AW30" s="18"/>
      <c r="AX30" s="17">
        <f t="shared" si="56"/>
        <v>21</v>
      </c>
      <c r="AY30" s="26" t="str">
        <f t="shared" si="48"/>
        <v>Droits fixes (sur l'octroi, renouvellement, transfert) (+)</v>
      </c>
      <c r="AZ30" s="18">
        <f t="shared" ca="1" si="57"/>
        <v>0</v>
      </c>
      <c r="BA30" s="18">
        <f t="shared" ca="1" si="57"/>
        <v>0</v>
      </c>
      <c r="BB30" s="18">
        <f t="shared" ca="1" si="57"/>
        <v>0</v>
      </c>
      <c r="BC30" s="18">
        <f t="shared" ca="1" si="57"/>
        <v>0</v>
      </c>
      <c r="BD30" s="18">
        <f t="shared" ca="1" si="57"/>
        <v>0</v>
      </c>
      <c r="BE30" s="18">
        <f t="shared" ca="1" si="57"/>
        <v>0</v>
      </c>
      <c r="BF30" s="18">
        <f t="shared" ca="1" si="57"/>
        <v>0</v>
      </c>
      <c r="BG30" s="18">
        <f t="shared" ca="1" si="57"/>
        <v>0</v>
      </c>
      <c r="BH30" s="18">
        <f t="shared" ca="1" si="57"/>
        <v>0</v>
      </c>
      <c r="BI30" s="18">
        <f t="shared" ca="1" si="57"/>
        <v>0</v>
      </c>
      <c r="BJ30" s="18">
        <f t="shared" ca="1" si="57"/>
        <v>0</v>
      </c>
      <c r="BK30" s="18">
        <f t="shared" ca="1" si="57"/>
        <v>0</v>
      </c>
    </row>
    <row r="31" spans="1:63">
      <c r="A31" s="80">
        <f t="shared" si="23"/>
        <v>19</v>
      </c>
      <c r="B31" s="64">
        <f>+'Taxes RCA 2022'!A24</f>
        <v>19</v>
      </c>
      <c r="C31" s="68" t="str">
        <f>+'Taxes RCA 2022'!B24</f>
        <v>Taxe sur la valeur ajoutée (TVA)</v>
      </c>
      <c r="E31" s="165"/>
      <c r="F31" s="165">
        <f t="shared" si="38"/>
        <v>0</v>
      </c>
      <c r="G31" s="165">
        <f t="shared" si="39"/>
        <v>0</v>
      </c>
      <c r="H31" s="114"/>
      <c r="I31" s="165"/>
      <c r="J31" s="165">
        <f t="shared" ca="1" si="61"/>
        <v>0</v>
      </c>
      <c r="K31" s="165">
        <f t="shared" ca="1" si="40"/>
        <v>0</v>
      </c>
      <c r="L31" s="114"/>
      <c r="M31" s="165">
        <f t="shared" ca="1" si="41"/>
        <v>0</v>
      </c>
      <c r="N31" s="68"/>
      <c r="O31" s="38" t="str">
        <f t="shared" ca="1" si="59"/>
        <v/>
      </c>
      <c r="P31" s="39" t="str">
        <f t="shared" ca="1" si="60"/>
        <v/>
      </c>
      <c r="Q31" s="35"/>
      <c r="R31" s="21" t="str">
        <f>Lists!A86</f>
        <v>Taxes payées par la Ste sur un autre NINEA non reporté par l'Etat</v>
      </c>
      <c r="S31" s="18">
        <f t="shared" si="58"/>
        <v>0</v>
      </c>
      <c r="Y31" s="15">
        <f t="shared" si="50"/>
        <v>22</v>
      </c>
      <c r="Z31" s="25" t="str">
        <f t="shared" si="44"/>
        <v>Les redevances proportionnelles ou royalties sur les autorisations d'exploitation de carrière et les exploitations des mines (+)</v>
      </c>
      <c r="AA31" s="16">
        <f t="shared" si="51"/>
        <v>0</v>
      </c>
      <c r="AB31" s="16">
        <f t="shared" si="51"/>
        <v>0</v>
      </c>
      <c r="AC31" s="16">
        <f t="shared" si="51"/>
        <v>0</v>
      </c>
      <c r="AD31" s="16">
        <f t="shared" si="51"/>
        <v>0</v>
      </c>
      <c r="AE31" s="16">
        <f t="shared" si="51"/>
        <v>0</v>
      </c>
      <c r="AF31" s="16">
        <f t="shared" si="51"/>
        <v>0</v>
      </c>
      <c r="AG31" s="16">
        <f t="shared" si="51"/>
        <v>0</v>
      </c>
      <c r="AH31" s="16">
        <f t="shared" si="51"/>
        <v>0</v>
      </c>
      <c r="AI31" s="16">
        <f t="shared" si="51"/>
        <v>0</v>
      </c>
      <c r="AJ31" s="16">
        <f>SUM(AA31:AI31)</f>
        <v>0</v>
      </c>
      <c r="AL31" s="17">
        <f t="shared" si="53"/>
        <v>22</v>
      </c>
      <c r="AM31" s="26" t="str">
        <f t="shared" si="46"/>
        <v>Les redevances proportionnelles ou royalties sur les autorisations d'exploitation de carrière et les exploitations des mines (+)</v>
      </c>
      <c r="AN31" s="18">
        <f t="shared" si="54"/>
        <v>0</v>
      </c>
      <c r="AO31" s="18">
        <f t="shared" si="54"/>
        <v>0</v>
      </c>
      <c r="AP31" s="18">
        <f t="shared" si="54"/>
        <v>0</v>
      </c>
      <c r="AQ31" s="18">
        <f t="shared" si="54"/>
        <v>0</v>
      </c>
      <c r="AR31" s="18">
        <f t="shared" si="54"/>
        <v>0</v>
      </c>
      <c r="AS31" s="18">
        <f t="shared" si="54"/>
        <v>0</v>
      </c>
      <c r="AT31" s="18">
        <f t="shared" si="54"/>
        <v>0</v>
      </c>
      <c r="AU31" s="18">
        <f t="shared" si="54"/>
        <v>0</v>
      </c>
      <c r="AV31" s="18">
        <f>SUM(AN31:AU31)</f>
        <v>0</v>
      </c>
      <c r="AW31" s="18"/>
      <c r="AX31" s="17">
        <f t="shared" si="56"/>
        <v>22</v>
      </c>
      <c r="AY31" s="26" t="str">
        <f t="shared" si="48"/>
        <v>Les redevances proportionnelles ou royalties sur les autorisations d'exploitation de carrière et les exploitations des mines (+)</v>
      </c>
      <c r="AZ31" s="18">
        <f t="shared" ca="1" si="57"/>
        <v>0</v>
      </c>
      <c r="BA31" s="18">
        <f t="shared" ca="1" si="57"/>
        <v>0</v>
      </c>
      <c r="BB31" s="18">
        <f t="shared" ca="1" si="57"/>
        <v>0</v>
      </c>
      <c r="BC31" s="18">
        <f t="shared" ca="1" si="57"/>
        <v>0</v>
      </c>
      <c r="BD31" s="18">
        <f t="shared" ca="1" si="57"/>
        <v>0</v>
      </c>
      <c r="BE31" s="18">
        <f t="shared" ca="1" si="57"/>
        <v>0</v>
      </c>
      <c r="BF31" s="18">
        <f t="shared" ca="1" si="57"/>
        <v>0</v>
      </c>
      <c r="BG31" s="18">
        <f t="shared" ca="1" si="57"/>
        <v>0</v>
      </c>
      <c r="BH31" s="18">
        <f t="shared" ca="1" si="57"/>
        <v>0</v>
      </c>
      <c r="BI31" s="18">
        <f t="shared" ca="1" si="57"/>
        <v>0</v>
      </c>
      <c r="BJ31" s="18">
        <f t="shared" ca="1" si="57"/>
        <v>0</v>
      </c>
      <c r="BK31" s="18">
        <f t="shared" ca="1" si="57"/>
        <v>0</v>
      </c>
    </row>
    <row r="32" spans="1:63">
      <c r="A32" s="80">
        <f t="shared" si="23"/>
        <v>20</v>
      </c>
      <c r="B32" s="53">
        <f>+'Taxes RCA 2022'!A25</f>
        <v>20</v>
      </c>
      <c r="C32" s="18" t="str">
        <f>+'Taxes RCA 2022'!B25</f>
        <v>Impôt sur les revenus des loyers (IRL)</v>
      </c>
      <c r="E32" s="114"/>
      <c r="F32" s="114">
        <f t="shared" si="38"/>
        <v>0</v>
      </c>
      <c r="G32" s="114">
        <f t="shared" si="39"/>
        <v>0</v>
      </c>
      <c r="H32" s="114"/>
      <c r="I32" s="114">
        <v>90000</v>
      </c>
      <c r="J32" s="114">
        <f t="shared" ca="1" si="61"/>
        <v>0</v>
      </c>
      <c r="K32" s="114">
        <f t="shared" ca="1" si="40"/>
        <v>90000</v>
      </c>
      <c r="L32" s="114"/>
      <c r="M32" s="114">
        <f t="shared" ca="1" si="41"/>
        <v>-90000</v>
      </c>
      <c r="N32" s="18"/>
      <c r="O32" s="38" t="str">
        <f t="shared" ca="1" si="59"/>
        <v>ERROR</v>
      </c>
      <c r="P32" s="39" t="str">
        <f t="shared" ca="1" si="60"/>
        <v>Please insert comment</v>
      </c>
      <c r="Q32" s="35"/>
      <c r="R32" s="21" t="str">
        <f>Lists!A87</f>
        <v>Taxes hors périmètre de réconciliation</v>
      </c>
      <c r="S32" s="18">
        <f t="shared" si="58"/>
        <v>0</v>
      </c>
      <c r="Y32" s="15">
        <f t="shared" si="50"/>
        <v>23</v>
      </c>
      <c r="Z32" s="25" t="str">
        <f t="shared" si="44"/>
        <v>Impôt sur les revenus des capitaux mobiliers (RCM) (+)</v>
      </c>
      <c r="AA32" s="16">
        <f t="shared" si="51"/>
        <v>0</v>
      </c>
      <c r="AB32" s="16">
        <f t="shared" si="51"/>
        <v>0</v>
      </c>
      <c r="AC32" s="16">
        <f t="shared" si="51"/>
        <v>0</v>
      </c>
      <c r="AD32" s="16">
        <f t="shared" si="51"/>
        <v>0</v>
      </c>
      <c r="AE32" s="16">
        <f t="shared" si="51"/>
        <v>0</v>
      </c>
      <c r="AF32" s="16">
        <f t="shared" si="51"/>
        <v>0</v>
      </c>
      <c r="AG32" s="16">
        <f t="shared" si="51"/>
        <v>0</v>
      </c>
      <c r="AH32" s="16">
        <f t="shared" si="51"/>
        <v>0</v>
      </c>
      <c r="AI32" s="16">
        <f t="shared" si="51"/>
        <v>0</v>
      </c>
      <c r="AJ32" s="16">
        <f>SUM(AA32:AI32)</f>
        <v>0</v>
      </c>
      <c r="AL32" s="17">
        <f t="shared" si="53"/>
        <v>23</v>
      </c>
      <c r="AM32" s="26" t="str">
        <f t="shared" si="46"/>
        <v>Impôt sur les revenus des capitaux mobiliers (RCM) (+)</v>
      </c>
      <c r="AN32" s="18">
        <f t="shared" si="54"/>
        <v>0</v>
      </c>
      <c r="AO32" s="18">
        <f t="shared" si="54"/>
        <v>0</v>
      </c>
      <c r="AP32" s="18">
        <f t="shared" si="54"/>
        <v>0</v>
      </c>
      <c r="AQ32" s="18">
        <f t="shared" si="54"/>
        <v>0</v>
      </c>
      <c r="AR32" s="18">
        <f t="shared" si="54"/>
        <v>0</v>
      </c>
      <c r="AS32" s="18">
        <f t="shared" si="54"/>
        <v>0</v>
      </c>
      <c r="AT32" s="18">
        <f t="shared" si="54"/>
        <v>0</v>
      </c>
      <c r="AU32" s="18">
        <f t="shared" si="54"/>
        <v>0</v>
      </c>
      <c r="AV32" s="18">
        <f>SUM(AN32:AU32)</f>
        <v>0</v>
      </c>
      <c r="AW32" s="38"/>
      <c r="AX32" s="17">
        <f t="shared" si="56"/>
        <v>23</v>
      </c>
      <c r="AY32" s="26" t="str">
        <f t="shared" si="48"/>
        <v>Impôt sur les revenus des capitaux mobiliers (RCM) (+)</v>
      </c>
      <c r="AZ32" s="18">
        <f t="shared" ca="1" si="57"/>
        <v>0</v>
      </c>
      <c r="BA32" s="18">
        <f t="shared" ca="1" si="57"/>
        <v>0</v>
      </c>
      <c r="BB32" s="18">
        <f t="shared" ca="1" si="57"/>
        <v>0</v>
      </c>
      <c r="BC32" s="18">
        <f t="shared" ca="1" si="57"/>
        <v>0</v>
      </c>
      <c r="BD32" s="18">
        <f t="shared" ca="1" si="57"/>
        <v>0</v>
      </c>
      <c r="BE32" s="18">
        <f t="shared" ca="1" si="57"/>
        <v>0</v>
      </c>
      <c r="BF32" s="18">
        <f t="shared" ca="1" si="57"/>
        <v>0</v>
      </c>
      <c r="BG32" s="18">
        <f t="shared" ca="1" si="57"/>
        <v>0</v>
      </c>
      <c r="BH32" s="18">
        <f t="shared" ca="1" si="57"/>
        <v>0</v>
      </c>
      <c r="BI32" s="18">
        <f t="shared" ca="1" si="57"/>
        <v>0</v>
      </c>
      <c r="BJ32" s="18">
        <f t="shared" ca="1" si="57"/>
        <v>0</v>
      </c>
      <c r="BK32" s="18">
        <f t="shared" ca="1" si="57"/>
        <v>0</v>
      </c>
    </row>
    <row r="33" spans="1:63">
      <c r="A33" s="80">
        <f t="shared" si="23"/>
        <v>21</v>
      </c>
      <c r="B33" s="64">
        <f>+'Taxes RCA 2022'!A26</f>
        <v>21</v>
      </c>
      <c r="C33" s="68" t="str">
        <f>+'Taxes RCA 2022'!B26</f>
        <v>Droits fixes (sur l'octroi, renouvellement, transfert) (+)</v>
      </c>
      <c r="E33" s="165"/>
      <c r="F33" s="165">
        <f t="shared" si="38"/>
        <v>0</v>
      </c>
      <c r="G33" s="165">
        <f t="shared" si="39"/>
        <v>0</v>
      </c>
      <c r="H33" s="114"/>
      <c r="I33" s="165"/>
      <c r="J33" s="165">
        <f t="shared" ca="1" si="61"/>
        <v>0</v>
      </c>
      <c r="K33" s="165">
        <f t="shared" ca="1" si="40"/>
        <v>0</v>
      </c>
      <c r="L33" s="114"/>
      <c r="M33" s="165">
        <f t="shared" ca="1" si="41"/>
        <v>0</v>
      </c>
      <c r="N33" s="68"/>
      <c r="O33" s="38" t="str">
        <f t="shared" ca="1" si="59"/>
        <v/>
      </c>
      <c r="P33" s="39" t="str">
        <f t="shared" ca="1" si="60"/>
        <v/>
      </c>
      <c r="Q33" s="35"/>
      <c r="R33" s="40" t="s">
        <v>18</v>
      </c>
      <c r="S33" s="22">
        <f>SUM(S25:S32)</f>
        <v>0</v>
      </c>
      <c r="Y33" s="28"/>
      <c r="Z33" s="28" t="str">
        <f t="shared" si="44"/>
        <v>Taxe de Développement Artisanal (TDA) (+)</v>
      </c>
      <c r="AA33" s="29">
        <f t="shared" ref="AA33:AJ33" si="62">SUM(AA34:AA49)</f>
        <v>0</v>
      </c>
      <c r="AB33" s="29">
        <f t="shared" si="62"/>
        <v>0</v>
      </c>
      <c r="AC33" s="29">
        <f t="shared" si="62"/>
        <v>0</v>
      </c>
      <c r="AD33" s="29">
        <f t="shared" si="62"/>
        <v>0</v>
      </c>
      <c r="AE33" s="29">
        <f t="shared" si="62"/>
        <v>0</v>
      </c>
      <c r="AF33" s="29">
        <f t="shared" si="62"/>
        <v>0</v>
      </c>
      <c r="AG33" s="29">
        <f t="shared" si="62"/>
        <v>0</v>
      </c>
      <c r="AH33" s="29">
        <f t="shared" si="62"/>
        <v>0</v>
      </c>
      <c r="AI33" s="29">
        <f t="shared" si="62"/>
        <v>0</v>
      </c>
      <c r="AJ33" s="29">
        <f t="shared" si="62"/>
        <v>0</v>
      </c>
      <c r="AL33" s="28"/>
      <c r="AM33" s="28" t="str">
        <f t="shared" si="46"/>
        <v>Taxe de Développement Artisanal (TDA) (+)</v>
      </c>
      <c r="AN33" s="29">
        <f t="shared" ref="AN33:AV33" si="63">SUM(AN34:AN49)</f>
        <v>0</v>
      </c>
      <c r="AO33" s="29">
        <f t="shared" si="63"/>
        <v>0</v>
      </c>
      <c r="AP33" s="29">
        <f t="shared" si="63"/>
        <v>0</v>
      </c>
      <c r="AQ33" s="29">
        <f t="shared" si="63"/>
        <v>0</v>
      </c>
      <c r="AR33" s="29">
        <f t="shared" si="63"/>
        <v>0</v>
      </c>
      <c r="AS33" s="29">
        <f t="shared" si="63"/>
        <v>0</v>
      </c>
      <c r="AT33" s="29">
        <f t="shared" si="63"/>
        <v>0</v>
      </c>
      <c r="AU33" s="29">
        <f t="shared" si="63"/>
        <v>0</v>
      </c>
      <c r="AV33" s="29">
        <f t="shared" si="63"/>
        <v>0</v>
      </c>
      <c r="AW33" s="18"/>
      <c r="AX33" s="28"/>
      <c r="AY33" s="28" t="str">
        <f t="shared" si="48"/>
        <v>Taxe de Développement Artisanal (TDA) (+)</v>
      </c>
      <c r="AZ33" s="29">
        <f t="shared" ref="AZ33:BK33" ca="1" si="64">SUM(AZ34:AZ49)</f>
        <v>0</v>
      </c>
      <c r="BA33" s="29">
        <f t="shared" ca="1" si="64"/>
        <v>0</v>
      </c>
      <c r="BB33" s="29">
        <f t="shared" ca="1" si="64"/>
        <v>0</v>
      </c>
      <c r="BC33" s="29">
        <f t="shared" ca="1" si="64"/>
        <v>0</v>
      </c>
      <c r="BD33" s="29">
        <f t="shared" ca="1" si="64"/>
        <v>0</v>
      </c>
      <c r="BE33" s="29">
        <f t="shared" ca="1" si="64"/>
        <v>0</v>
      </c>
      <c r="BF33" s="29">
        <f t="shared" ca="1" si="64"/>
        <v>0</v>
      </c>
      <c r="BG33" s="29">
        <f t="shared" ca="1" si="64"/>
        <v>0</v>
      </c>
      <c r="BH33" s="29">
        <f t="shared" ca="1" si="64"/>
        <v>0</v>
      </c>
      <c r="BI33" s="29">
        <f t="shared" ca="1" si="64"/>
        <v>0</v>
      </c>
      <c r="BJ33" s="29">
        <f t="shared" ca="1" si="64"/>
        <v>0</v>
      </c>
      <c r="BK33" s="29">
        <f t="shared" ca="1" si="64"/>
        <v>0</v>
      </c>
    </row>
    <row r="34" spans="1:63" s="20" customFormat="1" ht="24">
      <c r="A34" s="80">
        <f t="shared" si="23"/>
        <v>22</v>
      </c>
      <c r="B34" s="53">
        <f>+'Taxes RCA 2022'!A27</f>
        <v>22</v>
      </c>
      <c r="C34" s="171" t="str">
        <f>+'Taxes RCA 2022'!B27</f>
        <v>Les redevances proportionnelles ou royalties sur les autorisations d'exploitation de carrière et les exploitations des mines (+)</v>
      </c>
      <c r="D34" s="21"/>
      <c r="E34" s="114"/>
      <c r="F34" s="114">
        <f t="shared" si="38"/>
        <v>0</v>
      </c>
      <c r="G34" s="114">
        <f t="shared" si="39"/>
        <v>0</v>
      </c>
      <c r="H34" s="114"/>
      <c r="I34" s="114"/>
      <c r="J34" s="114">
        <f t="shared" ca="1" si="61"/>
        <v>0</v>
      </c>
      <c r="K34" s="114">
        <f t="shared" ca="1" si="40"/>
        <v>0</v>
      </c>
      <c r="L34" s="114"/>
      <c r="M34" s="114">
        <f t="shared" ca="1" si="41"/>
        <v>0</v>
      </c>
      <c r="N34" s="18"/>
      <c r="O34" s="38" t="str">
        <f t="shared" ca="1" si="59"/>
        <v/>
      </c>
      <c r="P34" s="39" t="str">
        <f t="shared" ca="1" si="60"/>
        <v/>
      </c>
      <c r="Q34" s="35"/>
      <c r="R34" s="43"/>
      <c r="S34" s="27"/>
      <c r="Y34" s="15">
        <f t="shared" ref="Y34:Y49" si="65">B37</f>
        <v>25</v>
      </c>
      <c r="Z34" s="25" t="str">
        <f t="shared" si="44"/>
        <v>Amendes et pénalités payées à la DGID (+)</v>
      </c>
      <c r="AA34" s="16">
        <f t="shared" ref="AA34:AI46" si="66">SUMPRODUCT(($A$84:$A$751=$Y34&amp;"- "&amp;$Z34)*($C$84:$C$751=AA$1)*($G$84:$G$751))</f>
        <v>0</v>
      </c>
      <c r="AB34" s="16">
        <f t="shared" si="66"/>
        <v>0</v>
      </c>
      <c r="AC34" s="16">
        <f t="shared" si="66"/>
        <v>0</v>
      </c>
      <c r="AD34" s="16">
        <f t="shared" si="66"/>
        <v>0</v>
      </c>
      <c r="AE34" s="16">
        <f t="shared" si="66"/>
        <v>0</v>
      </c>
      <c r="AF34" s="16">
        <f t="shared" si="66"/>
        <v>0</v>
      </c>
      <c r="AG34" s="16">
        <f t="shared" si="66"/>
        <v>0</v>
      </c>
      <c r="AH34" s="16">
        <f t="shared" si="66"/>
        <v>0</v>
      </c>
      <c r="AI34" s="16">
        <f t="shared" si="66"/>
        <v>0</v>
      </c>
      <c r="AJ34" s="16">
        <f t="shared" ref="AJ34:AJ48" si="67">SUM(AA34:AI34)</f>
        <v>0</v>
      </c>
      <c r="AK34" s="21"/>
      <c r="AL34" s="17">
        <f t="shared" ref="AL34:AL49" si="68">+B37</f>
        <v>25</v>
      </c>
      <c r="AM34" s="26" t="str">
        <f t="shared" si="46"/>
        <v>Amendes et pénalités payées à la DGID (+)</v>
      </c>
      <c r="AN34" s="18">
        <f t="shared" ref="AN34:AU46" si="69">SUMPRODUCT(($J$84:$M$748=$AL34&amp;"- "&amp;$AM34)*($N$84:$N$748=AN$1)*($Q$84:$Q$748))</f>
        <v>0</v>
      </c>
      <c r="AO34" s="18">
        <f t="shared" si="69"/>
        <v>0</v>
      </c>
      <c r="AP34" s="18">
        <f t="shared" si="69"/>
        <v>0</v>
      </c>
      <c r="AQ34" s="18">
        <f t="shared" si="69"/>
        <v>0</v>
      </c>
      <c r="AR34" s="18">
        <f t="shared" si="69"/>
        <v>0</v>
      </c>
      <c r="AS34" s="18">
        <f t="shared" si="69"/>
        <v>0</v>
      </c>
      <c r="AT34" s="18">
        <f t="shared" si="69"/>
        <v>0</v>
      </c>
      <c r="AU34" s="18">
        <f t="shared" si="69"/>
        <v>0</v>
      </c>
      <c r="AV34" s="18">
        <f t="shared" ref="AV34:AV48" si="70">SUM(AN34:AU34)</f>
        <v>0</v>
      </c>
      <c r="AW34" s="18"/>
      <c r="AX34" s="17">
        <f t="shared" ref="AX34:AX49" si="71">B37</f>
        <v>25</v>
      </c>
      <c r="AY34" s="26" t="str">
        <f t="shared" si="48"/>
        <v>Amendes et pénalités payées à la DGID (+)</v>
      </c>
      <c r="AZ34" s="18">
        <f t="shared" ref="AZ34:BK46" ca="1" si="72">SUMPRODUCT(($C$10:$C$75=$AY34)*($N$10:$N$75=AZ$1)*($M$10:$M$75))</f>
        <v>0</v>
      </c>
      <c r="BA34" s="18">
        <f t="shared" ca="1" si="72"/>
        <v>0</v>
      </c>
      <c r="BB34" s="18">
        <f t="shared" ca="1" si="72"/>
        <v>0</v>
      </c>
      <c r="BC34" s="18">
        <f t="shared" ca="1" si="72"/>
        <v>0</v>
      </c>
      <c r="BD34" s="18">
        <f t="shared" ca="1" si="72"/>
        <v>0</v>
      </c>
      <c r="BE34" s="18">
        <f t="shared" ca="1" si="72"/>
        <v>0</v>
      </c>
      <c r="BF34" s="18">
        <f t="shared" ca="1" si="72"/>
        <v>0</v>
      </c>
      <c r="BG34" s="18">
        <f t="shared" ca="1" si="72"/>
        <v>0</v>
      </c>
      <c r="BH34" s="18">
        <f t="shared" ca="1" si="72"/>
        <v>0</v>
      </c>
      <c r="BI34" s="18">
        <f t="shared" ca="1" si="72"/>
        <v>0</v>
      </c>
      <c r="BJ34" s="18">
        <f t="shared" ca="1" si="72"/>
        <v>0</v>
      </c>
      <c r="BK34" s="18">
        <f t="shared" ca="1" si="72"/>
        <v>0</v>
      </c>
    </row>
    <row r="35" spans="1:63">
      <c r="A35" s="80">
        <f t="shared" si="23"/>
        <v>23</v>
      </c>
      <c r="B35" s="64">
        <f>+'Taxes RCA 2022'!A28</f>
        <v>23</v>
      </c>
      <c r="C35" s="68" t="str">
        <f>+'Taxes RCA 2022'!B28</f>
        <v>Impôt sur les revenus des capitaux mobiliers (RCM) (+)</v>
      </c>
      <c r="E35" s="165"/>
      <c r="F35" s="165">
        <f t="shared" si="38"/>
        <v>0</v>
      </c>
      <c r="G35" s="165">
        <f t="shared" si="39"/>
        <v>0</v>
      </c>
      <c r="H35" s="114"/>
      <c r="I35" s="165"/>
      <c r="J35" s="165">
        <f t="shared" ca="1" si="61"/>
        <v>0</v>
      </c>
      <c r="K35" s="165">
        <f t="shared" ca="1" si="40"/>
        <v>0</v>
      </c>
      <c r="L35" s="114"/>
      <c r="M35" s="165">
        <f t="shared" ca="1" si="41"/>
        <v>0</v>
      </c>
      <c r="N35" s="68"/>
      <c r="O35" s="71" t="str">
        <f t="shared" ca="1" si="59"/>
        <v/>
      </c>
      <c r="P35" s="72" t="str">
        <f t="shared" ca="1" si="60"/>
        <v/>
      </c>
      <c r="Q35" s="73"/>
      <c r="Y35" s="15">
        <f t="shared" si="65"/>
        <v>26</v>
      </c>
      <c r="Z35" s="25" t="str">
        <f t="shared" si="44"/>
        <v>Redevance de déboisement (+)</v>
      </c>
      <c r="AA35" s="16">
        <f t="shared" si="66"/>
        <v>0</v>
      </c>
      <c r="AB35" s="16">
        <f t="shared" si="66"/>
        <v>0</v>
      </c>
      <c r="AC35" s="16">
        <f t="shared" si="66"/>
        <v>0</v>
      </c>
      <c r="AD35" s="16">
        <f t="shared" si="66"/>
        <v>0</v>
      </c>
      <c r="AE35" s="16">
        <f t="shared" si="66"/>
        <v>0</v>
      </c>
      <c r="AF35" s="16">
        <f t="shared" si="66"/>
        <v>0</v>
      </c>
      <c r="AG35" s="16">
        <f t="shared" si="66"/>
        <v>0</v>
      </c>
      <c r="AH35" s="16">
        <f t="shared" si="66"/>
        <v>0</v>
      </c>
      <c r="AI35" s="16">
        <f t="shared" si="66"/>
        <v>0</v>
      </c>
      <c r="AJ35" s="16">
        <f t="shared" si="67"/>
        <v>0</v>
      </c>
      <c r="AK35" s="20"/>
      <c r="AL35" s="17">
        <f t="shared" si="68"/>
        <v>26</v>
      </c>
      <c r="AM35" s="26" t="str">
        <f t="shared" si="46"/>
        <v>Redevance de déboisement (+)</v>
      </c>
      <c r="AN35" s="18">
        <f t="shared" si="69"/>
        <v>0</v>
      </c>
      <c r="AO35" s="18">
        <f t="shared" si="69"/>
        <v>0</v>
      </c>
      <c r="AP35" s="18">
        <f t="shared" si="69"/>
        <v>0</v>
      </c>
      <c r="AQ35" s="18">
        <f t="shared" si="69"/>
        <v>0</v>
      </c>
      <c r="AR35" s="18">
        <f t="shared" si="69"/>
        <v>0</v>
      </c>
      <c r="AS35" s="18">
        <f t="shared" si="69"/>
        <v>0</v>
      </c>
      <c r="AT35" s="18">
        <f t="shared" si="69"/>
        <v>0</v>
      </c>
      <c r="AU35" s="18">
        <f t="shared" si="69"/>
        <v>0</v>
      </c>
      <c r="AV35" s="18">
        <f t="shared" si="70"/>
        <v>0</v>
      </c>
      <c r="AW35" s="18"/>
      <c r="AX35" s="17">
        <f t="shared" si="71"/>
        <v>26</v>
      </c>
      <c r="AY35" s="26" t="str">
        <f t="shared" si="48"/>
        <v>Redevance de déboisement (+)</v>
      </c>
      <c r="AZ35" s="18">
        <f t="shared" ca="1" si="72"/>
        <v>0</v>
      </c>
      <c r="BA35" s="18">
        <f t="shared" ca="1" si="72"/>
        <v>0</v>
      </c>
      <c r="BB35" s="18">
        <f t="shared" ca="1" si="72"/>
        <v>0</v>
      </c>
      <c r="BC35" s="18">
        <f t="shared" ca="1" si="72"/>
        <v>0</v>
      </c>
      <c r="BD35" s="18">
        <f t="shared" ca="1" si="72"/>
        <v>0</v>
      </c>
      <c r="BE35" s="18">
        <f t="shared" ca="1" si="72"/>
        <v>0</v>
      </c>
      <c r="BF35" s="18">
        <f t="shared" ca="1" si="72"/>
        <v>0</v>
      </c>
      <c r="BG35" s="18">
        <f t="shared" ca="1" si="72"/>
        <v>0</v>
      </c>
      <c r="BH35" s="18">
        <f t="shared" ca="1" si="72"/>
        <v>0</v>
      </c>
      <c r="BI35" s="18">
        <f t="shared" ca="1" si="72"/>
        <v>0</v>
      </c>
      <c r="BJ35" s="18">
        <f t="shared" ca="1" si="72"/>
        <v>0</v>
      </c>
      <c r="BK35" s="18">
        <f t="shared" ca="1" si="72"/>
        <v>0</v>
      </c>
    </row>
    <row r="36" spans="1:63">
      <c r="A36" s="80">
        <f t="shared" si="23"/>
        <v>24</v>
      </c>
      <c r="B36" s="53">
        <f>+'Taxes RCA 2022'!A29</f>
        <v>24</v>
      </c>
      <c r="C36" s="18" t="str">
        <f>+'Taxes RCA 2022'!B29</f>
        <v>Taxe de Développement Artisanal (TDA) (+)</v>
      </c>
      <c r="E36" s="114"/>
      <c r="F36" s="114">
        <f t="shared" si="38"/>
        <v>0</v>
      </c>
      <c r="G36" s="114">
        <f t="shared" si="39"/>
        <v>0</v>
      </c>
      <c r="H36" s="114"/>
      <c r="I36" s="114"/>
      <c r="J36" s="114">
        <f t="shared" ca="1" si="61"/>
        <v>0</v>
      </c>
      <c r="K36" s="114">
        <f t="shared" ca="1" si="40"/>
        <v>0</v>
      </c>
      <c r="L36" s="114"/>
      <c r="M36" s="114">
        <f t="shared" ca="1" si="41"/>
        <v>0</v>
      </c>
      <c r="N36" s="18"/>
      <c r="O36" s="38"/>
      <c r="P36" s="39"/>
      <c r="Q36" s="35"/>
      <c r="S36" s="18"/>
      <c r="Y36" s="15">
        <f t="shared" si="65"/>
        <v>27</v>
      </c>
      <c r="Z36" s="25" t="str">
        <f t="shared" si="44"/>
        <v>Redevance de pré reconnaissance (+)</v>
      </c>
      <c r="AA36" s="16">
        <f t="shared" si="66"/>
        <v>0</v>
      </c>
      <c r="AB36" s="16">
        <f t="shared" si="66"/>
        <v>0</v>
      </c>
      <c r="AC36" s="16">
        <f t="shared" si="66"/>
        <v>0</v>
      </c>
      <c r="AD36" s="16">
        <f t="shared" si="66"/>
        <v>0</v>
      </c>
      <c r="AE36" s="16">
        <f t="shared" si="66"/>
        <v>0</v>
      </c>
      <c r="AF36" s="16">
        <f t="shared" si="66"/>
        <v>0</v>
      </c>
      <c r="AG36" s="16">
        <f t="shared" si="66"/>
        <v>0</v>
      </c>
      <c r="AH36" s="16">
        <f t="shared" si="66"/>
        <v>0</v>
      </c>
      <c r="AI36" s="16">
        <f t="shared" si="66"/>
        <v>0</v>
      </c>
      <c r="AJ36" s="16">
        <f t="shared" si="67"/>
        <v>0</v>
      </c>
      <c r="AL36" s="17">
        <f t="shared" si="68"/>
        <v>27</v>
      </c>
      <c r="AM36" s="26" t="str">
        <f t="shared" si="46"/>
        <v>Redevance de pré reconnaissance (+)</v>
      </c>
      <c r="AN36" s="18">
        <f t="shared" si="69"/>
        <v>0</v>
      </c>
      <c r="AO36" s="18">
        <f t="shared" si="69"/>
        <v>0</v>
      </c>
      <c r="AP36" s="18">
        <f t="shared" si="69"/>
        <v>0</v>
      </c>
      <c r="AQ36" s="18">
        <f t="shared" si="69"/>
        <v>0</v>
      </c>
      <c r="AR36" s="18">
        <f t="shared" si="69"/>
        <v>0</v>
      </c>
      <c r="AS36" s="18">
        <f t="shared" si="69"/>
        <v>0</v>
      </c>
      <c r="AT36" s="18">
        <f t="shared" si="69"/>
        <v>0</v>
      </c>
      <c r="AU36" s="18">
        <f t="shared" si="69"/>
        <v>0</v>
      </c>
      <c r="AV36" s="18">
        <f t="shared" si="70"/>
        <v>0</v>
      </c>
      <c r="AW36" s="18"/>
      <c r="AX36" s="17">
        <f t="shared" si="71"/>
        <v>27</v>
      </c>
      <c r="AY36" s="26" t="str">
        <f t="shared" si="48"/>
        <v>Redevance de pré reconnaissance (+)</v>
      </c>
      <c r="AZ36" s="18">
        <f t="shared" ca="1" si="72"/>
        <v>0</v>
      </c>
      <c r="BA36" s="18">
        <f t="shared" ca="1" si="72"/>
        <v>0</v>
      </c>
      <c r="BB36" s="18">
        <f t="shared" ca="1" si="72"/>
        <v>0</v>
      </c>
      <c r="BC36" s="18">
        <f t="shared" ca="1" si="72"/>
        <v>0</v>
      </c>
      <c r="BD36" s="18">
        <f t="shared" ca="1" si="72"/>
        <v>0</v>
      </c>
      <c r="BE36" s="18">
        <f t="shared" ca="1" si="72"/>
        <v>0</v>
      </c>
      <c r="BF36" s="18">
        <f t="shared" ca="1" si="72"/>
        <v>0</v>
      </c>
      <c r="BG36" s="18">
        <f t="shared" ca="1" si="72"/>
        <v>0</v>
      </c>
      <c r="BH36" s="18">
        <f t="shared" ca="1" si="72"/>
        <v>0</v>
      </c>
      <c r="BI36" s="18">
        <f t="shared" ca="1" si="72"/>
        <v>0</v>
      </c>
      <c r="BJ36" s="18">
        <f t="shared" ca="1" si="72"/>
        <v>0</v>
      </c>
      <c r="BK36" s="18">
        <f t="shared" ca="1" si="72"/>
        <v>0</v>
      </c>
    </row>
    <row r="37" spans="1:63">
      <c r="A37" s="80">
        <f t="shared" si="23"/>
        <v>25</v>
      </c>
      <c r="B37" s="64">
        <f>+'Taxes RCA 2022'!A30</f>
        <v>25</v>
      </c>
      <c r="C37" s="68" t="str">
        <f>+'Taxes RCA 2022'!B30</f>
        <v>Amendes et pénalités payées à la DGID (+)</v>
      </c>
      <c r="E37" s="165"/>
      <c r="F37" s="165">
        <f t="shared" si="38"/>
        <v>0</v>
      </c>
      <c r="G37" s="165">
        <f t="shared" si="39"/>
        <v>0</v>
      </c>
      <c r="H37" s="114"/>
      <c r="I37" s="165"/>
      <c r="J37" s="165">
        <f t="shared" ca="1" si="61"/>
        <v>0</v>
      </c>
      <c r="K37" s="165">
        <f t="shared" ca="1" si="40"/>
        <v>0</v>
      </c>
      <c r="L37" s="114"/>
      <c r="M37" s="165">
        <f t="shared" ca="1" si="41"/>
        <v>0</v>
      </c>
      <c r="N37" s="68"/>
      <c r="O37" s="38" t="str">
        <f t="shared" ref="O37:O52" ca="1" si="73">IF(M37=0,"",IF(N37=0,"ERROR",""))</f>
        <v/>
      </c>
      <c r="P37" s="39" t="str">
        <f t="shared" ref="P37:P55" ca="1" si="74">IF(O37="ERROR","Please insert comment","")</f>
        <v/>
      </c>
      <c r="Q37" s="35"/>
      <c r="Y37" s="15">
        <f t="shared" si="65"/>
        <v>0</v>
      </c>
      <c r="Z37" s="25" t="str">
        <f t="shared" si="44"/>
        <v>DGTCP (MMG)</v>
      </c>
      <c r="AA37" s="16">
        <f t="shared" si="66"/>
        <v>0</v>
      </c>
      <c r="AB37" s="16">
        <f t="shared" si="66"/>
        <v>0</v>
      </c>
      <c r="AC37" s="16">
        <f t="shared" si="66"/>
        <v>0</v>
      </c>
      <c r="AD37" s="16">
        <f t="shared" si="66"/>
        <v>0</v>
      </c>
      <c r="AE37" s="16">
        <f t="shared" si="66"/>
        <v>0</v>
      </c>
      <c r="AF37" s="16">
        <f t="shared" si="66"/>
        <v>0</v>
      </c>
      <c r="AG37" s="16">
        <f t="shared" si="66"/>
        <v>0</v>
      </c>
      <c r="AH37" s="16">
        <f t="shared" si="66"/>
        <v>0</v>
      </c>
      <c r="AI37" s="16">
        <f t="shared" si="66"/>
        <v>0</v>
      </c>
      <c r="AJ37" s="16">
        <f t="shared" si="67"/>
        <v>0</v>
      </c>
      <c r="AL37" s="17">
        <f t="shared" si="68"/>
        <v>0</v>
      </c>
      <c r="AM37" s="26" t="str">
        <f t="shared" si="46"/>
        <v>DGTCP (MMG)</v>
      </c>
      <c r="AN37" s="18">
        <f t="shared" si="69"/>
        <v>0</v>
      </c>
      <c r="AO37" s="18">
        <f t="shared" si="69"/>
        <v>0</v>
      </c>
      <c r="AP37" s="18">
        <f t="shared" si="69"/>
        <v>0</v>
      </c>
      <c r="AQ37" s="18">
        <f t="shared" si="69"/>
        <v>0</v>
      </c>
      <c r="AR37" s="18">
        <f t="shared" si="69"/>
        <v>0</v>
      </c>
      <c r="AS37" s="18">
        <f t="shared" si="69"/>
        <v>0</v>
      </c>
      <c r="AT37" s="18">
        <f t="shared" si="69"/>
        <v>0</v>
      </c>
      <c r="AU37" s="18">
        <f t="shared" si="69"/>
        <v>0</v>
      </c>
      <c r="AV37" s="18">
        <f t="shared" si="70"/>
        <v>0</v>
      </c>
      <c r="AW37" s="18"/>
      <c r="AX37" s="17">
        <f t="shared" si="71"/>
        <v>0</v>
      </c>
      <c r="AY37" s="26" t="str">
        <f t="shared" si="48"/>
        <v>DGTCP (MMG)</v>
      </c>
      <c r="AZ37" s="18">
        <f t="shared" ca="1" si="72"/>
        <v>0</v>
      </c>
      <c r="BA37" s="18">
        <f t="shared" ca="1" si="72"/>
        <v>0</v>
      </c>
      <c r="BB37" s="18">
        <f t="shared" ca="1" si="72"/>
        <v>0</v>
      </c>
      <c r="BC37" s="18">
        <f t="shared" ca="1" si="72"/>
        <v>0</v>
      </c>
      <c r="BD37" s="18">
        <f t="shared" ca="1" si="72"/>
        <v>0</v>
      </c>
      <c r="BE37" s="18">
        <f t="shared" ca="1" si="72"/>
        <v>0</v>
      </c>
      <c r="BF37" s="18">
        <f t="shared" ca="1" si="72"/>
        <v>0</v>
      </c>
      <c r="BG37" s="18">
        <f t="shared" ca="1" si="72"/>
        <v>0</v>
      </c>
      <c r="BH37" s="18">
        <f t="shared" ca="1" si="72"/>
        <v>0</v>
      </c>
      <c r="BI37" s="18">
        <f t="shared" ca="1" si="72"/>
        <v>0</v>
      </c>
      <c r="BJ37" s="18">
        <f t="shared" ca="1" si="72"/>
        <v>0</v>
      </c>
      <c r="BK37" s="18">
        <f t="shared" ca="1" si="72"/>
        <v>0</v>
      </c>
    </row>
    <row r="38" spans="1:63">
      <c r="A38" s="80">
        <f t="shared" si="23"/>
        <v>26</v>
      </c>
      <c r="B38" s="53">
        <f>+'Taxes RCA 2022'!A31</f>
        <v>26</v>
      </c>
      <c r="C38" s="18" t="str">
        <f>+'Taxes RCA 2022'!B31</f>
        <v>Redevance de déboisement (+)</v>
      </c>
      <c r="E38" s="114"/>
      <c r="F38" s="114">
        <f t="shared" si="38"/>
        <v>0</v>
      </c>
      <c r="G38" s="114">
        <f t="shared" si="39"/>
        <v>0</v>
      </c>
      <c r="H38" s="114"/>
      <c r="I38" s="114"/>
      <c r="J38" s="114">
        <f ca="1">SUMIF($J$84:$M$749,C38,$Q$84:$Q$749)</f>
        <v>0</v>
      </c>
      <c r="K38" s="114">
        <f t="shared" ca="1" si="40"/>
        <v>0</v>
      </c>
      <c r="L38" s="114"/>
      <c r="M38" s="114">
        <f t="shared" ca="1" si="41"/>
        <v>0</v>
      </c>
      <c r="N38" s="18"/>
      <c r="O38" s="38" t="str">
        <f t="shared" ca="1" si="73"/>
        <v/>
      </c>
      <c r="P38" s="39" t="str">
        <f t="shared" ca="1" si="74"/>
        <v/>
      </c>
      <c r="Q38" s="35"/>
      <c r="Y38" s="15">
        <f t="shared" si="65"/>
        <v>28</v>
      </c>
      <c r="Z38" s="25" t="str">
        <f t="shared" si="44"/>
        <v>Contribution à la formation professionnelle et à la formation des cadres de l'Administration des Mines (+)</v>
      </c>
      <c r="AA38" s="16">
        <f t="shared" si="66"/>
        <v>0</v>
      </c>
      <c r="AB38" s="16">
        <f t="shared" si="66"/>
        <v>0</v>
      </c>
      <c r="AC38" s="16">
        <f t="shared" si="66"/>
        <v>0</v>
      </c>
      <c r="AD38" s="16">
        <f t="shared" si="66"/>
        <v>0</v>
      </c>
      <c r="AE38" s="16">
        <f t="shared" si="66"/>
        <v>0</v>
      </c>
      <c r="AF38" s="16">
        <f t="shared" si="66"/>
        <v>0</v>
      </c>
      <c r="AG38" s="16">
        <f t="shared" si="66"/>
        <v>0</v>
      </c>
      <c r="AH38" s="16">
        <f t="shared" si="66"/>
        <v>0</v>
      </c>
      <c r="AI38" s="16">
        <f t="shared" si="66"/>
        <v>0</v>
      </c>
      <c r="AJ38" s="16">
        <f t="shared" si="67"/>
        <v>0</v>
      </c>
      <c r="AL38" s="17">
        <f t="shared" si="68"/>
        <v>28</v>
      </c>
      <c r="AM38" s="26" t="str">
        <f t="shared" si="46"/>
        <v>Contribution à la formation professionnelle et à la formation des cadres de l'Administration des Mines (+)</v>
      </c>
      <c r="AN38" s="18">
        <f t="shared" si="69"/>
        <v>0</v>
      </c>
      <c r="AO38" s="18">
        <f t="shared" si="69"/>
        <v>0</v>
      </c>
      <c r="AP38" s="18">
        <f t="shared" si="69"/>
        <v>0</v>
      </c>
      <c r="AQ38" s="18">
        <f t="shared" si="69"/>
        <v>0</v>
      </c>
      <c r="AR38" s="18">
        <f t="shared" si="69"/>
        <v>0</v>
      </c>
      <c r="AS38" s="18">
        <f t="shared" si="69"/>
        <v>0</v>
      </c>
      <c r="AT38" s="18">
        <f t="shared" si="69"/>
        <v>0</v>
      </c>
      <c r="AU38" s="18">
        <f t="shared" si="69"/>
        <v>0</v>
      </c>
      <c r="AV38" s="18">
        <f t="shared" si="70"/>
        <v>0</v>
      </c>
      <c r="AW38" s="18"/>
      <c r="AX38" s="17">
        <f t="shared" si="71"/>
        <v>28</v>
      </c>
      <c r="AY38" s="26" t="str">
        <f t="shared" si="48"/>
        <v>Contribution à la formation professionnelle et à la formation des cadres de l'Administration des Mines (+)</v>
      </c>
      <c r="AZ38" s="18">
        <f t="shared" ca="1" si="72"/>
        <v>0</v>
      </c>
      <c r="BA38" s="18">
        <f t="shared" ca="1" si="72"/>
        <v>0</v>
      </c>
      <c r="BB38" s="18">
        <f t="shared" ca="1" si="72"/>
        <v>0</v>
      </c>
      <c r="BC38" s="18">
        <f t="shared" ca="1" si="72"/>
        <v>0</v>
      </c>
      <c r="BD38" s="18">
        <f t="shared" ca="1" si="72"/>
        <v>0</v>
      </c>
      <c r="BE38" s="18">
        <f t="shared" ca="1" si="72"/>
        <v>0</v>
      </c>
      <c r="BF38" s="18">
        <f t="shared" ca="1" si="72"/>
        <v>0</v>
      </c>
      <c r="BG38" s="18">
        <f t="shared" ca="1" si="72"/>
        <v>0</v>
      </c>
      <c r="BH38" s="18">
        <f t="shared" ca="1" si="72"/>
        <v>0</v>
      </c>
      <c r="BI38" s="18">
        <f t="shared" ca="1" si="72"/>
        <v>0</v>
      </c>
      <c r="BJ38" s="18">
        <f t="shared" ca="1" si="72"/>
        <v>0</v>
      </c>
      <c r="BK38" s="18">
        <f t="shared" ca="1" si="72"/>
        <v>0</v>
      </c>
    </row>
    <row r="39" spans="1:63">
      <c r="A39" s="80">
        <f t="shared" si="23"/>
        <v>27</v>
      </c>
      <c r="B39" s="64">
        <f>+'Taxes RCA 2022'!A32</f>
        <v>27</v>
      </c>
      <c r="C39" s="68" t="str">
        <f>+'Taxes RCA 2022'!B32</f>
        <v>Redevance de pré reconnaissance (+)</v>
      </c>
      <c r="E39" s="165"/>
      <c r="F39" s="165">
        <f t="shared" si="38"/>
        <v>0</v>
      </c>
      <c r="G39" s="165">
        <f t="shared" si="39"/>
        <v>0</v>
      </c>
      <c r="H39" s="114"/>
      <c r="I39" s="165"/>
      <c r="J39" s="165">
        <f ca="1">SUMIF($J$84:$M$749,B39&amp;"- "&amp;C39,$Q$84:$Q$749)</f>
        <v>0</v>
      </c>
      <c r="K39" s="165">
        <f t="shared" ca="1" si="40"/>
        <v>0</v>
      </c>
      <c r="L39" s="114"/>
      <c r="M39" s="165">
        <f t="shared" ca="1" si="41"/>
        <v>0</v>
      </c>
      <c r="N39" s="68"/>
      <c r="O39" s="38" t="str">
        <f t="shared" ca="1" si="73"/>
        <v/>
      </c>
      <c r="P39" s="39" t="str">
        <f t="shared" ca="1" si="74"/>
        <v/>
      </c>
      <c r="Q39" s="35"/>
      <c r="Y39" s="15">
        <f t="shared" si="65"/>
        <v>29</v>
      </c>
      <c r="Z39" s="25" t="str">
        <f t="shared" si="44"/>
        <v>Droits d'attributions</v>
      </c>
      <c r="AA39" s="16">
        <f t="shared" si="66"/>
        <v>0</v>
      </c>
      <c r="AB39" s="16">
        <f t="shared" si="66"/>
        <v>0</v>
      </c>
      <c r="AC39" s="16">
        <f t="shared" si="66"/>
        <v>0</v>
      </c>
      <c r="AD39" s="16">
        <f t="shared" si="66"/>
        <v>0</v>
      </c>
      <c r="AE39" s="16">
        <f t="shared" si="66"/>
        <v>0</v>
      </c>
      <c r="AF39" s="16">
        <f t="shared" si="66"/>
        <v>0</v>
      </c>
      <c r="AG39" s="16">
        <f t="shared" si="66"/>
        <v>0</v>
      </c>
      <c r="AH39" s="16">
        <f t="shared" si="66"/>
        <v>0</v>
      </c>
      <c r="AI39" s="16">
        <f t="shared" si="66"/>
        <v>0</v>
      </c>
      <c r="AJ39" s="16">
        <f t="shared" si="67"/>
        <v>0</v>
      </c>
      <c r="AL39" s="17">
        <f t="shared" si="68"/>
        <v>29</v>
      </c>
      <c r="AM39" s="26" t="str">
        <f t="shared" si="46"/>
        <v>Droits d'attributions</v>
      </c>
      <c r="AN39" s="18">
        <f t="shared" si="69"/>
        <v>0</v>
      </c>
      <c r="AO39" s="18">
        <f t="shared" si="69"/>
        <v>0</v>
      </c>
      <c r="AP39" s="18">
        <f t="shared" si="69"/>
        <v>0</v>
      </c>
      <c r="AQ39" s="18">
        <f t="shared" si="69"/>
        <v>0</v>
      </c>
      <c r="AR39" s="18">
        <f t="shared" si="69"/>
        <v>0</v>
      </c>
      <c r="AS39" s="18">
        <f t="shared" si="69"/>
        <v>0</v>
      </c>
      <c r="AT39" s="18">
        <f t="shared" si="69"/>
        <v>0</v>
      </c>
      <c r="AU39" s="18">
        <f t="shared" si="69"/>
        <v>0</v>
      </c>
      <c r="AV39" s="18">
        <f t="shared" si="70"/>
        <v>0</v>
      </c>
      <c r="AW39" s="18"/>
      <c r="AX39" s="17">
        <f t="shared" si="71"/>
        <v>29</v>
      </c>
      <c r="AY39" s="26" t="str">
        <f t="shared" si="48"/>
        <v>Droits d'attributions</v>
      </c>
      <c r="AZ39" s="18">
        <f t="shared" ca="1" si="72"/>
        <v>0</v>
      </c>
      <c r="BA39" s="18">
        <f t="shared" ca="1" si="72"/>
        <v>0</v>
      </c>
      <c r="BB39" s="18">
        <f t="shared" ca="1" si="72"/>
        <v>0</v>
      </c>
      <c r="BC39" s="18">
        <f t="shared" ca="1" si="72"/>
        <v>0</v>
      </c>
      <c r="BD39" s="18">
        <f t="shared" ca="1" si="72"/>
        <v>0</v>
      </c>
      <c r="BE39" s="18">
        <f t="shared" ca="1" si="72"/>
        <v>0</v>
      </c>
      <c r="BF39" s="18">
        <f t="shared" ca="1" si="72"/>
        <v>0</v>
      </c>
      <c r="BG39" s="18">
        <f t="shared" ca="1" si="72"/>
        <v>0</v>
      </c>
      <c r="BH39" s="18">
        <f t="shared" ca="1" si="72"/>
        <v>0</v>
      </c>
      <c r="BI39" s="18">
        <f t="shared" ca="1" si="72"/>
        <v>0</v>
      </c>
      <c r="BJ39" s="18">
        <f t="shared" ca="1" si="72"/>
        <v>0</v>
      </c>
      <c r="BK39" s="18">
        <f t="shared" ca="1" si="72"/>
        <v>0</v>
      </c>
    </row>
    <row r="40" spans="1:63">
      <c r="A40" s="80">
        <f t="shared" si="23"/>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73"/>
        <v/>
      </c>
      <c r="P40" s="39" t="str">
        <f t="shared" ca="1" si="74"/>
        <v/>
      </c>
      <c r="Q40" s="35"/>
      <c r="Y40" s="15">
        <f>B78</f>
        <v>56</v>
      </c>
      <c r="Z40" s="25" t="str">
        <f>C78</f>
        <v xml:space="preserve">Secrétariat permanent du processus de Kimberley (SPPK)  </v>
      </c>
      <c r="AA40" s="16">
        <f t="shared" si="66"/>
        <v>0</v>
      </c>
      <c r="AB40" s="16">
        <f t="shared" si="66"/>
        <v>0</v>
      </c>
      <c r="AC40" s="16">
        <f t="shared" si="66"/>
        <v>0</v>
      </c>
      <c r="AD40" s="16">
        <f t="shared" si="66"/>
        <v>0</v>
      </c>
      <c r="AE40" s="16">
        <f t="shared" si="66"/>
        <v>0</v>
      </c>
      <c r="AF40" s="16">
        <f t="shared" si="66"/>
        <v>0</v>
      </c>
      <c r="AG40" s="16">
        <f t="shared" si="66"/>
        <v>0</v>
      </c>
      <c r="AH40" s="16">
        <f t="shared" si="66"/>
        <v>0</v>
      </c>
      <c r="AI40" s="16">
        <f t="shared" si="66"/>
        <v>0</v>
      </c>
      <c r="AJ40" s="16">
        <f t="shared" si="67"/>
        <v>0</v>
      </c>
      <c r="AL40" s="17">
        <f>+B78</f>
        <v>56</v>
      </c>
      <c r="AM40" s="26" t="str">
        <f>+C78</f>
        <v xml:space="preserve">Secrétariat permanent du processus de Kimberley (SPPK)  </v>
      </c>
      <c r="AN40" s="18">
        <f t="shared" si="69"/>
        <v>0</v>
      </c>
      <c r="AO40" s="18">
        <f t="shared" si="69"/>
        <v>0</v>
      </c>
      <c r="AP40" s="18">
        <f t="shared" si="69"/>
        <v>0</v>
      </c>
      <c r="AQ40" s="18">
        <f t="shared" si="69"/>
        <v>0</v>
      </c>
      <c r="AR40" s="18">
        <f t="shared" si="69"/>
        <v>0</v>
      </c>
      <c r="AS40" s="18">
        <f t="shared" si="69"/>
        <v>0</v>
      </c>
      <c r="AT40" s="18">
        <f t="shared" si="69"/>
        <v>0</v>
      </c>
      <c r="AU40" s="18">
        <f t="shared" si="69"/>
        <v>0</v>
      </c>
      <c r="AV40" s="18">
        <f t="shared" si="70"/>
        <v>0</v>
      </c>
      <c r="AW40" s="18"/>
      <c r="AX40" s="17">
        <f>B78</f>
        <v>56</v>
      </c>
      <c r="AY40" s="26" t="str">
        <f>C78</f>
        <v xml:space="preserve">Secrétariat permanent du processus de Kimberley (SPPK)  </v>
      </c>
      <c r="AZ40" s="18">
        <f t="shared" ca="1" si="72"/>
        <v>0</v>
      </c>
      <c r="BA40" s="18">
        <f t="shared" ca="1" si="72"/>
        <v>0</v>
      </c>
      <c r="BB40" s="18">
        <f t="shared" ca="1" si="72"/>
        <v>0</v>
      </c>
      <c r="BC40" s="18">
        <f t="shared" ca="1" si="72"/>
        <v>0</v>
      </c>
      <c r="BD40" s="18">
        <f t="shared" ca="1" si="72"/>
        <v>0</v>
      </c>
      <c r="BE40" s="18">
        <f t="shared" ca="1" si="72"/>
        <v>0</v>
      </c>
      <c r="BF40" s="18">
        <f t="shared" ca="1" si="72"/>
        <v>0</v>
      </c>
      <c r="BG40" s="18">
        <f t="shared" ca="1" si="72"/>
        <v>0</v>
      </c>
      <c r="BH40" s="18">
        <f t="shared" ca="1" si="72"/>
        <v>0</v>
      </c>
      <c r="BI40" s="18">
        <f t="shared" ca="1" si="72"/>
        <v>0</v>
      </c>
      <c r="BJ40" s="18">
        <f t="shared" ca="1" si="72"/>
        <v>0</v>
      </c>
      <c r="BK40" s="18">
        <f t="shared" ca="1" si="72"/>
        <v>0</v>
      </c>
    </row>
    <row r="41" spans="1:63">
      <c r="A41" s="80">
        <f t="shared" si="23"/>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SUMIF($J$84:$M$749,B41&amp;"- "&amp;C41,$Q$84:$Q$749)</f>
        <v>0</v>
      </c>
      <c r="K41" s="114">
        <f ca="1">I41+J41</f>
        <v>0</v>
      </c>
      <c r="L41" s="114"/>
      <c r="M41" s="114">
        <f ca="1">+G41-K41</f>
        <v>0</v>
      </c>
      <c r="N41" s="18"/>
      <c r="O41" s="38" t="str">
        <f t="shared" ca="1" si="73"/>
        <v/>
      </c>
      <c r="P41" s="39" t="str">
        <f t="shared" ca="1" si="74"/>
        <v/>
      </c>
      <c r="Q41" s="35"/>
      <c r="Y41" s="15">
        <f>B43</f>
        <v>30</v>
      </c>
      <c r="Z41" s="25" t="str">
        <f>C43</f>
        <v xml:space="preserve">Redevance superficiaire   </v>
      </c>
      <c r="AA41" s="16">
        <f t="shared" si="66"/>
        <v>0</v>
      </c>
      <c r="AB41" s="16">
        <f t="shared" si="66"/>
        <v>0</v>
      </c>
      <c r="AC41" s="16">
        <f t="shared" si="66"/>
        <v>0</v>
      </c>
      <c r="AD41" s="16">
        <f t="shared" si="66"/>
        <v>0</v>
      </c>
      <c r="AE41" s="16">
        <f t="shared" si="66"/>
        <v>0</v>
      </c>
      <c r="AF41" s="16">
        <f t="shared" si="66"/>
        <v>0</v>
      </c>
      <c r="AG41" s="16">
        <f t="shared" si="66"/>
        <v>0</v>
      </c>
      <c r="AH41" s="16">
        <f t="shared" si="66"/>
        <v>0</v>
      </c>
      <c r="AI41" s="16">
        <f t="shared" si="66"/>
        <v>0</v>
      </c>
      <c r="AJ41" s="16">
        <f t="shared" si="67"/>
        <v>0</v>
      </c>
      <c r="AL41" s="17">
        <f>+B43</f>
        <v>30</v>
      </c>
      <c r="AM41" s="26" t="str">
        <f>+C43</f>
        <v xml:space="preserve">Redevance superficiaire   </v>
      </c>
      <c r="AN41" s="18">
        <f t="shared" si="69"/>
        <v>0</v>
      </c>
      <c r="AO41" s="18">
        <f t="shared" si="69"/>
        <v>0</v>
      </c>
      <c r="AP41" s="18">
        <f t="shared" si="69"/>
        <v>0</v>
      </c>
      <c r="AQ41" s="18">
        <f t="shared" si="69"/>
        <v>0</v>
      </c>
      <c r="AR41" s="18">
        <f t="shared" si="69"/>
        <v>0</v>
      </c>
      <c r="AS41" s="18">
        <f t="shared" si="69"/>
        <v>0</v>
      </c>
      <c r="AT41" s="18">
        <f t="shared" si="69"/>
        <v>0</v>
      </c>
      <c r="AU41" s="18">
        <f t="shared" si="69"/>
        <v>0</v>
      </c>
      <c r="AV41" s="18">
        <f t="shared" si="70"/>
        <v>0</v>
      </c>
      <c r="AW41" s="18"/>
      <c r="AX41" s="17">
        <f>B43</f>
        <v>30</v>
      </c>
      <c r="AY41" s="26" t="str">
        <f>C43</f>
        <v xml:space="preserve">Redevance superficiaire   </v>
      </c>
      <c r="AZ41" s="18">
        <f t="shared" ca="1" si="72"/>
        <v>0</v>
      </c>
      <c r="BA41" s="18">
        <f t="shared" ca="1" si="72"/>
        <v>0</v>
      </c>
      <c r="BB41" s="18">
        <f t="shared" ca="1" si="72"/>
        <v>0</v>
      </c>
      <c r="BC41" s="18">
        <f t="shared" ca="1" si="72"/>
        <v>0</v>
      </c>
      <c r="BD41" s="18">
        <f t="shared" ca="1" si="72"/>
        <v>0</v>
      </c>
      <c r="BE41" s="18">
        <f t="shared" ca="1" si="72"/>
        <v>0</v>
      </c>
      <c r="BF41" s="18">
        <f t="shared" ca="1" si="72"/>
        <v>0</v>
      </c>
      <c r="BG41" s="18">
        <f t="shared" ca="1" si="72"/>
        <v>0</v>
      </c>
      <c r="BH41" s="18">
        <f t="shared" ca="1" si="72"/>
        <v>0</v>
      </c>
      <c r="BI41" s="18">
        <f t="shared" ca="1" si="72"/>
        <v>0</v>
      </c>
      <c r="BJ41" s="18">
        <f t="shared" ca="1" si="72"/>
        <v>0</v>
      </c>
      <c r="BK41" s="18">
        <f t="shared" ca="1" si="72"/>
        <v>0</v>
      </c>
    </row>
    <row r="42" spans="1:63">
      <c r="A42" s="80">
        <f t="shared" si="23"/>
        <v>29</v>
      </c>
      <c r="B42" s="64">
        <f>+'Taxes RCA 2022'!A35</f>
        <v>29</v>
      </c>
      <c r="C42" s="68" t="str">
        <f>+'Taxes RCA 2022'!B35</f>
        <v>Droits d'attributions</v>
      </c>
      <c r="E42" s="165"/>
      <c r="F42" s="165">
        <f>SUMIF($A$84:$A$751,B42&amp;"- "&amp;C42,$G$84:$G$751)</f>
        <v>0</v>
      </c>
      <c r="G42" s="165">
        <f>E42+F42</f>
        <v>0</v>
      </c>
      <c r="H42" s="114"/>
      <c r="I42" s="165"/>
      <c r="J42" s="165">
        <f ca="1">SUMIF($J$84:$M$749,B42&amp;"- "&amp;C42,$Q$84:$Q$749)</f>
        <v>0</v>
      </c>
      <c r="K42" s="165">
        <f ca="1">I42+J42</f>
        <v>0</v>
      </c>
      <c r="L42" s="114"/>
      <c r="M42" s="165">
        <f ca="1">+G42-K42</f>
        <v>0</v>
      </c>
      <c r="N42" s="68"/>
      <c r="O42" s="38" t="str">
        <f t="shared" ca="1" si="73"/>
        <v/>
      </c>
      <c r="P42" s="39" t="str">
        <f t="shared" ca="1" si="74"/>
        <v/>
      </c>
      <c r="Q42" s="35"/>
      <c r="T42" s="41" t="str">
        <f ca="1">IF(J8=S33,"","ERROR")</f>
        <v>ERROR</v>
      </c>
      <c r="Y42" s="15">
        <f>B44</f>
        <v>31</v>
      </c>
      <c r="Z42" s="25" t="str">
        <f>C44</f>
        <v>Projet de développement du secteur minier (PDSM)</v>
      </c>
      <c r="AA42" s="16">
        <f t="shared" si="66"/>
        <v>0</v>
      </c>
      <c r="AB42" s="16">
        <f t="shared" si="66"/>
        <v>0</v>
      </c>
      <c r="AC42" s="16">
        <f t="shared" si="66"/>
        <v>0</v>
      </c>
      <c r="AD42" s="16">
        <f t="shared" si="66"/>
        <v>0</v>
      </c>
      <c r="AE42" s="16">
        <f t="shared" si="66"/>
        <v>0</v>
      </c>
      <c r="AF42" s="16">
        <f t="shared" si="66"/>
        <v>0</v>
      </c>
      <c r="AG42" s="16">
        <f t="shared" si="66"/>
        <v>0</v>
      </c>
      <c r="AH42" s="16">
        <f t="shared" si="66"/>
        <v>0</v>
      </c>
      <c r="AI42" s="16">
        <f t="shared" si="66"/>
        <v>0</v>
      </c>
      <c r="AJ42" s="16">
        <f t="shared" si="67"/>
        <v>0</v>
      </c>
      <c r="AL42" s="17">
        <f>+B44</f>
        <v>31</v>
      </c>
      <c r="AM42" s="26" t="str">
        <f>+C44</f>
        <v>Projet de développement du secteur minier (PDSM)</v>
      </c>
      <c r="AN42" s="18">
        <f t="shared" si="69"/>
        <v>0</v>
      </c>
      <c r="AO42" s="18">
        <f t="shared" si="69"/>
        <v>0</v>
      </c>
      <c r="AP42" s="18">
        <f t="shared" si="69"/>
        <v>0</v>
      </c>
      <c r="AQ42" s="18">
        <f t="shared" si="69"/>
        <v>0</v>
      </c>
      <c r="AR42" s="18">
        <f t="shared" si="69"/>
        <v>0</v>
      </c>
      <c r="AS42" s="18">
        <f t="shared" si="69"/>
        <v>0</v>
      </c>
      <c r="AT42" s="18">
        <f t="shared" si="69"/>
        <v>0</v>
      </c>
      <c r="AU42" s="18">
        <f t="shared" si="69"/>
        <v>0</v>
      </c>
      <c r="AV42" s="18">
        <f t="shared" si="70"/>
        <v>0</v>
      </c>
      <c r="AW42" s="18"/>
      <c r="AX42" s="17">
        <f>B44</f>
        <v>31</v>
      </c>
      <c r="AY42" s="26" t="str">
        <f>C44</f>
        <v>Projet de développement du secteur minier (PDSM)</v>
      </c>
      <c r="AZ42" s="18">
        <f t="shared" ca="1" si="72"/>
        <v>0</v>
      </c>
      <c r="BA42" s="18">
        <f t="shared" ca="1" si="72"/>
        <v>0</v>
      </c>
      <c r="BB42" s="18">
        <f t="shared" ca="1" si="72"/>
        <v>0</v>
      </c>
      <c r="BC42" s="18">
        <f t="shared" ca="1" si="72"/>
        <v>0</v>
      </c>
      <c r="BD42" s="18">
        <f t="shared" ca="1" si="72"/>
        <v>0</v>
      </c>
      <c r="BE42" s="18">
        <f t="shared" ca="1" si="72"/>
        <v>0</v>
      </c>
      <c r="BF42" s="18">
        <f t="shared" ca="1" si="72"/>
        <v>0</v>
      </c>
      <c r="BG42" s="18">
        <f t="shared" ca="1" si="72"/>
        <v>0</v>
      </c>
      <c r="BH42" s="18">
        <f t="shared" ca="1" si="72"/>
        <v>0</v>
      </c>
      <c r="BI42" s="18">
        <f t="shared" ca="1" si="72"/>
        <v>0</v>
      </c>
      <c r="BJ42" s="18">
        <f t="shared" ca="1" si="72"/>
        <v>0</v>
      </c>
      <c r="BK42" s="18">
        <f t="shared" ca="1" si="72"/>
        <v>0</v>
      </c>
    </row>
    <row r="43" spans="1:63">
      <c r="A43" s="80">
        <f t="shared" si="23"/>
        <v>30</v>
      </c>
      <c r="B43" s="53">
        <f>+'Taxes RCA 2022'!A36</f>
        <v>30</v>
      </c>
      <c r="C43" s="18" t="str">
        <f>+'Taxes RCA 2022'!B36</f>
        <v xml:space="preserve">Redevance superficiaire   </v>
      </c>
      <c r="E43" s="114"/>
      <c r="F43" s="114">
        <f>SUMIF($A$84:$A$751,B43&amp;"- "&amp;C43,$G$84:$G$751)</f>
        <v>0</v>
      </c>
      <c r="G43" s="114">
        <f>E43+F43</f>
        <v>0</v>
      </c>
      <c r="H43" s="114"/>
      <c r="I43" s="114"/>
      <c r="J43" s="114">
        <f ca="1">SUMIF($J$84:$M$749,B43&amp;"- "&amp;C43,$Q$84:$Q$749)</f>
        <v>0</v>
      </c>
      <c r="K43" s="114">
        <f ca="1">I43+J43</f>
        <v>0</v>
      </c>
      <c r="L43" s="114"/>
      <c r="M43" s="114">
        <f ca="1">+G43-K43</f>
        <v>0</v>
      </c>
      <c r="N43" s="18"/>
      <c r="O43" s="38" t="str">
        <f t="shared" ca="1" si="73"/>
        <v/>
      </c>
      <c r="P43" s="39" t="str">
        <f t="shared" ca="1" si="74"/>
        <v/>
      </c>
      <c r="Q43" s="35"/>
      <c r="Y43" s="15">
        <f t="shared" si="65"/>
        <v>32</v>
      </c>
      <c r="Z43" s="25" t="str">
        <f t="shared" si="44"/>
        <v>Taxes superficiaires (+)</v>
      </c>
      <c r="AA43" s="16">
        <f t="shared" si="66"/>
        <v>0</v>
      </c>
      <c r="AB43" s="16">
        <f t="shared" si="66"/>
        <v>0</v>
      </c>
      <c r="AC43" s="16">
        <f t="shared" si="66"/>
        <v>0</v>
      </c>
      <c r="AD43" s="16">
        <f t="shared" si="66"/>
        <v>0</v>
      </c>
      <c r="AE43" s="16">
        <f t="shared" si="66"/>
        <v>0</v>
      </c>
      <c r="AF43" s="16">
        <f t="shared" si="66"/>
        <v>0</v>
      </c>
      <c r="AG43" s="16">
        <f t="shared" si="66"/>
        <v>0</v>
      </c>
      <c r="AH43" s="16">
        <f t="shared" si="66"/>
        <v>0</v>
      </c>
      <c r="AI43" s="16">
        <f t="shared" si="66"/>
        <v>0</v>
      </c>
      <c r="AJ43" s="16">
        <f t="shared" si="67"/>
        <v>0</v>
      </c>
      <c r="AL43" s="17">
        <f t="shared" si="68"/>
        <v>32</v>
      </c>
      <c r="AM43" s="26" t="str">
        <f t="shared" si="46"/>
        <v>Taxes superficiaires (+)</v>
      </c>
      <c r="AN43" s="18">
        <f t="shared" si="69"/>
        <v>0</v>
      </c>
      <c r="AO43" s="18">
        <f t="shared" si="69"/>
        <v>0</v>
      </c>
      <c r="AP43" s="18">
        <f t="shared" si="69"/>
        <v>0</v>
      </c>
      <c r="AQ43" s="18">
        <f t="shared" si="69"/>
        <v>0</v>
      </c>
      <c r="AR43" s="18">
        <f t="shared" si="69"/>
        <v>0</v>
      </c>
      <c r="AS43" s="18">
        <f t="shared" si="69"/>
        <v>0</v>
      </c>
      <c r="AT43" s="18">
        <f t="shared" si="69"/>
        <v>0</v>
      </c>
      <c r="AU43" s="18">
        <f t="shared" si="69"/>
        <v>0</v>
      </c>
      <c r="AV43" s="18">
        <f t="shared" si="70"/>
        <v>0</v>
      </c>
      <c r="AW43" s="18"/>
      <c r="AX43" s="17">
        <f t="shared" si="71"/>
        <v>32</v>
      </c>
      <c r="AY43" s="26" t="str">
        <f t="shared" si="48"/>
        <v>Taxes superficiaires (+)</v>
      </c>
      <c r="AZ43" s="18">
        <f t="shared" ca="1" si="72"/>
        <v>0</v>
      </c>
      <c r="BA43" s="18">
        <f t="shared" ca="1" si="72"/>
        <v>0</v>
      </c>
      <c r="BB43" s="18">
        <f t="shared" ca="1" si="72"/>
        <v>0</v>
      </c>
      <c r="BC43" s="18">
        <f t="shared" ca="1" si="72"/>
        <v>0</v>
      </c>
      <c r="BD43" s="18">
        <f t="shared" ca="1" si="72"/>
        <v>0</v>
      </c>
      <c r="BE43" s="18">
        <f t="shared" ca="1" si="72"/>
        <v>0</v>
      </c>
      <c r="BF43" s="18">
        <f t="shared" ca="1" si="72"/>
        <v>0</v>
      </c>
      <c r="BG43" s="18">
        <f t="shared" ca="1" si="72"/>
        <v>0</v>
      </c>
      <c r="BH43" s="18">
        <f t="shared" ca="1" si="72"/>
        <v>0</v>
      </c>
      <c r="BI43" s="18">
        <f t="shared" ca="1" si="72"/>
        <v>0</v>
      </c>
      <c r="BJ43" s="18">
        <f t="shared" ca="1" si="72"/>
        <v>0</v>
      </c>
      <c r="BK43" s="18">
        <f t="shared" ca="1" si="72"/>
        <v>0</v>
      </c>
    </row>
    <row r="44" spans="1:63">
      <c r="A44" s="80">
        <f t="shared" si="23"/>
        <v>31</v>
      </c>
      <c r="B44" s="64">
        <f>+'Taxes RCA 2022'!A37</f>
        <v>31</v>
      </c>
      <c r="C44" s="68" t="str">
        <f>+'Taxes RCA 2022'!B37</f>
        <v>Projet de développement du secteur minier (PDSM)</v>
      </c>
      <c r="E44" s="165"/>
      <c r="F44" s="165">
        <f>SUMIF($A$84:$A$751,B44&amp;"- "&amp;C44,$G$84:$G$751)</f>
        <v>0</v>
      </c>
      <c r="G44" s="165">
        <f>E44+F44</f>
        <v>0</v>
      </c>
      <c r="H44" s="114"/>
      <c r="I44" s="165"/>
      <c r="J44" s="165">
        <f ca="1">SUMIF($J$84:$M$749,B44&amp;"- "&amp;C44,$Q$84:$Q$749)</f>
        <v>0</v>
      </c>
      <c r="K44" s="165">
        <f ca="1">I44+J44</f>
        <v>0</v>
      </c>
      <c r="L44" s="114"/>
      <c r="M44" s="165">
        <f ca="1">+G44-K44</f>
        <v>0</v>
      </c>
      <c r="N44" s="68"/>
      <c r="O44" s="38" t="str">
        <f t="shared" ca="1" si="73"/>
        <v/>
      </c>
      <c r="P44" s="39" t="str">
        <f t="shared" ca="1" si="74"/>
        <v/>
      </c>
      <c r="Y44" s="15">
        <f t="shared" ref="Y44:Z46" si="75">B48</f>
        <v>33</v>
      </c>
      <c r="Z44" s="25" t="str">
        <f t="shared" si="75"/>
        <v>Taxe d’abattage  (+)</v>
      </c>
      <c r="AA44" s="16">
        <f t="shared" si="66"/>
        <v>0</v>
      </c>
      <c r="AB44" s="16">
        <f t="shared" si="66"/>
        <v>0</v>
      </c>
      <c r="AC44" s="16">
        <f t="shared" si="66"/>
        <v>0</v>
      </c>
      <c r="AD44" s="16">
        <f t="shared" si="66"/>
        <v>0</v>
      </c>
      <c r="AE44" s="16">
        <f t="shared" si="66"/>
        <v>0</v>
      </c>
      <c r="AF44" s="16">
        <f t="shared" si="66"/>
        <v>0</v>
      </c>
      <c r="AG44" s="16">
        <f t="shared" si="66"/>
        <v>0</v>
      </c>
      <c r="AH44" s="16">
        <f t="shared" si="66"/>
        <v>0</v>
      </c>
      <c r="AI44" s="16">
        <f t="shared" si="66"/>
        <v>0</v>
      </c>
      <c r="AJ44" s="16">
        <f t="shared" si="67"/>
        <v>0</v>
      </c>
      <c r="AL44" s="17">
        <f t="shared" ref="AL44:AM46" si="76">+B48</f>
        <v>33</v>
      </c>
      <c r="AM44" s="26" t="str">
        <f t="shared" si="76"/>
        <v>Taxe d’abattage  (+)</v>
      </c>
      <c r="AN44" s="18">
        <f t="shared" si="69"/>
        <v>0</v>
      </c>
      <c r="AO44" s="18">
        <f t="shared" si="69"/>
        <v>0</v>
      </c>
      <c r="AP44" s="18">
        <f t="shared" si="69"/>
        <v>0</v>
      </c>
      <c r="AQ44" s="18">
        <f t="shared" si="69"/>
        <v>0</v>
      </c>
      <c r="AR44" s="18">
        <f t="shared" si="69"/>
        <v>0</v>
      </c>
      <c r="AS44" s="18">
        <f t="shared" si="69"/>
        <v>0</v>
      </c>
      <c r="AT44" s="18">
        <f t="shared" si="69"/>
        <v>0</v>
      </c>
      <c r="AU44" s="18">
        <f t="shared" si="69"/>
        <v>0</v>
      </c>
      <c r="AV44" s="18">
        <f t="shared" si="70"/>
        <v>0</v>
      </c>
      <c r="AW44" s="18"/>
      <c r="AX44" s="17">
        <f t="shared" ref="AX44:AY46" si="77">B48</f>
        <v>33</v>
      </c>
      <c r="AY44" s="26" t="str">
        <f t="shared" si="77"/>
        <v>Taxe d’abattage  (+)</v>
      </c>
      <c r="AZ44" s="18">
        <f t="shared" ca="1" si="72"/>
        <v>0</v>
      </c>
      <c r="BA44" s="18">
        <f t="shared" ca="1" si="72"/>
        <v>0</v>
      </c>
      <c r="BB44" s="18">
        <f t="shared" ca="1" si="72"/>
        <v>0</v>
      </c>
      <c r="BC44" s="18">
        <f t="shared" ca="1" si="72"/>
        <v>0</v>
      </c>
      <c r="BD44" s="18">
        <f t="shared" ca="1" si="72"/>
        <v>0</v>
      </c>
      <c r="BE44" s="18">
        <f t="shared" ca="1" si="72"/>
        <v>0</v>
      </c>
      <c r="BF44" s="18">
        <f t="shared" ca="1" si="72"/>
        <v>0</v>
      </c>
      <c r="BG44" s="18">
        <f t="shared" ca="1" si="72"/>
        <v>0</v>
      </c>
      <c r="BH44" s="18">
        <f t="shared" ca="1" si="72"/>
        <v>0</v>
      </c>
      <c r="BI44" s="18">
        <f t="shared" ca="1" si="72"/>
        <v>0</v>
      </c>
      <c r="BJ44" s="18">
        <f t="shared" ca="1" si="72"/>
        <v>0</v>
      </c>
      <c r="BK44" s="18">
        <f t="shared" ca="1" si="72"/>
        <v>0</v>
      </c>
    </row>
    <row r="45" spans="1:63">
      <c r="A45" s="80">
        <f t="shared" si="23"/>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73"/>
        <v/>
      </c>
      <c r="P45" s="39" t="str">
        <f t="shared" ca="1" si="74"/>
        <v/>
      </c>
      <c r="Y45" s="15">
        <f t="shared" si="75"/>
        <v>34</v>
      </c>
      <c r="Z45" s="25" t="str">
        <f t="shared" si="75"/>
        <v>Taxe de reboisement (+)</v>
      </c>
      <c r="AA45" s="16">
        <f t="shared" si="66"/>
        <v>0</v>
      </c>
      <c r="AB45" s="16">
        <f t="shared" si="66"/>
        <v>0</v>
      </c>
      <c r="AC45" s="16">
        <f t="shared" si="66"/>
        <v>0</v>
      </c>
      <c r="AD45" s="16">
        <f t="shared" si="66"/>
        <v>0</v>
      </c>
      <c r="AE45" s="16">
        <f t="shared" si="66"/>
        <v>0</v>
      </c>
      <c r="AF45" s="16">
        <f t="shared" si="66"/>
        <v>0</v>
      </c>
      <c r="AG45" s="16">
        <f t="shared" si="66"/>
        <v>0</v>
      </c>
      <c r="AH45" s="16">
        <f t="shared" si="66"/>
        <v>0</v>
      </c>
      <c r="AI45" s="16">
        <f t="shared" si="66"/>
        <v>0</v>
      </c>
      <c r="AJ45" s="16">
        <f t="shared" si="67"/>
        <v>0</v>
      </c>
      <c r="AL45" s="17">
        <f t="shared" si="76"/>
        <v>34</v>
      </c>
      <c r="AM45" s="26" t="str">
        <f t="shared" si="76"/>
        <v>Taxe de reboisement (+)</v>
      </c>
      <c r="AN45" s="18">
        <f t="shared" si="69"/>
        <v>0</v>
      </c>
      <c r="AO45" s="18">
        <f t="shared" si="69"/>
        <v>0</v>
      </c>
      <c r="AP45" s="18">
        <f t="shared" si="69"/>
        <v>0</v>
      </c>
      <c r="AQ45" s="18">
        <f t="shared" si="69"/>
        <v>0</v>
      </c>
      <c r="AR45" s="18">
        <f t="shared" si="69"/>
        <v>0</v>
      </c>
      <c r="AS45" s="18">
        <f t="shared" si="69"/>
        <v>0</v>
      </c>
      <c r="AT45" s="18">
        <f t="shared" si="69"/>
        <v>0</v>
      </c>
      <c r="AU45" s="18">
        <f t="shared" si="69"/>
        <v>0</v>
      </c>
      <c r="AV45" s="18">
        <f t="shared" si="70"/>
        <v>0</v>
      </c>
      <c r="AW45" s="18"/>
      <c r="AX45" s="17">
        <f t="shared" si="77"/>
        <v>34</v>
      </c>
      <c r="AY45" s="26" t="str">
        <f t="shared" si="77"/>
        <v>Taxe de reboisement (+)</v>
      </c>
      <c r="AZ45" s="18">
        <f t="shared" ca="1" si="72"/>
        <v>0</v>
      </c>
      <c r="BA45" s="18">
        <f t="shared" ca="1" si="72"/>
        <v>0</v>
      </c>
      <c r="BB45" s="18">
        <f t="shared" ca="1" si="72"/>
        <v>0</v>
      </c>
      <c r="BC45" s="18">
        <f t="shared" ca="1" si="72"/>
        <v>0</v>
      </c>
      <c r="BD45" s="18">
        <f t="shared" ca="1" si="72"/>
        <v>0</v>
      </c>
      <c r="BE45" s="18">
        <f t="shared" ca="1" si="72"/>
        <v>0</v>
      </c>
      <c r="BF45" s="18">
        <f t="shared" ca="1" si="72"/>
        <v>0</v>
      </c>
      <c r="BG45" s="18">
        <f t="shared" ca="1" si="72"/>
        <v>0</v>
      </c>
      <c r="BH45" s="18">
        <f t="shared" ca="1" si="72"/>
        <v>0</v>
      </c>
      <c r="BI45" s="18">
        <f t="shared" ca="1" si="72"/>
        <v>0</v>
      </c>
      <c r="BJ45" s="18">
        <f t="shared" ca="1" si="72"/>
        <v>0</v>
      </c>
      <c r="BK45" s="18">
        <f t="shared" ca="1" si="72"/>
        <v>0</v>
      </c>
    </row>
    <row r="46" spans="1:63">
      <c r="A46" s="80">
        <f t="shared" si="23"/>
        <v>32</v>
      </c>
      <c r="B46" s="64">
        <f>+'Taxes RCA 2022'!A39</f>
        <v>32</v>
      </c>
      <c r="C46" s="68" t="str">
        <f>+'Taxes RCA 2022'!B39</f>
        <v>Taxes superficiaires (+)</v>
      </c>
      <c r="E46" s="165"/>
      <c r="F46" s="165">
        <f>SUMIF($A$84:$A$751,B46&amp;"- "&amp;C46,$G$84:$G$751)</f>
        <v>0</v>
      </c>
      <c r="G46" s="165">
        <f>E46+F46</f>
        <v>0</v>
      </c>
      <c r="H46" s="114"/>
      <c r="I46" s="165"/>
      <c r="J46" s="165">
        <f ca="1">SUMIF($J$84:$M$749,B46&amp;"- "&amp;C46,$Q$84:$Q$749)</f>
        <v>0</v>
      </c>
      <c r="K46" s="165">
        <f ca="1">I46+J46</f>
        <v>0</v>
      </c>
      <c r="L46" s="114"/>
      <c r="M46" s="165">
        <f ca="1">+G46-K46</f>
        <v>0</v>
      </c>
      <c r="N46" s="68"/>
      <c r="O46" s="38" t="str">
        <f t="shared" ca="1" si="73"/>
        <v/>
      </c>
      <c r="P46" s="39" t="str">
        <f t="shared" ca="1" si="74"/>
        <v/>
      </c>
      <c r="Y46" s="15">
        <f t="shared" si="75"/>
        <v>35</v>
      </c>
      <c r="Z46" s="25" t="str">
        <f t="shared" si="75"/>
        <v>Droit de sortie (DS)/Taxe Export (+)</v>
      </c>
      <c r="AA46" s="16">
        <f t="shared" si="66"/>
        <v>0</v>
      </c>
      <c r="AB46" s="16">
        <f t="shared" si="66"/>
        <v>0</v>
      </c>
      <c r="AC46" s="16">
        <f t="shared" si="66"/>
        <v>0</v>
      </c>
      <c r="AD46" s="16">
        <f t="shared" si="66"/>
        <v>0</v>
      </c>
      <c r="AE46" s="16">
        <f t="shared" si="66"/>
        <v>0</v>
      </c>
      <c r="AF46" s="16">
        <f t="shared" si="66"/>
        <v>0</v>
      </c>
      <c r="AG46" s="16">
        <f t="shared" si="66"/>
        <v>0</v>
      </c>
      <c r="AH46" s="16">
        <f t="shared" si="66"/>
        <v>0</v>
      </c>
      <c r="AI46" s="16">
        <f t="shared" si="66"/>
        <v>0</v>
      </c>
      <c r="AJ46" s="16">
        <f t="shared" si="67"/>
        <v>0</v>
      </c>
      <c r="AL46" s="17">
        <f t="shared" si="76"/>
        <v>35</v>
      </c>
      <c r="AM46" s="26" t="str">
        <f t="shared" si="76"/>
        <v>Droit de sortie (DS)/Taxe Export (+)</v>
      </c>
      <c r="AN46" s="18">
        <f t="shared" si="69"/>
        <v>0</v>
      </c>
      <c r="AO46" s="18">
        <f t="shared" si="69"/>
        <v>0</v>
      </c>
      <c r="AP46" s="18">
        <f t="shared" si="69"/>
        <v>0</v>
      </c>
      <c r="AQ46" s="18">
        <f t="shared" si="69"/>
        <v>0</v>
      </c>
      <c r="AR46" s="18">
        <f t="shared" si="69"/>
        <v>0</v>
      </c>
      <c r="AS46" s="18">
        <f t="shared" si="69"/>
        <v>0</v>
      </c>
      <c r="AT46" s="18">
        <f t="shared" si="69"/>
        <v>0</v>
      </c>
      <c r="AU46" s="18">
        <f t="shared" si="69"/>
        <v>0</v>
      </c>
      <c r="AV46" s="18">
        <f t="shared" si="70"/>
        <v>0</v>
      </c>
      <c r="AW46" s="18"/>
      <c r="AX46" s="17">
        <f t="shared" si="77"/>
        <v>35</v>
      </c>
      <c r="AY46" s="26" t="str">
        <f t="shared" si="77"/>
        <v>Droit de sortie (DS)/Taxe Export (+)</v>
      </c>
      <c r="AZ46" s="18">
        <f t="shared" ca="1" si="72"/>
        <v>0</v>
      </c>
      <c r="BA46" s="18">
        <f t="shared" ca="1" si="72"/>
        <v>0</v>
      </c>
      <c r="BB46" s="18">
        <f t="shared" ca="1" si="72"/>
        <v>0</v>
      </c>
      <c r="BC46" s="18">
        <f t="shared" ca="1" si="72"/>
        <v>0</v>
      </c>
      <c r="BD46" s="18">
        <f t="shared" ca="1" si="72"/>
        <v>0</v>
      </c>
      <c r="BE46" s="18">
        <f t="shared" ca="1" si="72"/>
        <v>0</v>
      </c>
      <c r="BF46" s="18">
        <f t="shared" ca="1" si="72"/>
        <v>0</v>
      </c>
      <c r="BG46" s="18">
        <f t="shared" ca="1" si="72"/>
        <v>0</v>
      </c>
      <c r="BH46" s="18">
        <f t="shared" ca="1" si="72"/>
        <v>0</v>
      </c>
      <c r="BI46" s="18">
        <f t="shared" ca="1" si="72"/>
        <v>0</v>
      </c>
      <c r="BJ46" s="18">
        <f t="shared" ca="1" si="72"/>
        <v>0</v>
      </c>
      <c r="BK46" s="18">
        <f t="shared" ca="1" si="72"/>
        <v>0</v>
      </c>
    </row>
    <row r="47" spans="1:63">
      <c r="A47" s="80"/>
      <c r="B47" s="163"/>
      <c r="C47" s="58" t="s">
        <v>518</v>
      </c>
      <c r="E47" s="166">
        <f>SUM(E48:E51)</f>
        <v>0</v>
      </c>
      <c r="F47" s="166">
        <f>SUM(F48:F51)</f>
        <v>0</v>
      </c>
      <c r="G47" s="166">
        <f>SUM(G48:G51)</f>
        <v>0</v>
      </c>
      <c r="H47" s="114"/>
      <c r="I47" s="166">
        <f>SUM(I48:I51)</f>
        <v>75799293.951259002</v>
      </c>
      <c r="J47" s="166">
        <f ca="1">SUM(J48:J51)</f>
        <v>0</v>
      </c>
      <c r="K47" s="166">
        <f ca="1">SUM(K48:K51)</f>
        <v>75799293.951259002</v>
      </c>
      <c r="L47" s="114"/>
      <c r="M47" s="166">
        <f ca="1">SUM(M48:M51)</f>
        <v>-75799293.951259002</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3"/>
        <v>33</v>
      </c>
      <c r="B48" s="53">
        <f>+'Taxes RCA 2022'!A41</f>
        <v>33</v>
      </c>
      <c r="C48" s="18" t="str">
        <f>+'Taxes RCA 2022'!B41</f>
        <v>Taxe d’abattage  (+)</v>
      </c>
      <c r="E48" s="114"/>
      <c r="F48" s="114">
        <f>SUMIF($A$84:$A$751,B48&amp;"- "&amp;C48,$G$84:$G$751)</f>
        <v>0</v>
      </c>
      <c r="G48" s="114">
        <f>E48+F48</f>
        <v>0</v>
      </c>
      <c r="H48" s="114"/>
      <c r="I48" s="114">
        <v>45360820.664333999</v>
      </c>
      <c r="J48" s="114">
        <f ca="1">SUMIF($J$84:$M$749,B48&amp;"- "&amp;C48,$Q$84:$Q$749)</f>
        <v>0</v>
      </c>
      <c r="K48" s="114">
        <f ca="1">I48+J48</f>
        <v>45360820.664333999</v>
      </c>
      <c r="L48" s="114"/>
      <c r="M48" s="114">
        <f ca="1">+G48-K48</f>
        <v>-45360820.664333999</v>
      </c>
      <c r="N48" s="18"/>
      <c r="O48" s="38" t="str">
        <f t="shared" ca="1" si="73"/>
        <v>ERROR</v>
      </c>
      <c r="P48" s="39" t="str">
        <f t="shared" ca="1" si="74"/>
        <v>Please insert comment</v>
      </c>
      <c r="Y48" s="15">
        <f t="shared" si="65"/>
        <v>36</v>
      </c>
      <c r="Z48" s="25" t="str">
        <f t="shared" si="44"/>
        <v>Taxes environnementales sur les Stes forestières et Minières (+)</v>
      </c>
      <c r="AA48" s="16">
        <f t="shared" ref="AA48:AI49" si="78">SUMPRODUCT(($A$84:$A$751=$Y48&amp;"- "&amp;$Z48)*($C$84:$C$751=AA$1)*($G$84:$G$751))</f>
        <v>0</v>
      </c>
      <c r="AB48" s="16">
        <f t="shared" si="78"/>
        <v>0</v>
      </c>
      <c r="AC48" s="16">
        <f t="shared" si="78"/>
        <v>0</v>
      </c>
      <c r="AD48" s="16">
        <f t="shared" si="78"/>
        <v>0</v>
      </c>
      <c r="AE48" s="16">
        <f t="shared" si="78"/>
        <v>0</v>
      </c>
      <c r="AF48" s="16">
        <f t="shared" si="78"/>
        <v>0</v>
      </c>
      <c r="AG48" s="16">
        <f t="shared" si="78"/>
        <v>0</v>
      </c>
      <c r="AH48" s="16">
        <f t="shared" si="78"/>
        <v>0</v>
      </c>
      <c r="AI48" s="16">
        <f t="shared" si="78"/>
        <v>0</v>
      </c>
      <c r="AJ48" s="16">
        <f t="shared" si="67"/>
        <v>0</v>
      </c>
      <c r="AL48" s="17">
        <f t="shared" si="68"/>
        <v>36</v>
      </c>
      <c r="AM48" s="26" t="str">
        <f t="shared" si="46"/>
        <v>Taxes environnementales sur les Stes forestières et Minières (+)</v>
      </c>
      <c r="AN48" s="18">
        <f t="shared" ref="AN48:AU49" si="79">SUMPRODUCT(($J$84:$M$748=$AL48&amp;"- "&amp;$AM48)*($N$84:$N$748=AN$1)*($Q$84:$Q$748))</f>
        <v>0</v>
      </c>
      <c r="AO48" s="18">
        <f t="shared" si="79"/>
        <v>0</v>
      </c>
      <c r="AP48" s="18">
        <f t="shared" si="79"/>
        <v>0</v>
      </c>
      <c r="AQ48" s="18">
        <f t="shared" si="79"/>
        <v>0</v>
      </c>
      <c r="AR48" s="18">
        <f t="shared" si="79"/>
        <v>0</v>
      </c>
      <c r="AS48" s="18">
        <f t="shared" si="79"/>
        <v>0</v>
      </c>
      <c r="AT48" s="18">
        <f t="shared" si="79"/>
        <v>0</v>
      </c>
      <c r="AU48" s="18">
        <f t="shared" si="79"/>
        <v>0</v>
      </c>
      <c r="AV48" s="18">
        <f t="shared" si="70"/>
        <v>0</v>
      </c>
      <c r="AW48" s="38"/>
      <c r="AX48" s="17">
        <f t="shared" si="71"/>
        <v>36</v>
      </c>
      <c r="AY48" s="26" t="str">
        <f t="shared" si="48"/>
        <v>Taxes environnementales sur les Stes forestières et Minières (+)</v>
      </c>
      <c r="AZ48" s="18">
        <f t="shared" ref="AZ48:BK49" ca="1" si="80">SUMPRODUCT(($C$10:$C$75=$AY48)*($N$10:$N$75=AZ$1)*($M$10:$M$75))</f>
        <v>0</v>
      </c>
      <c r="BA48" s="18">
        <f t="shared" ca="1" si="80"/>
        <v>0</v>
      </c>
      <c r="BB48" s="18">
        <f t="shared" ca="1" si="80"/>
        <v>0</v>
      </c>
      <c r="BC48" s="18">
        <f t="shared" ca="1" si="80"/>
        <v>0</v>
      </c>
      <c r="BD48" s="18">
        <f t="shared" ca="1" si="80"/>
        <v>0</v>
      </c>
      <c r="BE48" s="18">
        <f t="shared" ca="1" si="80"/>
        <v>0</v>
      </c>
      <c r="BF48" s="18">
        <f t="shared" ca="1" si="80"/>
        <v>0</v>
      </c>
      <c r="BG48" s="18">
        <f t="shared" ca="1" si="80"/>
        <v>0</v>
      </c>
      <c r="BH48" s="18">
        <f t="shared" ca="1" si="80"/>
        <v>0</v>
      </c>
      <c r="BI48" s="18">
        <f t="shared" ca="1" si="80"/>
        <v>0</v>
      </c>
      <c r="BJ48" s="18">
        <f t="shared" ca="1" si="80"/>
        <v>0</v>
      </c>
      <c r="BK48" s="18">
        <f t="shared" ca="1" si="80"/>
        <v>0</v>
      </c>
    </row>
    <row r="49" spans="1:63">
      <c r="A49" s="80">
        <f t="shared" si="23"/>
        <v>34</v>
      </c>
      <c r="B49" s="64">
        <f>+'Taxes RCA 2022'!A42</f>
        <v>34</v>
      </c>
      <c r="C49" s="68" t="str">
        <f>+'Taxes RCA 2022'!B42</f>
        <v>Taxe de reboisement (+)</v>
      </c>
      <c r="E49" s="165"/>
      <c r="F49" s="165">
        <f>SUMIF($A$84:$A$751,B49&amp;"- "&amp;C49,$G$84:$G$751)</f>
        <v>0</v>
      </c>
      <c r="G49" s="165">
        <f>E49+F49</f>
        <v>0</v>
      </c>
      <c r="H49" s="114"/>
      <c r="I49" s="165">
        <v>30438473.286925003</v>
      </c>
      <c r="J49" s="165">
        <f ca="1">SUMIF($J$84:$M$749,B49&amp;"- "&amp;C49,$Q$84:$Q$749)</f>
        <v>0</v>
      </c>
      <c r="K49" s="165">
        <f ca="1">I49+J49</f>
        <v>30438473.286925003</v>
      </c>
      <c r="L49" s="114"/>
      <c r="M49" s="165">
        <f ca="1">+G49-K49</f>
        <v>-30438473.286925003</v>
      </c>
      <c r="N49" s="68"/>
      <c r="O49" s="38" t="str">
        <f t="shared" ca="1" si="73"/>
        <v>ERROR</v>
      </c>
      <c r="P49" s="39" t="str">
        <f t="shared" ca="1" si="74"/>
        <v>Please insert comment</v>
      </c>
      <c r="Y49" s="15">
        <f t="shared" si="65"/>
        <v>0</v>
      </c>
      <c r="Z49" s="25" t="str">
        <f t="shared" si="44"/>
        <v>Affectations spéciales</v>
      </c>
      <c r="AA49" s="16">
        <f t="shared" si="78"/>
        <v>0</v>
      </c>
      <c r="AB49" s="16">
        <f t="shared" si="78"/>
        <v>0</v>
      </c>
      <c r="AC49" s="16">
        <f t="shared" si="78"/>
        <v>0</v>
      </c>
      <c r="AD49" s="16">
        <f t="shared" si="78"/>
        <v>0</v>
      </c>
      <c r="AE49" s="16">
        <f t="shared" si="78"/>
        <v>0</v>
      </c>
      <c r="AF49" s="16">
        <f t="shared" si="78"/>
        <v>0</v>
      </c>
      <c r="AG49" s="16">
        <f t="shared" si="78"/>
        <v>0</v>
      </c>
      <c r="AH49" s="16">
        <f t="shared" si="78"/>
        <v>0</v>
      </c>
      <c r="AI49" s="16">
        <f t="shared" si="78"/>
        <v>0</v>
      </c>
      <c r="AJ49" s="16">
        <f>SUM(AA49:AI49)</f>
        <v>0</v>
      </c>
      <c r="AL49" s="17">
        <f t="shared" si="68"/>
        <v>0</v>
      </c>
      <c r="AM49" s="26" t="str">
        <f t="shared" si="46"/>
        <v>Affectations spéciales</v>
      </c>
      <c r="AN49" s="18">
        <f t="shared" si="79"/>
        <v>0</v>
      </c>
      <c r="AO49" s="18">
        <f t="shared" si="79"/>
        <v>0</v>
      </c>
      <c r="AP49" s="18">
        <f t="shared" si="79"/>
        <v>0</v>
      </c>
      <c r="AQ49" s="18">
        <f t="shared" si="79"/>
        <v>0</v>
      </c>
      <c r="AR49" s="18">
        <f t="shared" si="79"/>
        <v>0</v>
      </c>
      <c r="AS49" s="18">
        <f t="shared" si="79"/>
        <v>0</v>
      </c>
      <c r="AT49" s="18">
        <f t="shared" si="79"/>
        <v>0</v>
      </c>
      <c r="AU49" s="18">
        <f t="shared" si="79"/>
        <v>0</v>
      </c>
      <c r="AV49" s="18">
        <f>SUM(AN49:AU49)</f>
        <v>0</v>
      </c>
      <c r="AW49" s="38"/>
      <c r="AX49" s="17">
        <f t="shared" si="71"/>
        <v>0</v>
      </c>
      <c r="AY49" s="26" t="str">
        <f t="shared" si="48"/>
        <v>Affectations spéciales</v>
      </c>
      <c r="AZ49" s="18">
        <f t="shared" ca="1" si="80"/>
        <v>0</v>
      </c>
      <c r="BA49" s="18">
        <f t="shared" ca="1" si="80"/>
        <v>0</v>
      </c>
      <c r="BB49" s="18">
        <f t="shared" ca="1" si="80"/>
        <v>0</v>
      </c>
      <c r="BC49" s="18">
        <f t="shared" ca="1" si="80"/>
        <v>0</v>
      </c>
      <c r="BD49" s="18">
        <f t="shared" ca="1" si="80"/>
        <v>0</v>
      </c>
      <c r="BE49" s="18">
        <f t="shared" ca="1" si="80"/>
        <v>0</v>
      </c>
      <c r="BF49" s="18">
        <f t="shared" ca="1" si="80"/>
        <v>0</v>
      </c>
      <c r="BG49" s="18">
        <f t="shared" ca="1" si="80"/>
        <v>0</v>
      </c>
      <c r="BH49" s="18">
        <f t="shared" ca="1" si="80"/>
        <v>0</v>
      </c>
      <c r="BI49" s="18">
        <f t="shared" ca="1" si="80"/>
        <v>0</v>
      </c>
      <c r="BJ49" s="18">
        <f t="shared" ca="1" si="80"/>
        <v>0</v>
      </c>
      <c r="BK49" s="18">
        <f t="shared" ca="1" si="80"/>
        <v>0</v>
      </c>
    </row>
    <row r="50" spans="1:63">
      <c r="A50" s="80">
        <f t="shared" si="23"/>
        <v>35</v>
      </c>
      <c r="B50" s="53">
        <f>+'Taxes RCA 2022'!A43</f>
        <v>35</v>
      </c>
      <c r="C50" s="18" t="str">
        <f>+'Taxes RCA 2022'!B43</f>
        <v>Droit de sortie (DS)/Taxe Export (+)</v>
      </c>
      <c r="E50" s="114"/>
      <c r="F50" s="114">
        <f>SUMIF($A$84:$A$751,B50&amp;"- "&amp;C50,$G$84:$G$751)</f>
        <v>0</v>
      </c>
      <c r="G50" s="114">
        <f>E50+F50</f>
        <v>0</v>
      </c>
      <c r="H50" s="114"/>
      <c r="I50" s="114"/>
      <c r="J50" s="114">
        <f ca="1">SUMIF($J$84:$M$749,B50&amp;"- "&amp;C50,$Q$84:$Q$749)</f>
        <v>0</v>
      </c>
      <c r="K50" s="114">
        <f ca="1">I50+J50</f>
        <v>0</v>
      </c>
      <c r="L50" s="114"/>
      <c r="M50" s="114">
        <f ca="1">+G50-K50</f>
        <v>0</v>
      </c>
      <c r="N50" s="18"/>
      <c r="O50" s="38" t="str">
        <f t="shared" ca="1" si="73"/>
        <v/>
      </c>
      <c r="P50" s="39" t="str">
        <f t="shared" ca="1" si="74"/>
        <v/>
      </c>
      <c r="Y50" s="28"/>
      <c r="Z50" s="28" t="str">
        <f t="shared" si="44"/>
        <v>Affectation au titre la taxe de reboisement (+)</v>
      </c>
      <c r="AA50" s="29">
        <f t="shared" ref="AA50:AJ50" si="81">SUM(AA51:AA59)</f>
        <v>0</v>
      </c>
      <c r="AB50" s="29">
        <f t="shared" si="81"/>
        <v>0</v>
      </c>
      <c r="AC50" s="29">
        <f t="shared" si="81"/>
        <v>0</v>
      </c>
      <c r="AD50" s="29">
        <f t="shared" si="81"/>
        <v>0</v>
      </c>
      <c r="AE50" s="29">
        <f t="shared" si="81"/>
        <v>0</v>
      </c>
      <c r="AF50" s="29">
        <f t="shared" si="81"/>
        <v>0</v>
      </c>
      <c r="AG50" s="29">
        <f t="shared" si="81"/>
        <v>0</v>
      </c>
      <c r="AH50" s="29">
        <f t="shared" si="81"/>
        <v>0</v>
      </c>
      <c r="AI50" s="29">
        <f t="shared" si="81"/>
        <v>0</v>
      </c>
      <c r="AJ50" s="29">
        <f t="shared" si="81"/>
        <v>0</v>
      </c>
      <c r="AL50" s="28"/>
      <c r="AM50" s="28" t="str">
        <f t="shared" si="46"/>
        <v>Affectation au titre la taxe de reboisement (+)</v>
      </c>
      <c r="AN50" s="29">
        <f t="shared" ref="AN50:AV50" si="82">SUM(AN51:AN59)</f>
        <v>0</v>
      </c>
      <c r="AO50" s="29">
        <f t="shared" si="82"/>
        <v>0</v>
      </c>
      <c r="AP50" s="29">
        <f t="shared" si="82"/>
        <v>0</v>
      </c>
      <c r="AQ50" s="29">
        <f t="shared" si="82"/>
        <v>0</v>
      </c>
      <c r="AR50" s="29">
        <f t="shared" si="82"/>
        <v>0</v>
      </c>
      <c r="AS50" s="29">
        <f t="shared" si="82"/>
        <v>0</v>
      </c>
      <c r="AT50" s="29">
        <f t="shared" si="82"/>
        <v>0</v>
      </c>
      <c r="AU50" s="29">
        <f t="shared" si="82"/>
        <v>0</v>
      </c>
      <c r="AV50" s="29">
        <f t="shared" si="82"/>
        <v>0</v>
      </c>
      <c r="AW50" s="18"/>
      <c r="AX50" s="28"/>
      <c r="AY50" s="28" t="str">
        <f t="shared" si="48"/>
        <v>Affectation au titre la taxe de reboisement (+)</v>
      </c>
      <c r="AZ50" s="29">
        <f t="shared" ref="AZ50:BK50" ca="1" si="83">SUM(AZ51:AZ59)</f>
        <v>0</v>
      </c>
      <c r="BA50" s="29">
        <f t="shared" ca="1" si="83"/>
        <v>0</v>
      </c>
      <c r="BB50" s="29">
        <f t="shared" ca="1" si="83"/>
        <v>0</v>
      </c>
      <c r="BC50" s="29">
        <f t="shared" ca="1" si="83"/>
        <v>0</v>
      </c>
      <c r="BD50" s="29">
        <f t="shared" ca="1" si="83"/>
        <v>0</v>
      </c>
      <c r="BE50" s="29">
        <f t="shared" ca="1" si="83"/>
        <v>0</v>
      </c>
      <c r="BF50" s="29">
        <f t="shared" ca="1" si="83"/>
        <v>0</v>
      </c>
      <c r="BG50" s="29">
        <f t="shared" ca="1" si="83"/>
        <v>0</v>
      </c>
      <c r="BH50" s="29">
        <f t="shared" ca="1" si="83"/>
        <v>0</v>
      </c>
      <c r="BI50" s="29">
        <f t="shared" ca="1" si="83"/>
        <v>0</v>
      </c>
      <c r="BJ50" s="29">
        <f t="shared" ca="1" si="83"/>
        <v>0</v>
      </c>
      <c r="BK50" s="29">
        <f t="shared" ca="1" si="83"/>
        <v>0</v>
      </c>
    </row>
    <row r="51" spans="1:63">
      <c r="A51" s="80">
        <f t="shared" si="23"/>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SUMIF($J$84:$M$749,B51&amp;"- "&amp;C51,$Q$84:$Q$749)</f>
        <v>0</v>
      </c>
      <c r="K51" s="165">
        <f ca="1">I51+J51</f>
        <v>0</v>
      </c>
      <c r="L51" s="114"/>
      <c r="M51" s="165">
        <f ca="1">+G51-K51</f>
        <v>0</v>
      </c>
      <c r="N51" s="68"/>
      <c r="O51" s="38" t="str">
        <f t="shared" ca="1" si="73"/>
        <v/>
      </c>
      <c r="P51" s="39" t="str">
        <f t="shared" ca="1" si="74"/>
        <v/>
      </c>
      <c r="Y51" s="15">
        <f t="shared" ref="Y51:Y58" si="84">B54</f>
        <v>38</v>
      </c>
      <c r="Z51" s="25" t="str">
        <f t="shared" si="44"/>
        <v>Affectation au titre de taxe d’abattage (+)</v>
      </c>
      <c r="AA51" s="16">
        <f t="shared" ref="AA51:AI59" si="85">SUMPRODUCT(($A$84:$A$751=$Y51&amp;"- "&amp;$Z51)*($C$84:$C$751=AA$1)*($G$84:$G$751))</f>
        <v>0</v>
      </c>
      <c r="AB51" s="16">
        <f t="shared" si="85"/>
        <v>0</v>
      </c>
      <c r="AC51" s="16">
        <f t="shared" si="85"/>
        <v>0</v>
      </c>
      <c r="AD51" s="16">
        <f t="shared" si="85"/>
        <v>0</v>
      </c>
      <c r="AE51" s="16">
        <f t="shared" si="85"/>
        <v>0</v>
      </c>
      <c r="AF51" s="16">
        <f t="shared" si="85"/>
        <v>0</v>
      </c>
      <c r="AG51" s="16">
        <f t="shared" si="85"/>
        <v>0</v>
      </c>
      <c r="AH51" s="16">
        <f t="shared" si="85"/>
        <v>0</v>
      </c>
      <c r="AI51" s="16">
        <f t="shared" si="85"/>
        <v>0</v>
      </c>
      <c r="AJ51" s="16">
        <f t="shared" ref="AJ51:AJ59" si="86">SUM(AA51:AI51)</f>
        <v>0</v>
      </c>
      <c r="AL51" s="17">
        <f t="shared" ref="AL51:AL57" si="87">+B54</f>
        <v>38</v>
      </c>
      <c r="AM51" s="26" t="str">
        <f t="shared" si="46"/>
        <v>Affectation au titre de taxe d’abattage (+)</v>
      </c>
      <c r="AN51" s="18">
        <f t="shared" ref="AN51:AU59" si="88">SUMPRODUCT(($J$84:$M$748=$AL51&amp;"- "&amp;$AM51)*($N$84:$N$748=AN$1)*($Q$84:$Q$748))</f>
        <v>0</v>
      </c>
      <c r="AO51" s="18">
        <f t="shared" si="88"/>
        <v>0</v>
      </c>
      <c r="AP51" s="18">
        <f t="shared" si="88"/>
        <v>0</v>
      </c>
      <c r="AQ51" s="18">
        <f t="shared" si="88"/>
        <v>0</v>
      </c>
      <c r="AR51" s="18">
        <f t="shared" si="88"/>
        <v>0</v>
      </c>
      <c r="AS51" s="18">
        <f t="shared" si="88"/>
        <v>0</v>
      </c>
      <c r="AT51" s="18">
        <f t="shared" si="88"/>
        <v>0</v>
      </c>
      <c r="AU51" s="18">
        <f t="shared" si="88"/>
        <v>0</v>
      </c>
      <c r="AV51" s="18">
        <f t="shared" ref="AV51:AV59" si="89">SUM(AN51:AU51)</f>
        <v>0</v>
      </c>
      <c r="AW51" s="18"/>
      <c r="AX51" s="17">
        <f t="shared" ref="AX51:AX57" si="90">B54</f>
        <v>38</v>
      </c>
      <c r="AY51" s="26" t="str">
        <f t="shared" si="48"/>
        <v>Affectation au titre de taxe d’abattage (+)</v>
      </c>
      <c r="AZ51" s="18">
        <f t="shared" ref="AZ51:BK59" ca="1" si="91">SUMPRODUCT(($C$10:$C$75=$AY51)*($N$10:$N$75=AZ$1)*($M$10:$M$75))</f>
        <v>0</v>
      </c>
      <c r="BA51" s="18">
        <f t="shared" ca="1" si="91"/>
        <v>0</v>
      </c>
      <c r="BB51" s="18">
        <f t="shared" ca="1" si="91"/>
        <v>0</v>
      </c>
      <c r="BC51" s="18">
        <f t="shared" ca="1" si="91"/>
        <v>0</v>
      </c>
      <c r="BD51" s="18">
        <f t="shared" ca="1" si="91"/>
        <v>0</v>
      </c>
      <c r="BE51" s="18">
        <f t="shared" ca="1" si="91"/>
        <v>0</v>
      </c>
      <c r="BF51" s="18">
        <f t="shared" ca="1" si="91"/>
        <v>0</v>
      </c>
      <c r="BG51" s="18">
        <f t="shared" ca="1" si="91"/>
        <v>0</v>
      </c>
      <c r="BH51" s="18">
        <f t="shared" ca="1" si="91"/>
        <v>0</v>
      </c>
      <c r="BI51" s="18">
        <f t="shared" ca="1" si="91"/>
        <v>0</v>
      </c>
      <c r="BJ51" s="18">
        <f t="shared" ca="1" si="91"/>
        <v>0</v>
      </c>
      <c r="BK51" s="18">
        <f t="shared" ca="1" si="91"/>
        <v>0</v>
      </c>
    </row>
    <row r="52" spans="1:63">
      <c r="A52" s="80"/>
      <c r="B52" s="163"/>
      <c r="C52" s="58" t="str">
        <f>+'Taxes RCA 2022'!B45</f>
        <v>Affectations spéciales</v>
      </c>
      <c r="E52" s="166">
        <f>+E53+E54</f>
        <v>0</v>
      </c>
      <c r="F52" s="166">
        <f t="shared" ref="F52:G52" si="92">+F53+F54</f>
        <v>0</v>
      </c>
      <c r="G52" s="166">
        <f t="shared" si="92"/>
        <v>0</v>
      </c>
      <c r="H52" s="114"/>
      <c r="I52" s="166">
        <f>+I53+I54</f>
        <v>106237767.23818401</v>
      </c>
      <c r="J52" s="166">
        <f ca="1">+J53+J54</f>
        <v>0</v>
      </c>
      <c r="K52" s="166">
        <f ca="1">+K53+K54</f>
        <v>106237767.23818401</v>
      </c>
      <c r="L52" s="114"/>
      <c r="M52" s="166">
        <f ca="1">+M53+M54</f>
        <v>-106237767.23818401</v>
      </c>
      <c r="N52" s="58"/>
      <c r="O52" s="71" t="str">
        <f t="shared" ca="1" si="73"/>
        <v>ERROR</v>
      </c>
      <c r="P52" s="39" t="str">
        <f t="shared" ca="1" si="74"/>
        <v>Please insert comment</v>
      </c>
      <c r="Y52" s="15">
        <f t="shared" si="84"/>
        <v>0</v>
      </c>
      <c r="Z52" s="25" t="str">
        <f t="shared" si="44"/>
        <v xml:space="preserve">Transferts du Trésor aux communes </v>
      </c>
      <c r="AA52" s="16">
        <f t="shared" si="85"/>
        <v>0</v>
      </c>
      <c r="AB52" s="16">
        <f t="shared" si="85"/>
        <v>0</v>
      </c>
      <c r="AC52" s="16">
        <f t="shared" si="85"/>
        <v>0</v>
      </c>
      <c r="AD52" s="16">
        <f t="shared" si="85"/>
        <v>0</v>
      </c>
      <c r="AE52" s="16">
        <f t="shared" si="85"/>
        <v>0</v>
      </c>
      <c r="AF52" s="16">
        <f t="shared" si="85"/>
        <v>0</v>
      </c>
      <c r="AG52" s="16">
        <f t="shared" si="85"/>
        <v>0</v>
      </c>
      <c r="AH52" s="16">
        <f t="shared" si="85"/>
        <v>0</v>
      </c>
      <c r="AI52" s="16">
        <f t="shared" si="85"/>
        <v>0</v>
      </c>
      <c r="AJ52" s="16">
        <f t="shared" si="86"/>
        <v>0</v>
      </c>
      <c r="AL52" s="17">
        <f t="shared" si="87"/>
        <v>0</v>
      </c>
      <c r="AM52" s="26" t="str">
        <f t="shared" si="46"/>
        <v xml:space="preserve">Transferts du Trésor aux communes </v>
      </c>
      <c r="AN52" s="18">
        <f t="shared" si="88"/>
        <v>0</v>
      </c>
      <c r="AO52" s="18">
        <f t="shared" si="88"/>
        <v>0</v>
      </c>
      <c r="AP52" s="18">
        <f t="shared" si="88"/>
        <v>0</v>
      </c>
      <c r="AQ52" s="18">
        <f t="shared" si="88"/>
        <v>0</v>
      </c>
      <c r="AR52" s="18">
        <f t="shared" si="88"/>
        <v>0</v>
      </c>
      <c r="AS52" s="18">
        <f t="shared" si="88"/>
        <v>0</v>
      </c>
      <c r="AT52" s="18">
        <f t="shared" si="88"/>
        <v>0</v>
      </c>
      <c r="AU52" s="18">
        <f t="shared" si="88"/>
        <v>0</v>
      </c>
      <c r="AV52" s="18">
        <f t="shared" si="89"/>
        <v>0</v>
      </c>
      <c r="AW52" s="38"/>
      <c r="AX52" s="17">
        <f t="shared" si="90"/>
        <v>0</v>
      </c>
      <c r="AY52" s="26" t="str">
        <f t="shared" si="48"/>
        <v xml:space="preserve">Transferts du Trésor aux communes </v>
      </c>
      <c r="AZ52" s="18">
        <f t="shared" ca="1" si="91"/>
        <v>0</v>
      </c>
      <c r="BA52" s="18">
        <f t="shared" ca="1" si="91"/>
        <v>0</v>
      </c>
      <c r="BB52" s="18">
        <f t="shared" ca="1" si="91"/>
        <v>0</v>
      </c>
      <c r="BC52" s="18">
        <f t="shared" ca="1" si="91"/>
        <v>0</v>
      </c>
      <c r="BD52" s="18">
        <f t="shared" ca="1" si="91"/>
        <v>0</v>
      </c>
      <c r="BE52" s="18">
        <f t="shared" ca="1" si="91"/>
        <v>0</v>
      </c>
      <c r="BF52" s="18">
        <f t="shared" ca="1" si="91"/>
        <v>0</v>
      </c>
      <c r="BG52" s="18">
        <f t="shared" ca="1" si="91"/>
        <v>0</v>
      </c>
      <c r="BH52" s="18">
        <f t="shared" ca="1" si="91"/>
        <v>0</v>
      </c>
      <c r="BI52" s="18">
        <f t="shared" ca="1" si="91"/>
        <v>0</v>
      </c>
      <c r="BJ52" s="18">
        <f t="shared" ca="1" si="91"/>
        <v>0</v>
      </c>
      <c r="BK52" s="18">
        <f t="shared" ca="1" si="91"/>
        <v>0</v>
      </c>
    </row>
    <row r="53" spans="1:63">
      <c r="A53" s="80">
        <f t="shared" si="23"/>
        <v>37</v>
      </c>
      <c r="B53" s="53">
        <f>+'Taxes RCA 2022'!A46</f>
        <v>37</v>
      </c>
      <c r="C53" s="18" t="str">
        <f>+'Taxes RCA 2022'!B46</f>
        <v>Affectation au titre la taxe de reboisement (+)</v>
      </c>
      <c r="E53" s="114"/>
      <c r="F53" s="114">
        <f>SUMIF($A$84:$A$751,B53&amp;"- "&amp;C53,$G$84:$G$751)</f>
        <v>0</v>
      </c>
      <c r="G53" s="114">
        <f>E53+F53</f>
        <v>0</v>
      </c>
      <c r="H53" s="114"/>
      <c r="I53" s="114">
        <v>60876946.573850006</v>
      </c>
      <c r="J53" s="114">
        <f ca="1">SUMIF($J$84:$M$749,B53&amp;"- "&amp;C53,$Q$84:$Q$749)</f>
        <v>0</v>
      </c>
      <c r="K53" s="114">
        <f ca="1">I53+J53</f>
        <v>60876946.573850006</v>
      </c>
      <c r="L53" s="114"/>
      <c r="M53" s="114">
        <f ca="1">+G53-K53</f>
        <v>-60876946.573850006</v>
      </c>
      <c r="N53" s="18"/>
      <c r="O53" s="38"/>
      <c r="P53" s="39" t="str">
        <f t="shared" si="74"/>
        <v/>
      </c>
      <c r="Y53" s="15">
        <f t="shared" si="84"/>
        <v>0</v>
      </c>
      <c r="Z53" s="25" t="str">
        <f t="shared" si="44"/>
        <v>Transfert du trésor aux communes</v>
      </c>
      <c r="AA53" s="16">
        <f t="shared" si="85"/>
        <v>0</v>
      </c>
      <c r="AB53" s="16">
        <f t="shared" si="85"/>
        <v>0</v>
      </c>
      <c r="AC53" s="16">
        <f t="shared" si="85"/>
        <v>0</v>
      </c>
      <c r="AD53" s="16">
        <f t="shared" si="85"/>
        <v>0</v>
      </c>
      <c r="AE53" s="16">
        <f t="shared" si="85"/>
        <v>0</v>
      </c>
      <c r="AF53" s="16">
        <f t="shared" si="85"/>
        <v>0</v>
      </c>
      <c r="AG53" s="16">
        <f t="shared" si="85"/>
        <v>0</v>
      </c>
      <c r="AH53" s="16">
        <f t="shared" si="85"/>
        <v>0</v>
      </c>
      <c r="AI53" s="16">
        <f t="shared" si="85"/>
        <v>0</v>
      </c>
      <c r="AJ53" s="16">
        <f t="shared" si="86"/>
        <v>0</v>
      </c>
      <c r="AL53" s="17">
        <f t="shared" si="87"/>
        <v>0</v>
      </c>
      <c r="AM53" s="26" t="str">
        <f t="shared" si="46"/>
        <v>Transfert du trésor aux communes</v>
      </c>
      <c r="AN53" s="18">
        <f t="shared" si="88"/>
        <v>0</v>
      </c>
      <c r="AO53" s="18">
        <f t="shared" si="88"/>
        <v>0</v>
      </c>
      <c r="AP53" s="18">
        <f t="shared" si="88"/>
        <v>0</v>
      </c>
      <c r="AQ53" s="18">
        <f t="shared" si="88"/>
        <v>0</v>
      </c>
      <c r="AR53" s="18">
        <f t="shared" si="88"/>
        <v>0</v>
      </c>
      <c r="AS53" s="18">
        <f t="shared" si="88"/>
        <v>0</v>
      </c>
      <c r="AT53" s="18">
        <f t="shared" si="88"/>
        <v>0</v>
      </c>
      <c r="AU53" s="18">
        <f t="shared" si="88"/>
        <v>0</v>
      </c>
      <c r="AV53" s="18">
        <f t="shared" si="89"/>
        <v>0</v>
      </c>
      <c r="AW53" s="18"/>
      <c r="AX53" s="17">
        <f t="shared" si="90"/>
        <v>0</v>
      </c>
      <c r="AY53" s="26" t="str">
        <f t="shared" si="48"/>
        <v>Transfert du trésor aux communes</v>
      </c>
      <c r="AZ53" s="18">
        <f t="shared" ca="1" si="91"/>
        <v>0</v>
      </c>
      <c r="BA53" s="18">
        <f t="shared" ca="1" si="91"/>
        <v>0</v>
      </c>
      <c r="BB53" s="18">
        <f t="shared" ca="1" si="91"/>
        <v>0</v>
      </c>
      <c r="BC53" s="18">
        <f t="shared" ca="1" si="91"/>
        <v>0</v>
      </c>
      <c r="BD53" s="18">
        <f t="shared" ca="1" si="91"/>
        <v>0</v>
      </c>
      <c r="BE53" s="18">
        <f t="shared" ca="1" si="91"/>
        <v>0</v>
      </c>
      <c r="BF53" s="18">
        <f t="shared" ca="1" si="91"/>
        <v>0</v>
      </c>
      <c r="BG53" s="18">
        <f t="shared" ca="1" si="91"/>
        <v>0</v>
      </c>
      <c r="BH53" s="18">
        <f t="shared" ca="1" si="91"/>
        <v>0</v>
      </c>
      <c r="BI53" s="18">
        <f t="shared" ca="1" si="91"/>
        <v>0</v>
      </c>
      <c r="BJ53" s="18">
        <f t="shared" ca="1" si="91"/>
        <v>0</v>
      </c>
      <c r="BK53" s="18">
        <f t="shared" ca="1" si="91"/>
        <v>0</v>
      </c>
    </row>
    <row r="54" spans="1:63">
      <c r="A54" s="80">
        <f t="shared" si="23"/>
        <v>38</v>
      </c>
      <c r="B54" s="64">
        <f>+'Taxes RCA 2022'!A47</f>
        <v>38</v>
      </c>
      <c r="C54" s="68" t="str">
        <f>+'Taxes RCA 2022'!B47</f>
        <v>Affectation au titre de taxe d’abattage (+)</v>
      </c>
      <c r="E54" s="165"/>
      <c r="F54" s="165">
        <f>SUMIF($A$84:$A$751,B54&amp;"- "&amp;C54,$G$84:$G$751)</f>
        <v>0</v>
      </c>
      <c r="G54" s="165">
        <f>E54+F54</f>
        <v>0</v>
      </c>
      <c r="H54" s="114"/>
      <c r="I54" s="165">
        <v>45360820.664333999</v>
      </c>
      <c r="J54" s="165">
        <f ca="1">SUMIF($J$84:$M$749,B54&amp;"- "&amp;C54,$Q$84:$Q$749)</f>
        <v>0</v>
      </c>
      <c r="K54" s="165">
        <f ca="1">I54+J54</f>
        <v>45360820.664333999</v>
      </c>
      <c r="L54" s="114"/>
      <c r="M54" s="165">
        <f ca="1">+G54-K54</f>
        <v>-45360820.664333999</v>
      </c>
      <c r="N54" s="68"/>
      <c r="O54" s="38" t="str">
        <f ca="1">IF(M54=0,"",IF(N54=0,"ERROR",""))</f>
        <v>ERROR</v>
      </c>
      <c r="P54" s="39" t="str">
        <f t="shared" ca="1" si="74"/>
        <v>Please insert comment</v>
      </c>
      <c r="Y54" s="15">
        <f t="shared" si="84"/>
        <v>39</v>
      </c>
      <c r="Z54" s="25" t="str">
        <f t="shared" ref="Z54:Z61" si="93">C57</f>
        <v>Transfert infranational au titre de la taxe d'abattage (+)</v>
      </c>
      <c r="AA54" s="16">
        <f t="shared" si="85"/>
        <v>0</v>
      </c>
      <c r="AB54" s="16">
        <f t="shared" si="85"/>
        <v>0</v>
      </c>
      <c r="AC54" s="16">
        <f t="shared" si="85"/>
        <v>0</v>
      </c>
      <c r="AD54" s="16">
        <f t="shared" si="85"/>
        <v>0</v>
      </c>
      <c r="AE54" s="16">
        <f t="shared" si="85"/>
        <v>0</v>
      </c>
      <c r="AF54" s="16">
        <f t="shared" si="85"/>
        <v>0</v>
      </c>
      <c r="AG54" s="16">
        <f t="shared" si="85"/>
        <v>0</v>
      </c>
      <c r="AH54" s="16">
        <f t="shared" si="85"/>
        <v>0</v>
      </c>
      <c r="AI54" s="16">
        <f t="shared" si="85"/>
        <v>0</v>
      </c>
      <c r="AJ54" s="16">
        <f t="shared" si="86"/>
        <v>0</v>
      </c>
      <c r="AL54" s="17">
        <f t="shared" si="87"/>
        <v>39</v>
      </c>
      <c r="AM54" s="26" t="str">
        <f t="shared" ref="AM54:AM61" si="94">+C57</f>
        <v>Transfert infranational au titre de la taxe d'abattage (+)</v>
      </c>
      <c r="AN54" s="18">
        <f t="shared" si="88"/>
        <v>0</v>
      </c>
      <c r="AO54" s="18">
        <f t="shared" si="88"/>
        <v>0</v>
      </c>
      <c r="AP54" s="18">
        <f t="shared" si="88"/>
        <v>0</v>
      </c>
      <c r="AQ54" s="18">
        <f t="shared" si="88"/>
        <v>0</v>
      </c>
      <c r="AR54" s="18">
        <f t="shared" si="88"/>
        <v>0</v>
      </c>
      <c r="AS54" s="18">
        <f t="shared" si="88"/>
        <v>0</v>
      </c>
      <c r="AT54" s="18">
        <f t="shared" si="88"/>
        <v>0</v>
      </c>
      <c r="AU54" s="18">
        <f t="shared" si="88"/>
        <v>0</v>
      </c>
      <c r="AV54" s="18">
        <f t="shared" si="89"/>
        <v>0</v>
      </c>
      <c r="AW54" s="18"/>
      <c r="AX54" s="17">
        <f t="shared" si="90"/>
        <v>39</v>
      </c>
      <c r="AY54" s="26" t="str">
        <f t="shared" ref="AY54:AY61" si="95">C57</f>
        <v>Transfert infranational au titre de la taxe d'abattage (+)</v>
      </c>
      <c r="AZ54" s="18">
        <f t="shared" ca="1" si="91"/>
        <v>0</v>
      </c>
      <c r="BA54" s="18">
        <f t="shared" ca="1" si="91"/>
        <v>0</v>
      </c>
      <c r="BB54" s="18">
        <f t="shared" ca="1" si="91"/>
        <v>0</v>
      </c>
      <c r="BC54" s="18">
        <f t="shared" ca="1" si="91"/>
        <v>0</v>
      </c>
      <c r="BD54" s="18">
        <f t="shared" ca="1" si="91"/>
        <v>0</v>
      </c>
      <c r="BE54" s="18">
        <f t="shared" ca="1" si="91"/>
        <v>0</v>
      </c>
      <c r="BF54" s="18">
        <f t="shared" ca="1" si="91"/>
        <v>0</v>
      </c>
      <c r="BG54" s="18">
        <f t="shared" ca="1" si="91"/>
        <v>0</v>
      </c>
      <c r="BH54" s="18">
        <f t="shared" ca="1" si="91"/>
        <v>0</v>
      </c>
      <c r="BI54" s="18">
        <f t="shared" ca="1" si="91"/>
        <v>0</v>
      </c>
      <c r="BJ54" s="18">
        <f t="shared" ca="1" si="91"/>
        <v>0</v>
      </c>
      <c r="BK54" s="18">
        <f t="shared" ca="1" si="91"/>
        <v>0</v>
      </c>
    </row>
    <row r="55" spans="1:63">
      <c r="A55" s="80">
        <f t="shared" si="23"/>
        <v>0</v>
      </c>
      <c r="B55" s="163"/>
      <c r="C55" s="58" t="str">
        <f>+'Taxes RCA 2022'!B48</f>
        <v xml:space="preserve">Transferts du Trésor aux communes </v>
      </c>
      <c r="E55" s="166">
        <f>SUM(E56:E61)</f>
        <v>0</v>
      </c>
      <c r="F55" s="166">
        <f t="shared" ref="F55:G55" si="96">SUM(F56:F61)</f>
        <v>0</v>
      </c>
      <c r="G55" s="166">
        <f t="shared" si="96"/>
        <v>0</v>
      </c>
      <c r="H55" s="114"/>
      <c r="I55" s="166">
        <f>SUM(I56:I61)</f>
        <v>0</v>
      </c>
      <c r="J55" s="166">
        <f ca="1">SUM(J56:J61)</f>
        <v>0</v>
      </c>
      <c r="K55" s="166">
        <f ca="1">SUM(K56:K61)</f>
        <v>0</v>
      </c>
      <c r="L55" s="114"/>
      <c r="M55" s="166">
        <f ca="1">SUM(M56:M61)</f>
        <v>0</v>
      </c>
      <c r="N55" s="58"/>
      <c r="O55" s="38" t="str">
        <f ca="1">IF(M55=0,"",IF(N55=0,"ERROR",""))</f>
        <v/>
      </c>
      <c r="P55" s="39" t="str">
        <f t="shared" ca="1" si="74"/>
        <v/>
      </c>
      <c r="Y55" s="15">
        <f t="shared" si="84"/>
        <v>40</v>
      </c>
      <c r="Z55" s="25" t="str">
        <f t="shared" si="93"/>
        <v>Transfert infranational au titre de la taxe reboisement (+)</v>
      </c>
      <c r="AA55" s="16">
        <f t="shared" si="85"/>
        <v>0</v>
      </c>
      <c r="AB55" s="16">
        <f t="shared" si="85"/>
        <v>0</v>
      </c>
      <c r="AC55" s="16">
        <f t="shared" si="85"/>
        <v>0</v>
      </c>
      <c r="AD55" s="16">
        <f t="shared" si="85"/>
        <v>0</v>
      </c>
      <c r="AE55" s="16">
        <f t="shared" si="85"/>
        <v>0</v>
      </c>
      <c r="AF55" s="16">
        <f t="shared" si="85"/>
        <v>0</v>
      </c>
      <c r="AG55" s="16">
        <f t="shared" si="85"/>
        <v>0</v>
      </c>
      <c r="AH55" s="16">
        <f t="shared" si="85"/>
        <v>0</v>
      </c>
      <c r="AI55" s="16">
        <f t="shared" si="85"/>
        <v>0</v>
      </c>
      <c r="AJ55" s="16">
        <f t="shared" si="86"/>
        <v>0</v>
      </c>
      <c r="AL55" s="17">
        <f t="shared" si="87"/>
        <v>40</v>
      </c>
      <c r="AM55" s="26" t="str">
        <f t="shared" si="94"/>
        <v>Transfert infranational au titre de la taxe reboisement (+)</v>
      </c>
      <c r="AN55" s="18">
        <f t="shared" si="88"/>
        <v>0</v>
      </c>
      <c r="AO55" s="18">
        <f t="shared" si="88"/>
        <v>0</v>
      </c>
      <c r="AP55" s="18">
        <f t="shared" si="88"/>
        <v>0</v>
      </c>
      <c r="AQ55" s="18">
        <f t="shared" si="88"/>
        <v>0</v>
      </c>
      <c r="AR55" s="18">
        <f t="shared" si="88"/>
        <v>0</v>
      </c>
      <c r="AS55" s="18">
        <f t="shared" si="88"/>
        <v>0</v>
      </c>
      <c r="AT55" s="18">
        <f t="shared" si="88"/>
        <v>0</v>
      </c>
      <c r="AU55" s="18">
        <f t="shared" si="88"/>
        <v>0</v>
      </c>
      <c r="AV55" s="18">
        <f t="shared" si="89"/>
        <v>0</v>
      </c>
      <c r="AW55" s="18"/>
      <c r="AX55" s="17">
        <f t="shared" si="90"/>
        <v>40</v>
      </c>
      <c r="AY55" s="26" t="str">
        <f t="shared" si="95"/>
        <v>Transfert infranational au titre de la taxe reboisement (+)</v>
      </c>
      <c r="AZ55" s="18">
        <f t="shared" ca="1" si="91"/>
        <v>0</v>
      </c>
      <c r="BA55" s="18">
        <f t="shared" ca="1" si="91"/>
        <v>0</v>
      </c>
      <c r="BB55" s="18">
        <f t="shared" ca="1" si="91"/>
        <v>0</v>
      </c>
      <c r="BC55" s="18">
        <f t="shared" ca="1" si="91"/>
        <v>0</v>
      </c>
      <c r="BD55" s="18">
        <f t="shared" ca="1" si="91"/>
        <v>0</v>
      </c>
      <c r="BE55" s="18">
        <f t="shared" ca="1" si="91"/>
        <v>0</v>
      </c>
      <c r="BF55" s="18">
        <f t="shared" ca="1" si="91"/>
        <v>0</v>
      </c>
      <c r="BG55" s="18">
        <f t="shared" ca="1" si="91"/>
        <v>0</v>
      </c>
      <c r="BH55" s="18">
        <f t="shared" ca="1" si="91"/>
        <v>0</v>
      </c>
      <c r="BI55" s="18">
        <f t="shared" ca="1" si="91"/>
        <v>0</v>
      </c>
      <c r="BJ55" s="18">
        <f t="shared" ca="1" si="91"/>
        <v>0</v>
      </c>
      <c r="BK55" s="18">
        <f t="shared" ca="1" si="91"/>
        <v>0</v>
      </c>
    </row>
    <row r="56" spans="1:63">
      <c r="A56" s="80"/>
      <c r="B56" s="53">
        <f>+'Taxes RCA 2022'!A49</f>
        <v>0</v>
      </c>
      <c r="C56" s="18" t="str">
        <f>+'Taxes RCA 2022'!B49</f>
        <v>Transfert du trésor aux communes</v>
      </c>
      <c r="E56" s="114"/>
      <c r="F56" s="114">
        <f t="shared" ref="F56:F61" si="97">SUMIF($A$84:$A$751,B56&amp;"- "&amp;C56,$G$84:$G$751)</f>
        <v>0</v>
      </c>
      <c r="G56" s="114">
        <f t="shared" ref="G56:G61" si="98">E56+F56</f>
        <v>0</v>
      </c>
      <c r="H56" s="114"/>
      <c r="I56" s="114"/>
      <c r="J56" s="114">
        <f t="shared" ref="J56:J61" ca="1" si="99">SUMIF($J$84:$M$749,B56&amp;"- "&amp;C56,$Q$84:$Q$749)</f>
        <v>0</v>
      </c>
      <c r="K56" s="114">
        <f t="shared" ref="K56:K61" ca="1" si="100">I56+J56</f>
        <v>0</v>
      </c>
      <c r="L56" s="114"/>
      <c r="M56" s="114">
        <f t="shared" ref="M56:M61" ca="1" si="101">+G56-K56</f>
        <v>0</v>
      </c>
      <c r="N56" s="18"/>
      <c r="O56" s="38"/>
      <c r="P56" s="39"/>
      <c r="Y56" s="15">
        <f t="shared" si="84"/>
        <v>41</v>
      </c>
      <c r="Z56" s="25" t="str">
        <f t="shared" si="93"/>
        <v>Transfert infranational au titre de la taxe environnementale (+)</v>
      </c>
      <c r="AA56" s="16">
        <f t="shared" si="85"/>
        <v>0</v>
      </c>
      <c r="AB56" s="16">
        <f t="shared" si="85"/>
        <v>0</v>
      </c>
      <c r="AC56" s="16">
        <f t="shared" si="85"/>
        <v>0</v>
      </c>
      <c r="AD56" s="16">
        <f t="shared" si="85"/>
        <v>0</v>
      </c>
      <c r="AE56" s="16">
        <f t="shared" si="85"/>
        <v>0</v>
      </c>
      <c r="AF56" s="16">
        <f t="shared" si="85"/>
        <v>0</v>
      </c>
      <c r="AG56" s="16">
        <f t="shared" si="85"/>
        <v>0</v>
      </c>
      <c r="AH56" s="16">
        <f t="shared" si="85"/>
        <v>0</v>
      </c>
      <c r="AI56" s="16">
        <f t="shared" si="85"/>
        <v>0</v>
      </c>
      <c r="AJ56" s="16">
        <f t="shared" si="86"/>
        <v>0</v>
      </c>
      <c r="AL56" s="17">
        <f t="shared" si="87"/>
        <v>41</v>
      </c>
      <c r="AM56" s="26" t="str">
        <f t="shared" si="94"/>
        <v>Transfert infranational au titre de la taxe environnementale (+)</v>
      </c>
      <c r="AN56" s="18">
        <f t="shared" si="88"/>
        <v>0</v>
      </c>
      <c r="AO56" s="18">
        <f t="shared" si="88"/>
        <v>0</v>
      </c>
      <c r="AP56" s="18">
        <f t="shared" si="88"/>
        <v>0</v>
      </c>
      <c r="AQ56" s="18">
        <f t="shared" si="88"/>
        <v>0</v>
      </c>
      <c r="AR56" s="18">
        <f t="shared" si="88"/>
        <v>0</v>
      </c>
      <c r="AS56" s="18">
        <f t="shared" si="88"/>
        <v>0</v>
      </c>
      <c r="AT56" s="18">
        <f t="shared" si="88"/>
        <v>0</v>
      </c>
      <c r="AU56" s="18">
        <f t="shared" si="88"/>
        <v>0</v>
      </c>
      <c r="AV56" s="18">
        <f t="shared" si="89"/>
        <v>0</v>
      </c>
      <c r="AW56" s="18"/>
      <c r="AX56" s="17">
        <f t="shared" si="90"/>
        <v>41</v>
      </c>
      <c r="AY56" s="26" t="str">
        <f t="shared" si="95"/>
        <v>Transfert infranational au titre de la taxe environnementale (+)</v>
      </c>
      <c r="AZ56" s="18">
        <f t="shared" ca="1" si="91"/>
        <v>0</v>
      </c>
      <c r="BA56" s="18">
        <f t="shared" ca="1" si="91"/>
        <v>0</v>
      </c>
      <c r="BB56" s="18">
        <f t="shared" ca="1" si="91"/>
        <v>0</v>
      </c>
      <c r="BC56" s="18">
        <f t="shared" ca="1" si="91"/>
        <v>0</v>
      </c>
      <c r="BD56" s="18">
        <f t="shared" ca="1" si="91"/>
        <v>0</v>
      </c>
      <c r="BE56" s="18">
        <f t="shared" ca="1" si="91"/>
        <v>0</v>
      </c>
      <c r="BF56" s="18">
        <f t="shared" ca="1" si="91"/>
        <v>0</v>
      </c>
      <c r="BG56" s="18">
        <f t="shared" ca="1" si="91"/>
        <v>0</v>
      </c>
      <c r="BH56" s="18">
        <f t="shared" ca="1" si="91"/>
        <v>0</v>
      </c>
      <c r="BI56" s="18">
        <f t="shared" ca="1" si="91"/>
        <v>0</v>
      </c>
      <c r="BJ56" s="18">
        <f t="shared" ca="1" si="91"/>
        <v>0</v>
      </c>
      <c r="BK56" s="18">
        <f t="shared" ca="1" si="91"/>
        <v>0</v>
      </c>
    </row>
    <row r="57" spans="1:63">
      <c r="A57" s="80"/>
      <c r="B57" s="64">
        <f>+'Taxes RCA 2022'!A50</f>
        <v>39</v>
      </c>
      <c r="C57" s="68" t="str">
        <f>+'Taxes RCA 2022'!B50</f>
        <v>Transfert infranational au titre de la taxe d'abattage (+)</v>
      </c>
      <c r="E57" s="165"/>
      <c r="F57" s="165">
        <f t="shared" si="97"/>
        <v>0</v>
      </c>
      <c r="G57" s="165">
        <f t="shared" si="98"/>
        <v>0</v>
      </c>
      <c r="H57" s="114"/>
      <c r="I57" s="165"/>
      <c r="J57" s="165">
        <f t="shared" ca="1" si="99"/>
        <v>0</v>
      </c>
      <c r="K57" s="165">
        <f t="shared" ca="1" si="100"/>
        <v>0</v>
      </c>
      <c r="L57" s="114"/>
      <c r="M57" s="165">
        <f t="shared" ca="1" si="101"/>
        <v>0</v>
      </c>
      <c r="N57" s="68"/>
      <c r="O57" s="38"/>
      <c r="P57" s="39"/>
      <c r="Y57" s="15">
        <f t="shared" si="84"/>
        <v>42</v>
      </c>
      <c r="Z57" s="25" t="str">
        <f t="shared" si="93"/>
        <v>Droit de sortie (DS)/Taxe Export (+)</v>
      </c>
      <c r="AA57" s="16">
        <f t="shared" si="85"/>
        <v>0</v>
      </c>
      <c r="AB57" s="16">
        <f t="shared" si="85"/>
        <v>0</v>
      </c>
      <c r="AC57" s="16">
        <f t="shared" si="85"/>
        <v>0</v>
      </c>
      <c r="AD57" s="16">
        <f t="shared" si="85"/>
        <v>0</v>
      </c>
      <c r="AE57" s="16">
        <f t="shared" si="85"/>
        <v>0</v>
      </c>
      <c r="AF57" s="16">
        <f t="shared" si="85"/>
        <v>0</v>
      </c>
      <c r="AG57" s="16">
        <f t="shared" si="85"/>
        <v>0</v>
      </c>
      <c r="AH57" s="16">
        <f t="shared" si="85"/>
        <v>0</v>
      </c>
      <c r="AI57" s="16">
        <f t="shared" si="85"/>
        <v>0</v>
      </c>
      <c r="AJ57" s="16">
        <f t="shared" si="86"/>
        <v>0</v>
      </c>
      <c r="AL57" s="17">
        <f t="shared" si="87"/>
        <v>42</v>
      </c>
      <c r="AM57" s="26" t="str">
        <f t="shared" si="94"/>
        <v>Droit de sortie (DS)/Taxe Export (+)</v>
      </c>
      <c r="AN57" s="18">
        <f t="shared" si="88"/>
        <v>0</v>
      </c>
      <c r="AO57" s="18">
        <f t="shared" si="88"/>
        <v>0</v>
      </c>
      <c r="AP57" s="18">
        <f t="shared" si="88"/>
        <v>0</v>
      </c>
      <c r="AQ57" s="18">
        <f t="shared" si="88"/>
        <v>0</v>
      </c>
      <c r="AR57" s="18">
        <f t="shared" si="88"/>
        <v>0</v>
      </c>
      <c r="AS57" s="18">
        <f t="shared" si="88"/>
        <v>0</v>
      </c>
      <c r="AT57" s="18">
        <f t="shared" si="88"/>
        <v>0</v>
      </c>
      <c r="AU57" s="18">
        <f t="shared" si="88"/>
        <v>0</v>
      </c>
      <c r="AV57" s="18">
        <f t="shared" si="89"/>
        <v>0</v>
      </c>
      <c r="AW57" s="18"/>
      <c r="AX57" s="17">
        <f t="shared" si="90"/>
        <v>42</v>
      </c>
      <c r="AY57" s="26" t="str">
        <f t="shared" si="95"/>
        <v>Droit de sortie (DS)/Taxe Export (+)</v>
      </c>
      <c r="AZ57" s="18">
        <f t="shared" ca="1" si="91"/>
        <v>0</v>
      </c>
      <c r="BA57" s="18">
        <f t="shared" ca="1" si="91"/>
        <v>0</v>
      </c>
      <c r="BB57" s="18">
        <f t="shared" ca="1" si="91"/>
        <v>0</v>
      </c>
      <c r="BC57" s="18">
        <f t="shared" ca="1" si="91"/>
        <v>0</v>
      </c>
      <c r="BD57" s="18">
        <f t="shared" ca="1" si="91"/>
        <v>0</v>
      </c>
      <c r="BE57" s="18">
        <f t="shared" ca="1" si="91"/>
        <v>0</v>
      </c>
      <c r="BF57" s="18">
        <f t="shared" ca="1" si="91"/>
        <v>0</v>
      </c>
      <c r="BG57" s="18">
        <f t="shared" ca="1" si="91"/>
        <v>0</v>
      </c>
      <c r="BH57" s="18">
        <f t="shared" ca="1" si="91"/>
        <v>0</v>
      </c>
      <c r="BI57" s="18">
        <f t="shared" ca="1" si="91"/>
        <v>0</v>
      </c>
      <c r="BJ57" s="18">
        <f t="shared" ca="1" si="91"/>
        <v>0</v>
      </c>
      <c r="BK57" s="18">
        <f t="shared" ca="1" si="91"/>
        <v>0</v>
      </c>
    </row>
    <row r="58" spans="1:63">
      <c r="A58" s="80"/>
      <c r="B58" s="53">
        <f>+'Taxes RCA 2022'!A51</f>
        <v>40</v>
      </c>
      <c r="C58" s="18" t="str">
        <f>+'Taxes RCA 2022'!B51</f>
        <v>Transfert infranational au titre de la taxe reboisement (+)</v>
      </c>
      <c r="E58" s="114"/>
      <c r="F58" s="114">
        <f t="shared" si="97"/>
        <v>0</v>
      </c>
      <c r="G58" s="114">
        <f t="shared" si="98"/>
        <v>0</v>
      </c>
      <c r="H58" s="114"/>
      <c r="I58" s="114"/>
      <c r="J58" s="114">
        <f t="shared" ca="1" si="99"/>
        <v>0</v>
      </c>
      <c r="K58" s="114">
        <f t="shared" ca="1" si="100"/>
        <v>0</v>
      </c>
      <c r="L58" s="114"/>
      <c r="M58" s="114">
        <f t="shared" ca="1" si="101"/>
        <v>0</v>
      </c>
      <c r="N58" s="18"/>
      <c r="O58" s="38"/>
      <c r="P58" s="39"/>
      <c r="Y58" s="15">
        <f t="shared" si="84"/>
        <v>43</v>
      </c>
      <c r="Z58" s="25" t="str">
        <f t="shared" si="93"/>
        <v xml:space="preserve">Autres transferts au profit des communes </v>
      </c>
      <c r="AA58" s="16">
        <f t="shared" si="85"/>
        <v>0</v>
      </c>
      <c r="AB58" s="16">
        <f t="shared" si="85"/>
        <v>0</v>
      </c>
      <c r="AC58" s="16">
        <f t="shared" si="85"/>
        <v>0</v>
      </c>
      <c r="AD58" s="16">
        <f t="shared" si="85"/>
        <v>0</v>
      </c>
      <c r="AE58" s="16">
        <f t="shared" si="85"/>
        <v>0</v>
      </c>
      <c r="AF58" s="16">
        <f t="shared" si="85"/>
        <v>0</v>
      </c>
      <c r="AG58" s="16">
        <f t="shared" si="85"/>
        <v>0</v>
      </c>
      <c r="AH58" s="16">
        <f t="shared" si="85"/>
        <v>0</v>
      </c>
      <c r="AI58" s="16">
        <f t="shared" si="85"/>
        <v>0</v>
      </c>
      <c r="AJ58" s="16">
        <f t="shared" si="86"/>
        <v>0</v>
      </c>
      <c r="AL58" s="17">
        <f>+B61</f>
        <v>43</v>
      </c>
      <c r="AM58" s="26" t="str">
        <f t="shared" si="94"/>
        <v xml:space="preserve">Autres transferts au profit des communes </v>
      </c>
      <c r="AN58" s="18">
        <f t="shared" si="88"/>
        <v>0</v>
      </c>
      <c r="AO58" s="18">
        <f t="shared" si="88"/>
        <v>0</v>
      </c>
      <c r="AP58" s="18">
        <f t="shared" si="88"/>
        <v>0</v>
      </c>
      <c r="AQ58" s="18">
        <f t="shared" si="88"/>
        <v>0</v>
      </c>
      <c r="AR58" s="18">
        <f t="shared" si="88"/>
        <v>0</v>
      </c>
      <c r="AS58" s="18">
        <f t="shared" si="88"/>
        <v>0</v>
      </c>
      <c r="AT58" s="18">
        <f t="shared" si="88"/>
        <v>0</v>
      </c>
      <c r="AU58" s="18">
        <f t="shared" si="88"/>
        <v>0</v>
      </c>
      <c r="AV58" s="18">
        <f t="shared" si="89"/>
        <v>0</v>
      </c>
      <c r="AW58" s="18"/>
      <c r="AX58" s="17">
        <f>B61</f>
        <v>43</v>
      </c>
      <c r="AY58" s="26" t="str">
        <f t="shared" si="95"/>
        <v xml:space="preserve">Autres transferts au profit des communes </v>
      </c>
      <c r="AZ58" s="18">
        <f t="shared" ca="1" si="91"/>
        <v>0</v>
      </c>
      <c r="BA58" s="18">
        <f t="shared" ca="1" si="91"/>
        <v>0</v>
      </c>
      <c r="BB58" s="18">
        <f t="shared" ca="1" si="91"/>
        <v>0</v>
      </c>
      <c r="BC58" s="18">
        <f t="shared" ca="1" si="91"/>
        <v>0</v>
      </c>
      <c r="BD58" s="18">
        <f t="shared" ca="1" si="91"/>
        <v>0</v>
      </c>
      <c r="BE58" s="18">
        <f t="shared" ca="1" si="91"/>
        <v>0</v>
      </c>
      <c r="BF58" s="18">
        <f t="shared" ca="1" si="91"/>
        <v>0</v>
      </c>
      <c r="BG58" s="18">
        <f t="shared" ca="1" si="91"/>
        <v>0</v>
      </c>
      <c r="BH58" s="18">
        <f t="shared" ca="1" si="91"/>
        <v>0</v>
      </c>
      <c r="BI58" s="18">
        <f t="shared" ca="1" si="91"/>
        <v>0</v>
      </c>
      <c r="BJ58" s="18">
        <f t="shared" ca="1" si="91"/>
        <v>0</v>
      </c>
      <c r="BK58" s="18">
        <f t="shared" ca="1" si="91"/>
        <v>0</v>
      </c>
    </row>
    <row r="59" spans="1:63">
      <c r="A59" s="80"/>
      <c r="B59" s="64">
        <f>+'Taxes RCA 2022'!A52</f>
        <v>41</v>
      </c>
      <c r="C59" s="68" t="str">
        <f>+'Taxes RCA 2022'!B52</f>
        <v>Transfert infranational au titre de la taxe environnementale (+)</v>
      </c>
      <c r="E59" s="165"/>
      <c r="F59" s="165">
        <f t="shared" si="97"/>
        <v>0</v>
      </c>
      <c r="G59" s="165">
        <f t="shared" si="98"/>
        <v>0</v>
      </c>
      <c r="H59" s="114"/>
      <c r="I59" s="165"/>
      <c r="J59" s="165">
        <f t="shared" ca="1" si="99"/>
        <v>0</v>
      </c>
      <c r="K59" s="165">
        <f t="shared" ca="1" si="100"/>
        <v>0</v>
      </c>
      <c r="L59" s="114"/>
      <c r="M59" s="165">
        <f t="shared" ca="1" si="101"/>
        <v>0</v>
      </c>
      <c r="N59" s="68"/>
      <c r="O59" s="38"/>
      <c r="P59" s="39"/>
      <c r="Y59" s="15">
        <f>B62</f>
        <v>0</v>
      </c>
      <c r="Z59" s="25" t="str">
        <f t="shared" si="93"/>
        <v>DGTCP (DGP)</v>
      </c>
      <c r="AA59" s="16">
        <f t="shared" si="85"/>
        <v>0</v>
      </c>
      <c r="AB59" s="16">
        <f t="shared" si="85"/>
        <v>0</v>
      </c>
      <c r="AC59" s="16">
        <f t="shared" si="85"/>
        <v>0</v>
      </c>
      <c r="AD59" s="16">
        <f t="shared" si="85"/>
        <v>0</v>
      </c>
      <c r="AE59" s="16">
        <f t="shared" si="85"/>
        <v>0</v>
      </c>
      <c r="AF59" s="16">
        <f t="shared" si="85"/>
        <v>0</v>
      </c>
      <c r="AG59" s="16">
        <f t="shared" si="85"/>
        <v>0</v>
      </c>
      <c r="AH59" s="16">
        <f t="shared" si="85"/>
        <v>0</v>
      </c>
      <c r="AI59" s="16">
        <f t="shared" si="85"/>
        <v>0</v>
      </c>
      <c r="AJ59" s="16">
        <f t="shared" si="86"/>
        <v>0</v>
      </c>
      <c r="AL59" s="17">
        <f>+B62</f>
        <v>0</v>
      </c>
      <c r="AM59" s="26" t="str">
        <f t="shared" si="94"/>
        <v>DGTCP (DGP)</v>
      </c>
      <c r="AN59" s="18">
        <f t="shared" si="88"/>
        <v>0</v>
      </c>
      <c r="AO59" s="18">
        <f t="shared" si="88"/>
        <v>0</v>
      </c>
      <c r="AP59" s="18">
        <f t="shared" si="88"/>
        <v>0</v>
      </c>
      <c r="AQ59" s="18">
        <f t="shared" si="88"/>
        <v>0</v>
      </c>
      <c r="AR59" s="18">
        <f t="shared" si="88"/>
        <v>0</v>
      </c>
      <c r="AS59" s="18">
        <f t="shared" si="88"/>
        <v>0</v>
      </c>
      <c r="AT59" s="18">
        <f t="shared" si="88"/>
        <v>0</v>
      </c>
      <c r="AU59" s="18">
        <f t="shared" si="88"/>
        <v>0</v>
      </c>
      <c r="AV59" s="18">
        <f t="shared" si="89"/>
        <v>0</v>
      </c>
      <c r="AW59" s="18"/>
      <c r="AX59" s="17">
        <f>B62</f>
        <v>0</v>
      </c>
      <c r="AY59" s="26" t="str">
        <f t="shared" si="95"/>
        <v>DGTCP (DGP)</v>
      </c>
      <c r="AZ59" s="18">
        <f t="shared" ca="1" si="91"/>
        <v>0</v>
      </c>
      <c r="BA59" s="18">
        <f t="shared" ca="1" si="91"/>
        <v>0</v>
      </c>
      <c r="BB59" s="18">
        <f t="shared" ca="1" si="91"/>
        <v>0</v>
      </c>
      <c r="BC59" s="18">
        <f t="shared" ca="1" si="91"/>
        <v>0</v>
      </c>
      <c r="BD59" s="18">
        <f t="shared" ca="1" si="91"/>
        <v>0</v>
      </c>
      <c r="BE59" s="18">
        <f t="shared" ca="1" si="91"/>
        <v>0</v>
      </c>
      <c r="BF59" s="18">
        <f t="shared" ca="1" si="91"/>
        <v>0</v>
      </c>
      <c r="BG59" s="18">
        <f t="shared" ca="1" si="91"/>
        <v>0</v>
      </c>
      <c r="BH59" s="18">
        <f t="shared" ca="1" si="91"/>
        <v>0</v>
      </c>
      <c r="BI59" s="18">
        <f t="shared" ca="1" si="91"/>
        <v>0</v>
      </c>
      <c r="BJ59" s="18">
        <f t="shared" ca="1" si="91"/>
        <v>0</v>
      </c>
      <c r="BK59" s="18">
        <f t="shared" ca="1" si="91"/>
        <v>0</v>
      </c>
    </row>
    <row r="60" spans="1:63">
      <c r="A60" s="80"/>
      <c r="B60" s="53">
        <f>+'Taxes RCA 2022'!A53</f>
        <v>42</v>
      </c>
      <c r="C60" s="18" t="str">
        <f>+'Taxes RCA 2022'!B53</f>
        <v>Droit de sortie (DS)/Taxe Export (+)</v>
      </c>
      <c r="E60" s="114"/>
      <c r="F60" s="114">
        <f t="shared" si="97"/>
        <v>0</v>
      </c>
      <c r="G60" s="114">
        <f t="shared" si="98"/>
        <v>0</v>
      </c>
      <c r="H60" s="114"/>
      <c r="I60" s="114"/>
      <c r="J60" s="114">
        <f t="shared" ca="1" si="99"/>
        <v>0</v>
      </c>
      <c r="K60" s="114">
        <f t="shared" ca="1" si="100"/>
        <v>0</v>
      </c>
      <c r="L60" s="114"/>
      <c r="M60" s="114">
        <f t="shared" ca="1" si="101"/>
        <v>0</v>
      </c>
      <c r="N60" s="18"/>
      <c r="O60" s="38"/>
      <c r="P60" s="39"/>
      <c r="Y60" s="15"/>
      <c r="Z60" s="25" t="str">
        <f t="shared" si="93"/>
        <v xml:space="preserve">Fonds du soutien à la Promotion Pétrolière </v>
      </c>
      <c r="AA60" s="16">
        <f>SUM(AA61:AA64)</f>
        <v>0</v>
      </c>
      <c r="AB60" s="16">
        <f t="shared" ref="AB60:AJ60" si="102">SUM(AB61:AB64)</f>
        <v>0</v>
      </c>
      <c r="AC60" s="16">
        <f t="shared" si="102"/>
        <v>0</v>
      </c>
      <c r="AD60" s="16">
        <f t="shared" si="102"/>
        <v>0</v>
      </c>
      <c r="AE60" s="16">
        <f t="shared" si="102"/>
        <v>0</v>
      </c>
      <c r="AF60" s="16">
        <f t="shared" si="102"/>
        <v>0</v>
      </c>
      <c r="AG60" s="16">
        <f t="shared" si="102"/>
        <v>0</v>
      </c>
      <c r="AH60" s="16">
        <f t="shared" si="102"/>
        <v>0</v>
      </c>
      <c r="AI60" s="16">
        <f t="shared" si="102"/>
        <v>0</v>
      </c>
      <c r="AJ60" s="16">
        <f t="shared" si="102"/>
        <v>0</v>
      </c>
      <c r="AL60" s="17"/>
      <c r="AM60" s="26" t="str">
        <f t="shared" si="94"/>
        <v xml:space="preserve">Fonds du soutien à la Promotion Pétrolière </v>
      </c>
      <c r="AN60" s="18">
        <f t="shared" ref="AN60:AV60" si="103">SUM(AN61:AN64)</f>
        <v>0</v>
      </c>
      <c r="AO60" s="18">
        <f t="shared" si="103"/>
        <v>0</v>
      </c>
      <c r="AP60" s="18">
        <f t="shared" si="103"/>
        <v>0</v>
      </c>
      <c r="AQ60" s="18">
        <f t="shared" si="103"/>
        <v>0</v>
      </c>
      <c r="AR60" s="18">
        <f t="shared" si="103"/>
        <v>0</v>
      </c>
      <c r="AS60" s="18">
        <f t="shared" si="103"/>
        <v>0</v>
      </c>
      <c r="AT60" s="18">
        <f t="shared" si="103"/>
        <v>0</v>
      </c>
      <c r="AU60" s="18">
        <f t="shared" si="103"/>
        <v>0</v>
      </c>
      <c r="AV60" s="18">
        <f t="shared" si="103"/>
        <v>0</v>
      </c>
      <c r="AW60" s="18"/>
      <c r="AX60" s="17"/>
      <c r="AY60" s="26" t="str">
        <f t="shared" si="95"/>
        <v xml:space="preserve">Fonds du soutien à la Promotion Pétrolière </v>
      </c>
      <c r="AZ60" s="18">
        <f t="shared" ref="AZ60:BK60" ca="1" si="104">SUM(AZ61:AZ64)</f>
        <v>0</v>
      </c>
      <c r="BA60" s="18">
        <f t="shared" ca="1" si="104"/>
        <v>0</v>
      </c>
      <c r="BB60" s="18">
        <f t="shared" ca="1" si="104"/>
        <v>0</v>
      </c>
      <c r="BC60" s="18">
        <f t="shared" ca="1" si="104"/>
        <v>0</v>
      </c>
      <c r="BD60" s="18">
        <f t="shared" ca="1" si="104"/>
        <v>0</v>
      </c>
      <c r="BE60" s="18">
        <f t="shared" ca="1" si="104"/>
        <v>0</v>
      </c>
      <c r="BF60" s="18">
        <f t="shared" ca="1" si="104"/>
        <v>0</v>
      </c>
      <c r="BG60" s="18">
        <f t="shared" ca="1" si="104"/>
        <v>0</v>
      </c>
      <c r="BH60" s="18">
        <f t="shared" ca="1" si="104"/>
        <v>0</v>
      </c>
      <c r="BI60" s="18">
        <f t="shared" ca="1" si="104"/>
        <v>0</v>
      </c>
      <c r="BJ60" s="18">
        <f t="shared" ca="1" si="104"/>
        <v>0</v>
      </c>
      <c r="BK60" s="18">
        <f t="shared" ca="1" si="104"/>
        <v>0</v>
      </c>
    </row>
    <row r="61" spans="1:63">
      <c r="A61" s="80"/>
      <c r="B61" s="64">
        <f>+'Taxes RCA 2022'!A54</f>
        <v>43</v>
      </c>
      <c r="C61" s="68" t="str">
        <f>+'Taxes RCA 2022'!B54</f>
        <v xml:space="preserve">Autres transferts au profit des communes </v>
      </c>
      <c r="E61" s="165"/>
      <c r="F61" s="165">
        <f t="shared" si="97"/>
        <v>0</v>
      </c>
      <c r="G61" s="165">
        <f t="shared" si="98"/>
        <v>0</v>
      </c>
      <c r="H61" s="114"/>
      <c r="I61" s="165"/>
      <c r="J61" s="165">
        <f t="shared" ca="1" si="99"/>
        <v>0</v>
      </c>
      <c r="K61" s="165">
        <f t="shared" ca="1" si="100"/>
        <v>0</v>
      </c>
      <c r="L61" s="114"/>
      <c r="M61" s="165">
        <f t="shared" ca="1" si="101"/>
        <v>0</v>
      </c>
      <c r="N61" s="68"/>
      <c r="O61" s="38"/>
      <c r="P61" s="39"/>
      <c r="Y61" s="15">
        <f>B64</f>
        <v>45</v>
      </c>
      <c r="Z61" s="25" t="str">
        <f t="shared" si="93"/>
        <v>Fonds de Soutien aux projets de Développement Communautaire</v>
      </c>
      <c r="AA61" s="16">
        <f t="shared" ref="AA61:AI61" si="105">SUMPRODUCT(($A$84:$A$751=$Y61&amp;"- "&amp;$Z61)*($C$84:$C$751=AA$1)*($G$84:$G$751))</f>
        <v>0</v>
      </c>
      <c r="AB61" s="16">
        <f t="shared" si="105"/>
        <v>0</v>
      </c>
      <c r="AC61" s="16">
        <f t="shared" si="105"/>
        <v>0</v>
      </c>
      <c r="AD61" s="16">
        <f t="shared" si="105"/>
        <v>0</v>
      </c>
      <c r="AE61" s="16">
        <f t="shared" si="105"/>
        <v>0</v>
      </c>
      <c r="AF61" s="16">
        <f t="shared" si="105"/>
        <v>0</v>
      </c>
      <c r="AG61" s="16">
        <f t="shared" si="105"/>
        <v>0</v>
      </c>
      <c r="AH61" s="16">
        <f t="shared" si="105"/>
        <v>0</v>
      </c>
      <c r="AI61" s="16">
        <f t="shared" si="105"/>
        <v>0</v>
      </c>
      <c r="AJ61" s="16">
        <f>SUM(AA61:AI61)</f>
        <v>0</v>
      </c>
      <c r="AL61" s="17">
        <f>+B64</f>
        <v>45</v>
      </c>
      <c r="AM61" s="26" t="str">
        <f t="shared" si="94"/>
        <v>Fonds de Soutien aux projets de Développement Communautaire</v>
      </c>
      <c r="AN61" s="18">
        <f t="shared" ref="AN61:AU61" si="106">SUMPRODUCT(($J$84:$M$748=$AL61&amp;"- "&amp;$AM61)*($N$84:$N$748=AN$1)*($Q$84:$Q$748))</f>
        <v>0</v>
      </c>
      <c r="AO61" s="18">
        <f t="shared" si="106"/>
        <v>0</v>
      </c>
      <c r="AP61" s="18">
        <f t="shared" si="106"/>
        <v>0</v>
      </c>
      <c r="AQ61" s="18">
        <f t="shared" si="106"/>
        <v>0</v>
      </c>
      <c r="AR61" s="18">
        <f t="shared" si="106"/>
        <v>0</v>
      </c>
      <c r="AS61" s="18">
        <f t="shared" si="106"/>
        <v>0</v>
      </c>
      <c r="AT61" s="18">
        <f t="shared" si="106"/>
        <v>0</v>
      </c>
      <c r="AU61" s="18">
        <f t="shared" si="106"/>
        <v>0</v>
      </c>
      <c r="AV61" s="18">
        <f>SUM(AN61:AU61)</f>
        <v>0</v>
      </c>
      <c r="AW61" s="18"/>
      <c r="AX61" s="17">
        <f>B64</f>
        <v>45</v>
      </c>
      <c r="AY61" s="26" t="str">
        <f t="shared" si="95"/>
        <v>Fonds de Soutien aux projets de Développement Communautaire</v>
      </c>
      <c r="AZ61" s="18">
        <f t="shared" ref="AZ61:BK61" ca="1" si="107">SUMPRODUCT(($C$10:$C$75=$AY61)*($N$10:$N$75=AZ$1)*($M$10:$M$75))</f>
        <v>0</v>
      </c>
      <c r="BA61" s="18">
        <f t="shared" ca="1" si="107"/>
        <v>0</v>
      </c>
      <c r="BB61" s="18">
        <f t="shared" ca="1" si="107"/>
        <v>0</v>
      </c>
      <c r="BC61" s="18">
        <f t="shared" ca="1" si="107"/>
        <v>0</v>
      </c>
      <c r="BD61" s="18">
        <f t="shared" ca="1" si="107"/>
        <v>0</v>
      </c>
      <c r="BE61" s="18">
        <f t="shared" ca="1" si="107"/>
        <v>0</v>
      </c>
      <c r="BF61" s="18">
        <f t="shared" ca="1" si="107"/>
        <v>0</v>
      </c>
      <c r="BG61" s="18">
        <f t="shared" ca="1" si="107"/>
        <v>0</v>
      </c>
      <c r="BH61" s="18">
        <f t="shared" ca="1" si="107"/>
        <v>0</v>
      </c>
      <c r="BI61" s="18">
        <f t="shared" ca="1" si="107"/>
        <v>0</v>
      </c>
      <c r="BJ61" s="18">
        <f t="shared" ca="1" si="107"/>
        <v>0</v>
      </c>
      <c r="BK61" s="18">
        <f t="shared" ca="1" si="107"/>
        <v>0</v>
      </c>
    </row>
    <row r="62" spans="1:63">
      <c r="A62" s="80"/>
      <c r="B62" s="163"/>
      <c r="C62" s="58" t="str">
        <f>+'Taxes RCA 2022'!B55</f>
        <v>DGTCP (DGP)</v>
      </c>
      <c r="E62" s="166">
        <f>+E64+E63</f>
        <v>0</v>
      </c>
      <c r="F62" s="166">
        <f t="shared" ref="F62:G62" si="108">+F64+F63</f>
        <v>0</v>
      </c>
      <c r="G62" s="166">
        <f t="shared" si="108"/>
        <v>0</v>
      </c>
      <c r="H62" s="114"/>
      <c r="I62" s="166">
        <f>+I64+I63</f>
        <v>0</v>
      </c>
      <c r="J62" s="166">
        <f ca="1">+J64+J63</f>
        <v>0</v>
      </c>
      <c r="K62" s="166">
        <f ca="1">+K64+K63</f>
        <v>0</v>
      </c>
      <c r="L62" s="114"/>
      <c r="M62" s="166">
        <f ca="1">+M64+M63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3"/>
        <v>44</v>
      </c>
      <c r="B63" s="53">
        <f>+'Taxes RCA 2022'!A56</f>
        <v>44</v>
      </c>
      <c r="C63" s="18" t="str">
        <f>+'Taxes RCA 2022'!B56</f>
        <v xml:space="preserve">Fonds du soutien à la Promotion Pétrolière </v>
      </c>
      <c r="E63" s="114"/>
      <c r="F63" s="114">
        <f>SUMIF($A$84:$A$751,B63&amp;"- "&amp;C63,$G$84:$G$751)</f>
        <v>0</v>
      </c>
      <c r="G63" s="114">
        <f>E63+F63</f>
        <v>0</v>
      </c>
      <c r="H63" s="114"/>
      <c r="I63" s="114"/>
      <c r="J63" s="114">
        <f ca="1">SUMIF($J$84:$M$749,B63&amp;"- "&amp;C63,$Q$84:$Q$749)</f>
        <v>0</v>
      </c>
      <c r="K63" s="114">
        <f ca="1">I63+J63</f>
        <v>0</v>
      </c>
      <c r="L63" s="114"/>
      <c r="M63" s="114">
        <f ca="1">+G63-K63</f>
        <v>0</v>
      </c>
      <c r="N63" s="18"/>
      <c r="O63" s="38" t="str">
        <f ca="1">IF(M63=0,"",IF(N63=0,"ERROR",""))</f>
        <v/>
      </c>
      <c r="P63" s="39"/>
      <c r="Q63" s="23"/>
      <c r="Y63" s="15">
        <f>B65</f>
        <v>0</v>
      </c>
      <c r="Z63" s="25" t="str">
        <f>C65</f>
        <v xml:space="preserve">Paiements Sociaux </v>
      </c>
      <c r="AA63" s="16">
        <f t="shared" ref="AA63:AI64" si="109">SUMPRODUCT(($A$84:$A$751=$Y63&amp;"- "&amp;$Z63)*($C$84:$C$751=AA$1)*($G$84:$G$751))</f>
        <v>0</v>
      </c>
      <c r="AB63" s="16">
        <f t="shared" si="109"/>
        <v>0</v>
      </c>
      <c r="AC63" s="16">
        <f t="shared" si="109"/>
        <v>0</v>
      </c>
      <c r="AD63" s="16">
        <f t="shared" si="109"/>
        <v>0</v>
      </c>
      <c r="AE63" s="16">
        <f t="shared" si="109"/>
        <v>0</v>
      </c>
      <c r="AF63" s="16">
        <f t="shared" si="109"/>
        <v>0</v>
      </c>
      <c r="AG63" s="16">
        <f t="shared" si="109"/>
        <v>0</v>
      </c>
      <c r="AH63" s="16">
        <f t="shared" si="109"/>
        <v>0</v>
      </c>
      <c r="AI63" s="16">
        <f t="shared" si="109"/>
        <v>0</v>
      </c>
      <c r="AJ63" s="16">
        <f>SUM(AA63:AI63)</f>
        <v>0</v>
      </c>
      <c r="AL63" s="17">
        <f>+B65</f>
        <v>0</v>
      </c>
      <c r="AM63" s="26" t="str">
        <f>+C65</f>
        <v xml:space="preserve">Paiements Sociaux </v>
      </c>
      <c r="AN63" s="18">
        <f t="shared" ref="AN63:AU64" si="110">SUMPRODUCT(($J$84:$M$748=$AL63&amp;"- "&amp;$AM63)*($N$84:$N$748=AN$1)*($Q$84:$Q$748))</f>
        <v>0</v>
      </c>
      <c r="AO63" s="18">
        <f t="shared" si="110"/>
        <v>0</v>
      </c>
      <c r="AP63" s="18">
        <f t="shared" si="110"/>
        <v>0</v>
      </c>
      <c r="AQ63" s="18">
        <f t="shared" si="110"/>
        <v>0</v>
      </c>
      <c r="AR63" s="18">
        <f t="shared" si="110"/>
        <v>0</v>
      </c>
      <c r="AS63" s="18">
        <f t="shared" si="110"/>
        <v>0</v>
      </c>
      <c r="AT63" s="18">
        <f t="shared" si="110"/>
        <v>0</v>
      </c>
      <c r="AU63" s="18">
        <f t="shared" si="110"/>
        <v>0</v>
      </c>
      <c r="AV63" s="18">
        <f>SUM(AN63:AU63)</f>
        <v>0</v>
      </c>
      <c r="AW63" s="18"/>
      <c r="AX63" s="17">
        <f>B65</f>
        <v>0</v>
      </c>
      <c r="AY63" s="26" t="str">
        <f>C65</f>
        <v xml:space="preserve">Paiements Sociaux </v>
      </c>
      <c r="AZ63" s="18">
        <f t="shared" ref="AZ63:BK64" ca="1" si="111">SUMPRODUCT(($C$10:$C$75=$AY63)*($N$10:$N$75=AZ$1)*($M$10:$M$75))</f>
        <v>0</v>
      </c>
      <c r="BA63" s="18">
        <f t="shared" ca="1" si="111"/>
        <v>0</v>
      </c>
      <c r="BB63" s="18">
        <f t="shared" ca="1" si="111"/>
        <v>0</v>
      </c>
      <c r="BC63" s="18">
        <f t="shared" ca="1" si="111"/>
        <v>0</v>
      </c>
      <c r="BD63" s="18">
        <f t="shared" ca="1" si="111"/>
        <v>0</v>
      </c>
      <c r="BE63" s="18">
        <f t="shared" ca="1" si="111"/>
        <v>0</v>
      </c>
      <c r="BF63" s="18">
        <f t="shared" ca="1" si="111"/>
        <v>0</v>
      </c>
      <c r="BG63" s="18">
        <f t="shared" ca="1" si="111"/>
        <v>0</v>
      </c>
      <c r="BH63" s="18">
        <f t="shared" ca="1" si="111"/>
        <v>0</v>
      </c>
      <c r="BI63" s="18">
        <f t="shared" ca="1" si="111"/>
        <v>0</v>
      </c>
      <c r="BJ63" s="18">
        <f t="shared" ca="1" si="111"/>
        <v>0</v>
      </c>
      <c r="BK63" s="18">
        <f t="shared" ca="1" si="111"/>
        <v>0</v>
      </c>
    </row>
    <row r="64" spans="1:63">
      <c r="A64" s="80">
        <f t="shared" si="23"/>
        <v>45</v>
      </c>
      <c r="B64" s="64">
        <f>+'Taxes RCA 2022'!A57</f>
        <v>45</v>
      </c>
      <c r="C64" s="68" t="str">
        <f>+'Taxes RCA 2022'!B57</f>
        <v>Fonds de Soutien aux projets de Développement Communautaire</v>
      </c>
      <c r="E64" s="165"/>
      <c r="F64" s="165">
        <f>SUMIF($A$84:$A$751,B64&amp;"- "&amp;C64,$G$84:$G$751)</f>
        <v>0</v>
      </c>
      <c r="G64" s="165">
        <f>E64+F64</f>
        <v>0</v>
      </c>
      <c r="H64" s="114"/>
      <c r="I64" s="165"/>
      <c r="J64" s="165">
        <f ca="1">SUMIF($J$84:$M$749,B64&amp;"- "&amp;C64,$Q$84:$Q$749)</f>
        <v>0</v>
      </c>
      <c r="K64" s="165">
        <f ca="1">I64+J64</f>
        <v>0</v>
      </c>
      <c r="L64" s="114"/>
      <c r="M64" s="165">
        <f ca="1">+G64-K64</f>
        <v>0</v>
      </c>
      <c r="N64" s="68"/>
      <c r="O64" s="38" t="str">
        <f ca="1">IF(M64=0,"",IF(N64=0,"ERROR",""))</f>
        <v/>
      </c>
      <c r="P64" s="39" t="str">
        <f ca="1">IF(O64="ERROR","Please insert comment","")</f>
        <v/>
      </c>
      <c r="Y64" s="15">
        <f>B66</f>
        <v>46</v>
      </c>
      <c r="Z64" s="25" t="str">
        <f>C66</f>
        <v>Paiements sociaux obligatoires</v>
      </c>
      <c r="AA64" s="16">
        <f t="shared" si="109"/>
        <v>0</v>
      </c>
      <c r="AB64" s="16">
        <f t="shared" si="109"/>
        <v>0</v>
      </c>
      <c r="AC64" s="16">
        <f t="shared" si="109"/>
        <v>0</v>
      </c>
      <c r="AD64" s="16">
        <f t="shared" si="109"/>
        <v>0</v>
      </c>
      <c r="AE64" s="16">
        <f t="shared" si="109"/>
        <v>0</v>
      </c>
      <c r="AF64" s="16">
        <f t="shared" si="109"/>
        <v>0</v>
      </c>
      <c r="AG64" s="16">
        <f t="shared" si="109"/>
        <v>0</v>
      </c>
      <c r="AH64" s="16">
        <f t="shared" si="109"/>
        <v>0</v>
      </c>
      <c r="AI64" s="16">
        <f t="shared" si="109"/>
        <v>0</v>
      </c>
      <c r="AJ64" s="16">
        <f>SUM(AA64:AI64)</f>
        <v>0</v>
      </c>
      <c r="AL64" s="17">
        <f>+B66</f>
        <v>46</v>
      </c>
      <c r="AM64" s="26" t="str">
        <f>+C66</f>
        <v>Paiements sociaux obligatoires</v>
      </c>
      <c r="AN64" s="18">
        <f t="shared" si="110"/>
        <v>0</v>
      </c>
      <c r="AO64" s="18">
        <f t="shared" si="110"/>
        <v>0</v>
      </c>
      <c r="AP64" s="18">
        <f t="shared" si="110"/>
        <v>0</v>
      </c>
      <c r="AQ64" s="18">
        <f t="shared" si="110"/>
        <v>0</v>
      </c>
      <c r="AR64" s="18">
        <f t="shared" si="110"/>
        <v>0</v>
      </c>
      <c r="AS64" s="18">
        <f t="shared" si="110"/>
        <v>0</v>
      </c>
      <c r="AT64" s="18">
        <f t="shared" si="110"/>
        <v>0</v>
      </c>
      <c r="AU64" s="18">
        <f t="shared" si="110"/>
        <v>0</v>
      </c>
      <c r="AV64" s="18">
        <f>SUM(AN64:AU64)</f>
        <v>0</v>
      </c>
      <c r="AW64" s="38"/>
      <c r="AX64" s="17">
        <f>B66</f>
        <v>46</v>
      </c>
      <c r="AY64" s="26" t="str">
        <f>C66</f>
        <v>Paiements sociaux obligatoires</v>
      </c>
      <c r="AZ64" s="18">
        <f t="shared" ca="1" si="111"/>
        <v>0</v>
      </c>
      <c r="BA64" s="18">
        <f t="shared" ca="1" si="111"/>
        <v>0</v>
      </c>
      <c r="BB64" s="18">
        <f t="shared" ca="1" si="111"/>
        <v>0</v>
      </c>
      <c r="BC64" s="18">
        <f t="shared" ca="1" si="111"/>
        <v>0</v>
      </c>
      <c r="BD64" s="18">
        <f t="shared" ca="1" si="111"/>
        <v>0</v>
      </c>
      <c r="BE64" s="18">
        <f t="shared" ca="1" si="111"/>
        <v>0</v>
      </c>
      <c r="BF64" s="18">
        <f t="shared" ca="1" si="111"/>
        <v>0</v>
      </c>
      <c r="BG64" s="18">
        <f t="shared" ca="1" si="111"/>
        <v>0</v>
      </c>
      <c r="BH64" s="18">
        <f t="shared" ca="1" si="111"/>
        <v>0</v>
      </c>
      <c r="BI64" s="18">
        <f t="shared" ca="1" si="111"/>
        <v>0</v>
      </c>
      <c r="BJ64" s="18">
        <f t="shared" ca="1" si="111"/>
        <v>0</v>
      </c>
      <c r="BK64" s="18">
        <f t="shared" ca="1" si="111"/>
        <v>0</v>
      </c>
    </row>
    <row r="65" spans="1:64">
      <c r="A65" s="80">
        <f t="shared" si="23"/>
        <v>0</v>
      </c>
      <c r="B65" s="163"/>
      <c r="C65" s="58" t="str">
        <f>+'Taxes RCA 2022'!B58</f>
        <v xml:space="preserve">Paiements Sociaux </v>
      </c>
      <c r="E65" s="166">
        <f>+E67+E66</f>
        <v>0</v>
      </c>
      <c r="F65" s="166">
        <f t="shared" ref="F65:G65" si="112">+F67+F66</f>
        <v>0</v>
      </c>
      <c r="G65" s="166">
        <f t="shared" si="112"/>
        <v>0</v>
      </c>
      <c r="H65" s="114"/>
      <c r="I65" s="166">
        <f>+I67+I66</f>
        <v>0</v>
      </c>
      <c r="J65" s="166">
        <f ca="1">+J67+J66</f>
        <v>0</v>
      </c>
      <c r="K65" s="166">
        <f ca="1">+K67+K66</f>
        <v>0</v>
      </c>
      <c r="L65" s="114"/>
      <c r="M65" s="166">
        <f ca="1">+M67+M66</f>
        <v>0</v>
      </c>
      <c r="N65" s="58"/>
      <c r="O65" s="38" t="str">
        <f ca="1">IF(M65=0,"",IF(N65=0,"ERROR",""))</f>
        <v/>
      </c>
      <c r="P65" s="39" t="str">
        <f ca="1">IF(O65="ERROR","Please insert comment","")</f>
        <v/>
      </c>
      <c r="Y65" s="15"/>
      <c r="Z65" s="25" t="str">
        <f t="shared" ref="Z65:Z73" si="113">C67</f>
        <v>Paiements sociaux volontaires</v>
      </c>
      <c r="AA65" s="16">
        <f>SUM(AA66:AA67)</f>
        <v>0</v>
      </c>
      <c r="AB65" s="16">
        <f t="shared" ref="AB65:AJ65" si="114">SUM(AB66:AB67)</f>
        <v>0</v>
      </c>
      <c r="AC65" s="16">
        <f t="shared" si="114"/>
        <v>0</v>
      </c>
      <c r="AD65" s="16">
        <f t="shared" si="114"/>
        <v>0</v>
      </c>
      <c r="AE65" s="16">
        <f t="shared" si="114"/>
        <v>0</v>
      </c>
      <c r="AF65" s="16">
        <f t="shared" si="114"/>
        <v>0</v>
      </c>
      <c r="AG65" s="16">
        <f t="shared" si="114"/>
        <v>0</v>
      </c>
      <c r="AH65" s="16">
        <f t="shared" si="114"/>
        <v>0</v>
      </c>
      <c r="AI65" s="16">
        <f t="shared" si="114"/>
        <v>0</v>
      </c>
      <c r="AJ65" s="16">
        <f t="shared" si="114"/>
        <v>0</v>
      </c>
      <c r="AL65" s="17"/>
      <c r="AM65" s="26" t="str">
        <f t="shared" ref="AM65:AM73" si="115">+C67</f>
        <v>Paiements sociaux volontaires</v>
      </c>
      <c r="AN65" s="18">
        <f>SUM(AN66:AN67)</f>
        <v>0</v>
      </c>
      <c r="AO65" s="18">
        <f t="shared" ref="AO65:AV65" si="116">SUM(AO66:AO67)</f>
        <v>0</v>
      </c>
      <c r="AP65" s="18">
        <f t="shared" si="116"/>
        <v>0</v>
      </c>
      <c r="AQ65" s="18">
        <f t="shared" si="116"/>
        <v>0</v>
      </c>
      <c r="AR65" s="18">
        <f t="shared" si="116"/>
        <v>0</v>
      </c>
      <c r="AS65" s="18">
        <f t="shared" si="116"/>
        <v>0</v>
      </c>
      <c r="AT65" s="18">
        <f t="shared" si="116"/>
        <v>0</v>
      </c>
      <c r="AU65" s="18">
        <f t="shared" si="116"/>
        <v>0</v>
      </c>
      <c r="AV65" s="18">
        <f t="shared" si="116"/>
        <v>0</v>
      </c>
      <c r="AW65" s="18"/>
      <c r="AX65" s="17"/>
      <c r="AY65" s="26" t="str">
        <f t="shared" ref="AY65:AY73" si="117">C67</f>
        <v>Paiements sociaux volontaires</v>
      </c>
      <c r="AZ65" s="18">
        <f t="shared" ref="AZ65:BK65" ca="1" si="118">SUM(AZ66:AZ67)</f>
        <v>0</v>
      </c>
      <c r="BA65" s="18">
        <f t="shared" ca="1" si="118"/>
        <v>0</v>
      </c>
      <c r="BB65" s="18">
        <f t="shared" ca="1" si="118"/>
        <v>0</v>
      </c>
      <c r="BC65" s="18">
        <f t="shared" ca="1" si="118"/>
        <v>0</v>
      </c>
      <c r="BD65" s="18">
        <f t="shared" ca="1" si="118"/>
        <v>0</v>
      </c>
      <c r="BE65" s="18">
        <f t="shared" ca="1" si="118"/>
        <v>0</v>
      </c>
      <c r="BF65" s="18">
        <f t="shared" ca="1" si="118"/>
        <v>0</v>
      </c>
      <c r="BG65" s="18">
        <f t="shared" ca="1" si="118"/>
        <v>0</v>
      </c>
      <c r="BH65" s="18">
        <f t="shared" ca="1" si="118"/>
        <v>0</v>
      </c>
      <c r="BI65" s="18">
        <f t="shared" ca="1" si="118"/>
        <v>0</v>
      </c>
      <c r="BJ65" s="18">
        <f t="shared" ca="1" si="118"/>
        <v>0</v>
      </c>
      <c r="BK65" s="18">
        <f t="shared" ca="1" si="118"/>
        <v>0</v>
      </c>
    </row>
    <row r="66" spans="1:64">
      <c r="A66" s="80">
        <f t="shared" si="23"/>
        <v>46</v>
      </c>
      <c r="B66" s="53">
        <f>+'Taxes RCA 2022'!A59</f>
        <v>46</v>
      </c>
      <c r="C66" s="18" t="str">
        <f>+'Taxes RCA 2022'!B59</f>
        <v>Paiements sociaux obligatoires</v>
      </c>
      <c r="E66" s="114"/>
      <c r="F66" s="114">
        <f>SUMIF($A$84:$A$751,B66&amp;"- "&amp;C66,$G$84:$G$751)</f>
        <v>0</v>
      </c>
      <c r="G66" s="114">
        <f>E66+F66</f>
        <v>0</v>
      </c>
      <c r="H66" s="114"/>
      <c r="I66" s="114"/>
      <c r="J66" s="114">
        <f ca="1">SUMIF($J$84:$M$749,B66&amp;"- "&amp;C66,$Q$84:$Q$749)</f>
        <v>0</v>
      </c>
      <c r="K66" s="114">
        <f ca="1">I66+J66</f>
        <v>0</v>
      </c>
      <c r="L66" s="114"/>
      <c r="M66" s="114">
        <f ca="1">+G66-K66</f>
        <v>0</v>
      </c>
      <c r="N66" s="18"/>
      <c r="O66" s="38" t="str">
        <f ca="1">IF(M66=0,"",IF(N66=0,"ERROR",""))</f>
        <v/>
      </c>
      <c r="P66" s="39" t="str">
        <f ca="1">IF(O66="ERROR","Please insert comment","")</f>
        <v/>
      </c>
      <c r="Y66" s="15">
        <f>B68</f>
        <v>0</v>
      </c>
      <c r="Z66" s="25" t="str">
        <f t="shared" si="113"/>
        <v>Paiements environnementaux - DGTCP (FNE)</v>
      </c>
      <c r="AA66" s="16">
        <f t="shared" ref="AA66:AI67" si="119">SUMPRODUCT(($A$84:$A$751=$Y66&amp;"- "&amp;$Z66)*($C$84:$C$751=AA$1)*($G$84:$G$751))</f>
        <v>0</v>
      </c>
      <c r="AB66" s="16">
        <f t="shared" si="119"/>
        <v>0</v>
      </c>
      <c r="AC66" s="16">
        <f t="shared" si="119"/>
        <v>0</v>
      </c>
      <c r="AD66" s="16">
        <f t="shared" si="119"/>
        <v>0</v>
      </c>
      <c r="AE66" s="16">
        <f t="shared" si="119"/>
        <v>0</v>
      </c>
      <c r="AF66" s="16">
        <f t="shared" si="119"/>
        <v>0</v>
      </c>
      <c r="AG66" s="16">
        <f t="shared" si="119"/>
        <v>0</v>
      </c>
      <c r="AH66" s="16">
        <f t="shared" si="119"/>
        <v>0</v>
      </c>
      <c r="AI66" s="16">
        <f t="shared" si="119"/>
        <v>0</v>
      </c>
      <c r="AJ66" s="16">
        <f>SUM(AA66:AI66)</f>
        <v>0</v>
      </c>
      <c r="AL66" s="17">
        <f>+B68</f>
        <v>0</v>
      </c>
      <c r="AM66" s="26" t="str">
        <f t="shared" si="115"/>
        <v>Paiements environnementaux - DGTCP (FNE)</v>
      </c>
      <c r="AN66" s="18">
        <f t="shared" ref="AN66:AU67" si="120">SUMPRODUCT(($J$84:$M$748=$AL66&amp;"- "&amp;$AM66)*($N$84:$N$748=AN$1)*($Q$84:$Q$748))</f>
        <v>0</v>
      </c>
      <c r="AO66" s="18">
        <f t="shared" si="120"/>
        <v>0</v>
      </c>
      <c r="AP66" s="18">
        <f t="shared" si="120"/>
        <v>0</v>
      </c>
      <c r="AQ66" s="18">
        <f t="shared" si="120"/>
        <v>0</v>
      </c>
      <c r="AR66" s="18">
        <f t="shared" si="120"/>
        <v>0</v>
      </c>
      <c r="AS66" s="18">
        <f t="shared" si="120"/>
        <v>0</v>
      </c>
      <c r="AT66" s="18">
        <f t="shared" si="120"/>
        <v>0</v>
      </c>
      <c r="AU66" s="18">
        <f t="shared" si="120"/>
        <v>0</v>
      </c>
      <c r="AV66" s="18">
        <f>SUM(AN66:AU66)</f>
        <v>0</v>
      </c>
      <c r="AW66" s="18"/>
      <c r="AX66" s="17">
        <f>B68</f>
        <v>0</v>
      </c>
      <c r="AY66" s="26" t="str">
        <f t="shared" si="117"/>
        <v>Paiements environnementaux - DGTCP (FNE)</v>
      </c>
      <c r="AZ66" s="18">
        <f t="shared" ref="AZ66:BK67" ca="1" si="121">SUMPRODUCT(($C$10:$C$75=$AY66)*($N$10:$N$75=AZ$1)*($M$10:$M$75))</f>
        <v>0</v>
      </c>
      <c r="BA66" s="18">
        <f t="shared" ca="1" si="121"/>
        <v>0</v>
      </c>
      <c r="BB66" s="18">
        <f t="shared" ca="1" si="121"/>
        <v>0</v>
      </c>
      <c r="BC66" s="18">
        <f t="shared" ca="1" si="121"/>
        <v>0</v>
      </c>
      <c r="BD66" s="18">
        <f t="shared" ca="1" si="121"/>
        <v>0</v>
      </c>
      <c r="BE66" s="18">
        <f t="shared" ca="1" si="121"/>
        <v>0</v>
      </c>
      <c r="BF66" s="18">
        <f t="shared" ca="1" si="121"/>
        <v>0</v>
      </c>
      <c r="BG66" s="18">
        <f t="shared" ca="1" si="121"/>
        <v>0</v>
      </c>
      <c r="BH66" s="18">
        <f t="shared" ca="1" si="121"/>
        <v>0</v>
      </c>
      <c r="BI66" s="18">
        <f t="shared" ca="1" si="121"/>
        <v>0</v>
      </c>
      <c r="BJ66" s="18">
        <f t="shared" ca="1" si="121"/>
        <v>0</v>
      </c>
      <c r="BK66" s="18">
        <f t="shared" ca="1" si="121"/>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SUMIF($J$84:$M$749,B67&amp;"- "&amp;C67,$Q$84:$Q$749)</f>
        <v>0</v>
      </c>
      <c r="K67" s="165">
        <f ca="1">I67+J67</f>
        <v>0</v>
      </c>
      <c r="L67" s="114"/>
      <c r="M67" s="165">
        <f ca="1">+G67-K67</f>
        <v>0</v>
      </c>
      <c r="N67" s="68"/>
      <c r="O67" s="38"/>
      <c r="P67" s="39"/>
      <c r="Y67" s="15">
        <f>B69</f>
        <v>48</v>
      </c>
      <c r="Z67" s="25" t="str">
        <f t="shared" si="113"/>
        <v>Taxes sur les appareils à pression de vapeur et de gaz (+)</v>
      </c>
      <c r="AA67" s="16">
        <f t="shared" si="119"/>
        <v>0</v>
      </c>
      <c r="AB67" s="16">
        <f t="shared" si="119"/>
        <v>0</v>
      </c>
      <c r="AC67" s="16">
        <f t="shared" si="119"/>
        <v>0</v>
      </c>
      <c r="AD67" s="16">
        <f t="shared" si="119"/>
        <v>0</v>
      </c>
      <c r="AE67" s="16">
        <f t="shared" si="119"/>
        <v>0</v>
      </c>
      <c r="AF67" s="16">
        <f t="shared" si="119"/>
        <v>0</v>
      </c>
      <c r="AG67" s="16">
        <f t="shared" si="119"/>
        <v>0</v>
      </c>
      <c r="AH67" s="16">
        <f t="shared" si="119"/>
        <v>0</v>
      </c>
      <c r="AI67" s="16">
        <f t="shared" si="119"/>
        <v>0</v>
      </c>
      <c r="AJ67" s="16">
        <f>SUM(AA67:AI67)</f>
        <v>0</v>
      </c>
      <c r="AL67" s="17">
        <f>+B69</f>
        <v>48</v>
      </c>
      <c r="AM67" s="26" t="str">
        <f t="shared" si="115"/>
        <v>Taxes sur les appareils à pression de vapeur et de gaz (+)</v>
      </c>
      <c r="AN67" s="18">
        <f t="shared" si="120"/>
        <v>0</v>
      </c>
      <c r="AO67" s="18">
        <f t="shared" si="120"/>
        <v>0</v>
      </c>
      <c r="AP67" s="18">
        <f t="shared" si="120"/>
        <v>0</v>
      </c>
      <c r="AQ67" s="18">
        <f t="shared" si="120"/>
        <v>0</v>
      </c>
      <c r="AR67" s="18">
        <f t="shared" si="120"/>
        <v>0</v>
      </c>
      <c r="AS67" s="18">
        <f t="shared" si="120"/>
        <v>0</v>
      </c>
      <c r="AT67" s="18">
        <f t="shared" si="120"/>
        <v>0</v>
      </c>
      <c r="AU67" s="18">
        <f t="shared" si="120"/>
        <v>0</v>
      </c>
      <c r="AV67" s="18">
        <f>SUM(AN67:AU67)</f>
        <v>0</v>
      </c>
      <c r="AW67" s="18"/>
      <c r="AX67" s="17">
        <f>B69</f>
        <v>48</v>
      </c>
      <c r="AY67" s="26" t="str">
        <f t="shared" si="117"/>
        <v>Taxes sur les appareils à pression de vapeur et de gaz (+)</v>
      </c>
      <c r="AZ67" s="18">
        <f t="shared" ca="1" si="121"/>
        <v>0</v>
      </c>
      <c r="BA67" s="18">
        <f t="shared" ca="1" si="121"/>
        <v>0</v>
      </c>
      <c r="BB67" s="18">
        <f t="shared" ca="1" si="121"/>
        <v>0</v>
      </c>
      <c r="BC67" s="18">
        <f t="shared" ca="1" si="121"/>
        <v>0</v>
      </c>
      <c r="BD67" s="18">
        <f t="shared" ca="1" si="121"/>
        <v>0</v>
      </c>
      <c r="BE67" s="18">
        <f t="shared" ca="1" si="121"/>
        <v>0</v>
      </c>
      <c r="BF67" s="18">
        <f t="shared" ca="1" si="121"/>
        <v>0</v>
      </c>
      <c r="BG67" s="18">
        <f t="shared" ca="1" si="121"/>
        <v>0</v>
      </c>
      <c r="BH67" s="18">
        <f t="shared" ca="1" si="121"/>
        <v>0</v>
      </c>
      <c r="BI67" s="18">
        <f t="shared" ca="1" si="121"/>
        <v>0</v>
      </c>
      <c r="BJ67" s="18">
        <f t="shared" ca="1" si="121"/>
        <v>0</v>
      </c>
      <c r="BK67" s="18">
        <f t="shared" ca="1" si="121"/>
        <v>0</v>
      </c>
    </row>
    <row r="68" spans="1:64">
      <c r="A68" s="80"/>
      <c r="B68" s="163"/>
      <c r="C68" s="58" t="str">
        <f>+'Taxes RCA 2022'!B61</f>
        <v>Paiements environnementaux - DGTCP (FNE)</v>
      </c>
      <c r="E68" s="166">
        <f>SUM(E69:E76)</f>
        <v>0</v>
      </c>
      <c r="F68" s="166">
        <f t="shared" ref="F68:G68" si="122">SUM(F69:F76)</f>
        <v>0</v>
      </c>
      <c r="G68" s="166">
        <f t="shared" si="122"/>
        <v>0</v>
      </c>
      <c r="H68" s="114"/>
      <c r="I68" s="166">
        <f>SUM(I69:I76)</f>
        <v>6000000</v>
      </c>
      <c r="J68" s="166">
        <f ca="1">SUM(J69:J76)</f>
        <v>0</v>
      </c>
      <c r="K68" s="166">
        <f ca="1">SUM(K69:K76)</f>
        <v>6000000</v>
      </c>
      <c r="L68" s="114"/>
      <c r="M68" s="166">
        <f ca="1">SUM(M69:M76)</f>
        <v>-6000000</v>
      </c>
      <c r="N68" s="58"/>
      <c r="O68" s="38"/>
      <c r="P68" s="39"/>
      <c r="Y68" s="28"/>
      <c r="Z68" s="28" t="str">
        <f t="shared" si="113"/>
        <v>Taxes à la pollution (+)</v>
      </c>
      <c r="AA68" s="29">
        <f>SUM(AA69:AA69)</f>
        <v>0</v>
      </c>
      <c r="AB68" s="29">
        <f t="shared" ref="AB68:AJ68" si="123">SUM(AB69:AB69)</f>
        <v>0</v>
      </c>
      <c r="AC68" s="29">
        <f t="shared" si="123"/>
        <v>0</v>
      </c>
      <c r="AD68" s="29">
        <f t="shared" si="123"/>
        <v>0</v>
      </c>
      <c r="AE68" s="29">
        <f t="shared" si="123"/>
        <v>0</v>
      </c>
      <c r="AF68" s="29">
        <f t="shared" si="123"/>
        <v>0</v>
      </c>
      <c r="AG68" s="29">
        <f t="shared" si="123"/>
        <v>0</v>
      </c>
      <c r="AH68" s="29">
        <f t="shared" si="123"/>
        <v>0</v>
      </c>
      <c r="AI68" s="29">
        <f t="shared" si="123"/>
        <v>0</v>
      </c>
      <c r="AJ68" s="29">
        <f t="shared" si="123"/>
        <v>0</v>
      </c>
      <c r="AL68" s="28"/>
      <c r="AM68" s="28" t="str">
        <f t="shared" si="115"/>
        <v>Taxes à la pollution (+)</v>
      </c>
      <c r="AN68" s="29">
        <f t="shared" ref="AN68:AV68" si="124">SUM(AN69:AN70)</f>
        <v>0</v>
      </c>
      <c r="AO68" s="29">
        <f t="shared" si="124"/>
        <v>0</v>
      </c>
      <c r="AP68" s="29">
        <f t="shared" si="124"/>
        <v>0</v>
      </c>
      <c r="AQ68" s="29">
        <f t="shared" si="124"/>
        <v>0</v>
      </c>
      <c r="AR68" s="29">
        <f t="shared" si="124"/>
        <v>0</v>
      </c>
      <c r="AS68" s="29">
        <f t="shared" si="124"/>
        <v>0</v>
      </c>
      <c r="AT68" s="29">
        <f t="shared" si="124"/>
        <v>0</v>
      </c>
      <c r="AU68" s="29">
        <f t="shared" si="124"/>
        <v>0</v>
      </c>
      <c r="AV68" s="29">
        <f t="shared" si="124"/>
        <v>0</v>
      </c>
      <c r="AW68" s="38"/>
      <c r="AX68" s="28"/>
      <c r="AY68" s="28" t="str">
        <f t="shared" si="117"/>
        <v>Taxes à la pollution (+)</v>
      </c>
      <c r="AZ68" s="29">
        <f t="shared" ref="AZ68:BK68" ca="1" si="125">SUM(AZ69:AZ70)</f>
        <v>0</v>
      </c>
      <c r="BA68" s="29">
        <f t="shared" ca="1" si="125"/>
        <v>0</v>
      </c>
      <c r="BB68" s="29">
        <f t="shared" ca="1" si="125"/>
        <v>0</v>
      </c>
      <c r="BC68" s="29">
        <f t="shared" ca="1" si="125"/>
        <v>0</v>
      </c>
      <c r="BD68" s="29">
        <f t="shared" ca="1" si="125"/>
        <v>0</v>
      </c>
      <c r="BE68" s="29">
        <f t="shared" ca="1" si="125"/>
        <v>0</v>
      </c>
      <c r="BF68" s="29">
        <f t="shared" ca="1" si="125"/>
        <v>0</v>
      </c>
      <c r="BG68" s="29">
        <f t="shared" ca="1" si="125"/>
        <v>0</v>
      </c>
      <c r="BH68" s="29">
        <f t="shared" ca="1" si="125"/>
        <v>0</v>
      </c>
      <c r="BI68" s="29">
        <f t="shared" ca="1" si="125"/>
        <v>0</v>
      </c>
      <c r="BJ68" s="29">
        <f t="shared" ca="1" si="125"/>
        <v>0</v>
      </c>
      <c r="BK68" s="29">
        <f t="shared" ca="1" si="125"/>
        <v>0</v>
      </c>
    </row>
    <row r="69" spans="1:64">
      <c r="A69" s="80"/>
      <c r="B69" s="53">
        <f>+'Taxes RCA 2022'!A62</f>
        <v>48</v>
      </c>
      <c r="C69" s="18" t="str">
        <f>+'Taxes RCA 2022'!B62</f>
        <v>Taxes sur les appareils à pression de vapeur et de gaz (+)</v>
      </c>
      <c r="E69" s="114"/>
      <c r="F69" s="114">
        <f t="shared" ref="F69:F76" si="126">SUMIF($A$84:$A$751,B69&amp;"- "&amp;C69,$G$84:$G$751)</f>
        <v>0</v>
      </c>
      <c r="G69" s="114">
        <f t="shared" ref="G69:G76" si="127">E69+F69</f>
        <v>0</v>
      </c>
      <c r="H69" s="114"/>
      <c r="I69" s="114"/>
      <c r="J69" s="114">
        <f t="shared" ref="J69:J76" ca="1" si="128">SUMIF($J$84:$M$749,B69&amp;"- "&amp;C69,$Q$84:$Q$749)</f>
        <v>0</v>
      </c>
      <c r="K69" s="114">
        <f t="shared" ref="K69:K76" ca="1" si="129">I69+J69</f>
        <v>0</v>
      </c>
      <c r="L69" s="114"/>
      <c r="M69" s="114">
        <f t="shared" ref="M69:M76" ca="1" si="130">+G69-K69</f>
        <v>0</v>
      </c>
      <c r="N69" s="18"/>
      <c r="O69" s="38"/>
      <c r="P69" s="39"/>
      <c r="Y69" s="15">
        <f>B71</f>
        <v>50</v>
      </c>
      <c r="Z69" s="25" t="str">
        <f t="shared" si="113"/>
        <v>Redevances annuelles résultant des inspections et contrôle des installations classées (+)</v>
      </c>
      <c r="AA69" s="16">
        <f t="shared" ref="AA69:AI69" si="131">SUMPRODUCT(($A$84:$A$751=$Y69&amp;"- "&amp;$Z69)*($C$84:$C$751=AA$1)*($G$84:$G$751))</f>
        <v>0</v>
      </c>
      <c r="AB69" s="16">
        <f t="shared" si="131"/>
        <v>0</v>
      </c>
      <c r="AC69" s="16">
        <f t="shared" si="131"/>
        <v>0</v>
      </c>
      <c r="AD69" s="16">
        <f t="shared" si="131"/>
        <v>0</v>
      </c>
      <c r="AE69" s="16">
        <f t="shared" si="131"/>
        <v>0</v>
      </c>
      <c r="AF69" s="16">
        <f t="shared" si="131"/>
        <v>0</v>
      </c>
      <c r="AG69" s="16">
        <f t="shared" si="131"/>
        <v>0</v>
      </c>
      <c r="AH69" s="16">
        <f t="shared" si="131"/>
        <v>0</v>
      </c>
      <c r="AI69" s="16">
        <f t="shared" si="131"/>
        <v>0</v>
      </c>
      <c r="AJ69" s="16">
        <f>SUM(AA69:AI69)</f>
        <v>0</v>
      </c>
      <c r="AL69" s="17">
        <f>+B71</f>
        <v>50</v>
      </c>
      <c r="AM69" s="26" t="str">
        <f t="shared" si="115"/>
        <v>Redevances annuelles résultant des inspections et contrôle des installations classées (+)</v>
      </c>
      <c r="AN69" s="18">
        <f t="shared" ref="AN69:AU69" si="132">SUMPRODUCT(($J$84:$M$748=$AL69&amp;"- "&amp;$AM69)*($N$84:$N$748=AN$1)*($Q$84:$Q$748))</f>
        <v>0</v>
      </c>
      <c r="AO69" s="18">
        <f t="shared" si="132"/>
        <v>0</v>
      </c>
      <c r="AP69" s="18">
        <f t="shared" si="132"/>
        <v>0</v>
      </c>
      <c r="AQ69" s="18">
        <f t="shared" si="132"/>
        <v>0</v>
      </c>
      <c r="AR69" s="18">
        <f t="shared" si="132"/>
        <v>0</v>
      </c>
      <c r="AS69" s="18">
        <f t="shared" si="132"/>
        <v>0</v>
      </c>
      <c r="AT69" s="18">
        <f t="shared" si="132"/>
        <v>0</v>
      </c>
      <c r="AU69" s="18">
        <f t="shared" si="132"/>
        <v>0</v>
      </c>
      <c r="AV69" s="18">
        <f>SUM(AN69:AU69)</f>
        <v>0</v>
      </c>
      <c r="AW69" s="18"/>
      <c r="AX69" s="17">
        <f>B71</f>
        <v>50</v>
      </c>
      <c r="AY69" s="26" t="str">
        <f t="shared" si="117"/>
        <v>Redevances annuelles résultant des inspections et contrôle des installations classées (+)</v>
      </c>
      <c r="AZ69" s="18">
        <f t="shared" ref="AZ69:BK69" ca="1" si="133">SUMPRODUCT(($C$10:$C$75=$AY69)*($N$10:$N$75=AZ$1)*($M$10:$M$75))</f>
        <v>0</v>
      </c>
      <c r="BA69" s="18">
        <f t="shared" ca="1" si="133"/>
        <v>0</v>
      </c>
      <c r="BB69" s="18">
        <f t="shared" ca="1" si="133"/>
        <v>0</v>
      </c>
      <c r="BC69" s="18">
        <f t="shared" ca="1" si="133"/>
        <v>0</v>
      </c>
      <c r="BD69" s="18">
        <f t="shared" ca="1" si="133"/>
        <v>0</v>
      </c>
      <c r="BE69" s="18">
        <f t="shared" ca="1" si="133"/>
        <v>0</v>
      </c>
      <c r="BF69" s="18">
        <f t="shared" ca="1" si="133"/>
        <v>0</v>
      </c>
      <c r="BG69" s="18">
        <f t="shared" ca="1" si="133"/>
        <v>0</v>
      </c>
      <c r="BH69" s="18">
        <f t="shared" ca="1" si="133"/>
        <v>0</v>
      </c>
      <c r="BI69" s="18">
        <f t="shared" ca="1" si="133"/>
        <v>0</v>
      </c>
      <c r="BJ69" s="18">
        <f t="shared" ca="1" si="133"/>
        <v>0</v>
      </c>
      <c r="BK69" s="18">
        <f t="shared" ca="1" si="133"/>
        <v>0</v>
      </c>
    </row>
    <row r="70" spans="1:64">
      <c r="A70" s="80">
        <f t="shared" si="23"/>
        <v>49</v>
      </c>
      <c r="B70" s="64">
        <f>+'Taxes RCA 2022'!A63</f>
        <v>49</v>
      </c>
      <c r="C70" s="68" t="str">
        <f>+'Taxes RCA 2022'!B63</f>
        <v>Taxes à la pollution (+)</v>
      </c>
      <c r="E70" s="165"/>
      <c r="F70" s="165">
        <f t="shared" si="126"/>
        <v>0</v>
      </c>
      <c r="G70" s="165">
        <f t="shared" si="127"/>
        <v>0</v>
      </c>
      <c r="H70" s="114"/>
      <c r="I70" s="165"/>
      <c r="J70" s="165">
        <f t="shared" ca="1" si="128"/>
        <v>0</v>
      </c>
      <c r="K70" s="165">
        <f t="shared" ca="1" si="129"/>
        <v>0</v>
      </c>
      <c r="L70" s="114"/>
      <c r="M70" s="165">
        <f t="shared" ca="1" si="130"/>
        <v>0</v>
      </c>
      <c r="N70" s="68"/>
      <c r="O70" s="38"/>
      <c r="P70" s="39"/>
      <c r="Y70" s="15"/>
      <c r="Z70" s="25" t="str">
        <f t="shared" si="113"/>
        <v>Taxes superficiaires encaissées par le FNE (+)</v>
      </c>
      <c r="AA70" s="16">
        <f t="shared" ref="AA70:AJ70" si="134">SUM(AA71:AA71)</f>
        <v>0</v>
      </c>
      <c r="AB70" s="16">
        <f t="shared" si="134"/>
        <v>0</v>
      </c>
      <c r="AC70" s="16">
        <f t="shared" si="134"/>
        <v>0</v>
      </c>
      <c r="AD70" s="16">
        <f t="shared" si="134"/>
        <v>0</v>
      </c>
      <c r="AE70" s="16">
        <f t="shared" si="134"/>
        <v>0</v>
      </c>
      <c r="AF70" s="16">
        <f t="shared" si="134"/>
        <v>0</v>
      </c>
      <c r="AG70" s="16">
        <f t="shared" si="134"/>
        <v>0</v>
      </c>
      <c r="AH70" s="16">
        <f t="shared" si="134"/>
        <v>0</v>
      </c>
      <c r="AI70" s="16">
        <f t="shared" si="134"/>
        <v>0</v>
      </c>
      <c r="AJ70" s="16">
        <f t="shared" si="134"/>
        <v>0</v>
      </c>
      <c r="AL70" s="17"/>
      <c r="AM70" s="26" t="str">
        <f t="shared" si="115"/>
        <v>Taxes superficiaires encaissées par le FNE (+)</v>
      </c>
      <c r="AN70" s="18">
        <f t="shared" ref="AN70:AU70" si="135">SUM(AN71:AN71)</f>
        <v>0</v>
      </c>
      <c r="AO70" s="18">
        <f t="shared" si="135"/>
        <v>0</v>
      </c>
      <c r="AP70" s="18">
        <f t="shared" si="135"/>
        <v>0</v>
      </c>
      <c r="AQ70" s="18">
        <f t="shared" si="135"/>
        <v>0</v>
      </c>
      <c r="AR70" s="18">
        <f t="shared" si="135"/>
        <v>0</v>
      </c>
      <c r="AS70" s="18">
        <f t="shared" si="135"/>
        <v>0</v>
      </c>
      <c r="AT70" s="18">
        <f t="shared" si="135"/>
        <v>0</v>
      </c>
      <c r="AU70" s="18">
        <f t="shared" si="135"/>
        <v>0</v>
      </c>
      <c r="AV70" s="18">
        <f>SUM(AV71:AV71)</f>
        <v>0</v>
      </c>
      <c r="AW70" s="18"/>
      <c r="AX70" s="17"/>
      <c r="AY70" s="26" t="str">
        <f t="shared" si="117"/>
        <v>Taxes superficiaires encaissées par le FNE (+)</v>
      </c>
      <c r="AZ70" s="18">
        <f t="shared" ref="AZ70:BK70" ca="1" si="136">SUM(AZ71:AZ71)</f>
        <v>0</v>
      </c>
      <c r="BA70" s="18">
        <f t="shared" ca="1" si="136"/>
        <v>0</v>
      </c>
      <c r="BB70" s="18">
        <f t="shared" ca="1" si="136"/>
        <v>0</v>
      </c>
      <c r="BC70" s="18">
        <f t="shared" ca="1" si="136"/>
        <v>0</v>
      </c>
      <c r="BD70" s="18">
        <f t="shared" ca="1" si="136"/>
        <v>0</v>
      </c>
      <c r="BE70" s="18">
        <f t="shared" ca="1" si="136"/>
        <v>0</v>
      </c>
      <c r="BF70" s="18">
        <f t="shared" ca="1" si="136"/>
        <v>0</v>
      </c>
      <c r="BG70" s="18">
        <f t="shared" ca="1" si="136"/>
        <v>0</v>
      </c>
      <c r="BH70" s="18">
        <f t="shared" ca="1" si="136"/>
        <v>0</v>
      </c>
      <c r="BI70" s="18">
        <f t="shared" ca="1" si="136"/>
        <v>0</v>
      </c>
      <c r="BJ70" s="18">
        <f t="shared" ca="1" si="136"/>
        <v>0</v>
      </c>
      <c r="BK70" s="18">
        <f t="shared" ca="1" si="136"/>
        <v>0</v>
      </c>
      <c r="BL70" s="23"/>
    </row>
    <row r="71" spans="1:64" ht="24">
      <c r="A71" s="80">
        <f t="shared" si="23"/>
        <v>50</v>
      </c>
      <c r="B71" s="53">
        <f>+'Taxes RCA 2022'!A64</f>
        <v>50</v>
      </c>
      <c r="C71" s="171" t="str">
        <f>+'Taxes RCA 2022'!B64</f>
        <v>Redevances annuelles résultant des inspections et contrôle des installations classées (+)</v>
      </c>
      <c r="E71" s="114"/>
      <c r="F71" s="114">
        <f t="shared" si="126"/>
        <v>0</v>
      </c>
      <c r="G71" s="114">
        <f t="shared" si="127"/>
        <v>0</v>
      </c>
      <c r="H71" s="114"/>
      <c r="I71" s="114"/>
      <c r="J71" s="114">
        <f t="shared" ca="1" si="128"/>
        <v>0</v>
      </c>
      <c r="K71" s="114">
        <f t="shared" ca="1" si="129"/>
        <v>0</v>
      </c>
      <c r="L71" s="114"/>
      <c r="M71" s="114">
        <f t="shared" ca="1" si="130"/>
        <v>0</v>
      </c>
      <c r="N71" s="18"/>
      <c r="O71" s="38" t="str">
        <f ca="1">IF(M71=0,"",IF(N71=0,"ERROR",""))</f>
        <v/>
      </c>
      <c r="P71" s="39" t="str">
        <f ca="1">IF(O71="ERROR","Please insert comment","")</f>
        <v/>
      </c>
      <c r="Y71" s="15">
        <f>B73</f>
        <v>52</v>
      </c>
      <c r="Z71" s="25" t="str">
        <f t="shared" si="113"/>
        <v>Taxes de remise en état (+)</v>
      </c>
      <c r="AA71" s="16">
        <f t="shared" ref="AA71:AI73" si="137">SUMPRODUCT(($A$84:$A$751=$Y71&amp;"- "&amp;$Z71)*($C$84:$C$751=AA$1)*($G$84:$G$751))</f>
        <v>0</v>
      </c>
      <c r="AB71" s="16">
        <f t="shared" si="137"/>
        <v>0</v>
      </c>
      <c r="AC71" s="16">
        <f t="shared" si="137"/>
        <v>0</v>
      </c>
      <c r="AD71" s="16">
        <f t="shared" si="137"/>
        <v>0</v>
      </c>
      <c r="AE71" s="16">
        <f t="shared" si="137"/>
        <v>0</v>
      </c>
      <c r="AF71" s="16">
        <f t="shared" si="137"/>
        <v>0</v>
      </c>
      <c r="AG71" s="16">
        <f t="shared" si="137"/>
        <v>0</v>
      </c>
      <c r="AH71" s="16">
        <f t="shared" si="137"/>
        <v>0</v>
      </c>
      <c r="AI71" s="16">
        <f t="shared" si="137"/>
        <v>0</v>
      </c>
      <c r="AJ71" s="16">
        <f>SUM(AA71:AI71)</f>
        <v>0</v>
      </c>
      <c r="AL71" s="17">
        <f>+B73</f>
        <v>52</v>
      </c>
      <c r="AM71" s="26" t="str">
        <f t="shared" si="115"/>
        <v>Taxes de remise en état (+)</v>
      </c>
      <c r="AN71" s="18">
        <f t="shared" ref="AN71:AU71" si="138">SUMPRODUCT(($J$84:$M$748=$AL71&amp;"- "&amp;$AM71)*($N$84:$N$748=AN$1)*($Q$84:$Q$748))</f>
        <v>0</v>
      </c>
      <c r="AO71" s="18">
        <f t="shared" si="138"/>
        <v>0</v>
      </c>
      <c r="AP71" s="18">
        <f t="shared" si="138"/>
        <v>0</v>
      </c>
      <c r="AQ71" s="18">
        <f t="shared" si="138"/>
        <v>0</v>
      </c>
      <c r="AR71" s="18">
        <f t="shared" si="138"/>
        <v>0</v>
      </c>
      <c r="AS71" s="18">
        <f t="shared" si="138"/>
        <v>0</v>
      </c>
      <c r="AT71" s="18">
        <f t="shared" si="138"/>
        <v>0</v>
      </c>
      <c r="AU71" s="18">
        <f t="shared" si="138"/>
        <v>0</v>
      </c>
      <c r="AV71" s="18">
        <f>SUM(AN71:AU71)</f>
        <v>0</v>
      </c>
      <c r="AW71" s="18"/>
      <c r="AX71" s="17">
        <f>B73</f>
        <v>52</v>
      </c>
      <c r="AY71" s="26" t="str">
        <f t="shared" si="117"/>
        <v>Taxes de remise en état (+)</v>
      </c>
      <c r="AZ71" s="18">
        <f t="shared" ref="AZ71:BK71" ca="1" si="139">SUMPRODUCT(($C$10:$C$75=$AY71)*($N$10:$N$75=AZ$1)*($M$10:$M$75))</f>
        <v>0</v>
      </c>
      <c r="BA71" s="18">
        <f t="shared" ca="1" si="139"/>
        <v>0</v>
      </c>
      <c r="BB71" s="18">
        <f t="shared" ca="1" si="139"/>
        <v>0</v>
      </c>
      <c r="BC71" s="18">
        <f t="shared" ca="1" si="139"/>
        <v>0</v>
      </c>
      <c r="BD71" s="18">
        <f t="shared" ca="1" si="139"/>
        <v>0</v>
      </c>
      <c r="BE71" s="18">
        <f t="shared" ca="1" si="139"/>
        <v>0</v>
      </c>
      <c r="BF71" s="18">
        <f t="shared" ca="1" si="139"/>
        <v>0</v>
      </c>
      <c r="BG71" s="18">
        <f t="shared" ca="1" si="139"/>
        <v>0</v>
      </c>
      <c r="BH71" s="18">
        <f t="shared" ca="1" si="139"/>
        <v>0</v>
      </c>
      <c r="BI71" s="18">
        <f t="shared" ca="1" si="139"/>
        <v>0</v>
      </c>
      <c r="BJ71" s="18">
        <f t="shared" ca="1" si="139"/>
        <v>0</v>
      </c>
      <c r="BK71" s="18">
        <f t="shared" ca="1" si="139"/>
        <v>0</v>
      </c>
    </row>
    <row r="72" spans="1:64">
      <c r="A72" s="80">
        <f t="shared" si="23"/>
        <v>51</v>
      </c>
      <c r="B72" s="64">
        <f>+'Taxes RCA 2022'!A65</f>
        <v>51</v>
      </c>
      <c r="C72" s="68" t="str">
        <f>+'Taxes RCA 2022'!B65</f>
        <v>Taxes superficiaires encaissées par le FNE (+)</v>
      </c>
      <c r="E72" s="165"/>
      <c r="F72" s="165">
        <f t="shared" si="126"/>
        <v>0</v>
      </c>
      <c r="G72" s="165">
        <f t="shared" si="127"/>
        <v>0</v>
      </c>
      <c r="H72" s="114"/>
      <c r="I72" s="165"/>
      <c r="J72" s="165">
        <f t="shared" ca="1" si="128"/>
        <v>0</v>
      </c>
      <c r="K72" s="165">
        <f t="shared" ca="1" si="129"/>
        <v>0</v>
      </c>
      <c r="L72" s="114"/>
      <c r="M72" s="165">
        <f t="shared" ca="1" si="130"/>
        <v>0</v>
      </c>
      <c r="N72" s="68"/>
      <c r="Y72" s="15"/>
      <c r="Z72" s="25" t="str">
        <f t="shared" si="113"/>
        <v>Taxes environnementales sur les Stes forestières et Minières (+)</v>
      </c>
      <c r="AA72" s="16">
        <f t="shared" si="137"/>
        <v>0</v>
      </c>
      <c r="AB72" s="16">
        <f t="shared" si="137"/>
        <v>0</v>
      </c>
      <c r="AC72" s="16">
        <f t="shared" si="137"/>
        <v>0</v>
      </c>
      <c r="AD72" s="16">
        <f t="shared" si="137"/>
        <v>0</v>
      </c>
      <c r="AE72" s="16">
        <f t="shared" si="137"/>
        <v>0</v>
      </c>
      <c r="AF72" s="16">
        <f t="shared" si="137"/>
        <v>0</v>
      </c>
      <c r="AG72" s="16">
        <f t="shared" si="137"/>
        <v>0</v>
      </c>
      <c r="AH72" s="16">
        <f t="shared" si="137"/>
        <v>0</v>
      </c>
      <c r="AI72" s="16">
        <f t="shared" si="137"/>
        <v>0</v>
      </c>
      <c r="AJ72" s="16">
        <f>SUM(AA72:AI72)</f>
        <v>0</v>
      </c>
      <c r="AL72" s="17"/>
      <c r="AM72" s="26" t="str">
        <f t="shared" si="115"/>
        <v>Taxes environnementales sur les Stes forestières et Minières (+)</v>
      </c>
      <c r="AN72" s="18">
        <f t="shared" ref="AN72:AV72" si="140">SUM(AN73:AN73)</f>
        <v>0</v>
      </c>
      <c r="AO72" s="18">
        <f t="shared" si="140"/>
        <v>0</v>
      </c>
      <c r="AP72" s="18">
        <f t="shared" si="140"/>
        <v>0</v>
      </c>
      <c r="AQ72" s="18">
        <f t="shared" si="140"/>
        <v>0</v>
      </c>
      <c r="AR72" s="18">
        <f t="shared" si="140"/>
        <v>0</v>
      </c>
      <c r="AS72" s="18">
        <f t="shared" si="140"/>
        <v>0</v>
      </c>
      <c r="AT72" s="18">
        <f t="shared" si="140"/>
        <v>0</v>
      </c>
      <c r="AU72" s="18">
        <f t="shared" si="140"/>
        <v>0</v>
      </c>
      <c r="AV72" s="18">
        <f t="shared" si="140"/>
        <v>0</v>
      </c>
      <c r="AW72" s="18"/>
      <c r="AX72" s="17"/>
      <c r="AY72" s="26" t="str">
        <f t="shared" si="117"/>
        <v>Taxes environnementales sur les Stes forestières et Minières (+)</v>
      </c>
      <c r="AZ72" s="18">
        <f t="shared" ref="AZ72:BK72" ca="1" si="141">SUM(AZ73:AZ73)</f>
        <v>0</v>
      </c>
      <c r="BA72" s="18">
        <f t="shared" ca="1" si="141"/>
        <v>0</v>
      </c>
      <c r="BB72" s="18">
        <f t="shared" ca="1" si="141"/>
        <v>0</v>
      </c>
      <c r="BC72" s="18">
        <f t="shared" ca="1" si="141"/>
        <v>0</v>
      </c>
      <c r="BD72" s="18">
        <f t="shared" ca="1" si="141"/>
        <v>0</v>
      </c>
      <c r="BE72" s="18">
        <f t="shared" ca="1" si="141"/>
        <v>0</v>
      </c>
      <c r="BF72" s="18">
        <f t="shared" ca="1" si="141"/>
        <v>0</v>
      </c>
      <c r="BG72" s="18">
        <f t="shared" ca="1" si="141"/>
        <v>0</v>
      </c>
      <c r="BH72" s="18">
        <f t="shared" ca="1" si="141"/>
        <v>0</v>
      </c>
      <c r="BI72" s="18">
        <f t="shared" ca="1" si="141"/>
        <v>0</v>
      </c>
      <c r="BJ72" s="18">
        <f t="shared" ca="1" si="141"/>
        <v>0</v>
      </c>
      <c r="BK72" s="18">
        <f t="shared" ca="1" si="141"/>
        <v>0</v>
      </c>
      <c r="BL72" s="41"/>
    </row>
    <row r="73" spans="1:64">
      <c r="A73" s="80">
        <f t="shared" si="23"/>
        <v>52</v>
      </c>
      <c r="B73" s="53">
        <f>+'Taxes RCA 2022'!A66</f>
        <v>52</v>
      </c>
      <c r="C73" s="18" t="str">
        <f>+'Taxes RCA 2022'!B66</f>
        <v>Taxes de remise en état (+)</v>
      </c>
      <c r="E73" s="114"/>
      <c r="F73" s="114">
        <f t="shared" si="126"/>
        <v>0</v>
      </c>
      <c r="G73" s="114">
        <f t="shared" si="127"/>
        <v>0</v>
      </c>
      <c r="H73" s="114"/>
      <c r="I73" s="114"/>
      <c r="J73" s="114">
        <f t="shared" ca="1" si="128"/>
        <v>0</v>
      </c>
      <c r="K73" s="114">
        <f t="shared" ca="1" si="129"/>
        <v>0</v>
      </c>
      <c r="L73" s="114"/>
      <c r="M73" s="114">
        <f t="shared" ca="1" si="130"/>
        <v>0</v>
      </c>
      <c r="N73" s="18"/>
      <c r="O73" s="38" t="str">
        <f ca="1">IF(M73=0,"",IF(N73=0,"ERROR",""))</f>
        <v/>
      </c>
      <c r="P73" s="39" t="str">
        <f ca="1">IF(O73="ERROR","Please insert comment","")</f>
        <v/>
      </c>
      <c r="Y73" s="15">
        <v>58</v>
      </c>
      <c r="Z73" s="25" t="str">
        <f t="shared" si="113"/>
        <v xml:space="preserve">Amendes environnementales </v>
      </c>
      <c r="AA73" s="16">
        <f t="shared" si="137"/>
        <v>0</v>
      </c>
      <c r="AB73" s="16">
        <f t="shared" si="137"/>
        <v>0</v>
      </c>
      <c r="AC73" s="16">
        <f t="shared" si="137"/>
        <v>0</v>
      </c>
      <c r="AD73" s="16">
        <f t="shared" si="137"/>
        <v>0</v>
      </c>
      <c r="AE73" s="16">
        <f t="shared" si="137"/>
        <v>0</v>
      </c>
      <c r="AF73" s="16">
        <f t="shared" si="137"/>
        <v>0</v>
      </c>
      <c r="AG73" s="16">
        <f t="shared" si="137"/>
        <v>0</v>
      </c>
      <c r="AH73" s="16">
        <f t="shared" si="137"/>
        <v>0</v>
      </c>
      <c r="AI73" s="16">
        <f t="shared" si="137"/>
        <v>0</v>
      </c>
      <c r="AJ73" s="16">
        <f>SUM(AA73:AI73)</f>
        <v>0</v>
      </c>
      <c r="AL73" s="17">
        <f>+B75</f>
        <v>54</v>
      </c>
      <c r="AM73" s="26" t="str">
        <f t="shared" si="115"/>
        <v xml:space="preserve">Amendes environnementales </v>
      </c>
      <c r="AN73" s="18">
        <f t="shared" ref="AN73:AU73" si="142">SUMPRODUCT(($J$84:$M$748=$AL73&amp;"- "&amp;$AM73)*($N$84:$N$748=AN$1)*($Q$84:$Q$748))</f>
        <v>0</v>
      </c>
      <c r="AO73" s="18">
        <f t="shared" si="142"/>
        <v>0</v>
      </c>
      <c r="AP73" s="18">
        <f t="shared" si="142"/>
        <v>0</v>
      </c>
      <c r="AQ73" s="18">
        <f t="shared" si="142"/>
        <v>0</v>
      </c>
      <c r="AR73" s="18">
        <f t="shared" si="142"/>
        <v>0</v>
      </c>
      <c r="AS73" s="18">
        <f t="shared" si="142"/>
        <v>0</v>
      </c>
      <c r="AT73" s="18">
        <f t="shared" si="142"/>
        <v>0</v>
      </c>
      <c r="AU73" s="18">
        <f t="shared" si="142"/>
        <v>0</v>
      </c>
      <c r="AV73" s="18">
        <f>SUM(AN73:AU73)</f>
        <v>0</v>
      </c>
      <c r="AW73" s="18"/>
      <c r="AX73" s="17">
        <f>B75</f>
        <v>54</v>
      </c>
      <c r="AY73" s="26" t="str">
        <f t="shared" si="117"/>
        <v xml:space="preserve">Amendes environnementales </v>
      </c>
      <c r="AZ73" s="18">
        <f t="shared" ref="AZ73:BK73" ca="1" si="143">SUMPRODUCT(($C$10:$C$75=$AY73)*($N$10:$N$75=AZ$1)*($M$10:$M$75))</f>
        <v>0</v>
      </c>
      <c r="BA73" s="18">
        <f t="shared" ca="1" si="143"/>
        <v>0</v>
      </c>
      <c r="BB73" s="18">
        <f t="shared" ca="1" si="143"/>
        <v>0</v>
      </c>
      <c r="BC73" s="18">
        <f t="shared" ca="1" si="143"/>
        <v>0</v>
      </c>
      <c r="BD73" s="18">
        <f t="shared" ca="1" si="143"/>
        <v>0</v>
      </c>
      <c r="BE73" s="18">
        <f t="shared" ca="1" si="143"/>
        <v>0</v>
      </c>
      <c r="BF73" s="18">
        <f t="shared" ca="1" si="143"/>
        <v>0</v>
      </c>
      <c r="BG73" s="18">
        <f t="shared" ca="1" si="143"/>
        <v>0</v>
      </c>
      <c r="BH73" s="18">
        <f t="shared" ca="1" si="143"/>
        <v>0</v>
      </c>
      <c r="BI73" s="18">
        <f t="shared" ca="1" si="143"/>
        <v>0</v>
      </c>
      <c r="BJ73" s="18">
        <f t="shared" ca="1" si="143"/>
        <v>0</v>
      </c>
      <c r="BK73" s="18">
        <f t="shared" ca="1" si="143"/>
        <v>0</v>
      </c>
    </row>
    <row r="74" spans="1:64">
      <c r="A74" s="80"/>
      <c r="B74" s="64">
        <f>+'Taxes RCA 2022'!A67</f>
        <v>53</v>
      </c>
      <c r="C74" s="68" t="str">
        <f>+'Taxes RCA 2022'!B67</f>
        <v>Taxes environnementales sur les Stes forestières et Minières (+)</v>
      </c>
      <c r="E74" s="165"/>
      <c r="F74" s="165">
        <f t="shared" si="126"/>
        <v>0</v>
      </c>
      <c r="G74" s="165">
        <f t="shared" si="127"/>
        <v>0</v>
      </c>
      <c r="H74" s="167">
        <v>808920</v>
      </c>
      <c r="I74" s="165">
        <v>6000000</v>
      </c>
      <c r="J74" s="165">
        <f t="shared" ca="1" si="128"/>
        <v>0</v>
      </c>
      <c r="K74" s="165">
        <f t="shared" ca="1" si="129"/>
        <v>6000000</v>
      </c>
      <c r="L74" s="114"/>
      <c r="M74" s="165">
        <f t="shared" ca="1" si="130"/>
        <v>-6000000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26"/>
        <v>0</v>
      </c>
      <c r="G75" s="114">
        <f t="shared" si="127"/>
        <v>0</v>
      </c>
      <c r="H75" s="114"/>
      <c r="I75" s="114"/>
      <c r="J75" s="114">
        <f t="shared" ca="1" si="128"/>
        <v>0</v>
      </c>
      <c r="K75" s="114">
        <f t="shared" ca="1" si="129"/>
        <v>0</v>
      </c>
      <c r="L75" s="114"/>
      <c r="M75" s="114">
        <f t="shared" ca="1" si="130"/>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3"/>
        <v>55</v>
      </c>
      <c r="B76" s="64">
        <f>+'Taxes RCA 2022'!A69</f>
        <v>55</v>
      </c>
      <c r="C76" s="68" t="str">
        <f>+'Taxes RCA 2022'!B69</f>
        <v>Dépenses environnementales volontaires (+)</v>
      </c>
      <c r="D76" s="33"/>
      <c r="E76" s="165"/>
      <c r="F76" s="165">
        <f t="shared" si="126"/>
        <v>0</v>
      </c>
      <c r="G76" s="165">
        <f t="shared" si="127"/>
        <v>0</v>
      </c>
      <c r="H76" s="168"/>
      <c r="I76" s="165"/>
      <c r="J76" s="165">
        <f t="shared" ca="1" si="128"/>
        <v>0</v>
      </c>
      <c r="K76" s="165">
        <f t="shared" ca="1" si="129"/>
        <v>0</v>
      </c>
      <c r="L76" s="168"/>
      <c r="M76" s="165">
        <f t="shared" ca="1" si="130"/>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3"/>
        <v>0</v>
      </c>
      <c r="B77" s="163"/>
      <c r="C77" s="58" t="str">
        <f>+'Taxes RCA 2022'!B70</f>
        <v>Tous</v>
      </c>
      <c r="E77" s="166">
        <f>+E78+E79</f>
        <v>0</v>
      </c>
      <c r="F77" s="166">
        <f t="shared" ref="F77:G77" si="144">+F78+F79</f>
        <v>0</v>
      </c>
      <c r="G77" s="166">
        <f t="shared" si="144"/>
        <v>0</v>
      </c>
      <c r="H77" s="169"/>
      <c r="I77" s="166">
        <f t="shared" ref="I77:K77" si="145">+I78+I79</f>
        <v>0</v>
      </c>
      <c r="J77" s="166">
        <f t="shared" ca="1" si="145"/>
        <v>0</v>
      </c>
      <c r="K77" s="166">
        <f t="shared" ca="1" si="145"/>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46">SUMPRODUCT(($A$84:$A$751=$Y78&amp;"- "&amp;$Z78)*($C$84:$C$751=AA$1)*($G$84:$G$751))</f>
        <v>0</v>
      </c>
      <c r="AB78" s="16">
        <f t="shared" si="146"/>
        <v>0</v>
      </c>
      <c r="AC78" s="16">
        <f t="shared" si="146"/>
        <v>0</v>
      </c>
      <c r="AD78" s="16">
        <f t="shared" si="146"/>
        <v>0</v>
      </c>
      <c r="AE78" s="16">
        <f t="shared" si="146"/>
        <v>0</v>
      </c>
      <c r="AF78" s="16">
        <f t="shared" si="146"/>
        <v>0</v>
      </c>
      <c r="AG78" s="16">
        <f t="shared" si="146"/>
        <v>0</v>
      </c>
      <c r="AH78" s="16">
        <f t="shared" si="146"/>
        <v>0</v>
      </c>
      <c r="AI78" s="16">
        <f t="shared" si="146"/>
        <v>0</v>
      </c>
      <c r="AJ78" s="16">
        <f>SUM(AA78:AI78)</f>
        <v>0</v>
      </c>
      <c r="AL78" s="17">
        <f>+B45</f>
        <v>0</v>
      </c>
      <c r="AM78" s="26" t="str">
        <f>+C45</f>
        <v xml:space="preserve">Paiements infranationaux au profit des communes </v>
      </c>
      <c r="AN78" s="18">
        <f t="shared" ref="AN78:AU78" si="147">SUMPRODUCT(($J$84:$M$748=$AL78&amp;"- "&amp;$AM78)*($N$84:$N$748=AN$1)*($Q$84:$Q$748))</f>
        <v>0</v>
      </c>
      <c r="AO78" s="18">
        <f t="shared" si="147"/>
        <v>0</v>
      </c>
      <c r="AP78" s="18">
        <f t="shared" si="147"/>
        <v>0</v>
      </c>
      <c r="AQ78" s="18">
        <f t="shared" si="147"/>
        <v>0</v>
      </c>
      <c r="AR78" s="18">
        <f t="shared" si="147"/>
        <v>0</v>
      </c>
      <c r="AS78" s="18">
        <f t="shared" si="147"/>
        <v>0</v>
      </c>
      <c r="AT78" s="18">
        <f t="shared" si="147"/>
        <v>0</v>
      </c>
      <c r="AU78" s="18">
        <f t="shared" si="147"/>
        <v>0</v>
      </c>
      <c r="AV78" s="18">
        <f>SUM(AN78:AU78)</f>
        <v>0</v>
      </c>
      <c r="AW78" s="18"/>
      <c r="AX78" s="17">
        <f>B45</f>
        <v>0</v>
      </c>
      <c r="AY78" s="26" t="str">
        <f>C45</f>
        <v xml:space="preserve">Paiements infranationaux au profit des communes </v>
      </c>
      <c r="AZ78" s="18">
        <f t="shared" ref="AZ78:BK78" ca="1" si="148">SUMPRODUCT(($C$10:$C$75=$AY78)*($N$10:$N$75=AZ$1)*($M$10:$M$75))</f>
        <v>0</v>
      </c>
      <c r="BA78" s="18">
        <f t="shared" ca="1" si="148"/>
        <v>0</v>
      </c>
      <c r="BB78" s="18">
        <f t="shared" ca="1" si="148"/>
        <v>0</v>
      </c>
      <c r="BC78" s="18">
        <f t="shared" ca="1" si="148"/>
        <v>0</v>
      </c>
      <c r="BD78" s="18">
        <f t="shared" ca="1" si="148"/>
        <v>0</v>
      </c>
      <c r="BE78" s="18">
        <f t="shared" ca="1" si="148"/>
        <v>0</v>
      </c>
      <c r="BF78" s="18">
        <f t="shared" ca="1" si="148"/>
        <v>0</v>
      </c>
      <c r="BG78" s="18">
        <f t="shared" ca="1" si="148"/>
        <v>0</v>
      </c>
      <c r="BH78" s="18">
        <f t="shared" ca="1" si="148"/>
        <v>0</v>
      </c>
      <c r="BI78" s="18">
        <f t="shared" ca="1" si="148"/>
        <v>0</v>
      </c>
      <c r="BJ78" s="18">
        <f t="shared" ca="1" si="148"/>
        <v>0</v>
      </c>
      <c r="BK78" s="18">
        <f t="shared" ca="1" si="148"/>
        <v>0</v>
      </c>
    </row>
    <row r="79" spans="1:64">
      <c r="A79" s="80">
        <f t="shared" si="23"/>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J86" s="61" t="s">
        <v>178</v>
      </c>
      <c r="L86" s="60"/>
      <c r="N86" s="97"/>
      <c r="O86" s="121"/>
      <c r="P86" s="129"/>
      <c r="Q86" s="145"/>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J87" s="61" t="s">
        <v>176</v>
      </c>
      <c r="L87" s="60"/>
      <c r="N87" s="97"/>
      <c r="O87" s="125"/>
      <c r="P87" s="122"/>
      <c r="Q87" s="146">
        <f>+I23/0.7*0.3</f>
        <v>51950700</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L88" s="60"/>
      <c r="N88" s="97"/>
      <c r="O88" s="121"/>
      <c r="P88" s="129"/>
      <c r="Q88" s="145"/>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L89" s="60"/>
      <c r="N89" s="97"/>
      <c r="O89" s="121"/>
      <c r="P89" s="129"/>
      <c r="Q89" s="145">
        <v>472764</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L90" s="60"/>
      <c r="N90" s="97"/>
      <c r="O90" s="121"/>
      <c r="P90" s="129"/>
      <c r="Q90" s="145">
        <v>10414213</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L91" s="60"/>
      <c r="N91" s="97"/>
      <c r="O91" s="121"/>
      <c r="P91" s="129"/>
      <c r="Q91" s="145"/>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L92" s="60"/>
      <c r="N92" s="97"/>
      <c r="O92" s="121"/>
      <c r="P92" s="129"/>
      <c r="Q92" s="145"/>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L93" s="60"/>
      <c r="N93" s="97"/>
      <c r="O93" s="121"/>
      <c r="P93" s="129"/>
      <c r="Q93" s="145"/>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L94" s="60"/>
      <c r="N94" s="97"/>
      <c r="O94" s="121"/>
      <c r="P94" s="129"/>
      <c r="Q94" s="145"/>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L95" s="60"/>
      <c r="N95" s="97"/>
      <c r="O95" s="121"/>
      <c r="P95" s="129"/>
      <c r="Q95" s="145"/>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L96" s="60"/>
      <c r="N96" s="97"/>
      <c r="O96" s="121"/>
      <c r="P96" s="129"/>
      <c r="Q96" s="145"/>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L97" s="60"/>
      <c r="N97" s="97"/>
      <c r="O97" s="121"/>
      <c r="P97" s="129"/>
      <c r="Q97" s="145"/>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L98" s="60"/>
      <c r="N98" s="97"/>
      <c r="O98" s="121"/>
      <c r="P98" s="129"/>
      <c r="Q98" s="145"/>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L99" s="60"/>
      <c r="N99" s="97"/>
      <c r="O99" s="121"/>
      <c r="P99" s="129"/>
      <c r="Q99" s="145"/>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L100" s="60"/>
      <c r="N100" s="97"/>
      <c r="O100" s="121"/>
      <c r="P100" s="129"/>
      <c r="Q100" s="145"/>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L101" s="60"/>
      <c r="N101" s="97"/>
      <c r="O101" s="121"/>
      <c r="P101" s="129"/>
      <c r="Q101" s="145"/>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L102" s="60"/>
      <c r="N102" s="97"/>
      <c r="O102" s="121"/>
      <c r="P102" s="129"/>
      <c r="Q102" s="145"/>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c r="A750" s="61"/>
      <c r="B750" s="24"/>
      <c r="C750" s="60"/>
      <c r="E750" s="47"/>
      <c r="F750" s="48"/>
      <c r="G750" s="47"/>
      <c r="J750" s="24"/>
      <c r="K750" s="24"/>
      <c r="L750" s="30"/>
      <c r="N750" s="47"/>
      <c r="O750" s="48"/>
      <c r="P750" s="47"/>
      <c r="Q750" s="24"/>
    </row>
    <row r="751" spans="1:17" ht="15">
      <c r="A751" s="61"/>
      <c r="B751" s="24"/>
      <c r="C751" s="60"/>
      <c r="E751" s="47"/>
      <c r="F751" s="48"/>
      <c r="G751" s="47"/>
      <c r="O751" s="49"/>
      <c r="P751" s="50"/>
      <c r="Q751" s="51">
        <f>SUM(Q82:Q750)</f>
        <v>62837677</v>
      </c>
    </row>
    <row r="752" spans="1:17">
      <c r="B752" s="24"/>
      <c r="C752" s="60"/>
      <c r="E752" s="47"/>
      <c r="F752" s="48"/>
      <c r="G752" s="47"/>
    </row>
    <row r="753" spans="5:7" ht="15">
      <c r="E753" s="49"/>
      <c r="F753" s="50"/>
      <c r="G753" s="51">
        <f>SUM(G84:G752)</f>
        <v>0</v>
      </c>
    </row>
  </sheetData>
  <autoFilter ref="A83:G88" xr:uid="{184E77F8-E6AB-43E1-A0E5-7C81F6600607}"/>
  <mergeCells count="14">
    <mergeCell ref="A82:G82"/>
    <mergeCell ref="J82:Q82"/>
    <mergeCell ref="AX5:AY5"/>
    <mergeCell ref="AX2:AY2"/>
    <mergeCell ref="Y5:Z5"/>
    <mergeCell ref="Y2:Z2"/>
    <mergeCell ref="AL5:AM5"/>
    <mergeCell ref="AL2:AM2"/>
    <mergeCell ref="I3:K3"/>
    <mergeCell ref="M3:M4"/>
    <mergeCell ref="N3:N4"/>
    <mergeCell ref="B3:B4"/>
    <mergeCell ref="C3:C4"/>
    <mergeCell ref="E3:G3"/>
  </mergeCells>
  <conditionalFormatting sqref="T17">
    <cfRule type="containsText" dxfId="15" priority="6" operator="containsText" text="ERROR">
      <formula>NOT(ISERROR(SEARCH("ERROR",T17)))</formula>
    </cfRule>
  </conditionalFormatting>
  <conditionalFormatting sqref="T42">
    <cfRule type="containsText" dxfId="14" priority="5" operator="containsText" text="ERROR">
      <formula>NOT(ISERROR(SEARCH("ERROR",T42)))</formula>
    </cfRule>
  </conditionalFormatting>
  <conditionalFormatting sqref="W19">
    <cfRule type="containsText" dxfId="13" priority="1" operator="containsText" text="ERROR">
      <formula>NOT(ISERROR(SEARCH("ERROR",W19)))</formula>
    </cfRule>
  </conditionalFormatting>
  <conditionalFormatting sqref="BL72">
    <cfRule type="containsText" dxfId="12" priority="2" operator="containsText" text="ERROR">
      <formula>NOT(ISERROR(SEARCH("ERROR",BL72)))</formula>
    </cfRule>
  </conditionalFormatting>
  <dataValidations count="5">
    <dataValidation type="list" allowBlank="1" showInputMessage="1" showErrorMessage="1" sqref="N5:N8 N73 N75 N77:N79 N10:N71" xr:uid="{A01BE3FA-4BAF-4FF3-A1F6-AA5E305EC336}">
      <formula1>FinalDiff</formula1>
    </dataValidation>
    <dataValidation type="list" allowBlank="1" showInputMessage="1" showErrorMessage="1" sqref="N84:N749" xr:uid="{27E4548E-DEBE-4B73-BB4A-8F5C7D807D5B}">
      <formula1>Govadjust</formula1>
    </dataValidation>
    <dataValidation type="list" allowBlank="1" showInputMessage="1" showErrorMessage="1" sqref="M93:M95 M131:M748 L97:M98 L100:L748 L84:L96" xr:uid="{DF5F386B-35D5-4C0D-AE09-95FA17D4311C}">
      <formula1>Taxes</formula1>
    </dataValidation>
    <dataValidation type="list" allowBlank="1" showInputMessage="1" showErrorMessage="1" sqref="C84:C752" xr:uid="{8354BE8E-AF64-4F86-A6DC-A00832B7AFFB}">
      <formula1>Compadjust</formula1>
    </dataValidation>
    <dataValidation type="list" allowBlank="1" showErrorMessage="1" errorTitle="Taxes" error="Non valid entry. Please check the tax list" promptTitle="Taxes" prompt="Please select the tax subject to adjustment" sqref="B84:B134" xr:uid="{6B498739-E3D2-4590-BACD-B05D80EFB2F9}">
      <formula1>$A$135:$A$136</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FB6A5373-4E5C-4806-9772-5FB9C82F1F2F}">
          <x14:formula1>
            <xm:f>Lists!$A$131:$A$132</xm:f>
          </x14:formula1>
          <xm:sqref>K84:K749</xm:sqref>
        </x14:dataValidation>
        <x14:dataValidation type="list" allowBlank="1" showErrorMessage="1" errorTitle="Taxes" error="Non valid entry. Please check the tax list" promptTitle="Taxes" prompt="Please select the tax subject to adjustment" xr:uid="{3081531B-D65A-4211-85A2-CC75BC49FE7E}">
          <x14:formula1>
            <xm:f>Lists!$A$7:$A$64</xm:f>
          </x14:formula1>
          <xm:sqref>A84:A751</xm:sqref>
        </x14:dataValidation>
        <x14:dataValidation type="list" allowBlank="1" showInputMessage="1" showErrorMessage="1" xr:uid="{8FA562B5-2054-4242-82C3-16582B38379A}">
          <x14:formula1>
            <xm:f>Lists!$A$7:$A$64</xm:f>
          </x14:formula1>
          <xm:sqref>J84:J749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BB09-0C4C-4670-B1E9-E778EDBAB5EB}">
  <sheetPr codeName="Feuil10"/>
  <dimension ref="A2:N30"/>
  <sheetViews>
    <sheetView zoomScaleNormal="100" workbookViewId="0">
      <selection activeCell="A26" sqref="A26"/>
    </sheetView>
  </sheetViews>
  <sheetFormatPr baseColWidth="10" defaultColWidth="11.453125" defaultRowHeight="14.5"/>
  <cols>
    <col min="1" max="1" width="42" style="247" bestFit="1" customWidth="1"/>
    <col min="2" max="2" width="13" style="247" bestFit="1" customWidth="1"/>
    <col min="3" max="11" width="11.453125" style="247"/>
    <col min="12" max="12" width="18" style="247" customWidth="1"/>
    <col min="13" max="16384" width="11.453125" style="247"/>
  </cols>
  <sheetData>
    <row r="2" spans="1:14" hidden="1">
      <c r="A2" s="815" t="s">
        <v>276</v>
      </c>
      <c r="B2" s="815"/>
      <c r="C2" s="815"/>
      <c r="D2" s="815"/>
      <c r="E2" s="815"/>
      <c r="F2" s="815"/>
    </row>
    <row r="3" spans="1:14" hidden="1">
      <c r="A3" s="248"/>
    </row>
    <row r="4" spans="1:14" ht="15" hidden="1" thickBot="1">
      <c r="A4" s="249"/>
      <c r="B4" s="250">
        <v>2018</v>
      </c>
      <c r="C4" s="250">
        <f>+B4+1</f>
        <v>2019</v>
      </c>
      <c r="D4" s="250">
        <f t="shared" ref="D4:F4" si="0">+C4+1</f>
        <v>2020</v>
      </c>
      <c r="E4" s="250">
        <f t="shared" si="0"/>
        <v>2021</v>
      </c>
      <c r="F4" s="250">
        <f t="shared" si="0"/>
        <v>2022</v>
      </c>
      <c r="L4" s="384"/>
      <c r="M4" s="385">
        <v>2021</v>
      </c>
      <c r="N4" s="385">
        <v>2022</v>
      </c>
    </row>
    <row r="5" spans="1:14" hidden="1">
      <c r="A5" s="251" t="s">
        <v>277</v>
      </c>
      <c r="B5" s="252"/>
      <c r="C5" s="252"/>
      <c r="D5" s="252"/>
      <c r="E5" s="252"/>
      <c r="F5" s="252"/>
      <c r="L5" s="706" t="s">
        <v>771</v>
      </c>
      <c r="M5" s="636">
        <v>3.2000000000000001E-2</v>
      </c>
      <c r="N5" s="636">
        <v>1.7299999999999999E-2</v>
      </c>
    </row>
    <row r="6" spans="1:14" hidden="1">
      <c r="A6" s="253" t="s">
        <v>278</v>
      </c>
      <c r="B6" s="254">
        <v>1E-3</v>
      </c>
      <c r="C6" s="254">
        <v>2E-3</v>
      </c>
      <c r="D6" s="254">
        <v>3.0000000000000001E-3</v>
      </c>
      <c r="E6" s="254">
        <v>6.0000000000000001E-3</v>
      </c>
      <c r="F6" s="254">
        <v>1.8800000000000001E-2</v>
      </c>
      <c r="L6" s="253" t="s">
        <v>772</v>
      </c>
      <c r="M6" s="595">
        <v>0.80400000000000005</v>
      </c>
      <c r="N6" s="595">
        <v>0.70120000000000005</v>
      </c>
    </row>
    <row r="7" spans="1:14" hidden="1">
      <c r="A7" s="255" t="s">
        <v>279</v>
      </c>
      <c r="B7" s="252" t="s">
        <v>280</v>
      </c>
      <c r="C7" s="252" t="s">
        <v>281</v>
      </c>
      <c r="D7" s="252" t="s">
        <v>282</v>
      </c>
      <c r="E7" s="252" t="s">
        <v>280</v>
      </c>
      <c r="F7" s="252">
        <v>1.6899999999999998E-2</v>
      </c>
      <c r="L7" s="706" t="s">
        <v>773</v>
      </c>
      <c r="M7" s="636">
        <v>2.3E-2</v>
      </c>
      <c r="N7" s="636">
        <v>2.5700000000000001E-2</v>
      </c>
    </row>
    <row r="8" spans="1:14" hidden="1">
      <c r="A8" s="253" t="s">
        <v>283</v>
      </c>
      <c r="B8" s="390">
        <v>1327.8410000000001</v>
      </c>
      <c r="C8" s="390">
        <v>1413.231</v>
      </c>
      <c r="D8" s="390">
        <v>1468.7670000000001</v>
      </c>
      <c r="E8" s="390">
        <v>1530.115</v>
      </c>
      <c r="F8" s="390">
        <v>848.2</v>
      </c>
      <c r="L8" s="253" t="s">
        <v>522</v>
      </c>
      <c r="M8" s="595">
        <v>2.4500000000000001E-2</v>
      </c>
      <c r="N8" s="595">
        <v>4.4699999999999997E-2</v>
      </c>
    </row>
    <row r="9" spans="1:14" hidden="1">
      <c r="L9"/>
      <c r="M9"/>
      <c r="N9"/>
    </row>
    <row r="10" spans="1:14" hidden="1">
      <c r="L10"/>
      <c r="M10"/>
      <c r="N10"/>
    </row>
    <row r="11" spans="1:14" hidden="1">
      <c r="L11" s="704"/>
      <c r="M11"/>
      <c r="N11"/>
    </row>
    <row r="12" spans="1:14" ht="15" hidden="1" thickBot="1">
      <c r="A12" s="384"/>
      <c r="B12" s="385">
        <v>2021</v>
      </c>
      <c r="C12" s="385">
        <v>2022</v>
      </c>
      <c r="L12" s="704"/>
      <c r="M12"/>
      <c r="N12"/>
    </row>
    <row r="13" spans="1:14" ht="15.5" hidden="1">
      <c r="A13" s="386" t="s">
        <v>277</v>
      </c>
      <c r="B13" s="387"/>
      <c r="C13" s="387"/>
      <c r="L13" s="704"/>
      <c r="M13"/>
      <c r="N13"/>
    </row>
    <row r="14" spans="1:14" hidden="1">
      <c r="A14" s="388" t="s">
        <v>278</v>
      </c>
      <c r="B14" s="392">
        <v>6.0000000000000001E-3</v>
      </c>
      <c r="C14" s="392">
        <f>+F6</f>
        <v>1.8800000000000001E-2</v>
      </c>
      <c r="D14" s="392">
        <v>1</v>
      </c>
      <c r="L14" s="705"/>
      <c r="M14"/>
      <c r="N14"/>
    </row>
    <row r="15" spans="1:14" hidden="1">
      <c r="A15" s="389" t="s">
        <v>521</v>
      </c>
      <c r="B15" s="393" t="s">
        <v>280</v>
      </c>
      <c r="C15" s="393">
        <f>+F7</f>
        <v>1.6899999999999998E-2</v>
      </c>
      <c r="D15" s="393">
        <v>1</v>
      </c>
    </row>
    <row r="16" spans="1:14" hidden="1">
      <c r="A16" s="388" t="s">
        <v>283</v>
      </c>
      <c r="B16" s="390">
        <v>1530</v>
      </c>
      <c r="C16" s="391">
        <v>848</v>
      </c>
      <c r="D16" s="391"/>
    </row>
    <row r="17" spans="1:4" hidden="1">
      <c r="A17" s="389" t="s">
        <v>522</v>
      </c>
      <c r="B17" s="394">
        <f>134-40</f>
        <v>94</v>
      </c>
      <c r="C17" s="394">
        <f>+B17+40</f>
        <v>134</v>
      </c>
      <c r="D17" s="394"/>
    </row>
    <row r="18" spans="1:4" hidden="1">
      <c r="A18" s="388" t="s">
        <v>523</v>
      </c>
      <c r="B18" s="392"/>
      <c r="C18" s="392">
        <f>+(C17-B17)/B17</f>
        <v>0.42553191489361702</v>
      </c>
      <c r="D18" s="392">
        <v>1</v>
      </c>
    </row>
    <row r="19" spans="1:4">
      <c r="A19" s="389"/>
      <c r="B19" s="393"/>
      <c r="C19" s="393"/>
    </row>
    <row r="20" spans="1:4" ht="16" thickBot="1">
      <c r="A20" s="720"/>
      <c r="B20" s="385">
        <v>2021</v>
      </c>
      <c r="C20" s="385">
        <v>2022</v>
      </c>
    </row>
    <row r="21" spans="1:4">
      <c r="A21" s="386" t="s">
        <v>771</v>
      </c>
      <c r="B21" s="776">
        <v>3.2000000000000001E-2</v>
      </c>
      <c r="C21" s="776">
        <v>1.7299999999999999E-2</v>
      </c>
    </row>
    <row r="22" spans="1:4">
      <c r="A22" s="781" t="s">
        <v>772</v>
      </c>
      <c r="B22" s="777">
        <v>0.80400000000000005</v>
      </c>
      <c r="C22" s="777">
        <v>0.70120000000000005</v>
      </c>
    </row>
    <row r="23" spans="1:4">
      <c r="A23" s="778" t="s">
        <v>250</v>
      </c>
      <c r="B23" s="779">
        <v>0.3301</v>
      </c>
      <c r="C23" s="779">
        <v>0.46460000000000001</v>
      </c>
    </row>
    <row r="24" spans="1:4">
      <c r="A24" s="778" t="s">
        <v>249</v>
      </c>
      <c r="B24" s="779">
        <v>0.47399999999999998</v>
      </c>
      <c r="C24" s="779">
        <v>0.23669999999999999</v>
      </c>
    </row>
    <row r="25" spans="1:4">
      <c r="A25" s="386" t="s">
        <v>773</v>
      </c>
      <c r="B25" s="776">
        <f>+'[7]Tableau (62)'!B30</f>
        <v>0</v>
      </c>
      <c r="C25" s="776">
        <f>+'[7]Tableau (62)'!C30</f>
        <v>0</v>
      </c>
    </row>
    <row r="26" spans="1:4">
      <c r="A26" s="780" t="s">
        <v>250</v>
      </c>
      <c r="B26" s="782">
        <f>'[7]Tableau (62)'!B24</f>
        <v>0</v>
      </c>
      <c r="C26" s="782">
        <f>'[7]Tableau (62)'!C24</f>
        <v>0</v>
      </c>
    </row>
    <row r="27" spans="1:4">
      <c r="A27" s="780" t="s">
        <v>249</v>
      </c>
      <c r="B27" s="782">
        <f>'[7]Tableau (62)'!B26</f>
        <v>0</v>
      </c>
      <c r="C27" s="782">
        <f>'[7]Tableau (62)'!C26</f>
        <v>0</v>
      </c>
    </row>
    <row r="28" spans="1:4">
      <c r="A28" s="781" t="s">
        <v>522</v>
      </c>
      <c r="B28" s="777">
        <v>2.47E-2</v>
      </c>
      <c r="C28" s="777">
        <v>4.4900000000000002E-2</v>
      </c>
    </row>
    <row r="29" spans="1:4">
      <c r="A29" s="778" t="s">
        <v>250</v>
      </c>
      <c r="B29" s="779">
        <v>2.0000000000000001E-4</v>
      </c>
      <c r="C29" s="779">
        <v>2.9999999999999997E-4</v>
      </c>
    </row>
    <row r="30" spans="1:4">
      <c r="A30" s="778" t="s">
        <v>249</v>
      </c>
      <c r="B30" s="779">
        <v>2.4500000000000001E-2</v>
      </c>
      <c r="C30" s="779">
        <v>4.4600000000000001E-2</v>
      </c>
    </row>
  </sheetData>
  <mergeCells count="1">
    <mergeCell ref="A2:F2"/>
  </mergeCells>
  <hyperlinks>
    <hyperlink ref="L5" location="_ftn1" display="_ftn1" xr:uid="{2E646044-2952-4CCA-8CB9-1188C1F1B287}"/>
    <hyperlink ref="L6" location="_ftn2" display="_ftn2" xr:uid="{154414B5-1AF1-48E2-B309-63DB8D0BC3D8}"/>
    <hyperlink ref="L7" location="_ftn3" display="_ftn3" xr:uid="{2D2C18FA-A508-445F-9287-9225C3760B5A}"/>
    <hyperlink ref="L8" location="_ftn4" display="_ftn4" xr:uid="{995AFE56-E308-4106-9E02-C9BB333036DA}"/>
    <hyperlink ref="A21" location="_ftn1" display="_ftn1" xr:uid="{54033A01-DDDE-4454-BDF2-EFC89B614593}"/>
    <hyperlink ref="A22" location="_ftn2" display="_ftn2" xr:uid="{6DE32918-AAFE-4C9E-BB1D-BBD3EE3FB156}"/>
    <hyperlink ref="A25" location="_ftn3" display="_ftn3" xr:uid="{072EEF5F-ADCB-4BEA-9298-21E01E5211F0}"/>
    <hyperlink ref="A28" location="_ftn4" display="_ftn4" xr:uid="{BC1C860B-1C09-4B38-92E9-84BBCC85EE2F}"/>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9"/>
  <dimension ref="A1:BL752"/>
  <sheetViews>
    <sheetView showGridLines="0" topLeftCell="B43" zoomScaleNormal="100" workbookViewId="0">
      <selection activeCell="I53" sqref="I53"/>
    </sheetView>
  </sheetViews>
  <sheetFormatPr baseColWidth="10" defaultColWidth="11.54296875" defaultRowHeight="12" outlineLevelCol="1"/>
  <cols>
    <col min="1" max="1" width="28.54296875" style="17" hidden="1" customWidth="1"/>
    <col min="2" max="2" width="4.453125" style="17" customWidth="1"/>
    <col min="3" max="3" width="55.269531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4.269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Companies!B26</f>
        <v>THANRY CENTRAFRIQUE</v>
      </c>
      <c r="F1" s="32" t="str">
        <f>Companies!C26</f>
        <v>M224153J001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SUMIF($C$84:$C$750,R3,$G$84:$G$750)</f>
        <v>0</v>
      </c>
      <c r="U3" s="21" t="str">
        <f>Lists!A91</f>
        <v>FD non soumis par la Société</v>
      </c>
      <c r="V3" s="18">
        <f t="shared" ref="V3:V14" si="4">SUMIF($N$9:$N$75,U3,$M$9:$M$75)</f>
        <v>0</v>
      </c>
      <c r="Y3" s="19">
        <f>B6</f>
        <v>0</v>
      </c>
      <c r="Z3" s="19">
        <f>C6</f>
        <v>0</v>
      </c>
      <c r="AA3" s="16">
        <f t="shared" ref="AA3:AI4" si="5">SUMPRODUCT(($A$84:$A$750=$Y3&amp;"- "&amp;$Z3)*($C$84:$C$750=AA$1)*($G$84:$G$750))</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SUMPRODUCT(($J$84:$M$747=$AL3&amp;"- "&amp;$AM3)*($N$84:$N$747=AN$1)*($Q$84:$Q$747))</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SUMIF($A$84:$A$750,B6&amp;"- "&amp;C6,$G$84:$G$750)</f>
        <v>0</v>
      </c>
      <c r="G6" s="165">
        <f>E6+F6</f>
        <v>0</v>
      </c>
      <c r="H6" s="114"/>
      <c r="I6" s="165"/>
      <c r="J6" s="165">
        <f ca="1">SUMIF($J$84:$M$748,B6&amp;"- "&amp;C6,$Q$84:$Q$748)</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SUMIF($A$84:$A$750,B7&amp;"- "&amp;C7,$G$84:$G$750)</f>
        <v>0</v>
      </c>
      <c r="G7" s="114">
        <f>E7+F7</f>
        <v>0</v>
      </c>
      <c r="H7" s="114"/>
      <c r="I7" s="114"/>
      <c r="J7" s="114">
        <f ca="1">SUMIF($J$84:$M$748,B7&amp;"- "&amp;C7,$Q$84:$Q$748)</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SUMPRODUCT(($A$84:$A$750=$Y7&amp;"- "&amp;$Z7)*($C$84:$C$750=AA$1)*($G$84:$G$750))</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SUMPRODUCT(($J$84:$M$747=$AL7&amp;"- "&amp;$AM7)*($N$84:$N$747=AN$1)*($Q$84:$Q$747))</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193396707.39827999</v>
      </c>
      <c r="J8" s="164">
        <f ca="1">+J9+J13+J15+J17+J40+J45+J47+J52+J55+J62+J65+J68+J77</f>
        <v>40798246.142857142</v>
      </c>
      <c r="K8" s="164">
        <f ca="1">+K9+K13+K15+K17+K40+K45+K47+K52+K55+K62+K65+K68+K77</f>
        <v>234194953.54113713</v>
      </c>
      <c r="L8" s="114"/>
      <c r="M8" s="164">
        <f ca="1">+M9+M13+M15+M17+M40+M45+M52+M55+M62+M65+M68+M77+M47</f>
        <v>-234194953.54113713</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3880259</v>
      </c>
      <c r="K9" s="166">
        <f t="shared" ref="K9" ca="1" si="27">SUM(K10:K12)</f>
        <v>3880259</v>
      </c>
      <c r="L9" s="114"/>
      <c r="M9" s="166">
        <f t="shared" ref="M9" ca="1" si="28">SUM(M10:M12)</f>
        <v>-3880259</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SUMIF($A$84:$A$750,B10&amp;"- "&amp;C10,$G$84:$G$750)</f>
        <v>0</v>
      </c>
      <c r="G10" s="165">
        <f>E10+F10</f>
        <v>0</v>
      </c>
      <c r="H10" s="114"/>
      <c r="I10" s="165"/>
      <c r="J10" s="165">
        <f>SUMIF($J$83:$J$1048576,C10,$Q$83:$Q$1048576)</f>
        <v>143713</v>
      </c>
      <c r="K10" s="165">
        <f>I10+J10</f>
        <v>143713</v>
      </c>
      <c r="L10" s="114"/>
      <c r="M10" s="165">
        <f>+G10-K10</f>
        <v>-143713</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SUMIF($A$84:$A$750,B11&amp;"- "&amp;C11,$G$84:$G$750)</f>
        <v>0</v>
      </c>
      <c r="G11" s="114">
        <f>E11+F11</f>
        <v>0</v>
      </c>
      <c r="H11" s="114"/>
      <c r="I11" s="114"/>
      <c r="J11" s="114">
        <f>SUMIF($J$83:$J$1048576,C11,$Q$83:$Q$1048576)</f>
        <v>3736546</v>
      </c>
      <c r="K11" s="114">
        <f>I11+J11</f>
        <v>3736546</v>
      </c>
      <c r="L11" s="114"/>
      <c r="M11" s="114">
        <f>+G11-K11</f>
        <v>-3736546</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SUMIF($A$84:$A$750,B12&amp;"- "&amp;C12,$G$84:$G$750)</f>
        <v>0</v>
      </c>
      <c r="G12" s="165">
        <f>E12+F12</f>
        <v>0</v>
      </c>
      <c r="H12" s="114"/>
      <c r="I12" s="165"/>
      <c r="J12" s="165">
        <f ca="1">SUMIF($J$84:$M$749,C12,$Q$84:$Q$749)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SUMPRODUCT(($A$84:$A$750=$Y13&amp;"- "&amp;$Z13)*($C$84:$C$750=AA$1)*($G$84:$G$750))</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SUMPRODUCT(($J$84:$M$747=$AL13&amp;"- "&amp;$AM13)*($N$84:$N$747=AN$1)*($Q$84:$Q$747))</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SUMIF($A$84:$A$750,B14&amp;"- "&amp;C14,$G$84:$G$750)</f>
        <v>0</v>
      </c>
      <c r="G14" s="114">
        <f>E14+F14</f>
        <v>0</v>
      </c>
      <c r="H14" s="114"/>
      <c r="I14" s="114"/>
      <c r="J14" s="114">
        <f ca="1">SUMIF($J$84:$M$749,C14,$Q$84:$Q$749)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SUMIF($A$84:$A$750,B16&amp;"- "&amp;C16,$G$84:$G$750)</f>
        <v>0</v>
      </c>
      <c r="G16" s="165">
        <f>E16+F16</f>
        <v>0</v>
      </c>
      <c r="H16" s="114"/>
      <c r="I16" s="165"/>
      <c r="J16" s="165">
        <f ca="1">SUMIF($J$84:$M$749,C16,$Q$84:$Q$749)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130495695</v>
      </c>
      <c r="J17" s="166">
        <f t="shared" ref="J17" ca="1" si="52">SUM(J18:J39)</f>
        <v>36917987.142857142</v>
      </c>
      <c r="K17" s="166">
        <f t="shared" ref="K17" ca="1" si="53">SUM(K18:K39)</f>
        <v>167413682.14285713</v>
      </c>
      <c r="L17" s="114"/>
      <c r="M17" s="166">
        <f t="shared" ref="M17" ca="1" si="54">SUM(M18:M39)</f>
        <v>-167413682.14285713</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SUMIF($A$84:$A$750,B18&amp;"- "&amp;C18,$G$84:$G$750)</f>
        <v>0</v>
      </c>
      <c r="G18" s="114">
        <f t="shared" ref="G18:G39" si="56">E18+F18</f>
        <v>0</v>
      </c>
      <c r="H18" s="114"/>
      <c r="I18" s="114"/>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ca="1">SUMIF($J$84:$M$749,C19,$Q$84:$Q$749)</f>
        <v>0</v>
      </c>
      <c r="K19" s="165">
        <f t="shared" ca="1" si="57"/>
        <v>0</v>
      </c>
      <c r="L19" s="114"/>
      <c r="M19" s="165">
        <f t="shared" ca="1" si="58"/>
        <v>0</v>
      </c>
      <c r="N19" s="68"/>
      <c r="O19" s="38" t="str">
        <f t="shared" ca="1" si="46"/>
        <v/>
      </c>
      <c r="P19" s="39" t="str">
        <f t="shared" ca="1" si="47"/>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ca="1">SUMIF($J$84:$M$749,B21&amp;"- "&amp;C21,$Q$84:$Q$749)</f>
        <v>0</v>
      </c>
      <c r="K21" s="165">
        <f t="shared" ca="1" si="57"/>
        <v>0</v>
      </c>
      <c r="L21" s="114"/>
      <c r="M21" s="165">
        <f t="shared" ca="1" si="58"/>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v>86141970</v>
      </c>
      <c r="J23" s="165">
        <f ca="1">SUMIF($J$84:$M$749,C23,$Q$84:$Q$749)</f>
        <v>36917987.142857142</v>
      </c>
      <c r="K23" s="165">
        <f t="shared" ca="1" si="57"/>
        <v>123059957.14285713</v>
      </c>
      <c r="L23" s="114"/>
      <c r="M23" s="165">
        <f t="shared" ca="1" si="58"/>
        <v>-123059957.14285713</v>
      </c>
      <c r="N23" s="68"/>
      <c r="O23" s="38" t="str">
        <f t="shared" ca="1" si="46"/>
        <v>ERROR</v>
      </c>
      <c r="P23" s="39" t="str">
        <f t="shared" ca="1" si="47"/>
        <v>Please insert comment</v>
      </c>
      <c r="Q23" s="35"/>
      <c r="Y23" s="15">
        <f t="shared" ref="Y23:Y32" si="65">B26</f>
        <v>14</v>
      </c>
      <c r="Z23" s="25" t="str">
        <f t="shared" si="59"/>
        <v xml:space="preserve">Taxe de reboisement  </v>
      </c>
      <c r="AA23" s="16">
        <f t="shared" ref="AA23:AI32" si="66">SUMPRODUCT(($A$84:$A$750=$Y23&amp;"- "&amp;$Z23)*($C$84:$C$750=AA$1)*($G$84:$G$750))</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SUMPRODUCT(($J$84:$M$747=$AL23&amp;"- "&amp;$AM23)*($N$84:$N$747=AN$1)*($Q$84:$Q$747))</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v>2483232</v>
      </c>
      <c r="J24" s="114">
        <f ca="1">SUMIF($J$84:$M$749,B24&amp;"- "&amp;C24,$Q$84:$Q$749)</f>
        <v>0</v>
      </c>
      <c r="K24" s="114">
        <f t="shared" ca="1" si="57"/>
        <v>2483232</v>
      </c>
      <c r="L24" s="114"/>
      <c r="M24" s="114">
        <f t="shared" ca="1" si="58"/>
        <v>-2483232</v>
      </c>
      <c r="N24" s="18"/>
      <c r="O24" s="38" t="str">
        <f t="shared" ca="1" si="46"/>
        <v>ERROR</v>
      </c>
      <c r="P24" s="39" t="str">
        <f t="shared" ca="1" si="47"/>
        <v>Please insert comment</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29051577</v>
      </c>
      <c r="J25" s="165">
        <f ca="1">SUMIF($J$84:$M$749,C25,$Q$84:$Q$749)</f>
        <v>-11766691</v>
      </c>
      <c r="K25" s="165">
        <f t="shared" ca="1" si="57"/>
        <v>17284886</v>
      </c>
      <c r="L25" s="114"/>
      <c r="M25" s="165">
        <f t="shared" ca="1" si="58"/>
        <v>-17284886</v>
      </c>
      <c r="N25" s="68"/>
      <c r="O25" s="38" t="str">
        <f t="shared" ca="1" si="46"/>
        <v>ERROR</v>
      </c>
      <c r="P25" s="39" t="str">
        <f t="shared" ca="1" si="47"/>
        <v>Please insert comment</v>
      </c>
      <c r="Q25" s="35"/>
      <c r="R25" s="21" t="str">
        <f>Lists!A80</f>
        <v>Taxes perçues non reportées par l'Etat</v>
      </c>
      <c r="S25" s="18">
        <f t="shared" ref="S25:S32" si="73">SUMIF($N$84:$N$748,R25,$Q$84:$Q$748)</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11766691</v>
      </c>
      <c r="K26" s="114">
        <f t="shared" ca="1" si="57"/>
        <v>11766691</v>
      </c>
      <c r="L26" s="114"/>
      <c r="M26" s="114">
        <f t="shared" ca="1" si="58"/>
        <v>-11766691</v>
      </c>
      <c r="N26" s="18"/>
      <c r="O26" s="38" t="str">
        <f t="shared" ca="1" si="46"/>
        <v>ERROR</v>
      </c>
      <c r="P26" s="39" t="str">
        <f t="shared" ca="1" si="47"/>
        <v>Please insert comment</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v>3006513</v>
      </c>
      <c r="J28" s="114">
        <f t="shared" ca="1" si="74"/>
        <v>0</v>
      </c>
      <c r="K28" s="114">
        <f t="shared" ca="1" si="57"/>
        <v>3006513</v>
      </c>
      <c r="L28" s="114"/>
      <c r="M28" s="114">
        <f t="shared" ca="1" si="58"/>
        <v>-3006513</v>
      </c>
      <c r="N28" s="18"/>
      <c r="O28" s="38" t="str">
        <f t="shared" ca="1" si="46"/>
        <v>ERROR</v>
      </c>
      <c r="P28" s="39" t="str">
        <f t="shared" ca="1" si="47"/>
        <v>Please insert comment</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v>6805890</v>
      </c>
      <c r="J29" s="165">
        <f t="shared" ca="1" si="74"/>
        <v>0</v>
      </c>
      <c r="K29" s="165">
        <f t="shared" ca="1" si="57"/>
        <v>6805890</v>
      </c>
      <c r="L29" s="114"/>
      <c r="M29" s="165">
        <f t="shared" ca="1" si="58"/>
        <v>-6805890</v>
      </c>
      <c r="N29" s="68"/>
      <c r="O29" s="38" t="str">
        <f t="shared" ca="1" si="46"/>
        <v>ERROR</v>
      </c>
      <c r="P29" s="39" t="str">
        <f t="shared" ca="1" si="47"/>
        <v>Please insert comment</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v>3006513</v>
      </c>
      <c r="J30" s="114">
        <f t="shared" ca="1" si="74"/>
        <v>0</v>
      </c>
      <c r="K30" s="114">
        <f t="shared" ca="1" si="57"/>
        <v>3006513</v>
      </c>
      <c r="L30" s="114"/>
      <c r="M30" s="114">
        <f t="shared" ca="1" si="58"/>
        <v>-3006513</v>
      </c>
      <c r="N30" s="18"/>
      <c r="O30" s="38" t="str">
        <f t="shared" ca="1" si="46"/>
        <v>ERROR</v>
      </c>
      <c r="P30" s="39" t="str">
        <f t="shared" ca="1" si="47"/>
        <v>Please insert comment</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SUMPRODUCT(($A$84:$A$750=$Y34&amp;"- "&amp;$Z34)*($C$84:$C$750=AA$1)*($G$84:$G$750))</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SUMPRODUCT(($J$84:$M$747=$AL34&amp;"- "&amp;$AM34)*($N$84:$N$747=AN$1)*($Q$84:$Q$747))</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ca="1">SUMIF($J$84:$M$749,C38,$Q$84:$Q$749)</f>
        <v>0</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SUMIF($A$84:$A$750,B41&amp;"- "&amp;C41,$G$84:$G$750)</f>
        <v>0</v>
      </c>
      <c r="G41" s="114">
        <f>E41+F41</f>
        <v>0</v>
      </c>
      <c r="H41" s="114"/>
      <c r="I41" s="114"/>
      <c r="J41" s="114">
        <f ca="1">SUMIF($J$84:$M$748,B41&amp;"- "&amp;C41,$Q$84:$Q$748)</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SUMIF($A$84:$A$750,B42&amp;"- "&amp;C42,$G$84:$G$750)</f>
        <v>0</v>
      </c>
      <c r="G42" s="165">
        <f>E42+F42</f>
        <v>0</v>
      </c>
      <c r="H42" s="114"/>
      <c r="I42" s="165"/>
      <c r="J42" s="165">
        <f ca="1">SUMIF($J$84:$M$748,B42&amp;"- "&amp;C42,$Q$84:$Q$748)</f>
        <v>0</v>
      </c>
      <c r="K42" s="165">
        <f ca="1">I42+J42</f>
        <v>0</v>
      </c>
      <c r="L42" s="114"/>
      <c r="M42" s="165">
        <f ca="1">+G42-K42</f>
        <v>0</v>
      </c>
      <c r="N42" s="68"/>
      <c r="O42" s="38" t="str">
        <f t="shared" ca="1" si="46"/>
        <v/>
      </c>
      <c r="P42" s="39" t="str">
        <f t="shared" ca="1" si="86"/>
        <v/>
      </c>
      <c r="Q42" s="35"/>
      <c r="T42" s="41"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SUMIF($A$84:$A$750,B43&amp;"- "&amp;C43,$G$84:$G$750)</f>
        <v>0</v>
      </c>
      <c r="G43" s="114">
        <f>E43+F43</f>
        <v>0</v>
      </c>
      <c r="H43" s="114"/>
      <c r="I43" s="114"/>
      <c r="J43" s="114">
        <f ca="1">SUMIF($J$84:$M$748,B43&amp;"- "&amp;C43,$Q$84:$Q$748)</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SUMIF($A$84:$A$750,B44&amp;"- "&amp;C44,$G$84:$G$750)</f>
        <v>0</v>
      </c>
      <c r="G44" s="165">
        <f>E44+F44</f>
        <v>0</v>
      </c>
      <c r="H44" s="114"/>
      <c r="I44" s="165"/>
      <c r="J44" s="165">
        <f ca="1">SUMIF($J$84:$M$748,B44&amp;"- "&amp;C44,$Q$84:$Q$748)</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SUMIF($A$84:$A$750,B46&amp;"- "&amp;C46,$G$84:$G$750)</f>
        <v>0</v>
      </c>
      <c r="G46" s="165">
        <f>E46+F46</f>
        <v>0</v>
      </c>
      <c r="H46" s="114"/>
      <c r="I46" s="165"/>
      <c r="J46" s="165">
        <f ca="1">SUMIF($J$84:$M$748,B46&amp;"- "&amp;C46,$Q$84:$Q$748)</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25009290.100900002</v>
      </c>
      <c r="J47" s="166">
        <f ca="1">SUM(J48:J51)</f>
        <v>0</v>
      </c>
      <c r="K47" s="166">
        <f ca="1">SUM(K48:K51)</f>
        <v>25009290.100900002</v>
      </c>
      <c r="L47" s="114"/>
      <c r="M47" s="166">
        <f ca="1">SUM(M48:M51)</f>
        <v>-25009290.100900002</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SUMIF($A$84:$A$750,B48&amp;"- "&amp;C48,$G$84:$G$750)</f>
        <v>0</v>
      </c>
      <c r="G48" s="114">
        <f>E48+F48</f>
        <v>0</v>
      </c>
      <c r="H48" s="114"/>
      <c r="I48" s="114">
        <v>12126857.904420001</v>
      </c>
      <c r="J48" s="114">
        <f ca="1">SUMIF($J$84:$M$748,B48&amp;"- "&amp;C48,$Q$84:$Q$748)</f>
        <v>0</v>
      </c>
      <c r="K48" s="114">
        <f ca="1">I48+J48</f>
        <v>12126857.904420001</v>
      </c>
      <c r="L48" s="114"/>
      <c r="M48" s="114">
        <f ca="1">+G48-K48</f>
        <v>-12126857.904420001</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SUMPRODUCT(($A$84:$A$750=$Y48&amp;"- "&amp;$Z48)*($C$84:$C$750=AA$1)*($G$84:$G$750))</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SUMPRODUCT(($J$84:$M$747=$AL48&amp;"- "&amp;$AM48)*($N$84:$N$747=AN$1)*($Q$84:$Q$747))</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SUMIF($A$84:$A$750,B49&amp;"- "&amp;C49,$G$84:$G$750)</f>
        <v>0</v>
      </c>
      <c r="G49" s="165">
        <f>E49+F49</f>
        <v>0</v>
      </c>
      <c r="H49" s="114"/>
      <c r="I49" s="165">
        <v>12882432.196479999</v>
      </c>
      <c r="J49" s="165">
        <f ca="1">SUMIF($J$84:$M$748,B49&amp;"- "&amp;C49,$Q$84:$Q$748)</f>
        <v>0</v>
      </c>
      <c r="K49" s="165">
        <f ca="1">I49+J49</f>
        <v>12882432.196479999</v>
      </c>
      <c r="L49" s="114"/>
      <c r="M49" s="165">
        <f ca="1">+G49-K49</f>
        <v>-12882432.196479999</v>
      </c>
      <c r="N49" s="68"/>
      <c r="O49" s="38" t="str">
        <f t="shared" ca="1" si="46"/>
        <v>ERROR</v>
      </c>
      <c r="P49" s="39" t="str">
        <f t="shared" ca="1" si="86"/>
        <v>Please insert comment</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SUMIF($A$84:$A$750,B50&amp;"- "&amp;C50,$G$84:$G$750)</f>
        <v>0</v>
      </c>
      <c r="G50" s="114">
        <f>E50+F50</f>
        <v>0</v>
      </c>
      <c r="H50" s="114"/>
      <c r="I50" s="114"/>
      <c r="J50" s="114">
        <f ca="1">SUMIF($J$84:$M$748,B50&amp;"- "&amp;C50,$Q$84:$Q$748)</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SUMIF($A$84:$A$750,B51&amp;"- "&amp;C51,$G$84:$G$750)</f>
        <v>0</v>
      </c>
      <c r="G51" s="165">
        <f>E51+F51</f>
        <v>0</v>
      </c>
      <c r="H51" s="114"/>
      <c r="I51" s="165"/>
      <c r="J51" s="165">
        <f ca="1">SUMIF($J$84:$M$748,B51&amp;"- "&amp;C51,$Q$84:$Q$748)</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SUMPRODUCT(($A$84:$A$750=$Y51&amp;"- "&amp;$Z51)*($C$84:$C$750=AA$1)*($G$84:$G$750))</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SUMPRODUCT(($J$84:$M$747=$AL51&amp;"- "&amp;$AM51)*($N$84:$N$747=AN$1)*($Q$84:$Q$747))</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37891722.29738</v>
      </c>
      <c r="J52" s="166">
        <f t="shared" ref="J52" ca="1" si="105">+J53+J54</f>
        <v>0</v>
      </c>
      <c r="K52" s="166">
        <f t="shared" ref="K52" ca="1" si="106">+K53+K54</f>
        <v>37891722.29738</v>
      </c>
      <c r="L52" s="114"/>
      <c r="M52" s="166">
        <f t="shared" ref="M52" ca="1" si="107">+M53+M54</f>
        <v>-37891722.29738</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SUMIF($A$84:$A$750,B53&amp;"- "&amp;C53,$G$84:$G$750)</f>
        <v>0</v>
      </c>
      <c r="G53" s="114">
        <f>E53+F53</f>
        <v>0</v>
      </c>
      <c r="H53" s="114"/>
      <c r="I53" s="114">
        <v>25764864.392959997</v>
      </c>
      <c r="J53" s="114">
        <f ca="1">SUMIF($J$84:$M$748,B53&amp;"- "&amp;C53,$Q$84:$Q$748)</f>
        <v>0</v>
      </c>
      <c r="K53" s="114">
        <f ca="1">I53+J53</f>
        <v>25764864.392959997</v>
      </c>
      <c r="L53" s="114"/>
      <c r="M53" s="114">
        <f ca="1">+G53-K53</f>
        <v>-25764864.392959997</v>
      </c>
      <c r="N53" s="18"/>
      <c r="O53" s="38"/>
      <c r="P53" s="39"/>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SUMIF($A$84:$A$750,B54&amp;"- "&amp;C54,$G$84:$G$750)</f>
        <v>0</v>
      </c>
      <c r="G54" s="165">
        <f>E54+F54</f>
        <v>0</v>
      </c>
      <c r="H54" s="114"/>
      <c r="I54" s="165">
        <v>12126857.904420001</v>
      </c>
      <c r="J54" s="165">
        <f ca="1">SUMIF($J$84:$M$748,B54&amp;"- "&amp;C54,$Q$84:$Q$748)</f>
        <v>0</v>
      </c>
      <c r="K54" s="165">
        <f ca="1">I54+J54</f>
        <v>12126857.904420001</v>
      </c>
      <c r="L54" s="114"/>
      <c r="M54" s="165">
        <f ca="1">+G54-K54</f>
        <v>-12126857.904420001</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SUMIF($A$84:$A$750,B56&amp;"- "&amp;C56,$G$84:$G$750)</f>
        <v>0</v>
      </c>
      <c r="G56" s="114">
        <f t="shared" ref="G56:G61" si="116">E56+F56</f>
        <v>0</v>
      </c>
      <c r="H56" s="114"/>
      <c r="I56" s="114"/>
      <c r="J56" s="114">
        <f t="shared" ref="J56:J61" ca="1" si="117">SUMIF($J$84:$M$748,B56&amp;"- "&amp;C56,$Q$84:$Q$748)</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SUMPRODUCT(($A$84:$A$750=$Y61&amp;"- "&amp;$Z61)*($C$84:$C$750=AA$1)*($G$84:$G$750))</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SUMPRODUCT(($J$84:$M$747=$AL61&amp;"- "&amp;$AM61)*($N$84:$N$747=AN$1)*($Q$84:$Q$747))</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SUMIF($A$84:$A$750,B63&amp;"- "&amp;C63,$G$84:$G$750)</f>
        <v>0</v>
      </c>
      <c r="G63" s="114">
        <f>E63+F63</f>
        <v>0</v>
      </c>
      <c r="H63" s="114"/>
      <c r="I63" s="114"/>
      <c r="J63" s="114">
        <f ca="1">SUMIF($J$84:$M$748,B63&amp;"- "&amp;C63,$Q$84:$Q$748)</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SUMPRODUCT(($A$84:$A$750=$Y63&amp;"- "&amp;$Z63)*($C$84:$C$750=AA$1)*($G$84:$G$750))</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SUMPRODUCT(($J$84:$M$747=$AL63&amp;"- "&amp;$AM63)*($N$84:$N$747=AN$1)*($Q$84:$Q$747))</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SUMIF($A$84:$A$750,B64&amp;"- "&amp;C64,$G$84:$G$750)</f>
        <v>0</v>
      </c>
      <c r="G64" s="165">
        <f>E64+F64</f>
        <v>0</v>
      </c>
      <c r="H64" s="114"/>
      <c r="I64" s="165"/>
      <c r="J64" s="165">
        <f ca="1">SUMIF($J$84:$M$748,B64&amp;"- "&amp;C64,$Q$84:$Q$748)</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SUMIF($A$84:$A$750,B66&amp;"- "&amp;C66,$G$84:$G$750)</f>
        <v>0</v>
      </c>
      <c r="G66" s="114">
        <f>E66+F66</f>
        <v>0</v>
      </c>
      <c r="H66" s="114"/>
      <c r="I66" s="114"/>
      <c r="J66" s="114">
        <f ca="1">SUMIF($J$84:$M$748,B66&amp;"- "&amp;C66,$Q$84:$Q$748)</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SUMPRODUCT(($A$84:$A$750=$Y66&amp;"- "&amp;$Z66)*($C$84:$C$750=AA$1)*($G$84:$G$750))</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SUMPRODUCT(($J$84:$M$747=$AL66&amp;"- "&amp;$AM66)*($N$84:$N$747=AN$1)*($Q$84:$Q$747))</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SUMIF($A$84:$A$750,B67&amp;"- "&amp;C67,$G$84:$G$750)</f>
        <v>0</v>
      </c>
      <c r="G67" s="165">
        <f>E67+F67</f>
        <v>0</v>
      </c>
      <c r="H67" s="114"/>
      <c r="I67" s="165"/>
      <c r="J67" s="165">
        <f ca="1">SUMIF($J$84:$M$748,B67&amp;"- "&amp;C67,$Q$84:$Q$748)</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SUMIF($A$84:$A$750,B69&amp;"- "&amp;C69,$G$84:$G$750)</f>
        <v>0</v>
      </c>
      <c r="G69" s="114">
        <f t="shared" ref="G69:G76" si="154">E69+F69</f>
        <v>0</v>
      </c>
      <c r="H69" s="114"/>
      <c r="I69" s="114"/>
      <c r="J69" s="114">
        <f t="shared" ref="J69:J76" ca="1" si="155">SUMIF($J$84:$M$748,B69&amp;"- "&amp;C69,$Q$84:$Q$748)</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SUMPRODUCT(($A$84:$A$750=$Y69&amp;"- "&amp;$Z69)*($C$84:$C$750=AA$1)*($G$84:$G$750))</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SUMPRODUCT(($J$84:$M$747=$AL69&amp;"- "&amp;$AM69)*($N$84:$N$747=AN$1)*($Q$84:$Q$747))</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t="str">
        <f t="shared" ca="1" si="46"/>
        <v/>
      </c>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SUMPRODUCT(($A$84:$A$750=$Y71&amp;"- "&amp;$Z71)*($C$84:$C$750=AA$1)*($G$84:$G$750))</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SUMPRODUCT(($J$84:$M$747=$AL71&amp;"- "&amp;$AM71)*($N$84:$N$747=AN$1)*($Q$84:$Q$747))</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SUMPRODUCT(($J$84:$M$747=$AL73&amp;"- "&amp;$AM73)*($N$84:$N$747=AN$1)*($Q$84:$Q$747))</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SUMIF($A$84:$A$750,B78&amp;"- "&amp;C78,$G$84:$G$750)</f>
        <v>0</v>
      </c>
      <c r="G78" s="114">
        <f>E78+F78</f>
        <v>0</v>
      </c>
      <c r="H78" s="114"/>
      <c r="I78" s="114"/>
      <c r="J78" s="114">
        <f ca="1">SUMIF($J$84:$M$748,B78&amp;"- "&amp;C78,$Q$84:$Q$748)</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SUMPRODUCT(($A$84:$A$750=$Y78&amp;"- "&amp;$Z78)*($C$84:$C$750=AA$1)*($G$84:$G$750))</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SUMPRODUCT(($J$84:$M$747=$AL78&amp;"- "&amp;$AM78)*($N$84:$N$747=AN$1)*($Q$84:$Q$747))</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SUMIF($A$84:$A$750,B79&amp;"- "&amp;C79,$G$84:$G$750)</f>
        <v>0</v>
      </c>
      <c r="G79" s="165">
        <f>+E79+F79</f>
        <v>0</v>
      </c>
      <c r="H79" s="114"/>
      <c r="I79" s="165"/>
      <c r="J79" s="165">
        <f ca="1">SUMIF($J$84:$M$748,B79&amp;"- "&amp;C79,$Q$84:$Q$748)</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IF(F8=G752,"","ERROR")</f>
        <v/>
      </c>
      <c r="G80" s="382"/>
      <c r="H80" s="382"/>
      <c r="I80" s="382"/>
      <c r="J80" s="382" t="str">
        <f ca="1">IF(J8=Q750,"","ERROR")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4"/>
      <c r="F84" s="116"/>
      <c r="G84" s="144"/>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4"/>
      <c r="F85" s="116"/>
      <c r="G85" s="144"/>
      <c r="J85" s="61" t="s">
        <v>177</v>
      </c>
      <c r="L85" s="60"/>
      <c r="N85" s="97"/>
      <c r="O85" s="61" t="s">
        <v>509</v>
      </c>
      <c r="P85" s="129"/>
      <c r="Q85" s="145">
        <f>-Q86</f>
        <v>-11766691</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4"/>
      <c r="F86" s="116"/>
      <c r="G86" s="144"/>
      <c r="J86" s="61" t="s">
        <v>178</v>
      </c>
      <c r="L86" s="60"/>
      <c r="N86" s="97"/>
      <c r="P86" s="120"/>
      <c r="Q86" s="144">
        <v>11766691</v>
      </c>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4"/>
      <c r="F87" s="116"/>
      <c r="G87" s="144"/>
      <c r="J87" s="61" t="s">
        <v>176</v>
      </c>
      <c r="L87" s="60"/>
      <c r="N87" s="97"/>
      <c r="O87" s="121"/>
      <c r="P87" s="120"/>
      <c r="Q87" s="146">
        <f>I23/0.7*0.3</f>
        <v>36917987.142857142</v>
      </c>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4"/>
      <c r="F88" s="116"/>
      <c r="G88" s="144"/>
      <c r="L88" s="60"/>
      <c r="N88" s="97"/>
      <c r="O88" s="121"/>
      <c r="P88" s="120"/>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4"/>
      <c r="F89" s="116"/>
      <c r="G89" s="144"/>
      <c r="J89" s="61" t="s">
        <v>165</v>
      </c>
      <c r="L89" s="60"/>
      <c r="N89" s="97"/>
      <c r="O89" s="121"/>
      <c r="P89" s="120"/>
      <c r="Q89" s="144">
        <v>143713</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4"/>
      <c r="F90" s="116"/>
      <c r="G90" s="144"/>
      <c r="J90" s="61" t="s">
        <v>167</v>
      </c>
      <c r="L90" s="60"/>
      <c r="N90" s="97"/>
      <c r="O90" s="121"/>
      <c r="P90" s="120"/>
      <c r="Q90" s="144">
        <v>3736546</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4"/>
      <c r="F91" s="116"/>
      <c r="G91" s="144"/>
      <c r="L91" s="60"/>
      <c r="N91" s="97"/>
      <c r="O91" s="121"/>
      <c r="P91" s="120"/>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4"/>
      <c r="F92" s="116"/>
      <c r="G92" s="144"/>
      <c r="L92" s="60"/>
      <c r="N92" s="97"/>
      <c r="O92" s="121"/>
      <c r="P92" s="120"/>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4"/>
      <c r="F93" s="116"/>
      <c r="G93" s="144"/>
      <c r="L93" s="60"/>
      <c r="N93" s="97"/>
      <c r="O93" s="121"/>
      <c r="P93" s="120"/>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4"/>
      <c r="F94" s="116"/>
      <c r="G94" s="144"/>
      <c r="L94" s="60"/>
      <c r="N94" s="97"/>
      <c r="O94" s="121"/>
      <c r="P94" s="120"/>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4"/>
      <c r="F95" s="116"/>
      <c r="G95" s="144"/>
      <c r="L95" s="60"/>
      <c r="N95" s="97"/>
      <c r="O95" s="121"/>
      <c r="P95" s="120"/>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4"/>
      <c r="F96" s="116"/>
      <c r="G96" s="144"/>
      <c r="L96" s="60"/>
      <c r="N96" s="97"/>
      <c r="O96" s="121"/>
      <c r="P96" s="120"/>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4"/>
      <c r="F97" s="116"/>
      <c r="G97" s="144"/>
      <c r="L97" s="60"/>
      <c r="N97" s="97"/>
      <c r="O97" s="121"/>
      <c r="P97" s="120"/>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4"/>
      <c r="F98" s="116"/>
      <c r="G98" s="144"/>
      <c r="L98" s="60"/>
      <c r="N98" s="97"/>
      <c r="O98" s="121"/>
      <c r="P98" s="120"/>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4"/>
      <c r="F99" s="116"/>
      <c r="G99" s="144"/>
      <c r="L99" s="60"/>
      <c r="N99" s="97"/>
      <c r="O99" s="121"/>
      <c r="P99" s="120"/>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4"/>
      <c r="F100" s="116"/>
      <c r="G100" s="144"/>
      <c r="L100" s="60"/>
      <c r="N100" s="97"/>
      <c r="O100" s="121"/>
      <c r="P100" s="120"/>
      <c r="Q100" s="144"/>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4"/>
      <c r="F101" s="116"/>
      <c r="G101" s="144"/>
      <c r="L101" s="60"/>
      <c r="N101" s="97"/>
      <c r="O101" s="121"/>
      <c r="P101" s="120"/>
      <c r="Q101" s="144"/>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4"/>
      <c r="F102" s="116"/>
      <c r="G102" s="144"/>
      <c r="L102" s="60"/>
      <c r="N102" s="97"/>
      <c r="O102" s="121"/>
      <c r="P102" s="120"/>
      <c r="Q102" s="144"/>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4"/>
      <c r="F103" s="116"/>
      <c r="G103" s="144"/>
      <c r="L103" s="60"/>
      <c r="N103" s="97"/>
      <c r="O103" s="121"/>
      <c r="P103" s="129"/>
      <c r="Q103" s="145"/>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4"/>
      <c r="F104" s="116"/>
      <c r="G104" s="144"/>
      <c r="L104" s="60"/>
      <c r="N104" s="97"/>
      <c r="O104" s="121"/>
      <c r="P104" s="129"/>
      <c r="Q104" s="145"/>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4"/>
      <c r="F105" s="116"/>
      <c r="G105" s="144"/>
      <c r="L105" s="60"/>
      <c r="N105" s="97"/>
      <c r="O105" s="121"/>
      <c r="P105" s="129"/>
      <c r="Q105" s="145"/>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4"/>
      <c r="F106" s="116"/>
      <c r="G106" s="144"/>
      <c r="L106" s="60"/>
      <c r="N106" s="97"/>
      <c r="O106" s="121"/>
      <c r="P106" s="129"/>
      <c r="Q106" s="145"/>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4"/>
      <c r="F107" s="116"/>
      <c r="G107" s="144"/>
      <c r="L107" s="60"/>
      <c r="N107" s="97"/>
      <c r="O107" s="121"/>
      <c r="P107" s="129"/>
      <c r="Q107" s="145"/>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4"/>
      <c r="F108" s="116"/>
      <c r="G108" s="144"/>
      <c r="L108" s="60"/>
      <c r="N108" s="97"/>
      <c r="O108" s="121"/>
      <c r="P108" s="129"/>
      <c r="Q108" s="145"/>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4"/>
      <c r="F109" s="116"/>
      <c r="G109" s="144"/>
      <c r="L109" s="60"/>
      <c r="N109" s="97"/>
      <c r="O109" s="121"/>
      <c r="P109" s="129"/>
      <c r="Q109" s="145"/>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4"/>
      <c r="F110" s="116"/>
      <c r="G110" s="144"/>
      <c r="L110" s="60"/>
      <c r="N110" s="97"/>
      <c r="O110" s="121"/>
      <c r="P110" s="129"/>
      <c r="Q110" s="145"/>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4"/>
      <c r="F111" s="116"/>
      <c r="G111" s="144"/>
      <c r="L111" s="60"/>
      <c r="N111" s="97"/>
      <c r="O111" s="121"/>
      <c r="P111" s="129"/>
      <c r="Q111" s="145"/>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4"/>
      <c r="F112" s="116"/>
      <c r="G112" s="144"/>
      <c r="L112" s="60"/>
      <c r="N112" s="97"/>
      <c r="O112" s="121"/>
      <c r="P112" s="129"/>
      <c r="Q112" s="145"/>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4"/>
      <c r="F113" s="116"/>
      <c r="G113" s="144"/>
      <c r="L113" s="60"/>
      <c r="N113" s="97"/>
      <c r="O113" s="121"/>
      <c r="P113" s="129"/>
      <c r="Q113" s="145"/>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4"/>
      <c r="F114" s="116"/>
      <c r="G114" s="144"/>
      <c r="L114" s="60"/>
      <c r="N114" s="97"/>
      <c r="O114" s="121"/>
      <c r="P114" s="129"/>
      <c r="Q114" s="145"/>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4"/>
      <c r="F115" s="116"/>
      <c r="G115" s="144"/>
      <c r="L115" s="60"/>
      <c r="N115" s="97"/>
      <c r="O115" s="121"/>
      <c r="P115" s="129"/>
      <c r="Q115" s="145"/>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4"/>
      <c r="F116" s="116"/>
      <c r="G116" s="144"/>
      <c r="L116" s="60"/>
      <c r="N116" s="97"/>
      <c r="O116" s="121"/>
      <c r="P116" s="129"/>
      <c r="Q116" s="145"/>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4"/>
      <c r="F117" s="116"/>
      <c r="G117" s="144"/>
      <c r="L117" s="60"/>
      <c r="N117" s="97"/>
      <c r="O117" s="121"/>
      <c r="P117" s="129"/>
      <c r="Q117" s="145"/>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4"/>
      <c r="F118" s="116"/>
      <c r="G118" s="144"/>
      <c r="L118" s="60"/>
      <c r="N118" s="97"/>
      <c r="O118" s="121"/>
      <c r="P118" s="129"/>
      <c r="Q118" s="145"/>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4"/>
      <c r="F119" s="116"/>
      <c r="G119" s="144"/>
      <c r="L119" s="60"/>
      <c r="N119" s="97"/>
      <c r="O119" s="121"/>
      <c r="P119" s="129"/>
      <c r="Q119" s="145"/>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4"/>
      <c r="F120" s="116"/>
      <c r="G120" s="144"/>
      <c r="L120" s="60"/>
      <c r="N120" s="97"/>
      <c r="O120" s="121"/>
      <c r="P120" s="129"/>
      <c r="Q120" s="145"/>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4"/>
      <c r="F121" s="116"/>
      <c r="G121" s="144"/>
      <c r="L121" s="60"/>
      <c r="N121" s="97"/>
      <c r="O121" s="121"/>
      <c r="P121" s="129"/>
      <c r="Q121" s="145"/>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4"/>
      <c r="F122" s="116"/>
      <c r="G122" s="144"/>
      <c r="L122" s="60"/>
      <c r="N122" s="97"/>
      <c r="O122" s="121"/>
      <c r="P122" s="129"/>
      <c r="Q122" s="145"/>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4"/>
      <c r="F123" s="116"/>
      <c r="G123" s="144"/>
      <c r="L123" s="60"/>
      <c r="N123" s="97"/>
      <c r="O123" s="121"/>
      <c r="P123" s="129"/>
      <c r="Q123" s="145"/>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4"/>
      <c r="F124" s="116"/>
      <c r="G124" s="144"/>
      <c r="L124" s="60"/>
      <c r="N124" s="97"/>
      <c r="O124" s="121"/>
      <c r="P124" s="129"/>
      <c r="Q124" s="145"/>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4"/>
      <c r="F125" s="116"/>
      <c r="G125" s="144"/>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4"/>
      <c r="F126" s="116"/>
      <c r="G126" s="144"/>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4"/>
      <c r="F127" s="116"/>
      <c r="G127" s="144"/>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4"/>
      <c r="F128" s="116"/>
      <c r="G128" s="144"/>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4"/>
      <c r="F129" s="116"/>
      <c r="G129" s="144"/>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4"/>
      <c r="F130" s="116"/>
      <c r="G130" s="144"/>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c r="A749" s="61"/>
      <c r="B749" s="24"/>
      <c r="C749" s="60"/>
      <c r="E749" s="47"/>
      <c r="F749" s="48"/>
      <c r="G749" s="47"/>
      <c r="J749" s="61"/>
      <c r="K749" s="61"/>
      <c r="L749" s="30"/>
      <c r="N749" s="97"/>
      <c r="O749" s="48"/>
      <c r="P749" s="47"/>
      <c r="Q749" s="24"/>
    </row>
    <row r="750" spans="1:17" ht="15">
      <c r="A750" s="61"/>
      <c r="B750" s="24"/>
      <c r="C750" s="60"/>
      <c r="E750" s="47"/>
      <c r="F750" s="48"/>
      <c r="G750" s="47"/>
      <c r="O750" s="49"/>
      <c r="P750" s="50"/>
      <c r="Q750" s="51">
        <f>SUM(Q82:Q749)</f>
        <v>40798246.142857142</v>
      </c>
    </row>
    <row r="751" spans="1:17">
      <c r="A751" s="61"/>
      <c r="B751" s="24"/>
      <c r="C751" s="60"/>
      <c r="E751" s="47"/>
      <c r="F751" s="48"/>
      <c r="G751" s="47"/>
    </row>
    <row r="752" spans="1:17" ht="15">
      <c r="C752" s="60"/>
      <c r="E752" s="49"/>
      <c r="F752" s="50"/>
      <c r="G752" s="51">
        <f>SUM(G84:G751)</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11" priority="6" operator="containsText" text="ERROR">
      <formula>NOT(ISERROR(SEARCH("ERROR",T17)))</formula>
    </cfRule>
  </conditionalFormatting>
  <conditionalFormatting sqref="T42">
    <cfRule type="containsText" dxfId="10" priority="5" operator="containsText" text="ERROR">
      <formula>NOT(ISERROR(SEARCH("ERROR",T42)))</formula>
    </cfRule>
  </conditionalFormatting>
  <conditionalFormatting sqref="W19">
    <cfRule type="containsText" dxfId="9" priority="1" operator="containsText" text="ERROR">
      <formula>NOT(ISERROR(SEARCH("ERROR",W19)))</formula>
    </cfRule>
  </conditionalFormatting>
  <conditionalFormatting sqref="BL72">
    <cfRule type="containsText" dxfId="8" priority="2" operator="containsText" text="ERROR">
      <formula>NOT(ISERROR(SEARCH("ERROR",BL72)))</formula>
    </cfRule>
  </conditionalFormatting>
  <dataValidations count="5">
    <dataValidation type="list" allowBlank="1" showInputMessage="1" showErrorMessage="1" sqref="M93:M95 L97:M98 M130:M747 L100:L747 L84:L96" xr:uid="{01AE9946-D6E3-4E65-BB04-592AB6CF5C07}">
      <formula1>Taxes</formula1>
    </dataValidation>
    <dataValidation type="list" allowBlank="1" showInputMessage="1" showErrorMessage="1" sqref="N5:N8 N73 N75 N77:N79 N10:N71" xr:uid="{5B7182F9-6C41-4583-8F04-EEBBDA72035F}">
      <formula1>FinalDiff</formula1>
    </dataValidation>
    <dataValidation type="list" allowBlank="1" showErrorMessage="1" errorTitle="Taxes" error="Non valid entry. Please check the tax list" promptTitle="Taxes" prompt="Please select the tax subject to adjustment" sqref="B84:B119" xr:uid="{88F7782A-E716-437F-92CA-360AE107BD76}">
      <formula1>$A$134:$A$135</formula1>
    </dataValidation>
    <dataValidation type="list" allowBlank="1" showInputMessage="1" showErrorMessage="1" sqref="C84:C752" xr:uid="{627249FF-CABF-4FD2-B2AD-4ACCEBB64475}">
      <formula1>Compadjust</formula1>
    </dataValidation>
    <dataValidation type="list" allowBlank="1" showInputMessage="1" showErrorMessage="1" sqref="N84:N749" xr:uid="{D0AF272D-8583-4902-85FA-B001D06ECC91}">
      <formula1>Govadjust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4025320E-4E5A-43B1-BD3B-4ED72578E0A3}">
          <x14:formula1>
            <xm:f>Lists!$A$131:$A$132</xm:f>
          </x14:formula1>
          <xm:sqref>K84:K749</xm:sqref>
        </x14:dataValidation>
        <x14:dataValidation type="list" allowBlank="1" showErrorMessage="1" errorTitle="Taxes" error="Non valid entry. Please check the tax list" promptTitle="Taxes" prompt="Please select the tax subject to adjustment" xr:uid="{47BDC813-8310-44AE-870B-1DDFB6C7BCF8}">
          <x14:formula1>
            <xm:f>Lists!$A$7:$A$64</xm:f>
          </x14:formula1>
          <xm:sqref>A84:A751</xm:sqref>
        </x14:dataValidation>
        <x14:dataValidation type="list" allowBlank="1" showInputMessage="1" showErrorMessage="1" xr:uid="{4D5167F9-57F2-4395-A6A6-06B5D821A688}">
          <x14:formula1>
            <xm:f>Lists!$A$7:$A$64</xm:f>
          </x14:formula1>
          <xm:sqref>J84:J749</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40"/>
  <dimension ref="A1:BL752"/>
  <sheetViews>
    <sheetView showGridLines="0" topLeftCell="B20" zoomScaleNormal="100" workbookViewId="0">
      <selection activeCell="I27" sqref="I27"/>
    </sheetView>
  </sheetViews>
  <sheetFormatPr baseColWidth="10" defaultColWidth="11.54296875" defaultRowHeight="12" outlineLevelCol="1"/>
  <cols>
    <col min="1" max="1" width="28.54296875" style="17" hidden="1" customWidth="1"/>
    <col min="2" max="2" width="4.453125" style="17" customWidth="1"/>
    <col min="3" max="3" width="49.81640625" style="30" bestFit="1"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4.17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Companies!B27</f>
        <v>Bois Rouge SARLU</v>
      </c>
      <c r="F1" s="32" t="str">
        <f>Companies!C27</f>
        <v>M359567N001</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SUMIF($C$84:$C$692,R3,$G$84:$G$692)</f>
        <v>0</v>
      </c>
      <c r="U3" s="21" t="str">
        <f>Lists!A91</f>
        <v>FD non soumis par la Société</v>
      </c>
      <c r="V3" s="18">
        <f t="shared" ref="V3:V14" si="4">SUMIF($N$9:$N$75,U3,$M$9:$M$75)</f>
        <v>0</v>
      </c>
      <c r="Y3" s="19">
        <f>B6</f>
        <v>0</v>
      </c>
      <c r="Z3" s="19">
        <f>C6</f>
        <v>0</v>
      </c>
      <c r="AA3" s="16">
        <f t="shared" ref="AA3:AI4" si="5">SUMPRODUCT(($A$84:$A$692=$Y3&amp;"- "&amp;$Z3)*($C$84:$C$692=AA$1)*($G$84:$G$692))</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SUMPRODUCT(($J$84:$M$748=$AL3&amp;"- "&amp;$AM3)*($N$84:$N$748=AN$1)*($Q$84:$Q$748))</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SUMIF($A$84:$A$692,B6&amp;"- "&amp;C6,$G$84:$G$692)</f>
        <v>0</v>
      </c>
      <c r="G6" s="165">
        <f>E6+F6</f>
        <v>0</v>
      </c>
      <c r="H6" s="114"/>
      <c r="I6" s="165"/>
      <c r="J6" s="165">
        <f ca="1">SUMIF($J$84:$M$749,B6&amp;"- "&amp;C6,$Q$84:$Q$749)</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SUMIF($A$84:$A$692,B7&amp;"- "&amp;C7,$G$84:$G$692)</f>
        <v>0</v>
      </c>
      <c r="G7" s="114">
        <f>E7+F7</f>
        <v>0</v>
      </c>
      <c r="H7" s="114"/>
      <c r="I7" s="114"/>
      <c r="J7" s="114">
        <f ca="1">SUMIF($J$84:$M$749,B7&amp;"- "&amp;C7,$Q$84:$Q$749)</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SUMPRODUCT(($A$84:$A$692=$Y7&amp;"- "&amp;$Z7)*($C$84:$C$692=AA$1)*($G$84:$G$692))</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SUMPRODUCT(($J$84:$M$748=$AL7&amp;"- "&amp;$AM7)*($N$84:$N$748=AN$1)*($Q$84:$Q$748))</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31416134.880000003</v>
      </c>
      <c r="J8" s="164">
        <f ca="1">+J9+J13+J15+J17+J40+J45+J47+J52+J55+J62+J65+J68+J77</f>
        <v>10619842</v>
      </c>
      <c r="K8" s="164">
        <f ca="1">+K9+K13+K15+K17+K40+K45+K47+K52+K55+K62+K65+K68+K77</f>
        <v>42035976.880000003</v>
      </c>
      <c r="L8" s="114"/>
      <c r="M8" s="164">
        <f ca="1">+M9+M13+M15+M17+M40+M45+M52+M55+M62+M65+M68+M77+M47</f>
        <v>-42035976.880000003</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10619842</v>
      </c>
      <c r="K9" s="166">
        <f t="shared" ref="K9" ca="1" si="27">SUM(K10:K12)</f>
        <v>10619842</v>
      </c>
      <c r="L9" s="114"/>
      <c r="M9" s="166">
        <f t="shared" ref="M9" ca="1" si="28">SUM(M10:M12)</f>
        <v>-10619842</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SUMIF($A$84:$A$692,B10&amp;"- "&amp;C10,$G$84:$G$692)</f>
        <v>0</v>
      </c>
      <c r="G10" s="165">
        <f>E10+F10</f>
        <v>0</v>
      </c>
      <c r="H10" s="114"/>
      <c r="I10" s="165"/>
      <c r="J10" s="165">
        <f>SUMIF($J$83:$J$1048576,C10,$Q$83:$Q$1048576)</f>
        <v>707992</v>
      </c>
      <c r="K10" s="165">
        <f>I10+J10</f>
        <v>707992</v>
      </c>
      <c r="L10" s="114"/>
      <c r="M10" s="165">
        <f>+G10-K10</f>
        <v>-707992</v>
      </c>
      <c r="N10" s="68"/>
      <c r="O10" s="38" t="str">
        <f>IF(M10=0,"",IF(N10=0,"ERROR",""))</f>
        <v>ERROR</v>
      </c>
      <c r="P10" s="39" t="str">
        <f>IF(O10="ERROR","Please insert comment","")</f>
        <v>Please insert comment</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SUMIF($A$84:$A$692,B11&amp;"- "&amp;C11,$G$84:$G$692)</f>
        <v>0</v>
      </c>
      <c r="G11" s="114">
        <f>E11+F11</f>
        <v>0</v>
      </c>
      <c r="H11" s="114"/>
      <c r="I11" s="114"/>
      <c r="J11" s="114">
        <f>SUMIF($J$83:$J$1048576,C11,$Q$83:$Q$1048576)</f>
        <v>9911850</v>
      </c>
      <c r="K11" s="114">
        <f>I11+J11</f>
        <v>9911850</v>
      </c>
      <c r="L11" s="114"/>
      <c r="M11" s="114">
        <f>+G11-K11</f>
        <v>-9911850</v>
      </c>
      <c r="N11" s="18"/>
      <c r="O11" s="38" t="str">
        <f>IF(M11=0,"",IF(N11=0,"ERROR",""))</f>
        <v>ERROR</v>
      </c>
      <c r="P11" s="39" t="str">
        <f>IF(O11="ERROR","Please insert comment","")</f>
        <v>Please insert comment</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SUMIF($A$84:$A$692,B12&amp;"- "&amp;C12,$G$84:$G$692)</f>
        <v>0</v>
      </c>
      <c r="G12" s="165">
        <f>E12+F12</f>
        <v>0</v>
      </c>
      <c r="H12" s="114"/>
      <c r="I12" s="165"/>
      <c r="J12" s="165">
        <f ca="1">SUMIF($J$84:$M$749,B12&amp;"- "&amp;C12,$Q$84:$Q$749)</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SUMPRODUCT(($A$84:$A$692=$Y13&amp;"- "&amp;$Z13)*($C$84:$C$692=AA$1)*($G$84:$G$692))</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SUMPRODUCT(($J$84:$M$748=$AL13&amp;"- "&amp;$AM13)*($N$84:$N$748=AN$1)*($Q$84:$Q$748))</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SUMIF($A$84:$A$692,B14&amp;"- "&amp;C14,$G$84:$G$692)</f>
        <v>0</v>
      </c>
      <c r="G14" s="114">
        <f>E14+F14</f>
        <v>0</v>
      </c>
      <c r="H14" s="114"/>
      <c r="I14" s="114"/>
      <c r="J14" s="114">
        <f ca="1">SUMIF($J$84:$M$749,B14&amp;"- "&amp;C14,$Q$84:$Q$749)</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SUMIF($A$84:$A$692,B16&amp;"- "&amp;C16,$G$84:$G$692)</f>
        <v>0</v>
      </c>
      <c r="G16" s="165">
        <f>E16+F16</f>
        <v>0</v>
      </c>
      <c r="H16" s="114"/>
      <c r="I16" s="165"/>
      <c r="J16" s="165">
        <f ca="1">SUMIF($J$84:$M$749,B16&amp;"- "&amp;C16,$Q$84:$Q$749)</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6922555</v>
      </c>
      <c r="J17" s="166">
        <f t="shared" ref="J17" ca="1" si="52">SUM(J18:J39)</f>
        <v>0</v>
      </c>
      <c r="K17" s="166">
        <f t="shared" ref="K17" ca="1" si="53">SUM(K18:K39)</f>
        <v>6922555</v>
      </c>
      <c r="L17" s="114"/>
      <c r="M17" s="166">
        <f t="shared" ref="M17" ca="1" si="54">SUM(M18:M39)</f>
        <v>-6922555</v>
      </c>
      <c r="N17" s="58"/>
      <c r="O17" s="38" t="str">
        <f t="shared" ca="1" si="46"/>
        <v>ERROR</v>
      </c>
      <c r="P17" s="39" t="str">
        <f t="shared" ca="1" si="47"/>
        <v>Please insert comment</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SUMIF($A$84:$A$692,B18&amp;"- "&amp;C18,$G$84:$G$692)</f>
        <v>0</v>
      </c>
      <c r="G18" s="114">
        <f t="shared" ref="G18:G39" si="56">E18+F18</f>
        <v>0</v>
      </c>
      <c r="H18" s="114"/>
      <c r="I18" s="114"/>
      <c r="J18" s="114">
        <f ca="1">SUMIF($J$84:$M$749,C18,$Q$84:$Q$749)</f>
        <v>0</v>
      </c>
      <c r="K18" s="114">
        <f t="shared" ref="K18:K39" ca="1" si="57">I18+J18</f>
        <v>0</v>
      </c>
      <c r="L18" s="114"/>
      <c r="M18" s="114">
        <f t="shared" ref="M18:M39" ca="1" si="58">+G18-K18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v>396000</v>
      </c>
      <c r="J19" s="165">
        <f ca="1">SUMIF($J$84:$M$749,C19,$Q$84:$Q$749)</f>
        <v>0</v>
      </c>
      <c r="K19" s="165">
        <f t="shared" ca="1" si="57"/>
        <v>396000</v>
      </c>
      <c r="L19" s="114"/>
      <c r="M19" s="165">
        <f t="shared" ca="1" si="58"/>
        <v>-396000</v>
      </c>
      <c r="N19" s="68"/>
      <c r="O19" s="38" t="str">
        <f t="shared" ca="1" si="46"/>
        <v>ERROR</v>
      </c>
      <c r="P19" s="39" t="str">
        <f t="shared" ca="1" si="47"/>
        <v>Please insert comment</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ca="1">SUMIF($J$84:$M$749,C20,$Q$84:$Q$749)</f>
        <v>0</v>
      </c>
      <c r="K20" s="114">
        <f t="shared" ca="1" si="57"/>
        <v>0</v>
      </c>
      <c r="L20" s="114"/>
      <c r="M20" s="114">
        <f t="shared" ca="1" si="58"/>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v>390920</v>
      </c>
      <c r="J21" s="165">
        <f ca="1">SUMIF($J$84:$M$749,B21&amp;"- "&amp;C21,$Q$84:$Q$749)</f>
        <v>0</v>
      </c>
      <c r="K21" s="165">
        <f t="shared" ca="1" si="57"/>
        <v>390920</v>
      </c>
      <c r="L21" s="114"/>
      <c r="M21" s="165">
        <f t="shared" ca="1" si="58"/>
        <v>-390920</v>
      </c>
      <c r="N21" s="68"/>
      <c r="O21" s="38" t="str">
        <f t="shared" ca="1" si="46"/>
        <v>ERROR</v>
      </c>
      <c r="P21" s="39" t="str">
        <f t="shared" ca="1" si="47"/>
        <v>Please insert comment</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ca="1">SUMIF($J$84:$M$749,B22&amp;"- "&amp;C22,$Q$84:$Q$749)</f>
        <v>0</v>
      </c>
      <c r="K22" s="114">
        <f t="shared" ca="1" si="57"/>
        <v>0</v>
      </c>
      <c r="L22" s="114"/>
      <c r="M22" s="114">
        <f t="shared" ca="1" si="58"/>
        <v>0</v>
      </c>
      <c r="N22" s="18"/>
      <c r="O22" s="38" t="str">
        <f t="shared" ca="1" si="46"/>
        <v/>
      </c>
      <c r="P22" s="39" t="str">
        <f t="shared" ca="1" si="47"/>
        <v/>
      </c>
      <c r="Q22" s="35"/>
      <c r="Y22" s="28"/>
      <c r="Z22" s="28" t="str">
        <f t="shared" ref="Z22:Z53" si="59">C25</f>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ref="AM22:AM53" si="61">+C25</f>
        <v xml:space="preserve">Taxe d'abattage  </v>
      </c>
      <c r="AN22" s="29">
        <f>SUM(AN23:AN32)</f>
        <v>0</v>
      </c>
      <c r="AO22" s="29">
        <f t="shared" ref="AO22:AV22" si="62">SUM(AO23:AO32)</f>
        <v>0</v>
      </c>
      <c r="AP22" s="29">
        <f t="shared" si="62"/>
        <v>0</v>
      </c>
      <c r="AQ22" s="29">
        <f t="shared" si="62"/>
        <v>0</v>
      </c>
      <c r="AR22" s="29">
        <f t="shared" si="62"/>
        <v>0</v>
      </c>
      <c r="AS22" s="29">
        <f t="shared" si="62"/>
        <v>0</v>
      </c>
      <c r="AT22" s="29">
        <f t="shared" si="62"/>
        <v>0</v>
      </c>
      <c r="AU22" s="29">
        <f t="shared" si="62"/>
        <v>0</v>
      </c>
      <c r="AV22" s="29">
        <f t="shared" si="62"/>
        <v>0</v>
      </c>
      <c r="AW22" s="38"/>
      <c r="AX22" s="28"/>
      <c r="AY22" s="28" t="str">
        <f t="shared" ref="AY22:AY53" si="63">C25</f>
        <v xml:space="preserve">Taxe d'abattage  </v>
      </c>
      <c r="AZ22" s="29">
        <f t="shared" ref="AZ22:BK22" ca="1" si="64">SUM(AZ23:AZ32)</f>
        <v>0</v>
      </c>
      <c r="BA22" s="29">
        <f t="shared" ca="1" si="64"/>
        <v>0</v>
      </c>
      <c r="BB22" s="29">
        <f t="shared" ca="1" si="64"/>
        <v>0</v>
      </c>
      <c r="BC22" s="29">
        <f t="shared" ca="1" si="64"/>
        <v>0</v>
      </c>
      <c r="BD22" s="29">
        <f t="shared" ca="1" si="64"/>
        <v>0</v>
      </c>
      <c r="BE22" s="29">
        <f t="shared" ca="1" si="64"/>
        <v>0</v>
      </c>
      <c r="BF22" s="29">
        <f t="shared" ca="1" si="64"/>
        <v>0</v>
      </c>
      <c r="BG22" s="29">
        <f t="shared" ca="1" si="64"/>
        <v>0</v>
      </c>
      <c r="BH22" s="29">
        <f t="shared" ca="1" si="64"/>
        <v>0</v>
      </c>
      <c r="BI22" s="29">
        <f t="shared" ca="1" si="64"/>
        <v>0</v>
      </c>
      <c r="BJ22" s="29">
        <f t="shared" ca="1" si="64"/>
        <v>0</v>
      </c>
      <c r="BK22" s="29">
        <f t="shared" ca="1" si="64"/>
        <v>0</v>
      </c>
    </row>
    <row r="23" spans="1:63">
      <c r="A23" s="80">
        <f t="shared" si="29"/>
        <v>11</v>
      </c>
      <c r="B23" s="64">
        <f>+'Taxes RCA 2022'!A16</f>
        <v>11</v>
      </c>
      <c r="C23" s="68" t="str">
        <f>+'Taxes RCA 2022'!B16</f>
        <v>Loyer annuel</v>
      </c>
      <c r="E23" s="165"/>
      <c r="F23" s="165">
        <f t="shared" si="55"/>
        <v>0</v>
      </c>
      <c r="G23" s="165">
        <f t="shared" si="56"/>
        <v>0</v>
      </c>
      <c r="H23" s="114"/>
      <c r="I23" s="165"/>
      <c r="J23" s="165">
        <f ca="1">SUMIF($J$84:$M$749,C23,$Q$84:$Q$749)</f>
        <v>0</v>
      </c>
      <c r="K23" s="165">
        <f t="shared" ca="1" si="57"/>
        <v>0</v>
      </c>
      <c r="L23" s="114"/>
      <c r="M23" s="165">
        <f t="shared" ca="1" si="58"/>
        <v>0</v>
      </c>
      <c r="N23" s="68"/>
      <c r="O23" s="38" t="str">
        <f t="shared" ca="1" si="46"/>
        <v/>
      </c>
      <c r="P23" s="39" t="str">
        <f t="shared" ca="1" si="47"/>
        <v/>
      </c>
      <c r="Q23" s="35"/>
      <c r="Y23" s="15">
        <f t="shared" ref="Y23:Y32" si="65">B26</f>
        <v>14</v>
      </c>
      <c r="Z23" s="25" t="str">
        <f t="shared" si="59"/>
        <v xml:space="preserve">Taxe de reboisement  </v>
      </c>
      <c r="AA23" s="16">
        <f t="shared" ref="AA23:AI32" si="66">SUMPRODUCT(($A$84:$A$692=$Y23&amp;"- "&amp;$Z23)*($C$84:$C$692=AA$1)*($G$84:$G$692))</f>
        <v>0</v>
      </c>
      <c r="AB23" s="16">
        <f t="shared" si="66"/>
        <v>0</v>
      </c>
      <c r="AC23" s="16">
        <f t="shared" si="66"/>
        <v>0</v>
      </c>
      <c r="AD23" s="16">
        <f t="shared" si="66"/>
        <v>0</v>
      </c>
      <c r="AE23" s="16">
        <f t="shared" si="66"/>
        <v>0</v>
      </c>
      <c r="AF23" s="16">
        <f t="shared" si="66"/>
        <v>0</v>
      </c>
      <c r="AG23" s="16">
        <f t="shared" si="66"/>
        <v>0</v>
      </c>
      <c r="AH23" s="16">
        <f t="shared" si="66"/>
        <v>0</v>
      </c>
      <c r="AI23" s="16">
        <f t="shared" si="66"/>
        <v>0</v>
      </c>
      <c r="AJ23" s="16">
        <f t="shared" ref="AJ23:AJ28" si="67">SUM(AA23:AI23)</f>
        <v>0</v>
      </c>
      <c r="AL23" s="17">
        <f t="shared" ref="AL23:AL32" si="68">+B26</f>
        <v>14</v>
      </c>
      <c r="AM23" s="26" t="str">
        <f t="shared" si="61"/>
        <v xml:space="preserve">Taxe de reboisement  </v>
      </c>
      <c r="AN23" s="18">
        <f t="shared" ref="AN23:AU32" si="69">SUMPRODUCT(($J$84:$M$748=$AL23&amp;"- "&amp;$AM23)*($N$84:$N$748=AN$1)*($Q$84:$Q$748))</f>
        <v>0</v>
      </c>
      <c r="AO23" s="18">
        <f t="shared" si="69"/>
        <v>0</v>
      </c>
      <c r="AP23" s="18">
        <f t="shared" si="69"/>
        <v>0</v>
      </c>
      <c r="AQ23" s="18">
        <f t="shared" si="69"/>
        <v>0</v>
      </c>
      <c r="AR23" s="18">
        <f t="shared" si="69"/>
        <v>0</v>
      </c>
      <c r="AS23" s="18">
        <f t="shared" si="69"/>
        <v>0</v>
      </c>
      <c r="AT23" s="18">
        <f t="shared" si="69"/>
        <v>0</v>
      </c>
      <c r="AU23" s="18">
        <f t="shared" si="69"/>
        <v>0</v>
      </c>
      <c r="AV23" s="18">
        <f t="shared" ref="AV23:AV28" si="70">SUM(AN23:AU23)</f>
        <v>0</v>
      </c>
      <c r="AW23" s="18"/>
      <c r="AX23" s="17">
        <f t="shared" ref="AX23:AX32" si="71">B26</f>
        <v>14</v>
      </c>
      <c r="AY23" s="26" t="str">
        <f t="shared" si="63"/>
        <v xml:space="preserve">Taxe de reboisement  </v>
      </c>
      <c r="AZ23" s="18">
        <f t="shared" ref="AZ23:BK32" ca="1" si="72">SUMPRODUCT(($C$10:$C$75=$AY23)*($N$10:$N$75=AZ$1)*($M$10:$M$75))</f>
        <v>0</v>
      </c>
      <c r="BA23" s="18">
        <f t="shared" ca="1" si="72"/>
        <v>0</v>
      </c>
      <c r="BB23" s="18">
        <f t="shared" ca="1" si="72"/>
        <v>0</v>
      </c>
      <c r="BC23" s="18">
        <f t="shared" ca="1" si="72"/>
        <v>0</v>
      </c>
      <c r="BD23" s="18">
        <f t="shared" ca="1" si="72"/>
        <v>0</v>
      </c>
      <c r="BE23" s="18">
        <f t="shared" ca="1" si="72"/>
        <v>0</v>
      </c>
      <c r="BF23" s="18">
        <f t="shared" ca="1" si="72"/>
        <v>0</v>
      </c>
      <c r="BG23" s="18">
        <f t="shared" ca="1" si="72"/>
        <v>0</v>
      </c>
      <c r="BH23" s="18">
        <f t="shared" ca="1" si="72"/>
        <v>0</v>
      </c>
      <c r="BI23" s="18">
        <f t="shared" ca="1" si="72"/>
        <v>0</v>
      </c>
      <c r="BJ23" s="18">
        <f t="shared" ca="1" si="72"/>
        <v>0</v>
      </c>
      <c r="BK23" s="18">
        <f t="shared" ca="1" si="72"/>
        <v>0</v>
      </c>
    </row>
    <row r="24" spans="1:63">
      <c r="A24" s="80">
        <f t="shared" si="29"/>
        <v>12</v>
      </c>
      <c r="B24" s="53">
        <f>+'Taxes RCA 2022'!A17</f>
        <v>12</v>
      </c>
      <c r="C24" s="18" t="str">
        <f>+'Taxes RCA 2022'!B17</f>
        <v>Patente</v>
      </c>
      <c r="E24" s="114"/>
      <c r="F24" s="114">
        <f t="shared" si="55"/>
        <v>0</v>
      </c>
      <c r="G24" s="114">
        <f t="shared" si="56"/>
        <v>0</v>
      </c>
      <c r="H24" s="114"/>
      <c r="I24" s="114"/>
      <c r="J24" s="114">
        <f ca="1">SUMIF($J$84:$M$749,B24&amp;"- "&amp;C24,$Q$84:$Q$749)</f>
        <v>0</v>
      </c>
      <c r="K24" s="114">
        <f t="shared" ca="1" si="57"/>
        <v>0</v>
      </c>
      <c r="L24" s="114"/>
      <c r="M24" s="114">
        <f t="shared" ca="1" si="58"/>
        <v>0</v>
      </c>
      <c r="N24" s="18"/>
      <c r="O24" s="38" t="str">
        <f t="shared" ca="1" si="46"/>
        <v/>
      </c>
      <c r="P24" s="39" t="str">
        <f t="shared" ca="1" si="47"/>
        <v/>
      </c>
      <c r="Q24" s="35"/>
      <c r="R24" s="36" t="s">
        <v>17</v>
      </c>
      <c r="S24" s="37" t="s">
        <v>4</v>
      </c>
      <c r="Y24" s="15">
        <f t="shared" si="65"/>
        <v>15</v>
      </c>
      <c r="Z24" s="25" t="str">
        <f t="shared" si="59"/>
        <v>Impôt sur les fonciers bâtis (IFB)</v>
      </c>
      <c r="AA24" s="16">
        <f t="shared" si="66"/>
        <v>0</v>
      </c>
      <c r="AB24" s="16">
        <f t="shared" si="66"/>
        <v>0</v>
      </c>
      <c r="AC24" s="16">
        <f t="shared" si="66"/>
        <v>0</v>
      </c>
      <c r="AD24" s="16">
        <f t="shared" si="66"/>
        <v>0</v>
      </c>
      <c r="AE24" s="16">
        <f t="shared" si="66"/>
        <v>0</v>
      </c>
      <c r="AF24" s="16">
        <f t="shared" si="66"/>
        <v>0</v>
      </c>
      <c r="AG24" s="16">
        <f t="shared" si="66"/>
        <v>0</v>
      </c>
      <c r="AH24" s="16">
        <f t="shared" si="66"/>
        <v>0</v>
      </c>
      <c r="AI24" s="16">
        <f t="shared" si="66"/>
        <v>0</v>
      </c>
      <c r="AJ24" s="16">
        <f t="shared" si="67"/>
        <v>0</v>
      </c>
      <c r="AL24" s="17">
        <f t="shared" si="68"/>
        <v>15</v>
      </c>
      <c r="AM24" s="26" t="str">
        <f t="shared" si="61"/>
        <v>Impôt sur les fonciers bâtis (IFB)</v>
      </c>
      <c r="AN24" s="18">
        <f t="shared" si="69"/>
        <v>0</v>
      </c>
      <c r="AO24" s="18">
        <f t="shared" si="69"/>
        <v>0</v>
      </c>
      <c r="AP24" s="18">
        <f t="shared" si="69"/>
        <v>0</v>
      </c>
      <c r="AQ24" s="18">
        <f t="shared" si="69"/>
        <v>0</v>
      </c>
      <c r="AR24" s="18">
        <f t="shared" si="69"/>
        <v>0</v>
      </c>
      <c r="AS24" s="18">
        <f t="shared" si="69"/>
        <v>0</v>
      </c>
      <c r="AT24" s="18">
        <f t="shared" si="69"/>
        <v>0</v>
      </c>
      <c r="AU24" s="18">
        <f t="shared" si="69"/>
        <v>0</v>
      </c>
      <c r="AV24" s="18">
        <f t="shared" si="70"/>
        <v>0</v>
      </c>
      <c r="AW24" s="18"/>
      <c r="AX24" s="17">
        <f t="shared" si="71"/>
        <v>15</v>
      </c>
      <c r="AY24" s="26" t="str">
        <f t="shared" si="63"/>
        <v>Impôt sur les fonciers bâtis (IFB)</v>
      </c>
      <c r="AZ24" s="18">
        <f t="shared" ca="1" si="72"/>
        <v>0</v>
      </c>
      <c r="BA24" s="18">
        <f t="shared" ca="1" si="72"/>
        <v>0</v>
      </c>
      <c r="BB24" s="18">
        <f t="shared" ca="1" si="72"/>
        <v>0</v>
      </c>
      <c r="BC24" s="18">
        <f t="shared" ca="1" si="72"/>
        <v>0</v>
      </c>
      <c r="BD24" s="18">
        <f t="shared" ca="1" si="72"/>
        <v>0</v>
      </c>
      <c r="BE24" s="18">
        <f t="shared" ca="1" si="72"/>
        <v>0</v>
      </c>
      <c r="BF24" s="18">
        <f t="shared" ca="1" si="72"/>
        <v>0</v>
      </c>
      <c r="BG24" s="18">
        <f t="shared" ca="1" si="72"/>
        <v>0</v>
      </c>
      <c r="BH24" s="18">
        <f t="shared" ca="1" si="72"/>
        <v>0</v>
      </c>
      <c r="BI24" s="18">
        <f t="shared" ca="1" si="72"/>
        <v>0</v>
      </c>
      <c r="BJ24" s="18">
        <f t="shared" ca="1" si="72"/>
        <v>0</v>
      </c>
      <c r="BK24" s="18">
        <f t="shared" ca="1" si="72"/>
        <v>0</v>
      </c>
    </row>
    <row r="25" spans="1:63">
      <c r="A25" s="80">
        <f t="shared" si="29"/>
        <v>13</v>
      </c>
      <c r="B25" s="64">
        <f>+'Taxes RCA 2022'!A18</f>
        <v>13</v>
      </c>
      <c r="C25" s="68" t="str">
        <f>+'Taxes RCA 2022'!B18</f>
        <v xml:space="preserve">Taxe d'abattage  </v>
      </c>
      <c r="E25" s="165"/>
      <c r="F25" s="165">
        <f t="shared" si="55"/>
        <v>0</v>
      </c>
      <c r="G25" s="165">
        <f t="shared" si="56"/>
        <v>0</v>
      </c>
      <c r="H25" s="114"/>
      <c r="I25" s="165">
        <v>6135635</v>
      </c>
      <c r="J25" s="165">
        <f ca="1">SUMIF($J$84:$M$749,C25,$Q$84:$Q$749)</f>
        <v>0</v>
      </c>
      <c r="K25" s="165">
        <f t="shared" ca="1" si="57"/>
        <v>6135635</v>
      </c>
      <c r="L25" s="114"/>
      <c r="M25" s="165">
        <f t="shared" ca="1" si="58"/>
        <v>-6135635</v>
      </c>
      <c r="N25" s="68"/>
      <c r="O25" s="38"/>
      <c r="P25" s="39" t="str">
        <f t="shared" si="47"/>
        <v/>
      </c>
      <c r="Q25" s="35"/>
      <c r="R25" s="21" t="str">
        <f>Lists!A80</f>
        <v>Taxes perçues non reportées par l'Etat</v>
      </c>
      <c r="S25" s="18">
        <f t="shared" ref="S25:S32" si="73">SUMIF($N$84:$N$749,R25,$Q$84:$Q$749)</f>
        <v>0</v>
      </c>
      <c r="Y25" s="15">
        <f t="shared" si="65"/>
        <v>16</v>
      </c>
      <c r="Z25" s="25" t="str">
        <f t="shared" si="59"/>
        <v>Minimum impôt sur les sociétés (MIS)</v>
      </c>
      <c r="AA25" s="16">
        <f t="shared" si="66"/>
        <v>0</v>
      </c>
      <c r="AB25" s="16">
        <f t="shared" si="66"/>
        <v>0</v>
      </c>
      <c r="AC25" s="16">
        <f t="shared" si="66"/>
        <v>0</v>
      </c>
      <c r="AD25" s="16">
        <f t="shared" si="66"/>
        <v>0</v>
      </c>
      <c r="AE25" s="16">
        <f t="shared" si="66"/>
        <v>0</v>
      </c>
      <c r="AF25" s="16">
        <f t="shared" si="66"/>
        <v>0</v>
      </c>
      <c r="AG25" s="16">
        <f t="shared" si="66"/>
        <v>0</v>
      </c>
      <c r="AH25" s="16">
        <f t="shared" si="66"/>
        <v>0</v>
      </c>
      <c r="AI25" s="16">
        <f t="shared" si="66"/>
        <v>0</v>
      </c>
      <c r="AJ25" s="16">
        <f t="shared" si="67"/>
        <v>0</v>
      </c>
      <c r="AL25" s="17">
        <f t="shared" si="68"/>
        <v>16</v>
      </c>
      <c r="AM25" s="26" t="str">
        <f t="shared" si="61"/>
        <v>Minimum impôt sur les sociétés (MIS)</v>
      </c>
      <c r="AN25" s="18">
        <f t="shared" si="69"/>
        <v>0</v>
      </c>
      <c r="AO25" s="18">
        <f t="shared" si="69"/>
        <v>0</v>
      </c>
      <c r="AP25" s="18">
        <f t="shared" si="69"/>
        <v>0</v>
      </c>
      <c r="AQ25" s="18">
        <f t="shared" si="69"/>
        <v>0</v>
      </c>
      <c r="AR25" s="18">
        <f t="shared" si="69"/>
        <v>0</v>
      </c>
      <c r="AS25" s="18">
        <f t="shared" si="69"/>
        <v>0</v>
      </c>
      <c r="AT25" s="18">
        <f t="shared" si="69"/>
        <v>0</v>
      </c>
      <c r="AU25" s="18">
        <f t="shared" si="69"/>
        <v>0</v>
      </c>
      <c r="AV25" s="18">
        <f t="shared" si="70"/>
        <v>0</v>
      </c>
      <c r="AW25" s="18"/>
      <c r="AX25" s="17">
        <f t="shared" si="71"/>
        <v>16</v>
      </c>
      <c r="AY25" s="26" t="str">
        <f t="shared" si="63"/>
        <v>Minimum impôt sur les sociétés (MIS)</v>
      </c>
      <c r="AZ25" s="18">
        <f t="shared" ca="1" si="72"/>
        <v>0</v>
      </c>
      <c r="BA25" s="18">
        <f t="shared" ca="1" si="72"/>
        <v>0</v>
      </c>
      <c r="BB25" s="18">
        <f t="shared" ca="1" si="72"/>
        <v>0</v>
      </c>
      <c r="BC25" s="18">
        <f t="shared" ca="1" si="72"/>
        <v>0</v>
      </c>
      <c r="BD25" s="18">
        <f t="shared" ca="1" si="72"/>
        <v>0</v>
      </c>
      <c r="BE25" s="18">
        <f t="shared" ca="1" si="72"/>
        <v>0</v>
      </c>
      <c r="BF25" s="18">
        <f t="shared" ca="1" si="72"/>
        <v>0</v>
      </c>
      <c r="BG25" s="18">
        <f t="shared" ca="1" si="72"/>
        <v>0</v>
      </c>
      <c r="BH25" s="18">
        <f t="shared" ca="1" si="72"/>
        <v>0</v>
      </c>
      <c r="BI25" s="18">
        <f t="shared" ca="1" si="72"/>
        <v>0</v>
      </c>
      <c r="BJ25" s="18">
        <f t="shared" ca="1" si="72"/>
        <v>0</v>
      </c>
      <c r="BK25" s="18">
        <f t="shared" ca="1" si="72"/>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ca="1">SUMIF($J$84:$M$749,C26,$Q$84:$Q$749)</f>
        <v>0</v>
      </c>
      <c r="K26" s="114">
        <f t="shared" ca="1" si="57"/>
        <v>0</v>
      </c>
      <c r="L26" s="114"/>
      <c r="M26" s="114">
        <f t="shared" ca="1" si="58"/>
        <v>0</v>
      </c>
      <c r="N26" s="18"/>
      <c r="O26" s="38" t="str">
        <f t="shared" ca="1" si="46"/>
        <v/>
      </c>
      <c r="P26" s="39" t="str">
        <f t="shared" ca="1" si="47"/>
        <v/>
      </c>
      <c r="Q26" s="35"/>
      <c r="R26" s="21" t="str">
        <f>Lists!A81</f>
        <v>Montant doublement déclaré</v>
      </c>
      <c r="S26" s="18">
        <f t="shared" si="73"/>
        <v>0</v>
      </c>
      <c r="Y26" s="15">
        <f t="shared" si="65"/>
        <v>17</v>
      </c>
      <c r="Z26" s="25" t="str">
        <f t="shared" si="59"/>
        <v xml:space="preserve">Impôt minimum forfaitaire (IMF) </v>
      </c>
      <c r="AA26" s="16">
        <f t="shared" si="66"/>
        <v>0</v>
      </c>
      <c r="AB26" s="16">
        <f t="shared" si="66"/>
        <v>0</v>
      </c>
      <c r="AC26" s="16">
        <f t="shared" si="66"/>
        <v>0</v>
      </c>
      <c r="AD26" s="16">
        <f t="shared" si="66"/>
        <v>0</v>
      </c>
      <c r="AE26" s="16">
        <f t="shared" si="66"/>
        <v>0</v>
      </c>
      <c r="AF26" s="16">
        <f t="shared" si="66"/>
        <v>0</v>
      </c>
      <c r="AG26" s="16">
        <f t="shared" si="66"/>
        <v>0</v>
      </c>
      <c r="AH26" s="16">
        <f t="shared" si="66"/>
        <v>0</v>
      </c>
      <c r="AI26" s="16">
        <f t="shared" si="66"/>
        <v>0</v>
      </c>
      <c r="AJ26" s="16">
        <f t="shared" si="67"/>
        <v>0</v>
      </c>
      <c r="AL26" s="17">
        <f t="shared" si="68"/>
        <v>17</v>
      </c>
      <c r="AM26" s="26" t="str">
        <f t="shared" si="61"/>
        <v xml:space="preserve">Impôt minimum forfaitaire (IMF) </v>
      </c>
      <c r="AN26" s="18">
        <f t="shared" si="69"/>
        <v>0</v>
      </c>
      <c r="AO26" s="18">
        <f t="shared" si="69"/>
        <v>0</v>
      </c>
      <c r="AP26" s="18">
        <f t="shared" si="69"/>
        <v>0</v>
      </c>
      <c r="AQ26" s="18">
        <f t="shared" si="69"/>
        <v>0</v>
      </c>
      <c r="AR26" s="18">
        <f t="shared" si="69"/>
        <v>0</v>
      </c>
      <c r="AS26" s="18">
        <f t="shared" si="69"/>
        <v>0</v>
      </c>
      <c r="AT26" s="18">
        <f t="shared" si="69"/>
        <v>0</v>
      </c>
      <c r="AU26" s="18">
        <f t="shared" si="69"/>
        <v>0</v>
      </c>
      <c r="AV26" s="18">
        <f t="shared" si="70"/>
        <v>0</v>
      </c>
      <c r="AW26" s="18"/>
      <c r="AX26" s="17">
        <f t="shared" si="71"/>
        <v>17</v>
      </c>
      <c r="AY26" s="26" t="str">
        <f t="shared" si="63"/>
        <v xml:space="preserve">Impôt minimum forfaitaire (IMF) </v>
      </c>
      <c r="AZ26" s="18">
        <f t="shared" ca="1" si="72"/>
        <v>0</v>
      </c>
      <c r="BA26" s="18">
        <f t="shared" ca="1" si="72"/>
        <v>0</v>
      </c>
      <c r="BB26" s="18">
        <f t="shared" ca="1" si="72"/>
        <v>0</v>
      </c>
      <c r="BC26" s="18">
        <f t="shared" ca="1" si="72"/>
        <v>0</v>
      </c>
      <c r="BD26" s="18">
        <f t="shared" ca="1" si="72"/>
        <v>0</v>
      </c>
      <c r="BE26" s="18">
        <f t="shared" ca="1" si="72"/>
        <v>0</v>
      </c>
      <c r="BF26" s="18">
        <f t="shared" ca="1" si="72"/>
        <v>0</v>
      </c>
      <c r="BG26" s="18">
        <f t="shared" ca="1" si="72"/>
        <v>0</v>
      </c>
      <c r="BH26" s="18">
        <f t="shared" ca="1" si="72"/>
        <v>0</v>
      </c>
      <c r="BI26" s="18">
        <f t="shared" ca="1" si="72"/>
        <v>0</v>
      </c>
      <c r="BJ26" s="18">
        <f t="shared" ca="1" si="72"/>
        <v>0</v>
      </c>
      <c r="BK26" s="18">
        <f t="shared" ca="1" si="72"/>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ref="J27:J37" ca="1" si="74">SUMIF($J$84:$M$749,B27&amp;"- "&amp;C27,$Q$84:$Q$749)</f>
        <v>0</v>
      </c>
      <c r="K27" s="165">
        <f t="shared" ca="1" si="57"/>
        <v>0</v>
      </c>
      <c r="L27" s="114"/>
      <c r="M27" s="165">
        <f t="shared" ca="1" si="58"/>
        <v>0</v>
      </c>
      <c r="N27" s="68"/>
      <c r="O27" s="38" t="str">
        <f t="shared" ca="1" si="46"/>
        <v/>
      </c>
      <c r="P27" s="39" t="str">
        <f t="shared" ca="1" si="47"/>
        <v/>
      </c>
      <c r="Q27" s="35"/>
      <c r="R27" s="21" t="str">
        <f>Lists!A82</f>
        <v>Taxes perçues hors de la période de réconciliation</v>
      </c>
      <c r="S27" s="18">
        <f t="shared" si="73"/>
        <v>0</v>
      </c>
      <c r="Y27" s="15">
        <f t="shared" si="65"/>
        <v>18</v>
      </c>
      <c r="Z27" s="25" t="str">
        <f t="shared" si="59"/>
        <v>Précompte</v>
      </c>
      <c r="AA27" s="16">
        <f t="shared" si="66"/>
        <v>0</v>
      </c>
      <c r="AB27" s="16">
        <f t="shared" si="66"/>
        <v>0</v>
      </c>
      <c r="AC27" s="16">
        <f t="shared" si="66"/>
        <v>0</v>
      </c>
      <c r="AD27" s="16">
        <f t="shared" si="66"/>
        <v>0</v>
      </c>
      <c r="AE27" s="16">
        <f t="shared" si="66"/>
        <v>0</v>
      </c>
      <c r="AF27" s="16">
        <f t="shared" si="66"/>
        <v>0</v>
      </c>
      <c r="AG27" s="16">
        <f t="shared" si="66"/>
        <v>0</v>
      </c>
      <c r="AH27" s="16">
        <f t="shared" si="66"/>
        <v>0</v>
      </c>
      <c r="AI27" s="16">
        <f t="shared" si="66"/>
        <v>0</v>
      </c>
      <c r="AJ27" s="16">
        <f t="shared" si="67"/>
        <v>0</v>
      </c>
      <c r="AL27" s="17">
        <f t="shared" si="68"/>
        <v>18</v>
      </c>
      <c r="AM27" s="26" t="str">
        <f t="shared" si="61"/>
        <v>Précompte</v>
      </c>
      <c r="AN27" s="18">
        <f t="shared" si="69"/>
        <v>0</v>
      </c>
      <c r="AO27" s="18">
        <f t="shared" si="69"/>
        <v>0</v>
      </c>
      <c r="AP27" s="18">
        <f t="shared" si="69"/>
        <v>0</v>
      </c>
      <c r="AQ27" s="18">
        <f t="shared" si="69"/>
        <v>0</v>
      </c>
      <c r="AR27" s="18">
        <f t="shared" si="69"/>
        <v>0</v>
      </c>
      <c r="AS27" s="18">
        <f t="shared" si="69"/>
        <v>0</v>
      </c>
      <c r="AT27" s="18">
        <f t="shared" si="69"/>
        <v>0</v>
      </c>
      <c r="AU27" s="18">
        <f t="shared" si="69"/>
        <v>0</v>
      </c>
      <c r="AV27" s="18">
        <f t="shared" si="70"/>
        <v>0</v>
      </c>
      <c r="AW27" s="18"/>
      <c r="AX27" s="17">
        <f t="shared" si="71"/>
        <v>18</v>
      </c>
      <c r="AY27" s="26" t="str">
        <f t="shared" si="63"/>
        <v>Précompte</v>
      </c>
      <c r="AZ27" s="18">
        <f t="shared" ca="1" si="72"/>
        <v>0</v>
      </c>
      <c r="BA27" s="18">
        <f t="shared" ca="1" si="72"/>
        <v>0</v>
      </c>
      <c r="BB27" s="18">
        <f t="shared" ca="1" si="72"/>
        <v>0</v>
      </c>
      <c r="BC27" s="18">
        <f t="shared" ca="1" si="72"/>
        <v>0</v>
      </c>
      <c r="BD27" s="18">
        <f t="shared" ca="1" si="72"/>
        <v>0</v>
      </c>
      <c r="BE27" s="18">
        <f t="shared" ca="1" si="72"/>
        <v>0</v>
      </c>
      <c r="BF27" s="18">
        <f t="shared" ca="1" si="72"/>
        <v>0</v>
      </c>
      <c r="BG27" s="18">
        <f t="shared" ca="1" si="72"/>
        <v>0</v>
      </c>
      <c r="BH27" s="18">
        <f t="shared" ca="1" si="72"/>
        <v>0</v>
      </c>
      <c r="BI27" s="18">
        <f t="shared" ca="1" si="72"/>
        <v>0</v>
      </c>
      <c r="BJ27" s="18">
        <f t="shared" ca="1" si="72"/>
        <v>0</v>
      </c>
      <c r="BK27" s="18">
        <f t="shared" ca="1" si="72"/>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74"/>
        <v>0</v>
      </c>
      <c r="K28" s="114">
        <f t="shared" ca="1" si="57"/>
        <v>0</v>
      </c>
      <c r="L28" s="114"/>
      <c r="M28" s="114">
        <f t="shared" ca="1" si="58"/>
        <v>0</v>
      </c>
      <c r="N28" s="18"/>
      <c r="O28" s="38" t="str">
        <f t="shared" ca="1" si="46"/>
        <v/>
      </c>
      <c r="P28" s="39" t="str">
        <f t="shared" ca="1" si="47"/>
        <v/>
      </c>
      <c r="Q28" s="35"/>
      <c r="R28" s="21" t="str">
        <f>Lists!A83</f>
        <v>Erreur de reporting (montant et détail)</v>
      </c>
      <c r="S28" s="18">
        <f t="shared" si="73"/>
        <v>0</v>
      </c>
      <c r="Y28" s="15">
        <f t="shared" si="65"/>
        <v>19</v>
      </c>
      <c r="Z28" s="25" t="str">
        <f t="shared" si="59"/>
        <v>Taxe sur la valeur ajoutée (TVA)</v>
      </c>
      <c r="AA28" s="16">
        <f t="shared" si="66"/>
        <v>0</v>
      </c>
      <c r="AB28" s="16">
        <f t="shared" si="66"/>
        <v>0</v>
      </c>
      <c r="AC28" s="16">
        <f t="shared" si="66"/>
        <v>0</v>
      </c>
      <c r="AD28" s="16">
        <f t="shared" si="66"/>
        <v>0</v>
      </c>
      <c r="AE28" s="16">
        <f t="shared" si="66"/>
        <v>0</v>
      </c>
      <c r="AF28" s="16">
        <f t="shared" si="66"/>
        <v>0</v>
      </c>
      <c r="AG28" s="16">
        <f t="shared" si="66"/>
        <v>0</v>
      </c>
      <c r="AH28" s="16">
        <f t="shared" si="66"/>
        <v>0</v>
      </c>
      <c r="AI28" s="16">
        <f t="shared" si="66"/>
        <v>0</v>
      </c>
      <c r="AJ28" s="16">
        <f t="shared" si="67"/>
        <v>0</v>
      </c>
      <c r="AL28" s="17">
        <f t="shared" si="68"/>
        <v>19</v>
      </c>
      <c r="AM28" s="26" t="str">
        <f t="shared" si="61"/>
        <v>Taxe sur la valeur ajoutée (TVA)</v>
      </c>
      <c r="AN28" s="18">
        <f t="shared" si="69"/>
        <v>0</v>
      </c>
      <c r="AO28" s="18">
        <f t="shared" si="69"/>
        <v>0</v>
      </c>
      <c r="AP28" s="18">
        <f t="shared" si="69"/>
        <v>0</v>
      </c>
      <c r="AQ28" s="18">
        <f t="shared" si="69"/>
        <v>0</v>
      </c>
      <c r="AR28" s="18">
        <f t="shared" si="69"/>
        <v>0</v>
      </c>
      <c r="AS28" s="18">
        <f t="shared" si="69"/>
        <v>0</v>
      </c>
      <c r="AT28" s="18">
        <f t="shared" si="69"/>
        <v>0</v>
      </c>
      <c r="AU28" s="18">
        <f t="shared" si="69"/>
        <v>0</v>
      </c>
      <c r="AV28" s="18">
        <f t="shared" si="70"/>
        <v>0</v>
      </c>
      <c r="AW28" s="18"/>
      <c r="AX28" s="17">
        <f t="shared" si="71"/>
        <v>19</v>
      </c>
      <c r="AY28" s="26" t="str">
        <f t="shared" si="63"/>
        <v>Taxe sur la valeur ajoutée (TVA)</v>
      </c>
      <c r="AZ28" s="18">
        <f t="shared" ca="1" si="72"/>
        <v>0</v>
      </c>
      <c r="BA28" s="18">
        <f t="shared" ca="1" si="72"/>
        <v>0</v>
      </c>
      <c r="BB28" s="18">
        <f t="shared" ca="1" si="72"/>
        <v>0</v>
      </c>
      <c r="BC28" s="18">
        <f t="shared" ca="1" si="72"/>
        <v>0</v>
      </c>
      <c r="BD28" s="18">
        <f t="shared" ca="1" si="72"/>
        <v>0</v>
      </c>
      <c r="BE28" s="18">
        <f t="shared" ca="1" si="72"/>
        <v>0</v>
      </c>
      <c r="BF28" s="18">
        <f t="shared" ca="1" si="72"/>
        <v>0</v>
      </c>
      <c r="BG28" s="18">
        <f t="shared" ca="1" si="72"/>
        <v>0</v>
      </c>
      <c r="BH28" s="18">
        <f t="shared" ca="1" si="72"/>
        <v>0</v>
      </c>
      <c r="BI28" s="18">
        <f t="shared" ca="1" si="72"/>
        <v>0</v>
      </c>
      <c r="BJ28" s="18">
        <f t="shared" ca="1" si="72"/>
        <v>0</v>
      </c>
      <c r="BK28" s="18">
        <f t="shared" ca="1" si="72"/>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74"/>
        <v>0</v>
      </c>
      <c r="K29" s="165">
        <f t="shared" ca="1" si="57"/>
        <v>0</v>
      </c>
      <c r="L29" s="114"/>
      <c r="M29" s="165">
        <f t="shared" ca="1" si="58"/>
        <v>0</v>
      </c>
      <c r="N29" s="68"/>
      <c r="O29" s="38" t="str">
        <f t="shared" ca="1" si="46"/>
        <v/>
      </c>
      <c r="P29" s="39" t="str">
        <f t="shared" ca="1" si="47"/>
        <v/>
      </c>
      <c r="Q29" s="35"/>
      <c r="R29" s="21" t="str">
        <f>Lists!A84</f>
        <v>Taxe reportée par l'Etat non réellement encaissée</v>
      </c>
      <c r="S29" s="18">
        <f t="shared" si="73"/>
        <v>0</v>
      </c>
      <c r="Y29" s="15">
        <f t="shared" si="65"/>
        <v>20</v>
      </c>
      <c r="Z29" s="25" t="str">
        <f t="shared" si="59"/>
        <v>Impôt sur les revenus des loyers (IRL)</v>
      </c>
      <c r="AA29" s="16">
        <f t="shared" si="66"/>
        <v>0</v>
      </c>
      <c r="AB29" s="16">
        <f t="shared" si="66"/>
        <v>0</v>
      </c>
      <c r="AC29" s="16">
        <f t="shared" si="66"/>
        <v>0</v>
      </c>
      <c r="AD29" s="16">
        <f t="shared" si="66"/>
        <v>0</v>
      </c>
      <c r="AE29" s="16">
        <f t="shared" si="66"/>
        <v>0</v>
      </c>
      <c r="AF29" s="16">
        <f t="shared" si="66"/>
        <v>0</v>
      </c>
      <c r="AG29" s="16">
        <f t="shared" si="66"/>
        <v>0</v>
      </c>
      <c r="AH29" s="16">
        <f t="shared" si="66"/>
        <v>0</v>
      </c>
      <c r="AI29" s="16">
        <f t="shared" si="66"/>
        <v>0</v>
      </c>
      <c r="AJ29" s="16">
        <f>SUM(AA29:AI29)</f>
        <v>0</v>
      </c>
      <c r="AL29" s="17">
        <f t="shared" si="68"/>
        <v>20</v>
      </c>
      <c r="AM29" s="26" t="str">
        <f t="shared" si="61"/>
        <v>Impôt sur les revenus des loyers (IRL)</v>
      </c>
      <c r="AN29" s="18">
        <f t="shared" si="69"/>
        <v>0</v>
      </c>
      <c r="AO29" s="18">
        <f t="shared" si="69"/>
        <v>0</v>
      </c>
      <c r="AP29" s="18">
        <f t="shared" si="69"/>
        <v>0</v>
      </c>
      <c r="AQ29" s="18">
        <f t="shared" si="69"/>
        <v>0</v>
      </c>
      <c r="AR29" s="18">
        <f t="shared" si="69"/>
        <v>0</v>
      </c>
      <c r="AS29" s="18">
        <f t="shared" si="69"/>
        <v>0</v>
      </c>
      <c r="AT29" s="18">
        <f t="shared" si="69"/>
        <v>0</v>
      </c>
      <c r="AU29" s="18">
        <f t="shared" si="69"/>
        <v>0</v>
      </c>
      <c r="AV29" s="18">
        <f>SUM(AN29:AU29)</f>
        <v>0</v>
      </c>
      <c r="AW29" s="18"/>
      <c r="AX29" s="17">
        <f t="shared" si="71"/>
        <v>20</v>
      </c>
      <c r="AY29" s="26" t="str">
        <f t="shared" si="63"/>
        <v>Impôt sur les revenus des loyers (IRL)</v>
      </c>
      <c r="AZ29" s="18">
        <f t="shared" ca="1" si="72"/>
        <v>0</v>
      </c>
      <c r="BA29" s="18">
        <f t="shared" ca="1" si="72"/>
        <v>0</v>
      </c>
      <c r="BB29" s="18">
        <f t="shared" ca="1" si="72"/>
        <v>0</v>
      </c>
      <c r="BC29" s="18">
        <f t="shared" ca="1" si="72"/>
        <v>0</v>
      </c>
      <c r="BD29" s="18">
        <f t="shared" ca="1" si="72"/>
        <v>0</v>
      </c>
      <c r="BE29" s="18">
        <f t="shared" ca="1" si="72"/>
        <v>0</v>
      </c>
      <c r="BF29" s="18">
        <f t="shared" ca="1" si="72"/>
        <v>0</v>
      </c>
      <c r="BG29" s="18">
        <f t="shared" ca="1" si="72"/>
        <v>0</v>
      </c>
      <c r="BH29" s="18">
        <f t="shared" ca="1" si="72"/>
        <v>0</v>
      </c>
      <c r="BI29" s="18">
        <f t="shared" ca="1" si="72"/>
        <v>0</v>
      </c>
      <c r="BJ29" s="18">
        <f t="shared" ca="1" si="72"/>
        <v>0</v>
      </c>
      <c r="BK29" s="18">
        <f t="shared" ca="1" si="72"/>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74"/>
        <v>0</v>
      </c>
      <c r="K30" s="114">
        <f t="shared" ca="1" si="57"/>
        <v>0</v>
      </c>
      <c r="L30" s="114"/>
      <c r="M30" s="114">
        <f t="shared" ca="1" si="58"/>
        <v>0</v>
      </c>
      <c r="N30" s="18"/>
      <c r="O30" s="38" t="str">
        <f t="shared" ca="1" si="46"/>
        <v/>
      </c>
      <c r="P30" s="39" t="str">
        <f t="shared" ca="1" si="47"/>
        <v/>
      </c>
      <c r="Q30" s="35"/>
      <c r="R30" s="21" t="str">
        <f>Lists!A85</f>
        <v>Erreur de classification</v>
      </c>
      <c r="S30" s="18">
        <f t="shared" si="73"/>
        <v>0</v>
      </c>
      <c r="Y30" s="15">
        <f t="shared" si="65"/>
        <v>21</v>
      </c>
      <c r="Z30" s="25" t="str">
        <f t="shared" si="59"/>
        <v>Droits fixes (sur l'octroi, renouvellement, transfert) (+)</v>
      </c>
      <c r="AA30" s="16">
        <f t="shared" si="66"/>
        <v>0</v>
      </c>
      <c r="AB30" s="16">
        <f t="shared" si="66"/>
        <v>0</v>
      </c>
      <c r="AC30" s="16">
        <f t="shared" si="66"/>
        <v>0</v>
      </c>
      <c r="AD30" s="16">
        <f t="shared" si="66"/>
        <v>0</v>
      </c>
      <c r="AE30" s="16">
        <f t="shared" si="66"/>
        <v>0</v>
      </c>
      <c r="AF30" s="16">
        <f t="shared" si="66"/>
        <v>0</v>
      </c>
      <c r="AG30" s="16">
        <f t="shared" si="66"/>
        <v>0</v>
      </c>
      <c r="AH30" s="16">
        <f t="shared" si="66"/>
        <v>0</v>
      </c>
      <c r="AI30" s="16">
        <f t="shared" si="66"/>
        <v>0</v>
      </c>
      <c r="AJ30" s="16">
        <f>SUM(AA30:AI30)</f>
        <v>0</v>
      </c>
      <c r="AL30" s="17">
        <f t="shared" si="68"/>
        <v>21</v>
      </c>
      <c r="AM30" s="26" t="str">
        <f t="shared" si="61"/>
        <v>Droits fixes (sur l'octroi, renouvellement, transfert) (+)</v>
      </c>
      <c r="AN30" s="18">
        <f t="shared" si="69"/>
        <v>0</v>
      </c>
      <c r="AO30" s="18">
        <f t="shared" si="69"/>
        <v>0</v>
      </c>
      <c r="AP30" s="18">
        <f t="shared" si="69"/>
        <v>0</v>
      </c>
      <c r="AQ30" s="18">
        <f t="shared" si="69"/>
        <v>0</v>
      </c>
      <c r="AR30" s="18">
        <f t="shared" si="69"/>
        <v>0</v>
      </c>
      <c r="AS30" s="18">
        <f t="shared" si="69"/>
        <v>0</v>
      </c>
      <c r="AT30" s="18">
        <f t="shared" si="69"/>
        <v>0</v>
      </c>
      <c r="AU30" s="18">
        <f t="shared" si="69"/>
        <v>0</v>
      </c>
      <c r="AV30" s="18">
        <f>SUM(AN30:AU30)</f>
        <v>0</v>
      </c>
      <c r="AW30" s="18"/>
      <c r="AX30" s="17">
        <f t="shared" si="71"/>
        <v>21</v>
      </c>
      <c r="AY30" s="26" t="str">
        <f t="shared" si="63"/>
        <v>Droits fixes (sur l'octroi, renouvellement, transfert) (+)</v>
      </c>
      <c r="AZ30" s="18">
        <f t="shared" ca="1" si="72"/>
        <v>0</v>
      </c>
      <c r="BA30" s="18">
        <f t="shared" ca="1" si="72"/>
        <v>0</v>
      </c>
      <c r="BB30" s="18">
        <f t="shared" ca="1" si="72"/>
        <v>0</v>
      </c>
      <c r="BC30" s="18">
        <f t="shared" ca="1" si="72"/>
        <v>0</v>
      </c>
      <c r="BD30" s="18">
        <f t="shared" ca="1" si="72"/>
        <v>0</v>
      </c>
      <c r="BE30" s="18">
        <f t="shared" ca="1" si="72"/>
        <v>0</v>
      </c>
      <c r="BF30" s="18">
        <f t="shared" ca="1" si="72"/>
        <v>0</v>
      </c>
      <c r="BG30" s="18">
        <f t="shared" ca="1" si="72"/>
        <v>0</v>
      </c>
      <c r="BH30" s="18">
        <f t="shared" ca="1" si="72"/>
        <v>0</v>
      </c>
      <c r="BI30" s="18">
        <f t="shared" ca="1" si="72"/>
        <v>0</v>
      </c>
      <c r="BJ30" s="18">
        <f t="shared" ca="1" si="72"/>
        <v>0</v>
      </c>
      <c r="BK30" s="18">
        <f t="shared" ca="1" si="72"/>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74"/>
        <v>0</v>
      </c>
      <c r="K31" s="165">
        <f t="shared" ca="1" si="57"/>
        <v>0</v>
      </c>
      <c r="L31" s="114"/>
      <c r="M31" s="165">
        <f t="shared" ca="1" si="58"/>
        <v>0</v>
      </c>
      <c r="N31" s="68"/>
      <c r="O31" s="38" t="str">
        <f t="shared" ca="1" si="46"/>
        <v/>
      </c>
      <c r="P31" s="39" t="str">
        <f t="shared" ca="1" si="47"/>
        <v/>
      </c>
      <c r="Q31" s="35"/>
      <c r="R31" s="21" t="str">
        <f>Lists!A86</f>
        <v>Taxes payées par la Ste sur un autre NINEA non reporté par l'Etat</v>
      </c>
      <c r="S31" s="18">
        <f t="shared" si="73"/>
        <v>0</v>
      </c>
      <c r="Y31" s="15">
        <f t="shared" si="65"/>
        <v>22</v>
      </c>
      <c r="Z31" s="25" t="str">
        <f t="shared" si="59"/>
        <v>Les redevances proportionnelles ou royalties sur les autorisations d'exploitation de carrière et les exploitations des mines (+)</v>
      </c>
      <c r="AA31" s="16">
        <f t="shared" si="66"/>
        <v>0</v>
      </c>
      <c r="AB31" s="16">
        <f t="shared" si="66"/>
        <v>0</v>
      </c>
      <c r="AC31" s="16">
        <f t="shared" si="66"/>
        <v>0</v>
      </c>
      <c r="AD31" s="16">
        <f t="shared" si="66"/>
        <v>0</v>
      </c>
      <c r="AE31" s="16">
        <f t="shared" si="66"/>
        <v>0</v>
      </c>
      <c r="AF31" s="16">
        <f t="shared" si="66"/>
        <v>0</v>
      </c>
      <c r="AG31" s="16">
        <f t="shared" si="66"/>
        <v>0</v>
      </c>
      <c r="AH31" s="16">
        <f t="shared" si="66"/>
        <v>0</v>
      </c>
      <c r="AI31" s="16">
        <f t="shared" si="66"/>
        <v>0</v>
      </c>
      <c r="AJ31" s="16">
        <f>SUM(AA31:AI31)</f>
        <v>0</v>
      </c>
      <c r="AL31" s="17">
        <f t="shared" si="68"/>
        <v>22</v>
      </c>
      <c r="AM31" s="26" t="str">
        <f t="shared" si="61"/>
        <v>Les redevances proportionnelles ou royalties sur les autorisations d'exploitation de carrière et les exploitations des mines (+)</v>
      </c>
      <c r="AN31" s="18">
        <f t="shared" si="69"/>
        <v>0</v>
      </c>
      <c r="AO31" s="18">
        <f t="shared" si="69"/>
        <v>0</v>
      </c>
      <c r="AP31" s="18">
        <f t="shared" si="69"/>
        <v>0</v>
      </c>
      <c r="AQ31" s="18">
        <f t="shared" si="69"/>
        <v>0</v>
      </c>
      <c r="AR31" s="18">
        <f t="shared" si="69"/>
        <v>0</v>
      </c>
      <c r="AS31" s="18">
        <f t="shared" si="69"/>
        <v>0</v>
      </c>
      <c r="AT31" s="18">
        <f t="shared" si="69"/>
        <v>0</v>
      </c>
      <c r="AU31" s="18">
        <f t="shared" si="69"/>
        <v>0</v>
      </c>
      <c r="AV31" s="18">
        <f>SUM(AN31:AU31)</f>
        <v>0</v>
      </c>
      <c r="AW31" s="18"/>
      <c r="AX31" s="17">
        <f t="shared" si="71"/>
        <v>22</v>
      </c>
      <c r="AY31" s="26" t="str">
        <f t="shared" si="63"/>
        <v>Les redevances proportionnelles ou royalties sur les autorisations d'exploitation de carrière et les exploitations des mines (+)</v>
      </c>
      <c r="AZ31" s="18">
        <f t="shared" ca="1" si="72"/>
        <v>0</v>
      </c>
      <c r="BA31" s="18">
        <f t="shared" ca="1" si="72"/>
        <v>0</v>
      </c>
      <c r="BB31" s="18">
        <f t="shared" ca="1" si="72"/>
        <v>0</v>
      </c>
      <c r="BC31" s="18">
        <f t="shared" ca="1" si="72"/>
        <v>0</v>
      </c>
      <c r="BD31" s="18">
        <f t="shared" ca="1" si="72"/>
        <v>0</v>
      </c>
      <c r="BE31" s="18">
        <f t="shared" ca="1" si="72"/>
        <v>0</v>
      </c>
      <c r="BF31" s="18">
        <f t="shared" ca="1" si="72"/>
        <v>0</v>
      </c>
      <c r="BG31" s="18">
        <f t="shared" ca="1" si="72"/>
        <v>0</v>
      </c>
      <c r="BH31" s="18">
        <f t="shared" ca="1" si="72"/>
        <v>0</v>
      </c>
      <c r="BI31" s="18">
        <f t="shared" ca="1" si="72"/>
        <v>0</v>
      </c>
      <c r="BJ31" s="18">
        <f t="shared" ca="1" si="72"/>
        <v>0</v>
      </c>
      <c r="BK31" s="18">
        <f t="shared" ca="1" si="72"/>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74"/>
        <v>0</v>
      </c>
      <c r="K32" s="114">
        <f t="shared" ca="1" si="57"/>
        <v>0</v>
      </c>
      <c r="L32" s="114"/>
      <c r="M32" s="114">
        <f t="shared" ca="1" si="58"/>
        <v>0</v>
      </c>
      <c r="N32" s="18"/>
      <c r="O32" s="38" t="str">
        <f t="shared" ca="1" si="46"/>
        <v/>
      </c>
      <c r="P32" s="39" t="str">
        <f t="shared" ca="1" si="47"/>
        <v/>
      </c>
      <c r="Q32" s="35"/>
      <c r="R32" s="21" t="str">
        <f>Lists!A87</f>
        <v>Taxes hors périmètre de réconciliation</v>
      </c>
      <c r="S32" s="18">
        <f t="shared" si="73"/>
        <v>0</v>
      </c>
      <c r="Y32" s="15">
        <f t="shared" si="65"/>
        <v>23</v>
      </c>
      <c r="Z32" s="25" t="str">
        <f t="shared" si="59"/>
        <v>Impôt sur les revenus des capitaux mobiliers (RCM) (+)</v>
      </c>
      <c r="AA32" s="16">
        <f t="shared" si="66"/>
        <v>0</v>
      </c>
      <c r="AB32" s="16">
        <f t="shared" si="66"/>
        <v>0</v>
      </c>
      <c r="AC32" s="16">
        <f t="shared" si="66"/>
        <v>0</v>
      </c>
      <c r="AD32" s="16">
        <f t="shared" si="66"/>
        <v>0</v>
      </c>
      <c r="AE32" s="16">
        <f t="shared" si="66"/>
        <v>0</v>
      </c>
      <c r="AF32" s="16">
        <f t="shared" si="66"/>
        <v>0</v>
      </c>
      <c r="AG32" s="16">
        <f t="shared" si="66"/>
        <v>0</v>
      </c>
      <c r="AH32" s="16">
        <f t="shared" si="66"/>
        <v>0</v>
      </c>
      <c r="AI32" s="16">
        <f t="shared" si="66"/>
        <v>0</v>
      </c>
      <c r="AJ32" s="16">
        <f>SUM(AA32:AI32)</f>
        <v>0</v>
      </c>
      <c r="AL32" s="17">
        <f t="shared" si="68"/>
        <v>23</v>
      </c>
      <c r="AM32" s="26" t="str">
        <f t="shared" si="61"/>
        <v>Impôt sur les revenus des capitaux mobiliers (RCM) (+)</v>
      </c>
      <c r="AN32" s="18">
        <f t="shared" si="69"/>
        <v>0</v>
      </c>
      <c r="AO32" s="18">
        <f t="shared" si="69"/>
        <v>0</v>
      </c>
      <c r="AP32" s="18">
        <f t="shared" si="69"/>
        <v>0</v>
      </c>
      <c r="AQ32" s="18">
        <f t="shared" si="69"/>
        <v>0</v>
      </c>
      <c r="AR32" s="18">
        <f t="shared" si="69"/>
        <v>0</v>
      </c>
      <c r="AS32" s="18">
        <f t="shared" si="69"/>
        <v>0</v>
      </c>
      <c r="AT32" s="18">
        <f t="shared" si="69"/>
        <v>0</v>
      </c>
      <c r="AU32" s="18">
        <f t="shared" si="69"/>
        <v>0</v>
      </c>
      <c r="AV32" s="18">
        <f>SUM(AN32:AU32)</f>
        <v>0</v>
      </c>
      <c r="AW32" s="38"/>
      <c r="AX32" s="17">
        <f t="shared" si="71"/>
        <v>23</v>
      </c>
      <c r="AY32" s="26" t="str">
        <f t="shared" si="63"/>
        <v>Impôt sur les revenus des capitaux mobiliers (RCM) (+)</v>
      </c>
      <c r="AZ32" s="18">
        <f t="shared" ca="1" si="72"/>
        <v>0</v>
      </c>
      <c r="BA32" s="18">
        <f t="shared" ca="1" si="72"/>
        <v>0</v>
      </c>
      <c r="BB32" s="18">
        <f t="shared" ca="1" si="72"/>
        <v>0</v>
      </c>
      <c r="BC32" s="18">
        <f t="shared" ca="1" si="72"/>
        <v>0</v>
      </c>
      <c r="BD32" s="18">
        <f t="shared" ca="1" si="72"/>
        <v>0</v>
      </c>
      <c r="BE32" s="18">
        <f t="shared" ca="1" si="72"/>
        <v>0</v>
      </c>
      <c r="BF32" s="18">
        <f t="shared" ca="1" si="72"/>
        <v>0</v>
      </c>
      <c r="BG32" s="18">
        <f t="shared" ca="1" si="72"/>
        <v>0</v>
      </c>
      <c r="BH32" s="18">
        <f t="shared" ca="1" si="72"/>
        <v>0</v>
      </c>
      <c r="BI32" s="18">
        <f t="shared" ca="1" si="72"/>
        <v>0</v>
      </c>
      <c r="BJ32" s="18">
        <f t="shared" ca="1" si="72"/>
        <v>0</v>
      </c>
      <c r="BK32" s="18">
        <f t="shared" ca="1" si="72"/>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74"/>
        <v>0</v>
      </c>
      <c r="K33" s="165">
        <f t="shared" ca="1" si="57"/>
        <v>0</v>
      </c>
      <c r="L33" s="114"/>
      <c r="M33" s="165">
        <f t="shared" ca="1" si="58"/>
        <v>0</v>
      </c>
      <c r="N33" s="68"/>
      <c r="O33" s="38" t="str">
        <f t="shared" ca="1" si="46"/>
        <v/>
      </c>
      <c r="P33" s="39" t="str">
        <f t="shared" ca="1" si="47"/>
        <v/>
      </c>
      <c r="Q33" s="35"/>
      <c r="R33" s="40" t="s">
        <v>18</v>
      </c>
      <c r="S33" s="22">
        <f>SUM(S25:S32)</f>
        <v>0</v>
      </c>
      <c r="Y33" s="28"/>
      <c r="Z33" s="28" t="str">
        <f t="shared" si="59"/>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1"/>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3"/>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74"/>
        <v>0</v>
      </c>
      <c r="K34" s="114">
        <f t="shared" ca="1" si="57"/>
        <v>0</v>
      </c>
      <c r="L34" s="114"/>
      <c r="M34" s="114">
        <f t="shared" ca="1" si="58"/>
        <v>0</v>
      </c>
      <c r="N34" s="18"/>
      <c r="O34" s="38" t="str">
        <f t="shared" ca="1" si="46"/>
        <v/>
      </c>
      <c r="P34" s="39" t="str">
        <f t="shared" ca="1" si="47"/>
        <v/>
      </c>
      <c r="Q34" s="35"/>
      <c r="R34" s="43"/>
      <c r="S34" s="27"/>
      <c r="Y34" s="15">
        <f t="shared" ref="Y34:Y49" si="78">B37</f>
        <v>25</v>
      </c>
      <c r="Z34" s="25" t="str">
        <f t="shared" si="59"/>
        <v>Amendes et pénalités payées à la DGID (+)</v>
      </c>
      <c r="AA34" s="16">
        <f t="shared" ref="AA34:AI46" si="79">SUMPRODUCT(($A$84:$A$692=$Y34&amp;"- "&amp;$Z34)*($C$84:$C$692=AA$1)*($G$84:$G$692))</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1"/>
        <v>Amendes et pénalités payées à la DGID (+)</v>
      </c>
      <c r="AN34" s="18">
        <f t="shared" ref="AN34:AU46" si="82">SUMPRODUCT(($J$84:$M$748=$AL34&amp;"- "&amp;$AM34)*($N$84:$N$748=AN$1)*($Q$84:$Q$748))</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3"/>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74"/>
        <v>0</v>
      </c>
      <c r="K35" s="165">
        <f t="shared" ca="1" si="57"/>
        <v>0</v>
      </c>
      <c r="L35" s="114"/>
      <c r="M35" s="165">
        <f t="shared" ca="1" si="58"/>
        <v>0</v>
      </c>
      <c r="N35" s="68"/>
      <c r="O35" s="71" t="str">
        <f t="shared" ca="1" si="46"/>
        <v/>
      </c>
      <c r="P35" s="72" t="str">
        <f t="shared" ca="1" si="47"/>
        <v/>
      </c>
      <c r="Q35" s="73"/>
      <c r="Y35" s="15">
        <f t="shared" si="78"/>
        <v>26</v>
      </c>
      <c r="Z35" s="25" t="str">
        <f t="shared" si="59"/>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1"/>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3"/>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74"/>
        <v>0</v>
      </c>
      <c r="K36" s="114">
        <f t="shared" ca="1" si="57"/>
        <v>0</v>
      </c>
      <c r="L36" s="114"/>
      <c r="M36" s="114">
        <f t="shared" ca="1" si="58"/>
        <v>0</v>
      </c>
      <c r="N36" s="18"/>
      <c r="O36" s="38"/>
      <c r="P36" s="39"/>
      <c r="Q36" s="35"/>
      <c r="S36" s="18"/>
      <c r="Y36" s="15">
        <f t="shared" si="78"/>
        <v>27</v>
      </c>
      <c r="Z36" s="25" t="str">
        <f t="shared" si="59"/>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1"/>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3"/>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74"/>
        <v>0</v>
      </c>
      <c r="K37" s="165">
        <f t="shared" ca="1" si="57"/>
        <v>0</v>
      </c>
      <c r="L37" s="114"/>
      <c r="M37" s="165">
        <f t="shared" ca="1" si="58"/>
        <v>0</v>
      </c>
      <c r="N37" s="68"/>
      <c r="O37" s="38" t="str">
        <f t="shared" ca="1" si="46"/>
        <v/>
      </c>
      <c r="P37" s="39" t="str">
        <f t="shared" ref="P37:P51" ca="1" si="86">IF(O37="ERROR","Please insert comment","")</f>
        <v/>
      </c>
      <c r="Q37" s="35"/>
      <c r="Y37" s="15">
        <f t="shared" si="78"/>
        <v>0</v>
      </c>
      <c r="Z37" s="25" t="str">
        <f t="shared" si="59"/>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1"/>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3"/>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ca="1">SUMIF($J$84:$M$749,C38,$Q$84:$Q$749)</f>
        <v>0</v>
      </c>
      <c r="K38" s="114">
        <f t="shared" ca="1" si="57"/>
        <v>0</v>
      </c>
      <c r="L38" s="114"/>
      <c r="M38" s="114">
        <f t="shared" ca="1" si="58"/>
        <v>0</v>
      </c>
      <c r="N38" s="18"/>
      <c r="O38" s="38" t="str">
        <f t="shared" ca="1" si="46"/>
        <v/>
      </c>
      <c r="P38" s="39" t="str">
        <f t="shared" ca="1" si="86"/>
        <v/>
      </c>
      <c r="Q38" s="35"/>
      <c r="Y38" s="15">
        <f t="shared" si="78"/>
        <v>28</v>
      </c>
      <c r="Z38" s="25" t="str">
        <f t="shared" si="59"/>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1"/>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3"/>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ca="1">SUMIF($J$84:$M$749,B39&amp;"- "&amp;C39,$Q$84:$Q$749)</f>
        <v>0</v>
      </c>
      <c r="K39" s="165">
        <f t="shared" ca="1" si="57"/>
        <v>0</v>
      </c>
      <c r="L39" s="114"/>
      <c r="M39" s="165">
        <f t="shared" ca="1" si="58"/>
        <v>0</v>
      </c>
      <c r="N39" s="68"/>
      <c r="O39" s="38" t="str">
        <f t="shared" ca="1" si="46"/>
        <v/>
      </c>
      <c r="P39" s="39" t="str">
        <f t="shared" ca="1" si="86"/>
        <v/>
      </c>
      <c r="Q39" s="35"/>
      <c r="Y39" s="15">
        <f t="shared" si="78"/>
        <v>29</v>
      </c>
      <c r="Z39" s="25" t="str">
        <f t="shared" si="59"/>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1"/>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3"/>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0</v>
      </c>
      <c r="J40" s="166">
        <f ca="1">SUM(J41:J44)</f>
        <v>0</v>
      </c>
      <c r="K40" s="166">
        <f ca="1">SUM(K41:K44)</f>
        <v>0</v>
      </c>
      <c r="L40" s="114"/>
      <c r="M40" s="166">
        <f ca="1">SUM(M41:M44)</f>
        <v>0</v>
      </c>
      <c r="N40" s="58"/>
      <c r="O40" s="38" t="str">
        <f t="shared" ca="1" si="46"/>
        <v/>
      </c>
      <c r="P40" s="39" t="str">
        <f t="shared" ca="1" si="86"/>
        <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SUMIF($A$84:$A$692,B41&amp;"- "&amp;C41,$G$84:$G$692)</f>
        <v>0</v>
      </c>
      <c r="G41" s="114">
        <f>E41+F41</f>
        <v>0</v>
      </c>
      <c r="H41" s="114"/>
      <c r="I41" s="114"/>
      <c r="J41" s="114">
        <f ca="1">SUMIF($J$84:$M$749,B41&amp;"- "&amp;C41,$Q$84:$Q$749)</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SUMIF($A$84:$A$692,B42&amp;"- "&amp;C42,$G$84:$G$692)</f>
        <v>0</v>
      </c>
      <c r="G42" s="165">
        <f>E42+F42</f>
        <v>0</v>
      </c>
      <c r="H42" s="114"/>
      <c r="I42" s="165"/>
      <c r="J42" s="165">
        <f ca="1">SUMIF($J$84:$M$749,B42&amp;"- "&amp;C42,$Q$84:$Q$749)</f>
        <v>0</v>
      </c>
      <c r="K42" s="165">
        <f ca="1">I42+J42</f>
        <v>0</v>
      </c>
      <c r="L42" s="114"/>
      <c r="M42" s="165">
        <f ca="1">+G42-K42</f>
        <v>0</v>
      </c>
      <c r="N42" s="68"/>
      <c r="O42" s="38" t="str">
        <f t="shared" ca="1" si="46"/>
        <v/>
      </c>
      <c r="P42" s="39" t="str">
        <f t="shared" ca="1" si="86"/>
        <v/>
      </c>
      <c r="Q42" s="35"/>
      <c r="T42" s="41" t="str">
        <f ca="1">IF(J8=S33,"","ERROR")</f>
        <v>ERROR</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SUMIF($A$84:$A$692,B43&amp;"- "&amp;C43,$G$84:$G$692)</f>
        <v>0</v>
      </c>
      <c r="G43" s="114">
        <f>E43+F43</f>
        <v>0</v>
      </c>
      <c r="H43" s="114"/>
      <c r="I43" s="114"/>
      <c r="J43" s="114">
        <f ca="1">SUMIF($J$84:$M$749,B43&amp;"- "&amp;C43,$Q$84:$Q$749)</f>
        <v>0</v>
      </c>
      <c r="K43" s="114">
        <f ca="1">I43+J43</f>
        <v>0</v>
      </c>
      <c r="L43" s="114"/>
      <c r="M43" s="114">
        <f ca="1">+G43-K43</f>
        <v>0</v>
      </c>
      <c r="N43" s="18"/>
      <c r="O43" s="38" t="str">
        <f t="shared" ca="1" si="46"/>
        <v/>
      </c>
      <c r="P43" s="39" t="str">
        <f t="shared" ca="1" si="86"/>
        <v/>
      </c>
      <c r="Q43" s="35"/>
      <c r="Y43" s="15">
        <f t="shared" si="78"/>
        <v>32</v>
      </c>
      <c r="Z43" s="25" t="str">
        <f t="shared" si="59"/>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1"/>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3"/>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SUMIF($A$84:$A$692,B44&amp;"- "&amp;C44,$G$84:$G$692)</f>
        <v>0</v>
      </c>
      <c r="G44" s="165">
        <f>E44+F44</f>
        <v>0</v>
      </c>
      <c r="H44" s="114"/>
      <c r="I44" s="165"/>
      <c r="J44" s="165">
        <f ca="1">SUMIF($J$84:$M$749,B44&amp;"- "&amp;C44,$Q$84:$Q$749)</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SUMIF($A$84:$A$692,B46&amp;"- "&amp;C46,$G$84:$G$692)</f>
        <v>0</v>
      </c>
      <c r="G46" s="165">
        <f>E46+F46</f>
        <v>0</v>
      </c>
      <c r="H46" s="114"/>
      <c r="I46" s="165"/>
      <c r="J46" s="165">
        <f ca="1">SUMIF($J$84:$M$749,B46&amp;"- "&amp;C46,$Q$84:$Q$749)</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7348073.8800000008</v>
      </c>
      <c r="J47" s="166">
        <f ca="1">SUM(J48:J51)</f>
        <v>0</v>
      </c>
      <c r="K47" s="166">
        <f ca="1">SUM(K48:K51)</f>
        <v>7348073.8800000008</v>
      </c>
      <c r="L47" s="114"/>
      <c r="M47" s="166">
        <f ca="1">SUM(M48:M51)</f>
        <v>-7348073.8800000008</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SUMIF($A$84:$A$692,B48&amp;"- "&amp;C48,$G$84:$G$692)</f>
        <v>0</v>
      </c>
      <c r="G48" s="114">
        <f>E48+F48</f>
        <v>0</v>
      </c>
      <c r="H48" s="114"/>
      <c r="I48" s="114">
        <v>7348073.8800000008</v>
      </c>
      <c r="J48" s="114">
        <f ca="1">SUMIF($J$84:$M$749,B48&amp;"- "&amp;C48,$Q$84:$Q$749)</f>
        <v>0</v>
      </c>
      <c r="K48" s="114">
        <f ca="1">I48+J48</f>
        <v>7348073.8800000008</v>
      </c>
      <c r="L48" s="114"/>
      <c r="M48" s="114">
        <f ca="1">+G48-K48</f>
        <v>-7348073.8800000008</v>
      </c>
      <c r="N48" s="18"/>
      <c r="O48" s="38" t="str">
        <f t="shared" ca="1" si="46"/>
        <v>ERROR</v>
      </c>
      <c r="P48" s="39" t="str">
        <f t="shared" ca="1" si="86"/>
        <v>Please insert comment</v>
      </c>
      <c r="Y48" s="15">
        <f t="shared" si="78"/>
        <v>36</v>
      </c>
      <c r="Z48" s="25" t="str">
        <f t="shared" si="59"/>
        <v>Taxes environnementales sur les Stes forestières et Minières (+)</v>
      </c>
      <c r="AA48" s="16">
        <f t="shared" ref="AA48:AI49" si="90">SUMPRODUCT(($A$84:$A$692=$Y48&amp;"- "&amp;$Z48)*($C$84:$C$692=AA$1)*($G$84:$G$692))</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1"/>
        <v>Taxes environnementales sur les Stes forestières et Minières (+)</v>
      </c>
      <c r="AN48" s="18">
        <f t="shared" ref="AN48:AU49" si="91">SUMPRODUCT(($J$84:$M$748=$AL48&amp;"- "&amp;$AM48)*($N$84:$N$748=AN$1)*($Q$84:$Q$748))</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3"/>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SUMIF($A$84:$A$692,B49&amp;"- "&amp;C49,$G$84:$G$692)</f>
        <v>0</v>
      </c>
      <c r="G49" s="165">
        <f>E49+F49</f>
        <v>0</v>
      </c>
      <c r="H49" s="114"/>
      <c r="I49" s="165"/>
      <c r="J49" s="165">
        <f ca="1">SUMIF($J$84:$M$749,B49&amp;"- "&amp;C49,$Q$84:$Q$749)</f>
        <v>0</v>
      </c>
      <c r="K49" s="165">
        <f ca="1">I49+J49</f>
        <v>0</v>
      </c>
      <c r="L49" s="114"/>
      <c r="M49" s="165">
        <f ca="1">+G49-K49</f>
        <v>0</v>
      </c>
      <c r="N49" s="68"/>
      <c r="O49" s="38" t="str">
        <f t="shared" ca="1" si="46"/>
        <v/>
      </c>
      <c r="P49" s="39" t="str">
        <f t="shared" ca="1" si="86"/>
        <v/>
      </c>
      <c r="Y49" s="15">
        <f t="shared" si="78"/>
        <v>0</v>
      </c>
      <c r="Z49" s="25" t="str">
        <f t="shared" si="59"/>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1"/>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3"/>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SUMIF($A$84:$A$692,B50&amp;"- "&amp;C50,$G$84:$G$692)</f>
        <v>0</v>
      </c>
      <c r="G50" s="114">
        <f>E50+F50</f>
        <v>0</v>
      </c>
      <c r="H50" s="114"/>
      <c r="I50" s="114"/>
      <c r="J50" s="114">
        <f ca="1">SUMIF($J$84:$M$749,B50&amp;"- "&amp;C50,$Q$84:$Q$749)</f>
        <v>0</v>
      </c>
      <c r="K50" s="114">
        <f ca="1">I50+J50</f>
        <v>0</v>
      </c>
      <c r="L50" s="114"/>
      <c r="M50" s="114">
        <f ca="1">+G50-K50</f>
        <v>0</v>
      </c>
      <c r="N50" s="18"/>
      <c r="O50" s="38" t="str">
        <f t="shared" ca="1" si="46"/>
        <v/>
      </c>
      <c r="P50" s="39" t="str">
        <f t="shared" ca="1" si="86"/>
        <v/>
      </c>
      <c r="Y50" s="28"/>
      <c r="Z50" s="28" t="str">
        <f t="shared" si="59"/>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1"/>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3"/>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SUMIF($A$84:$A$692,B51&amp;"- "&amp;C51,$G$84:$G$692)</f>
        <v>0</v>
      </c>
      <c r="G51" s="165">
        <f>E51+F51</f>
        <v>0</v>
      </c>
      <c r="H51" s="114"/>
      <c r="I51" s="165"/>
      <c r="J51" s="165">
        <f ca="1">SUMIF($J$84:$M$749,B51&amp;"- "&amp;C51,$Q$84:$Q$749)</f>
        <v>0</v>
      </c>
      <c r="K51" s="165">
        <f ca="1">I51+J51</f>
        <v>0</v>
      </c>
      <c r="L51" s="114"/>
      <c r="M51" s="165">
        <f ca="1">+G51-K51</f>
        <v>0</v>
      </c>
      <c r="N51" s="68"/>
      <c r="O51" s="38" t="str">
        <f t="shared" ca="1" si="46"/>
        <v/>
      </c>
      <c r="P51" s="39" t="str">
        <f t="shared" ca="1" si="86"/>
        <v/>
      </c>
      <c r="Y51" s="15">
        <f t="shared" ref="Y51:Y58" si="96">B54</f>
        <v>38</v>
      </c>
      <c r="Z51" s="25" t="str">
        <f t="shared" si="59"/>
        <v>Affectation au titre de taxe d’abattage (+)</v>
      </c>
      <c r="AA51" s="16">
        <f t="shared" ref="AA51:AI59" si="97">SUMPRODUCT(($A$84:$A$692=$Y51&amp;"- "&amp;$Z51)*($C$84:$C$692=AA$1)*($G$84:$G$692))</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1"/>
        <v>Affectation au titre de taxe d’abattage (+)</v>
      </c>
      <c r="AN51" s="18">
        <f t="shared" ref="AN51:AU59" si="100">SUMPRODUCT(($J$84:$M$748=$AL51&amp;"- "&amp;$AM51)*($N$84:$N$748=AN$1)*($Q$84:$Q$748))</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3"/>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17145506</v>
      </c>
      <c r="J52" s="166">
        <f t="shared" ref="J52" ca="1" si="105">+J53+J54</f>
        <v>0</v>
      </c>
      <c r="K52" s="166">
        <f t="shared" ref="K52" ca="1" si="106">+K53+K54</f>
        <v>17145506</v>
      </c>
      <c r="L52" s="114"/>
      <c r="M52" s="166">
        <f t="shared" ref="M52" ca="1" si="107">+M53+M54</f>
        <v>-17145506</v>
      </c>
      <c r="N52" s="58"/>
      <c r="O52" s="38" t="str">
        <f ca="1">IF(M52=0,"",IF(N52=0,"ERROR",""))</f>
        <v>ERROR</v>
      </c>
      <c r="P52" s="39" t="str">
        <f ca="1">IF(O52="ERROR","Please insert comment","")</f>
        <v>Please insert comment</v>
      </c>
      <c r="Y52" s="15">
        <f t="shared" si="96"/>
        <v>0</v>
      </c>
      <c r="Z52" s="25" t="str">
        <f t="shared" si="59"/>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1"/>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3"/>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SUMIF($A$84:$A$692,B53&amp;"- "&amp;C53,$G$84:$G$692)</f>
        <v>0</v>
      </c>
      <c r="G53" s="114">
        <f>E53+F53</f>
        <v>0</v>
      </c>
      <c r="H53" s="114"/>
      <c r="I53" s="114"/>
      <c r="J53" s="114">
        <f ca="1">SUMIF($J$84:$M$749,B53&amp;"- "&amp;C53,$Q$84:$Q$749)</f>
        <v>0</v>
      </c>
      <c r="K53" s="114">
        <f ca="1">I53+J53</f>
        <v>0</v>
      </c>
      <c r="L53" s="114"/>
      <c r="M53" s="114">
        <f ca="1">+G53-K53</f>
        <v>0</v>
      </c>
      <c r="N53" s="18"/>
      <c r="O53" s="38"/>
      <c r="P53" s="39" t="str">
        <f>IF(O53="ERROR","Please insert comment","")</f>
        <v/>
      </c>
      <c r="Y53" s="15">
        <f t="shared" si="96"/>
        <v>0</v>
      </c>
      <c r="Z53" s="25" t="str">
        <f t="shared" si="59"/>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1"/>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3"/>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SUMIF($A$84:$A$692,B54&amp;"- "&amp;C54,$G$84:$G$692)</f>
        <v>0</v>
      </c>
      <c r="G54" s="165">
        <f>E54+F54</f>
        <v>0</v>
      </c>
      <c r="H54" s="114"/>
      <c r="I54" s="165">
        <v>17145506</v>
      </c>
      <c r="J54" s="165">
        <f ca="1">SUMIF($J$84:$M$749,B54&amp;"- "&amp;C54,$Q$84:$Q$749)</f>
        <v>0</v>
      </c>
      <c r="K54" s="165">
        <f ca="1">I54+J54</f>
        <v>17145506</v>
      </c>
      <c r="L54" s="114"/>
      <c r="M54" s="165">
        <f ca="1">+G54-K54</f>
        <v>-17145506</v>
      </c>
      <c r="N54" s="68"/>
      <c r="O54" s="38" t="str">
        <f t="shared" ca="1" si="46"/>
        <v>ERROR</v>
      </c>
      <c r="P54" s="39" t="str">
        <f ca="1">IF(O54="ERROR","Please insert comment","")</f>
        <v>Please insert comment</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SUMIF($A$84:$A$692,B56&amp;"- "&amp;C56,$G$84:$G$692)</f>
        <v>0</v>
      </c>
      <c r="G56" s="114">
        <f t="shared" ref="G56:G61" si="116">E56+F56</f>
        <v>0</v>
      </c>
      <c r="H56" s="114"/>
      <c r="I56" s="114"/>
      <c r="J56" s="114">
        <f t="shared" ref="J56:J61" ca="1" si="117">SUMIF($J$84:$M$749,B56&amp;"- "&amp;C56,$Q$84:$Q$749)</f>
        <v>0</v>
      </c>
      <c r="K56" s="114">
        <f t="shared" ref="K56:K61" ca="1" si="118">I56+J56</f>
        <v>0</v>
      </c>
      <c r="L56" s="114"/>
      <c r="M56" s="114">
        <f t="shared" ref="M56:M61" ca="1" si="119">+G56-K56</f>
        <v>0</v>
      </c>
      <c r="N56" s="18"/>
      <c r="O56" s="38"/>
      <c r="P56" s="39" t="str">
        <f>IF(O56="ERROR","Please insert comment","")</f>
        <v/>
      </c>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SUMPRODUCT(($A$84:$A$692=$Y61&amp;"- "&amp;$Z61)*($C$84:$C$692=AA$1)*($G$84:$G$692))</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SUMPRODUCT(($J$84:$M$748=$AL61&amp;"- "&amp;$AM61)*($N$84:$N$748=AN$1)*($Q$84:$Q$748))</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ca="1" si="127">+J64+J63</f>
        <v>0</v>
      </c>
      <c r="K62" s="166">
        <f t="shared" ref="K62" ca="1" si="128">+K64+K63</f>
        <v>0</v>
      </c>
      <c r="L62" s="114"/>
      <c r="M62" s="166">
        <f t="shared" ref="M62" ca="1"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SUMIF($A$84:$A$692,B63&amp;"- "&amp;C63,$G$84:$G$692)</f>
        <v>0</v>
      </c>
      <c r="G63" s="114">
        <f>E63+F63</f>
        <v>0</v>
      </c>
      <c r="H63" s="114"/>
      <c r="I63" s="114"/>
      <c r="J63" s="114">
        <f ca="1">SUMIF($J$84:$M$749,B63&amp;"- "&amp;C63,$Q$84:$Q$749)</f>
        <v>0</v>
      </c>
      <c r="K63" s="114">
        <f ca="1">I63+J63</f>
        <v>0</v>
      </c>
      <c r="L63" s="114"/>
      <c r="M63" s="114">
        <f ca="1">+G63-K63</f>
        <v>0</v>
      </c>
      <c r="N63" s="18"/>
      <c r="O63" s="38" t="str">
        <f t="shared" ca="1" si="46"/>
        <v/>
      </c>
      <c r="P63" s="39"/>
      <c r="Q63" s="23"/>
      <c r="Y63" s="15">
        <f>B65</f>
        <v>0</v>
      </c>
      <c r="Z63" s="25" t="str">
        <f>C65</f>
        <v xml:space="preserve">Paiements Sociaux </v>
      </c>
      <c r="AA63" s="16">
        <f t="shared" ref="AA63:AI64" si="130">SUMPRODUCT(($A$84:$A$692=$Y63&amp;"- "&amp;$Z63)*($C$84:$C$692=AA$1)*($G$84:$G$692))</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SUMPRODUCT(($J$84:$M$748=$AL63&amp;"- "&amp;$AM63)*($N$84:$N$748=AN$1)*($Q$84:$Q$748))</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SUMIF($A$84:$A$692,B64&amp;"- "&amp;C64,$G$84:$G$692)</f>
        <v>0</v>
      </c>
      <c r="G64" s="165">
        <f>E64+F64</f>
        <v>0</v>
      </c>
      <c r="H64" s="114"/>
      <c r="I64" s="165"/>
      <c r="J64" s="165">
        <f ca="1">SUMIF($J$84:$M$749,B64&amp;"- "&amp;C64,$Q$84:$Q$749)</f>
        <v>0</v>
      </c>
      <c r="K64" s="165">
        <f ca="1">I64+J64</f>
        <v>0</v>
      </c>
      <c r="L64" s="114"/>
      <c r="M64" s="165">
        <f ca="1">+G64-K64</f>
        <v>0</v>
      </c>
      <c r="N64" s="68"/>
      <c r="O64" s="38" t="str">
        <f t="shared" ca="1" si="46"/>
        <v/>
      </c>
      <c r="P64" s="39" t="str">
        <f ca="1">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SUMIF($A$84:$A$692,B66&amp;"- "&amp;C66,$G$84:$G$692)</f>
        <v>0</v>
      </c>
      <c r="G66" s="114">
        <f>E66+F66</f>
        <v>0</v>
      </c>
      <c r="H66" s="114"/>
      <c r="I66" s="114"/>
      <c r="J66" s="114">
        <f ca="1">SUMIF($J$84:$M$749,B66&amp;"- "&amp;C66,$Q$84:$Q$749)</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SUMPRODUCT(($A$84:$A$692=$Y66&amp;"- "&amp;$Z66)*($C$84:$C$692=AA$1)*($G$84:$G$692))</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SUMPRODUCT(($J$84:$M$748=$AL66&amp;"- "&amp;$AM66)*($N$84:$N$748=AN$1)*($Q$84:$Q$748))</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SUMIF($A$84:$A$692,B67&amp;"- "&amp;C67,$G$84:$G$692)</f>
        <v>0</v>
      </c>
      <c r="G67" s="165">
        <f>E67+F67</f>
        <v>0</v>
      </c>
      <c r="H67" s="114"/>
      <c r="I67" s="165"/>
      <c r="J67" s="165">
        <f ca="1">SUMIF($J$84:$M$749,B67&amp;"- "&amp;C67,$Q$84:$Q$749)</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SUMIF($A$84:$A$692,B69&amp;"- "&amp;C69,$G$84:$G$692)</f>
        <v>0</v>
      </c>
      <c r="G69" s="114">
        <f t="shared" ref="G69:G76" si="154">E69+F69</f>
        <v>0</v>
      </c>
      <c r="H69" s="114"/>
      <c r="I69" s="114"/>
      <c r="J69" s="114">
        <f t="shared" ref="J69:J76" ca="1" si="155">SUMIF($J$84:$M$749,B69&amp;"- "&amp;C69,$Q$84:$Q$749)</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SUMPRODUCT(($A$84:$A$692=$Y69&amp;"- "&amp;$Z69)*($C$84:$C$692=AA$1)*($G$84:$G$692))</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SUMPRODUCT(($J$84:$M$748=$AL69&amp;"- "&amp;$AM69)*($N$84:$N$748=AN$1)*($Q$84:$Q$748))</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t="str">
        <f t="shared" ca="1" si="46"/>
        <v/>
      </c>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SUMPRODUCT(($A$84:$A$692=$Y71&amp;"- "&amp;$Z71)*($C$84:$C$692=AA$1)*($G$84:$G$692))</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SUMPRODUCT(($J$84:$M$748=$AL71&amp;"- "&amp;$AM71)*($N$84:$N$748=AN$1)*($Q$84:$Q$748))</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SUMPRODUCT(($J$84:$M$748=$AL73&amp;"- "&amp;$AM73)*($N$84:$N$748=AN$1)*($Q$84:$Q$748))</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SUMIF($A$84:$A$692,B78&amp;"- "&amp;C78,$G$84:$G$692)</f>
        <v>0</v>
      </c>
      <c r="G78" s="114">
        <f>E78+F78</f>
        <v>0</v>
      </c>
      <c r="H78" s="114"/>
      <c r="I78" s="114"/>
      <c r="J78" s="114">
        <f ca="1">SUMIF($J$84:$M$749,B78&amp;"- "&amp;C78,$Q$84:$Q$749)</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SUMPRODUCT(($A$84:$A$692=$Y78&amp;"- "&amp;$Z78)*($C$84:$C$692=AA$1)*($G$84:$G$692))</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SUMPRODUCT(($J$84:$M$748=$AL78&amp;"- "&amp;$AM78)*($N$84:$N$748=AN$1)*($Q$84:$Q$748))</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SUMIF($A$84:$A$692,B79&amp;"- "&amp;C79,$G$84:$G$692)</f>
        <v>0</v>
      </c>
      <c r="G79" s="165">
        <f>+E79+F79</f>
        <v>0</v>
      </c>
      <c r="H79" s="114"/>
      <c r="I79" s="165"/>
      <c r="J79" s="165">
        <f ca="1">SUMIF($J$84:$M$749,B79&amp;"- "&amp;C79,$Q$84:$Q$749)</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IF(F8=G694,"","ERROR")</f>
        <v/>
      </c>
      <c r="G80" s="382"/>
      <c r="H80" s="382"/>
      <c r="I80" s="382"/>
      <c r="J80" s="382" t="str">
        <f ca="1">IF(J8=Q751,"","ERROR")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60"/>
      <c r="F84" s="120"/>
      <c r="G84" s="144"/>
      <c r="J84" s="61" t="s">
        <v>171</v>
      </c>
      <c r="L84" s="60"/>
      <c r="N84" s="97"/>
      <c r="O84" s="121"/>
      <c r="P84" s="129"/>
      <c r="Q84" s="145">
        <f>+-I18</f>
        <v>0</v>
      </c>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F85" s="120"/>
      <c r="G85" s="144"/>
      <c r="J85" s="61" t="s">
        <v>177</v>
      </c>
      <c r="L85" s="60"/>
      <c r="N85" s="97"/>
      <c r="P85" s="129"/>
      <c r="Q85" s="145">
        <f>-Q84</f>
        <v>0</v>
      </c>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F86" s="120"/>
      <c r="G86" s="144"/>
      <c r="J86" s="61" t="s">
        <v>176</v>
      </c>
      <c r="L86" s="60"/>
      <c r="N86" s="97"/>
      <c r="O86" s="60"/>
      <c r="P86" s="120"/>
      <c r="Q86" s="14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F87" s="120"/>
      <c r="G87" s="144"/>
      <c r="L87" s="60"/>
      <c r="N87" s="97"/>
      <c r="P87" s="120"/>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F88" s="120"/>
      <c r="G88" s="144"/>
      <c r="L88" s="60"/>
      <c r="N88" s="97"/>
      <c r="P88" s="120"/>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F89" s="120"/>
      <c r="G89" s="144"/>
      <c r="J89" s="61" t="s">
        <v>165</v>
      </c>
      <c r="L89" s="60"/>
      <c r="N89" s="97"/>
      <c r="O89" s="60"/>
      <c r="P89" s="120"/>
      <c r="Q89" s="144">
        <v>707992</v>
      </c>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F90" s="120"/>
      <c r="G90" s="144"/>
      <c r="J90" s="61" t="s">
        <v>167</v>
      </c>
      <c r="L90" s="60"/>
      <c r="N90" s="97"/>
      <c r="P90" s="120"/>
      <c r="Q90" s="144">
        <v>9911850</v>
      </c>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F91" s="120"/>
      <c r="G91" s="144"/>
      <c r="L91" s="60"/>
      <c r="N91" s="97"/>
      <c r="P91" s="120"/>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F92" s="120"/>
      <c r="G92" s="144"/>
      <c r="L92" s="60"/>
      <c r="N92" s="97"/>
      <c r="P92" s="120"/>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F93" s="120"/>
      <c r="G93" s="144"/>
      <c r="L93" s="60"/>
      <c r="N93" s="97"/>
      <c r="P93" s="120"/>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F94" s="120"/>
      <c r="G94" s="144"/>
      <c r="L94" s="60"/>
      <c r="N94" s="97"/>
      <c r="P94" s="120"/>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F95" s="120"/>
      <c r="G95" s="144"/>
      <c r="L95" s="60"/>
      <c r="N95" s="97"/>
      <c r="P95" s="120"/>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F96" s="120"/>
      <c r="G96" s="144"/>
      <c r="L96" s="60"/>
      <c r="N96" s="97"/>
      <c r="P96" s="120"/>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F97" s="120"/>
      <c r="G97" s="144"/>
      <c r="L97" s="60"/>
      <c r="N97" s="97"/>
      <c r="P97" s="120"/>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F98" s="120"/>
      <c r="G98" s="144"/>
      <c r="L98" s="60"/>
      <c r="N98" s="97"/>
      <c r="P98" s="120"/>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F99" s="120"/>
      <c r="G99" s="144"/>
      <c r="L99" s="60"/>
      <c r="N99" s="97"/>
      <c r="P99" s="120"/>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F100" s="120"/>
      <c r="G100" s="144"/>
      <c r="L100" s="60"/>
      <c r="N100" s="97"/>
      <c r="P100" s="120"/>
      <c r="Q100" s="144"/>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F101" s="120"/>
      <c r="G101" s="144"/>
      <c r="N101" s="97"/>
      <c r="P101" s="120"/>
      <c r="Q101" s="144"/>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F102" s="120"/>
      <c r="G102" s="144"/>
      <c r="N102" s="97"/>
      <c r="P102" s="120"/>
      <c r="Q102" s="144"/>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F103" s="120"/>
      <c r="G103" s="144"/>
      <c r="N103" s="97"/>
      <c r="P103" s="120"/>
      <c r="Q103" s="144"/>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F104" s="120"/>
      <c r="G104" s="144"/>
      <c r="N104" s="97"/>
      <c r="P104" s="120"/>
      <c r="Q104" s="144"/>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F105" s="120"/>
      <c r="G105" s="144"/>
      <c r="N105" s="97"/>
      <c r="P105" s="120"/>
      <c r="Q105" s="144"/>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F106" s="120"/>
      <c r="G106" s="144"/>
      <c r="N106" s="97"/>
      <c r="P106" s="120"/>
      <c r="Q106" s="144"/>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F107" s="120"/>
      <c r="G107" s="144"/>
      <c r="N107" s="97"/>
      <c r="P107" s="120"/>
      <c r="Q107" s="144"/>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F108" s="120"/>
      <c r="G108" s="144"/>
      <c r="N108" s="97"/>
      <c r="P108" s="120"/>
      <c r="Q108" s="144"/>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F109" s="120"/>
      <c r="G109" s="144"/>
      <c r="N109" s="97"/>
      <c r="P109" s="120"/>
      <c r="Q109" s="144"/>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F110" s="120"/>
      <c r="G110" s="144"/>
      <c r="N110" s="97"/>
      <c r="P110" s="120"/>
      <c r="Q110" s="144"/>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F111" s="120"/>
      <c r="G111" s="144"/>
      <c r="N111" s="97"/>
      <c r="P111" s="120"/>
      <c r="Q111" s="144"/>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F112" s="120"/>
      <c r="G112" s="144"/>
      <c r="N112" s="97"/>
      <c r="P112" s="120"/>
      <c r="Q112" s="144"/>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F113" s="120"/>
      <c r="G113" s="144"/>
      <c r="N113" s="97"/>
      <c r="P113" s="120"/>
      <c r="Q113" s="144"/>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F114" s="120"/>
      <c r="G114" s="144"/>
      <c r="N114" s="97"/>
      <c r="P114" s="120"/>
      <c r="Q114" s="144"/>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F115" s="120"/>
      <c r="G115" s="144"/>
      <c r="N115" s="97"/>
      <c r="P115" s="120"/>
      <c r="Q115" s="144"/>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F116" s="120"/>
      <c r="G116" s="144"/>
      <c r="N116" s="97"/>
      <c r="P116" s="120"/>
      <c r="Q116" s="144"/>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F117" s="120"/>
      <c r="G117" s="144"/>
      <c r="N117" s="97"/>
      <c r="P117" s="120"/>
      <c r="Q117" s="144"/>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F118" s="120"/>
      <c r="G118" s="144"/>
      <c r="N118" s="97"/>
      <c r="P118" s="120"/>
      <c r="Q118" s="144"/>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F119" s="120"/>
      <c r="G119" s="144"/>
      <c r="N119" s="97"/>
      <c r="P119" s="120"/>
      <c r="Q119" s="144"/>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F120" s="120"/>
      <c r="G120" s="144"/>
      <c r="N120" s="97"/>
      <c r="P120" s="120"/>
      <c r="Q120" s="144"/>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F121" s="120"/>
      <c r="G121" s="144"/>
      <c r="N121" s="97"/>
      <c r="P121" s="120"/>
      <c r="Q121" s="144"/>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F122" s="120"/>
      <c r="G122" s="144"/>
      <c r="N122" s="97"/>
      <c r="P122" s="120"/>
      <c r="Q122" s="144"/>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F123" s="120"/>
      <c r="G123" s="144"/>
      <c r="N123" s="97"/>
      <c r="P123" s="120"/>
      <c r="Q123" s="144"/>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F124" s="120"/>
      <c r="G124" s="144"/>
      <c r="L124" s="60"/>
      <c r="N124" s="97"/>
      <c r="P124" s="120"/>
      <c r="Q124" s="144"/>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F125" s="120"/>
      <c r="G125" s="144"/>
      <c r="L125" s="60"/>
      <c r="N125" s="97"/>
      <c r="P125" s="120"/>
      <c r="Q125" s="144"/>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F126" s="120"/>
      <c r="G126" s="144"/>
      <c r="L126" s="60"/>
      <c r="N126" s="97"/>
      <c r="P126" s="120"/>
      <c r="Q126" s="144"/>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F127" s="120"/>
      <c r="G127" s="144"/>
      <c r="L127" s="60"/>
      <c r="N127" s="97"/>
      <c r="P127" s="120"/>
      <c r="Q127" s="144"/>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F128" s="120"/>
      <c r="G128" s="144"/>
      <c r="L128" s="60"/>
      <c r="N128" s="97"/>
      <c r="P128" s="120"/>
      <c r="Q128" s="144"/>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F129" s="120"/>
      <c r="G129" s="144"/>
      <c r="L129" s="60"/>
      <c r="N129" s="97"/>
      <c r="P129" s="120"/>
      <c r="Q129" s="144"/>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F130" s="120"/>
      <c r="G130" s="144"/>
      <c r="L130" s="60"/>
      <c r="N130" s="97"/>
      <c r="P130" s="120"/>
      <c r="Q130" s="144"/>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F131" s="120"/>
      <c r="G131" s="144"/>
      <c r="L131" s="60"/>
      <c r="N131" s="97"/>
      <c r="P131" s="120"/>
      <c r="Q131" s="144"/>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F132" s="120"/>
      <c r="G132" s="144"/>
      <c r="L132" s="60"/>
      <c r="N132" s="97"/>
      <c r="P132" s="120"/>
      <c r="Q132" s="144"/>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F133" s="120"/>
      <c r="G133" s="144"/>
      <c r="L133" s="60"/>
      <c r="N133" s="97"/>
      <c r="P133" s="120"/>
      <c r="Q133" s="144"/>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F134" s="120"/>
      <c r="G134" s="144"/>
      <c r="L134" s="60"/>
      <c r="N134" s="97"/>
      <c r="P134" s="120"/>
      <c r="Q134" s="144"/>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F135" s="120"/>
      <c r="G135" s="144"/>
      <c r="L135" s="60"/>
      <c r="N135" s="97"/>
      <c r="P135" s="120"/>
      <c r="Q135" s="144"/>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F136" s="120"/>
      <c r="G136" s="144"/>
      <c r="L136" s="60"/>
      <c r="N136" s="97"/>
      <c r="P136" s="120"/>
      <c r="Q136" s="144"/>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F137" s="120"/>
      <c r="G137" s="144"/>
      <c r="L137" s="60"/>
      <c r="N137" s="97"/>
      <c r="P137" s="120"/>
      <c r="Q137" s="144"/>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F138" s="120"/>
      <c r="G138" s="144"/>
      <c r="L138" s="60"/>
      <c r="N138" s="97"/>
      <c r="P138" s="120"/>
      <c r="Q138" s="144"/>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F139" s="120"/>
      <c r="G139" s="144"/>
      <c r="L139" s="60"/>
      <c r="N139" s="97"/>
      <c r="P139" s="120"/>
      <c r="Q139" s="144"/>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F140" s="120"/>
      <c r="G140" s="144"/>
      <c r="L140" s="60"/>
      <c r="N140" s="97"/>
      <c r="P140" s="120"/>
      <c r="Q140" s="144"/>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F141" s="120"/>
      <c r="G141" s="144"/>
      <c r="L141" s="60"/>
      <c r="N141" s="97"/>
      <c r="P141" s="120"/>
      <c r="Q141" s="144"/>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F142" s="120"/>
      <c r="G142" s="144"/>
      <c r="L142" s="60"/>
      <c r="N142" s="97"/>
      <c r="P142" s="120"/>
      <c r="Q142" s="144"/>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F143" s="120"/>
      <c r="G143" s="144"/>
      <c r="L143" s="60"/>
      <c r="N143" s="97"/>
      <c r="P143" s="120"/>
      <c r="Q143" s="144"/>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F144" s="120"/>
      <c r="G144" s="144"/>
      <c r="L144" s="60"/>
      <c r="N144" s="97"/>
      <c r="P144" s="120"/>
      <c r="Q144" s="144"/>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F145" s="120"/>
      <c r="G145" s="144"/>
      <c r="L145" s="60"/>
      <c r="N145" s="97"/>
      <c r="P145" s="120"/>
      <c r="Q145" s="144"/>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F146" s="120"/>
      <c r="G146" s="144"/>
      <c r="L146" s="60"/>
      <c r="N146" s="97"/>
      <c r="P146" s="120"/>
      <c r="Q146" s="144"/>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F147" s="120"/>
      <c r="G147" s="144"/>
      <c r="L147" s="60"/>
      <c r="N147" s="97"/>
      <c r="P147" s="120"/>
      <c r="Q147" s="144"/>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F148" s="120"/>
      <c r="G148" s="144"/>
      <c r="L148" s="60"/>
      <c r="N148" s="97"/>
      <c r="P148" s="120"/>
      <c r="Q148" s="144"/>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F149" s="120"/>
      <c r="G149" s="144"/>
      <c r="L149" s="60"/>
      <c r="N149" s="97"/>
      <c r="P149" s="120"/>
      <c r="Q149" s="144"/>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P150" s="120"/>
      <c r="Q150" s="144"/>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P151" s="120"/>
      <c r="Q151" s="144"/>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P152" s="120"/>
      <c r="Q152" s="144"/>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P153" s="120"/>
      <c r="Q153" s="144"/>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P154" s="120"/>
      <c r="Q154" s="144"/>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P155" s="120"/>
      <c r="Q155" s="144"/>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4"/>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ht="15">
      <c r="A694" s="61"/>
      <c r="C694" s="60"/>
      <c r="E694" s="49"/>
      <c r="F694" s="50"/>
      <c r="G694" s="51">
        <f>SUM(G84:G693)</f>
        <v>0</v>
      </c>
      <c r="J694" s="61"/>
      <c r="K694" s="61"/>
      <c r="L694" s="30"/>
      <c r="N694" s="97"/>
      <c r="O694" s="48"/>
      <c r="P694" s="47"/>
      <c r="Q694" s="24"/>
    </row>
    <row r="695" spans="1:17">
      <c r="A695" s="61"/>
      <c r="C695" s="60"/>
      <c r="J695" s="61"/>
      <c r="K695" s="61"/>
      <c r="L695" s="30"/>
      <c r="N695" s="97"/>
      <c r="O695" s="48"/>
      <c r="P695" s="47"/>
      <c r="Q695" s="24"/>
    </row>
    <row r="696" spans="1:17">
      <c r="A696" s="61"/>
      <c r="C696" s="60"/>
      <c r="J696" s="61"/>
      <c r="K696" s="61"/>
      <c r="L696" s="30"/>
      <c r="N696" s="97"/>
      <c r="O696" s="48"/>
      <c r="P696" s="47"/>
      <c r="Q696" s="24"/>
    </row>
    <row r="697" spans="1:17">
      <c r="A697" s="61"/>
      <c r="C697" s="60"/>
      <c r="J697" s="61"/>
      <c r="K697" s="61"/>
      <c r="L697" s="30"/>
      <c r="N697" s="97"/>
      <c r="O697" s="48"/>
      <c r="P697" s="47"/>
      <c r="Q697" s="24"/>
    </row>
    <row r="698" spans="1:17">
      <c r="A698" s="61"/>
      <c r="C698" s="60"/>
      <c r="J698" s="61"/>
      <c r="K698" s="61"/>
      <c r="L698" s="30"/>
      <c r="N698" s="97"/>
      <c r="O698" s="48"/>
      <c r="P698" s="47"/>
      <c r="Q698" s="24"/>
    </row>
    <row r="699" spans="1:17">
      <c r="A699" s="61"/>
      <c r="C699" s="60"/>
      <c r="J699" s="61"/>
      <c r="K699" s="61"/>
      <c r="L699" s="30"/>
      <c r="N699" s="97"/>
      <c r="O699" s="48"/>
      <c r="P699" s="47"/>
      <c r="Q699" s="24"/>
    </row>
    <row r="700" spans="1:17">
      <c r="A700" s="61"/>
      <c r="C700" s="60"/>
      <c r="J700" s="61"/>
      <c r="K700" s="61"/>
      <c r="L700" s="30"/>
      <c r="N700" s="97"/>
      <c r="O700" s="48"/>
      <c r="P700" s="47"/>
      <c r="Q700" s="24"/>
    </row>
    <row r="701" spans="1:17">
      <c r="A701" s="61"/>
      <c r="C701" s="60"/>
      <c r="J701" s="61"/>
      <c r="K701" s="61"/>
      <c r="L701" s="30"/>
      <c r="N701" s="97"/>
      <c r="O701" s="48"/>
      <c r="P701" s="47"/>
      <c r="Q701" s="24"/>
    </row>
    <row r="702" spans="1:17">
      <c r="A702" s="61"/>
      <c r="C702" s="60"/>
      <c r="J702" s="61"/>
      <c r="K702" s="61"/>
      <c r="L702" s="30"/>
      <c r="N702" s="97"/>
      <c r="O702" s="48"/>
      <c r="P702" s="47"/>
      <c r="Q702" s="24"/>
    </row>
    <row r="703" spans="1:17">
      <c r="A703" s="61"/>
      <c r="C703" s="60"/>
      <c r="J703" s="61"/>
      <c r="K703" s="61"/>
      <c r="L703" s="30"/>
      <c r="N703" s="97"/>
      <c r="O703" s="48"/>
      <c r="P703" s="47"/>
      <c r="Q703" s="24"/>
    </row>
    <row r="704" spans="1:17">
      <c r="A704" s="61"/>
      <c r="C704" s="60"/>
      <c r="J704" s="61"/>
      <c r="K704" s="61"/>
      <c r="L704" s="30"/>
      <c r="N704" s="97"/>
      <c r="O704" s="48"/>
      <c r="P704" s="47"/>
      <c r="Q704" s="24"/>
    </row>
    <row r="705" spans="1:17">
      <c r="A705" s="61"/>
      <c r="C705" s="60"/>
      <c r="J705" s="61"/>
      <c r="K705" s="61"/>
      <c r="L705" s="30"/>
      <c r="N705" s="97"/>
      <c r="O705" s="48"/>
      <c r="P705" s="47"/>
      <c r="Q705" s="24"/>
    </row>
    <row r="706" spans="1:17">
      <c r="A706" s="61"/>
      <c r="C706" s="60"/>
      <c r="J706" s="61"/>
      <c r="K706" s="61"/>
      <c r="L706" s="30"/>
      <c r="N706" s="97"/>
      <c r="O706" s="48"/>
      <c r="P706" s="47"/>
      <c r="Q706" s="24"/>
    </row>
    <row r="707" spans="1:17">
      <c r="A707" s="61"/>
      <c r="C707" s="60"/>
      <c r="J707" s="61"/>
      <c r="K707" s="61"/>
      <c r="L707" s="30"/>
      <c r="N707" s="97"/>
      <c r="O707" s="48"/>
      <c r="P707" s="47"/>
      <c r="Q707" s="24"/>
    </row>
    <row r="708" spans="1:17">
      <c r="A708" s="61"/>
      <c r="C708" s="60"/>
      <c r="J708" s="61"/>
      <c r="K708" s="61"/>
      <c r="L708" s="30"/>
      <c r="N708" s="97"/>
      <c r="O708" s="48"/>
      <c r="P708" s="47"/>
      <c r="Q708" s="24"/>
    </row>
    <row r="709" spans="1:17">
      <c r="A709" s="61"/>
      <c r="C709" s="60"/>
      <c r="J709" s="61"/>
      <c r="K709" s="61"/>
      <c r="L709" s="30"/>
      <c r="N709" s="97"/>
      <c r="O709" s="48"/>
      <c r="P709" s="47"/>
      <c r="Q709" s="24"/>
    </row>
    <row r="710" spans="1:17">
      <c r="A710" s="61"/>
      <c r="C710" s="60"/>
      <c r="J710" s="61"/>
      <c r="K710" s="61"/>
      <c r="L710" s="30"/>
      <c r="N710" s="97"/>
      <c r="O710" s="48"/>
      <c r="P710" s="47"/>
      <c r="Q710" s="24"/>
    </row>
    <row r="711" spans="1:17">
      <c r="A711" s="61"/>
      <c r="C711" s="60"/>
      <c r="J711" s="61"/>
      <c r="K711" s="61"/>
      <c r="L711" s="30"/>
      <c r="N711" s="97"/>
      <c r="O711" s="48"/>
      <c r="P711" s="47"/>
      <c r="Q711" s="24"/>
    </row>
    <row r="712" spans="1:17">
      <c r="A712" s="61"/>
      <c r="C712" s="60"/>
      <c r="J712" s="61"/>
      <c r="K712" s="61"/>
      <c r="L712" s="30"/>
      <c r="N712" s="97"/>
      <c r="O712" s="48"/>
      <c r="P712" s="47"/>
      <c r="Q712" s="24"/>
    </row>
    <row r="713" spans="1:17">
      <c r="A713" s="61"/>
      <c r="C713" s="60"/>
      <c r="J713" s="61"/>
      <c r="K713" s="61"/>
      <c r="L713" s="30"/>
      <c r="N713" s="97"/>
      <c r="O713" s="48"/>
      <c r="P713" s="47"/>
      <c r="Q713" s="24"/>
    </row>
    <row r="714" spans="1:17">
      <c r="A714" s="61"/>
      <c r="C714" s="60"/>
      <c r="J714" s="61"/>
      <c r="K714" s="61"/>
      <c r="L714" s="30"/>
      <c r="N714" s="97"/>
      <c r="O714" s="48"/>
      <c r="P714" s="47"/>
      <c r="Q714" s="24"/>
    </row>
    <row r="715" spans="1:17">
      <c r="A715" s="61"/>
      <c r="C715" s="60"/>
      <c r="J715" s="61"/>
      <c r="K715" s="61"/>
      <c r="L715" s="30"/>
      <c r="N715" s="97"/>
      <c r="O715" s="48"/>
      <c r="P715" s="47"/>
      <c r="Q715" s="24"/>
    </row>
    <row r="716" spans="1:17">
      <c r="A716" s="61"/>
      <c r="C716" s="60"/>
      <c r="J716" s="61"/>
      <c r="K716" s="61"/>
      <c r="L716" s="30"/>
      <c r="N716" s="97"/>
      <c r="O716" s="48"/>
      <c r="P716" s="47"/>
      <c r="Q716" s="24"/>
    </row>
    <row r="717" spans="1:17">
      <c r="A717" s="61"/>
      <c r="C717" s="60"/>
      <c r="J717" s="61"/>
      <c r="K717" s="61"/>
      <c r="L717" s="30"/>
      <c r="N717" s="97"/>
      <c r="O717" s="48"/>
      <c r="P717" s="47"/>
      <c r="Q717" s="24"/>
    </row>
    <row r="718" spans="1:17">
      <c r="A718" s="61"/>
      <c r="C718" s="60"/>
      <c r="J718" s="61"/>
      <c r="K718" s="61"/>
      <c r="L718" s="30"/>
      <c r="N718" s="97"/>
      <c r="O718" s="48"/>
      <c r="P718" s="47"/>
      <c r="Q718" s="24"/>
    </row>
    <row r="719" spans="1:17">
      <c r="A719" s="61"/>
      <c r="C719" s="60"/>
      <c r="J719" s="61"/>
      <c r="K719" s="61"/>
      <c r="L719" s="30"/>
      <c r="N719" s="97"/>
      <c r="O719" s="48"/>
      <c r="P719" s="47"/>
      <c r="Q719" s="24"/>
    </row>
    <row r="720" spans="1:17">
      <c r="A720" s="61"/>
      <c r="C720" s="60"/>
      <c r="J720" s="61"/>
      <c r="K720" s="61"/>
      <c r="L720" s="30"/>
      <c r="N720" s="97"/>
      <c r="O720" s="48"/>
      <c r="P720" s="47"/>
      <c r="Q720" s="24"/>
    </row>
    <row r="721" spans="1:17">
      <c r="A721" s="61"/>
      <c r="C721" s="60"/>
      <c r="J721" s="61"/>
      <c r="K721" s="61"/>
      <c r="L721" s="30"/>
      <c r="N721" s="97"/>
      <c r="O721" s="48"/>
      <c r="P721" s="47"/>
      <c r="Q721" s="24"/>
    </row>
    <row r="722" spans="1:17">
      <c r="A722" s="61"/>
      <c r="C722" s="60"/>
      <c r="J722" s="61"/>
      <c r="K722" s="61"/>
      <c r="L722" s="30"/>
      <c r="N722" s="97"/>
      <c r="O722" s="48"/>
      <c r="P722" s="47"/>
      <c r="Q722" s="24"/>
    </row>
    <row r="723" spans="1:17">
      <c r="A723" s="61"/>
      <c r="C723" s="60"/>
      <c r="J723" s="61"/>
      <c r="K723" s="61"/>
      <c r="L723" s="30"/>
      <c r="N723" s="97"/>
      <c r="O723" s="48"/>
      <c r="P723" s="47"/>
      <c r="Q723" s="24"/>
    </row>
    <row r="724" spans="1:17">
      <c r="A724" s="61"/>
      <c r="C724" s="60"/>
      <c r="J724" s="61"/>
      <c r="K724" s="61"/>
      <c r="L724" s="30"/>
      <c r="N724" s="97"/>
      <c r="O724" s="48"/>
      <c r="P724" s="47"/>
      <c r="Q724" s="24"/>
    </row>
    <row r="725" spans="1:17">
      <c r="A725" s="61"/>
      <c r="C725" s="60"/>
      <c r="J725" s="61"/>
      <c r="K725" s="61"/>
      <c r="L725" s="30"/>
      <c r="N725" s="97"/>
      <c r="O725" s="48"/>
      <c r="P725" s="47"/>
      <c r="Q725" s="24"/>
    </row>
    <row r="726" spans="1:17">
      <c r="A726" s="61"/>
      <c r="C726" s="60"/>
      <c r="J726" s="61"/>
      <c r="K726" s="61"/>
      <c r="L726" s="30"/>
      <c r="N726" s="97"/>
      <c r="O726" s="48"/>
      <c r="P726" s="47"/>
      <c r="Q726" s="24"/>
    </row>
    <row r="727" spans="1:17">
      <c r="A727" s="61"/>
      <c r="C727" s="60"/>
      <c r="J727" s="61"/>
      <c r="K727" s="61"/>
      <c r="L727" s="30"/>
      <c r="N727" s="97"/>
      <c r="O727" s="48"/>
      <c r="P727" s="47"/>
      <c r="Q727" s="24"/>
    </row>
    <row r="728" spans="1:17">
      <c r="A728" s="61"/>
      <c r="C728" s="60"/>
      <c r="J728" s="61"/>
      <c r="K728" s="61"/>
      <c r="L728" s="30"/>
      <c r="N728" s="97"/>
      <c r="O728" s="48"/>
      <c r="P728" s="47"/>
      <c r="Q728" s="24"/>
    </row>
    <row r="729" spans="1:17">
      <c r="A729" s="61"/>
      <c r="C729" s="60"/>
      <c r="J729" s="61"/>
      <c r="K729" s="61"/>
      <c r="L729" s="30"/>
      <c r="N729" s="97"/>
      <c r="O729" s="48"/>
      <c r="P729" s="47"/>
      <c r="Q729" s="24"/>
    </row>
    <row r="730" spans="1:17">
      <c r="A730" s="61"/>
      <c r="C730" s="60"/>
      <c r="J730" s="61"/>
      <c r="K730" s="61"/>
      <c r="L730" s="30"/>
      <c r="N730" s="97"/>
      <c r="O730" s="48"/>
      <c r="P730" s="47"/>
      <c r="Q730" s="24"/>
    </row>
    <row r="731" spans="1:17">
      <c r="A731" s="61"/>
      <c r="C731" s="60"/>
      <c r="J731" s="61"/>
      <c r="K731" s="61"/>
      <c r="L731" s="30"/>
      <c r="N731" s="97"/>
      <c r="O731" s="48"/>
      <c r="P731" s="47"/>
      <c r="Q731" s="24"/>
    </row>
    <row r="732" spans="1:17">
      <c r="A732" s="61"/>
      <c r="C732" s="60"/>
      <c r="J732" s="61"/>
      <c r="K732" s="61"/>
      <c r="L732" s="30"/>
      <c r="N732" s="97"/>
      <c r="O732" s="48"/>
      <c r="P732" s="47"/>
      <c r="Q732" s="24"/>
    </row>
    <row r="733" spans="1:17">
      <c r="A733" s="61"/>
      <c r="C733" s="60"/>
      <c r="J733" s="61"/>
      <c r="K733" s="61"/>
      <c r="L733" s="30"/>
      <c r="N733" s="97"/>
      <c r="O733" s="48"/>
      <c r="P733" s="47"/>
      <c r="Q733" s="24"/>
    </row>
    <row r="734" spans="1:17">
      <c r="A734" s="61"/>
      <c r="C734" s="60"/>
      <c r="J734" s="61"/>
      <c r="K734" s="61"/>
      <c r="L734" s="30"/>
      <c r="N734" s="97"/>
      <c r="O734" s="48"/>
      <c r="P734" s="47"/>
      <c r="Q734" s="24"/>
    </row>
    <row r="735" spans="1:17">
      <c r="A735" s="61"/>
      <c r="C735" s="60"/>
      <c r="J735" s="61"/>
      <c r="K735" s="61"/>
      <c r="L735" s="30"/>
      <c r="N735" s="97"/>
      <c r="O735" s="48"/>
      <c r="P735" s="47"/>
      <c r="Q735" s="24"/>
    </row>
    <row r="736" spans="1:17">
      <c r="A736" s="61"/>
      <c r="C736" s="60"/>
      <c r="J736" s="61"/>
      <c r="K736" s="61"/>
      <c r="L736" s="30"/>
      <c r="N736" s="97"/>
      <c r="O736" s="48"/>
      <c r="P736" s="47"/>
      <c r="Q736" s="24"/>
    </row>
    <row r="737" spans="1:17">
      <c r="A737" s="61"/>
      <c r="C737" s="60"/>
      <c r="J737" s="61"/>
      <c r="K737" s="61"/>
      <c r="L737" s="30"/>
      <c r="N737" s="97"/>
      <c r="O737" s="48"/>
      <c r="P737" s="47"/>
      <c r="Q737" s="24"/>
    </row>
    <row r="738" spans="1:17">
      <c r="A738" s="61"/>
      <c r="C738" s="60"/>
      <c r="J738" s="61"/>
      <c r="K738" s="61"/>
      <c r="L738" s="30"/>
      <c r="N738" s="97"/>
      <c r="O738" s="48"/>
      <c r="P738" s="47"/>
      <c r="Q738" s="24"/>
    </row>
    <row r="739" spans="1:17">
      <c r="A739" s="61"/>
      <c r="C739" s="60"/>
      <c r="J739" s="61"/>
      <c r="K739" s="61"/>
      <c r="L739" s="30"/>
      <c r="N739" s="97"/>
      <c r="O739" s="48"/>
      <c r="P739" s="47"/>
      <c r="Q739" s="24"/>
    </row>
    <row r="740" spans="1:17">
      <c r="A740" s="61"/>
      <c r="C740" s="60"/>
      <c r="J740" s="61"/>
      <c r="K740" s="61"/>
      <c r="L740" s="30"/>
      <c r="N740" s="97"/>
      <c r="O740" s="48"/>
      <c r="P740" s="47"/>
      <c r="Q740" s="24"/>
    </row>
    <row r="741" spans="1:17">
      <c r="A741" s="61"/>
      <c r="C741" s="60"/>
      <c r="J741" s="61"/>
      <c r="K741" s="61"/>
      <c r="L741" s="30"/>
      <c r="N741" s="97"/>
      <c r="O741" s="48"/>
      <c r="P741" s="47"/>
      <c r="Q741" s="24"/>
    </row>
    <row r="742" spans="1:17">
      <c r="A742" s="61"/>
      <c r="C742" s="60"/>
      <c r="J742" s="61"/>
      <c r="K742" s="61"/>
      <c r="L742" s="30"/>
      <c r="N742" s="97"/>
      <c r="O742" s="48"/>
      <c r="P742" s="47"/>
      <c r="Q742" s="24"/>
    </row>
    <row r="743" spans="1:17">
      <c r="A743" s="61"/>
      <c r="C743" s="60"/>
      <c r="J743" s="61"/>
      <c r="K743" s="61"/>
      <c r="L743" s="30"/>
      <c r="N743" s="97"/>
      <c r="O743" s="48"/>
      <c r="P743" s="47"/>
      <c r="Q743" s="24"/>
    </row>
    <row r="744" spans="1:17">
      <c r="A744" s="61"/>
      <c r="C744" s="60"/>
      <c r="J744" s="61"/>
      <c r="K744" s="61"/>
      <c r="L744" s="30"/>
      <c r="N744" s="97"/>
      <c r="O744" s="48"/>
      <c r="P744" s="47"/>
      <c r="Q744" s="24"/>
    </row>
    <row r="745" spans="1:17">
      <c r="A745" s="61"/>
      <c r="C745" s="60"/>
      <c r="J745" s="61"/>
      <c r="K745" s="61"/>
      <c r="L745" s="30"/>
      <c r="N745" s="97"/>
      <c r="O745" s="48"/>
      <c r="P745" s="47"/>
      <c r="Q745" s="24"/>
    </row>
    <row r="746" spans="1:17">
      <c r="A746" s="61"/>
      <c r="C746" s="60"/>
      <c r="J746" s="61"/>
      <c r="K746" s="61"/>
      <c r="L746" s="30"/>
      <c r="N746" s="97"/>
      <c r="O746" s="48"/>
      <c r="P746" s="47"/>
      <c r="Q746" s="24"/>
    </row>
    <row r="747" spans="1:17">
      <c r="A747" s="61"/>
      <c r="C747" s="60"/>
      <c r="J747" s="61"/>
      <c r="K747" s="61"/>
      <c r="L747" s="30"/>
      <c r="N747" s="97"/>
      <c r="O747" s="48"/>
      <c r="P747" s="47"/>
      <c r="Q747" s="24"/>
    </row>
    <row r="748" spans="1:17">
      <c r="A748" s="61"/>
      <c r="C748" s="60"/>
      <c r="J748" s="61"/>
      <c r="K748" s="61"/>
      <c r="L748" s="30"/>
      <c r="N748" s="97"/>
      <c r="O748" s="48"/>
      <c r="P748" s="47"/>
      <c r="Q748" s="24"/>
    </row>
    <row r="749" spans="1:17">
      <c r="A749" s="61"/>
      <c r="C749" s="60"/>
      <c r="J749" s="61"/>
      <c r="K749" s="61"/>
      <c r="L749" s="30"/>
      <c r="N749" s="97"/>
      <c r="O749" s="48"/>
      <c r="P749" s="47"/>
      <c r="Q749" s="24"/>
    </row>
    <row r="750" spans="1:17">
      <c r="A750" s="61"/>
      <c r="C750" s="60"/>
      <c r="J750" s="24"/>
      <c r="K750" s="24"/>
      <c r="L750" s="30"/>
      <c r="N750" s="47"/>
      <c r="O750" s="48"/>
      <c r="P750" s="47"/>
      <c r="Q750" s="24"/>
    </row>
    <row r="751" spans="1:17" ht="15">
      <c r="A751" s="61"/>
      <c r="C751" s="60"/>
      <c r="O751" s="49"/>
      <c r="P751" s="50"/>
      <c r="Q751" s="51">
        <f>SUM(Q82:Q750)</f>
        <v>10619842</v>
      </c>
    </row>
    <row r="752" spans="1:17">
      <c r="C752" s="60"/>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dataValidations count="4">
    <dataValidation type="list" allowBlank="1" showInputMessage="1" showErrorMessage="1" sqref="N5:N8 N73 N75 N77:N79 N10:N71" xr:uid="{7C7B32E5-0D3B-43E0-B4E1-F615AD511CE5}">
      <formula1>FinalDiff</formula1>
    </dataValidation>
    <dataValidation type="list" allowBlank="1" showInputMessage="1" showErrorMessage="1" sqref="K86:K749 L124:L748 M131:M748 L84:L100" xr:uid="{FD6D27C7-91E4-4117-BE73-BB32CE8676A5}">
      <formula1>Taxes</formula1>
    </dataValidation>
    <dataValidation type="list" allowBlank="1" showInputMessage="1" showErrorMessage="1" sqref="N84:N749" xr:uid="{A4CD5FAF-7BDA-4EBD-ABBE-D6AE2AE14AD1}">
      <formula1>Govadjust</formula1>
    </dataValidation>
    <dataValidation type="list" allowBlank="1" showInputMessage="1" showErrorMessage="1" sqref="C84:C752" xr:uid="{3A00EEBF-5A9B-465E-92E8-6FBFA2B6B5FA}">
      <formula1>Compadjust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DC5C5FD4-4098-47F3-B124-6E5AE5EE0392}">
          <x14:formula1>
            <xm:f>Lists!$A$7:$A$64</xm:f>
          </x14:formula1>
          <xm:sqref>L101:M123 A84:A751 J84:J749</xm:sqref>
        </x14:dataValidation>
        <x14:dataValidation type="list" allowBlank="1" showErrorMessage="1" errorTitle="Taxes" error="Non valid entry. Please check the tax list" promptTitle="Taxes" prompt="Please select the tax subject to adjustment" xr:uid="{FF0DFA7A-1ED3-43C6-9DFF-C94CFDAC5924}">
          <x14:formula1>
            <xm:f>Lists!$A$131:$A$132</xm:f>
          </x14:formula1>
          <xm:sqref>K84:K85</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dimension ref="A1:BL753"/>
  <sheetViews>
    <sheetView showGridLines="0" topLeftCell="B1" zoomScaleNormal="100" workbookViewId="0">
      <selection activeCell="I2" sqref="I2"/>
    </sheetView>
  </sheetViews>
  <sheetFormatPr baseColWidth="10" defaultColWidth="11.54296875" defaultRowHeight="12" outlineLevelCol="1"/>
  <cols>
    <col min="1" max="1" width="28.54296875" style="17" hidden="1" customWidth="1"/>
    <col min="2" max="2" width="4.453125" style="17" customWidth="1"/>
    <col min="3" max="3" width="57.453125"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4.179687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Companies!B28</f>
        <v>PTI- IAS</v>
      </c>
      <c r="F1" s="32" t="str">
        <f>Companies!C28</f>
        <v>M340898E</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SUMPRODUCT(($J$84:$M$746=$AL3&amp;"- "&amp;$AM3)*($N$84:$N$746=AN$1)*($Q$84:$Q$746))</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SUMIF($J$84:$M$747,B6&amp;"- "&amp;C6,$Q$84:$Q$747)</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4"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4"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4"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SUMIF($J$84:$M$747,B7&amp;"- "&amp;C7,$Q$84:$Q$747)</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SUMPRODUCT(($J$84:$M$746=$AL7&amp;"- "&amp;$AM7)*($N$84:$N$746=AN$1)*($Q$84:$Q$746))</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112095000</v>
      </c>
      <c r="J8" s="164">
        <f ca="1">+J9+J13+J15+J17+J40+J45+J47+J52+J55+J62+J65+J68+J77</f>
        <v>0</v>
      </c>
      <c r="K8" s="164">
        <f ca="1">+K9+K13+K15+K17+K40+K45+K47+K52+K55+K62+K65+K68+K77</f>
        <v>112095000</v>
      </c>
      <c r="L8" s="114"/>
      <c r="M8" s="164">
        <f ca="1">+M9+M13+M15+M17+M40+M45+M52+M55+M62+M65+M68+M77+M47</f>
        <v>-112095000</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SUMIF($J$84:$M$747,B12&amp;"- "&amp;C12,$Q$84:$Q$747)</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B16</f>
        <v>5</v>
      </c>
      <c r="Z13" s="25" t="str">
        <f t="shared" si="16"/>
        <v>Bonus de signature versés par les investisseurs miniers (+) (DGTCP (FDM))</v>
      </c>
      <c r="AA13" s="16">
        <f t="shared" ref="AA13:AI21" si="37">SUMPRODUCT(($A$84:$A$751=$Y13&amp;"- "&amp;$Z13)*($C$84:$C$751=AA$1)*($G$84:$G$751))</f>
        <v>0</v>
      </c>
      <c r="AB13" s="16">
        <f t="shared" si="37"/>
        <v>0</v>
      </c>
      <c r="AC13" s="16">
        <f t="shared" si="37"/>
        <v>0</v>
      </c>
      <c r="AD13" s="16">
        <f t="shared" si="37"/>
        <v>0</v>
      </c>
      <c r="AE13" s="16">
        <f t="shared" si="37"/>
        <v>0</v>
      </c>
      <c r="AF13" s="16">
        <f t="shared" si="37"/>
        <v>0</v>
      </c>
      <c r="AG13" s="16">
        <f t="shared" si="37"/>
        <v>0</v>
      </c>
      <c r="AH13" s="16">
        <f t="shared" si="37"/>
        <v>0</v>
      </c>
      <c r="AI13" s="16">
        <f t="shared" si="37"/>
        <v>0</v>
      </c>
      <c r="AJ13" s="16">
        <f t="shared" ref="AJ13:AJ21" si="38">SUM(AA13:AI13)</f>
        <v>0</v>
      </c>
      <c r="AL13" s="17">
        <f>+B16</f>
        <v>5</v>
      </c>
      <c r="AM13" s="26" t="str">
        <f t="shared" si="18"/>
        <v>Bonus de signature versés par les investisseurs miniers (+) (DGTCP (FDM))</v>
      </c>
      <c r="AN13" s="18">
        <f t="shared" ref="AN13:AU21" si="39">SUMPRODUCT(($J$84:$M$746=$AL13&amp;"- "&amp;$AM13)*($N$84:$N$746=AN$1)*($Q$84:$Q$746))</f>
        <v>0</v>
      </c>
      <c r="AO13" s="18">
        <f t="shared" si="39"/>
        <v>0</v>
      </c>
      <c r="AP13" s="18">
        <f t="shared" si="39"/>
        <v>0</v>
      </c>
      <c r="AQ13" s="18">
        <f t="shared" si="39"/>
        <v>0</v>
      </c>
      <c r="AR13" s="18">
        <f t="shared" si="39"/>
        <v>0</v>
      </c>
      <c r="AS13" s="18">
        <f t="shared" si="39"/>
        <v>0</v>
      </c>
      <c r="AT13" s="18">
        <f t="shared" si="39"/>
        <v>0</v>
      </c>
      <c r="AU13" s="18">
        <f t="shared" si="39"/>
        <v>0</v>
      </c>
      <c r="AV13" s="18">
        <f t="shared" ref="AV13:AV21" si="40">SUM(AN13:AU13)</f>
        <v>0</v>
      </c>
      <c r="AW13" s="18"/>
      <c r="AX13" s="17">
        <f>B16</f>
        <v>5</v>
      </c>
      <c r="AY13" s="26" t="str">
        <f t="shared" si="20"/>
        <v>Bonus de signature versés par les investisseurs miniers (+) (DGTCP (FDM))</v>
      </c>
      <c r="AZ13" s="18">
        <f t="shared" ref="AZ13:BK21" ca="1" si="41">SUMPRODUCT(($C$10:$C$75=$AY13)*($N$10:$N$75=AZ$1)*($M$10:$M$75))</f>
        <v>0</v>
      </c>
      <c r="BA13" s="18">
        <f t="shared" ca="1" si="41"/>
        <v>0</v>
      </c>
      <c r="BB13" s="18">
        <f t="shared" ca="1" si="41"/>
        <v>0</v>
      </c>
      <c r="BC13" s="18">
        <f t="shared" ca="1" si="41"/>
        <v>0</v>
      </c>
      <c r="BD13" s="18">
        <f t="shared" ca="1" si="41"/>
        <v>0</v>
      </c>
      <c r="BE13" s="18">
        <f t="shared" ca="1" si="41"/>
        <v>0</v>
      </c>
      <c r="BF13" s="18">
        <f t="shared" ca="1" si="41"/>
        <v>0</v>
      </c>
      <c r="BG13" s="18">
        <f t="shared" ca="1" si="41"/>
        <v>0</v>
      </c>
      <c r="BH13" s="18">
        <f t="shared" ca="1" si="41"/>
        <v>0</v>
      </c>
      <c r="BI13" s="18">
        <f t="shared" ca="1" si="41"/>
        <v>0</v>
      </c>
      <c r="BJ13" s="18">
        <f t="shared" ca="1" si="41"/>
        <v>0</v>
      </c>
      <c r="BK13" s="18">
        <f t="shared" ca="1" si="41"/>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SUMIF($J$84:$M$747,B14&amp;"- "&amp;C14,$Q$84:$Q$747)</f>
        <v>0</v>
      </c>
      <c r="K14" s="114">
        <f ca="1">I14+J14</f>
        <v>0</v>
      </c>
      <c r="L14" s="114"/>
      <c r="M14" s="114">
        <f ca="1">+G14-K14</f>
        <v>0</v>
      </c>
      <c r="N14" s="18"/>
      <c r="O14" s="38"/>
      <c r="P14" s="39"/>
      <c r="Q14" s="35"/>
      <c r="U14" s="21" t="str">
        <f>Lists!A102</f>
        <v>Non significatif &lt; 1 M FCFA</v>
      </c>
      <c r="V14" s="18">
        <f t="shared" si="4"/>
        <v>0</v>
      </c>
      <c r="Y14" s="15">
        <f>B17</f>
        <v>0</v>
      </c>
      <c r="Z14" s="25" t="str">
        <f t="shared" si="16"/>
        <v>DGID</v>
      </c>
      <c r="AA14" s="16">
        <f t="shared" si="37"/>
        <v>0</v>
      </c>
      <c r="AB14" s="16">
        <f t="shared" si="37"/>
        <v>0</v>
      </c>
      <c r="AC14" s="16">
        <f t="shared" si="37"/>
        <v>0</v>
      </c>
      <c r="AD14" s="16">
        <f t="shared" si="37"/>
        <v>0</v>
      </c>
      <c r="AE14" s="16">
        <f t="shared" si="37"/>
        <v>0</v>
      </c>
      <c r="AF14" s="16">
        <f t="shared" si="37"/>
        <v>0</v>
      </c>
      <c r="AG14" s="16">
        <f t="shared" si="37"/>
        <v>0</v>
      </c>
      <c r="AH14" s="16">
        <f t="shared" si="37"/>
        <v>0</v>
      </c>
      <c r="AI14" s="16">
        <f t="shared" si="37"/>
        <v>0</v>
      </c>
      <c r="AJ14" s="16">
        <f t="shared" si="38"/>
        <v>0</v>
      </c>
      <c r="AL14" s="17">
        <f>+B17</f>
        <v>0</v>
      </c>
      <c r="AM14" s="26" t="str">
        <f t="shared" si="18"/>
        <v>DGID</v>
      </c>
      <c r="AN14" s="18">
        <f t="shared" si="39"/>
        <v>0</v>
      </c>
      <c r="AO14" s="18">
        <f t="shared" si="39"/>
        <v>0</v>
      </c>
      <c r="AP14" s="18">
        <f t="shared" si="39"/>
        <v>0</v>
      </c>
      <c r="AQ14" s="18">
        <f t="shared" si="39"/>
        <v>0</v>
      </c>
      <c r="AR14" s="18">
        <f t="shared" si="39"/>
        <v>0</v>
      </c>
      <c r="AS14" s="18">
        <f t="shared" si="39"/>
        <v>0</v>
      </c>
      <c r="AT14" s="18">
        <f t="shared" si="39"/>
        <v>0</v>
      </c>
      <c r="AU14" s="18">
        <f t="shared" si="39"/>
        <v>0</v>
      </c>
      <c r="AV14" s="18">
        <f t="shared" si="40"/>
        <v>0</v>
      </c>
      <c r="AW14" s="18"/>
      <c r="AX14" s="17">
        <f>B17</f>
        <v>0</v>
      </c>
      <c r="AY14" s="26" t="str">
        <f t="shared" si="20"/>
        <v>DGID</v>
      </c>
      <c r="AZ14" s="18">
        <f t="shared" ca="1" si="41"/>
        <v>0</v>
      </c>
      <c r="BA14" s="18">
        <f t="shared" ca="1" si="41"/>
        <v>0</v>
      </c>
      <c r="BB14" s="18">
        <f t="shared" ca="1" si="41"/>
        <v>0</v>
      </c>
      <c r="BC14" s="18">
        <f t="shared" ca="1" si="41"/>
        <v>0</v>
      </c>
      <c r="BD14" s="18">
        <f t="shared" ca="1" si="41"/>
        <v>0</v>
      </c>
      <c r="BE14" s="18">
        <f t="shared" ca="1" si="41"/>
        <v>0</v>
      </c>
      <c r="BF14" s="18">
        <f t="shared" ca="1" si="41"/>
        <v>0</v>
      </c>
      <c r="BG14" s="18">
        <f t="shared" ca="1" si="41"/>
        <v>0</v>
      </c>
      <c r="BH14" s="18">
        <f t="shared" ca="1" si="41"/>
        <v>0</v>
      </c>
      <c r="BI14" s="18">
        <f t="shared" ca="1" si="41"/>
        <v>0</v>
      </c>
      <c r="BJ14" s="18">
        <f t="shared" ca="1" si="41"/>
        <v>0</v>
      </c>
      <c r="BK14" s="18">
        <f t="shared" ca="1" si="41"/>
        <v>0</v>
      </c>
    </row>
    <row r="15" spans="1:63">
      <c r="A15" s="80">
        <f t="shared" si="29"/>
        <v>0</v>
      </c>
      <c r="B15" s="163"/>
      <c r="C15" s="58" t="str">
        <f>+'Taxes RCA 2022'!B8</f>
        <v>DGTCP (FDM)</v>
      </c>
      <c r="E15" s="166">
        <f>+E16</f>
        <v>0</v>
      </c>
      <c r="F15" s="166">
        <f t="shared" ref="F15:G15" si="42">+F16</f>
        <v>0</v>
      </c>
      <c r="G15" s="166">
        <f t="shared" si="42"/>
        <v>0</v>
      </c>
      <c r="H15" s="114"/>
      <c r="I15" s="166">
        <f>+I16</f>
        <v>0</v>
      </c>
      <c r="J15" s="166">
        <f t="shared" ref="J15" ca="1" si="43">+J16</f>
        <v>0</v>
      </c>
      <c r="K15" s="166">
        <f t="shared" ref="K15" ca="1" si="44">+K16</f>
        <v>0</v>
      </c>
      <c r="L15" s="114"/>
      <c r="M15" s="166">
        <f t="shared" ref="M15" ca="1" si="45">+M16</f>
        <v>0</v>
      </c>
      <c r="N15" s="58"/>
      <c r="O15" s="38"/>
      <c r="P15" s="39"/>
      <c r="Q15" s="35"/>
      <c r="U15" s="40" t="s">
        <v>9</v>
      </c>
      <c r="V15" s="22">
        <f>SUM(V3:V14)</f>
        <v>0</v>
      </c>
      <c r="Y15" s="15">
        <f>B18</f>
        <v>6</v>
      </c>
      <c r="Z15" s="25" t="str">
        <f>C18</f>
        <v>Redevance à la production (+)</v>
      </c>
      <c r="AA15" s="16">
        <f t="shared" si="37"/>
        <v>0</v>
      </c>
      <c r="AB15" s="16">
        <f t="shared" si="37"/>
        <v>0</v>
      </c>
      <c r="AC15" s="16">
        <f t="shared" si="37"/>
        <v>0</v>
      </c>
      <c r="AD15" s="16">
        <f t="shared" si="37"/>
        <v>0</v>
      </c>
      <c r="AE15" s="16">
        <f t="shared" si="37"/>
        <v>0</v>
      </c>
      <c r="AF15" s="16">
        <f t="shared" si="37"/>
        <v>0</v>
      </c>
      <c r="AG15" s="16">
        <f t="shared" si="37"/>
        <v>0</v>
      </c>
      <c r="AH15" s="16">
        <f t="shared" si="37"/>
        <v>0</v>
      </c>
      <c r="AI15" s="16">
        <f t="shared" si="37"/>
        <v>0</v>
      </c>
      <c r="AJ15" s="16">
        <f>SUM(AA15:AI15)</f>
        <v>0</v>
      </c>
      <c r="AL15" s="17">
        <f>+B18</f>
        <v>6</v>
      </c>
      <c r="AM15" s="26" t="str">
        <f>+C18</f>
        <v>Redevance à la production (+)</v>
      </c>
      <c r="AN15" s="18">
        <f t="shared" si="39"/>
        <v>0</v>
      </c>
      <c r="AO15" s="18">
        <f t="shared" si="39"/>
        <v>0</v>
      </c>
      <c r="AP15" s="18">
        <f t="shared" si="39"/>
        <v>0</v>
      </c>
      <c r="AQ15" s="18">
        <f t="shared" si="39"/>
        <v>0</v>
      </c>
      <c r="AR15" s="18">
        <f t="shared" si="39"/>
        <v>0</v>
      </c>
      <c r="AS15" s="18">
        <f t="shared" si="39"/>
        <v>0</v>
      </c>
      <c r="AT15" s="18">
        <f t="shared" si="39"/>
        <v>0</v>
      </c>
      <c r="AU15" s="18">
        <f t="shared" si="39"/>
        <v>0</v>
      </c>
      <c r="AV15" s="18">
        <f>SUM(AN15:AU15)</f>
        <v>0</v>
      </c>
      <c r="AW15" s="18"/>
      <c r="AX15" s="17">
        <f>B18</f>
        <v>6</v>
      </c>
      <c r="AY15" s="26" t="str">
        <f>C18</f>
        <v>Redevance à la production (+)</v>
      </c>
      <c r="AZ15" s="18">
        <f t="shared" ca="1" si="41"/>
        <v>0</v>
      </c>
      <c r="BA15" s="18">
        <f t="shared" ca="1" si="41"/>
        <v>0</v>
      </c>
      <c r="BB15" s="18">
        <f t="shared" ca="1" si="41"/>
        <v>0</v>
      </c>
      <c r="BC15" s="18">
        <f t="shared" ca="1" si="41"/>
        <v>0</v>
      </c>
      <c r="BD15" s="18">
        <f t="shared" ca="1" si="41"/>
        <v>0</v>
      </c>
      <c r="BE15" s="18">
        <f t="shared" ca="1" si="41"/>
        <v>0</v>
      </c>
      <c r="BF15" s="18">
        <f t="shared" ca="1" si="41"/>
        <v>0</v>
      </c>
      <c r="BG15" s="18">
        <f t="shared" ca="1" si="41"/>
        <v>0</v>
      </c>
      <c r="BH15" s="18">
        <f t="shared" ca="1" si="41"/>
        <v>0</v>
      </c>
      <c r="BI15" s="18">
        <f t="shared" ca="1" si="41"/>
        <v>0</v>
      </c>
      <c r="BJ15" s="18">
        <f t="shared" ca="1" si="41"/>
        <v>0</v>
      </c>
      <c r="BK15" s="18">
        <f t="shared" ca="1" si="41"/>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SUMIF($J$84:$M$747,B16&amp;"- "&amp;C16,$Q$84:$Q$747)</f>
        <v>0</v>
      </c>
      <c r="K16" s="165">
        <f ca="1">I16+J16</f>
        <v>0</v>
      </c>
      <c r="L16" s="114"/>
      <c r="M16" s="165">
        <f ca="1">+G16-K16</f>
        <v>0</v>
      </c>
      <c r="N16" s="68"/>
      <c r="O16" s="38" t="str">
        <f t="shared" ref="O16:O71" ca="1" si="46">IF(M16=0,"",IF(N16=0,"ERROR",""))</f>
        <v/>
      </c>
      <c r="P16" s="39" t="str">
        <f t="shared" ref="P16:P35" ca="1" si="47">IF(O16="ERROR","Please insert comment","")</f>
        <v/>
      </c>
      <c r="Q16" s="35"/>
      <c r="U16" s="40"/>
      <c r="V16" s="22"/>
      <c r="Y16" s="15">
        <f t="shared" ref="Y16:Z21" si="48">B19</f>
        <v>7</v>
      </c>
      <c r="Z16" s="25" t="str">
        <f t="shared" si="48"/>
        <v>Contribution au développement social (CDS)</v>
      </c>
      <c r="AA16" s="16">
        <f t="shared" si="37"/>
        <v>0</v>
      </c>
      <c r="AB16" s="16">
        <f t="shared" si="37"/>
        <v>0</v>
      </c>
      <c r="AC16" s="16">
        <f t="shared" si="37"/>
        <v>0</v>
      </c>
      <c r="AD16" s="16">
        <f t="shared" si="37"/>
        <v>0</v>
      </c>
      <c r="AE16" s="16">
        <f t="shared" si="37"/>
        <v>0</v>
      </c>
      <c r="AF16" s="16">
        <f t="shared" si="37"/>
        <v>0</v>
      </c>
      <c r="AG16" s="16">
        <f t="shared" si="37"/>
        <v>0</v>
      </c>
      <c r="AH16" s="16">
        <f t="shared" si="37"/>
        <v>0</v>
      </c>
      <c r="AI16" s="16">
        <f t="shared" si="37"/>
        <v>0</v>
      </c>
      <c r="AJ16" s="16">
        <f t="shared" si="38"/>
        <v>0</v>
      </c>
      <c r="AL16" s="17">
        <f t="shared" ref="AL16:AM21" si="49">+B19</f>
        <v>7</v>
      </c>
      <c r="AM16" s="26" t="str">
        <f t="shared" si="49"/>
        <v>Contribution au développement social (CDS)</v>
      </c>
      <c r="AN16" s="18">
        <f t="shared" si="39"/>
        <v>0</v>
      </c>
      <c r="AO16" s="18">
        <f t="shared" si="39"/>
        <v>0</v>
      </c>
      <c r="AP16" s="18">
        <f t="shared" si="39"/>
        <v>0</v>
      </c>
      <c r="AQ16" s="18">
        <f t="shared" si="39"/>
        <v>0</v>
      </c>
      <c r="AR16" s="18">
        <f t="shared" si="39"/>
        <v>0</v>
      </c>
      <c r="AS16" s="18">
        <f t="shared" si="39"/>
        <v>0</v>
      </c>
      <c r="AT16" s="18">
        <f t="shared" si="39"/>
        <v>0</v>
      </c>
      <c r="AU16" s="18">
        <f t="shared" si="39"/>
        <v>0</v>
      </c>
      <c r="AV16" s="18">
        <f t="shared" si="40"/>
        <v>0</v>
      </c>
      <c r="AW16" s="18"/>
      <c r="AX16" s="17">
        <f t="shared" ref="AX16:AY21" si="50">B19</f>
        <v>7</v>
      </c>
      <c r="AY16" s="26" t="str">
        <f t="shared" si="50"/>
        <v>Contribution au développement social (CDS)</v>
      </c>
      <c r="AZ16" s="18">
        <f t="shared" ca="1" si="41"/>
        <v>0</v>
      </c>
      <c r="BA16" s="18">
        <f t="shared" ca="1" si="41"/>
        <v>0</v>
      </c>
      <c r="BB16" s="18">
        <f t="shared" ca="1" si="41"/>
        <v>0</v>
      </c>
      <c r="BC16" s="18">
        <f t="shared" ca="1" si="41"/>
        <v>0</v>
      </c>
      <c r="BD16" s="18">
        <f t="shared" ca="1" si="41"/>
        <v>0</v>
      </c>
      <c r="BE16" s="18">
        <f t="shared" ca="1" si="41"/>
        <v>0</v>
      </c>
      <c r="BF16" s="18">
        <f t="shared" ca="1" si="41"/>
        <v>0</v>
      </c>
      <c r="BG16" s="18">
        <f t="shared" ca="1" si="41"/>
        <v>0</v>
      </c>
      <c r="BH16" s="18">
        <f t="shared" ca="1" si="41"/>
        <v>0</v>
      </c>
      <c r="BI16" s="18">
        <f t="shared" ca="1" si="41"/>
        <v>0</v>
      </c>
      <c r="BJ16" s="18">
        <f t="shared" ca="1" si="41"/>
        <v>0</v>
      </c>
      <c r="BK16" s="18">
        <f t="shared" ca="1" si="41"/>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6"/>
        <v/>
      </c>
      <c r="P17" s="39" t="str">
        <f t="shared" ca="1" si="47"/>
        <v/>
      </c>
      <c r="Q17" s="35"/>
      <c r="T17" s="41" t="str">
        <f>IF(F8=S12,"","ERROR")</f>
        <v/>
      </c>
      <c r="W17" s="42"/>
      <c r="Y17" s="15">
        <f t="shared" si="48"/>
        <v>8</v>
      </c>
      <c r="Z17" s="25" t="str">
        <f t="shared" si="48"/>
        <v>Droit d'enregistrement (DE)</v>
      </c>
      <c r="AA17" s="16">
        <f t="shared" si="37"/>
        <v>0</v>
      </c>
      <c r="AB17" s="16">
        <f t="shared" si="37"/>
        <v>0</v>
      </c>
      <c r="AC17" s="16">
        <f t="shared" si="37"/>
        <v>0</v>
      </c>
      <c r="AD17" s="16">
        <f t="shared" si="37"/>
        <v>0</v>
      </c>
      <c r="AE17" s="16">
        <f t="shared" si="37"/>
        <v>0</v>
      </c>
      <c r="AF17" s="16">
        <f t="shared" si="37"/>
        <v>0</v>
      </c>
      <c r="AG17" s="16">
        <f t="shared" si="37"/>
        <v>0</v>
      </c>
      <c r="AH17" s="16">
        <f t="shared" si="37"/>
        <v>0</v>
      </c>
      <c r="AI17" s="16">
        <f t="shared" si="37"/>
        <v>0</v>
      </c>
      <c r="AJ17" s="16">
        <f t="shared" si="38"/>
        <v>0</v>
      </c>
      <c r="AL17" s="17">
        <f t="shared" si="49"/>
        <v>8</v>
      </c>
      <c r="AM17" s="26" t="str">
        <f t="shared" si="49"/>
        <v>Droit d'enregistrement (DE)</v>
      </c>
      <c r="AN17" s="18">
        <f t="shared" si="39"/>
        <v>0</v>
      </c>
      <c r="AO17" s="18">
        <f t="shared" si="39"/>
        <v>0</v>
      </c>
      <c r="AP17" s="18">
        <f t="shared" si="39"/>
        <v>0</v>
      </c>
      <c r="AQ17" s="18">
        <f t="shared" si="39"/>
        <v>0</v>
      </c>
      <c r="AR17" s="18">
        <f t="shared" si="39"/>
        <v>0</v>
      </c>
      <c r="AS17" s="18">
        <f t="shared" si="39"/>
        <v>0</v>
      </c>
      <c r="AT17" s="18">
        <f t="shared" si="39"/>
        <v>0</v>
      </c>
      <c r="AU17" s="18">
        <f t="shared" si="39"/>
        <v>0</v>
      </c>
      <c r="AV17" s="18">
        <f t="shared" si="40"/>
        <v>0</v>
      </c>
      <c r="AW17" s="18"/>
      <c r="AX17" s="17">
        <f t="shared" si="50"/>
        <v>8</v>
      </c>
      <c r="AY17" s="26" t="str">
        <f t="shared" si="50"/>
        <v>Droit d'enregistrement (DE)</v>
      </c>
      <c r="AZ17" s="18">
        <f t="shared" ca="1" si="41"/>
        <v>0</v>
      </c>
      <c r="BA17" s="18">
        <f t="shared" ca="1" si="41"/>
        <v>0</v>
      </c>
      <c r="BB17" s="18">
        <f t="shared" ca="1" si="41"/>
        <v>0</v>
      </c>
      <c r="BC17" s="18">
        <f t="shared" ca="1" si="41"/>
        <v>0</v>
      </c>
      <c r="BD17" s="18">
        <f t="shared" ca="1" si="41"/>
        <v>0</v>
      </c>
      <c r="BE17" s="18">
        <f t="shared" ca="1" si="41"/>
        <v>0</v>
      </c>
      <c r="BF17" s="18">
        <f t="shared" ca="1" si="41"/>
        <v>0</v>
      </c>
      <c r="BG17" s="18">
        <f t="shared" ca="1" si="41"/>
        <v>0</v>
      </c>
      <c r="BH17" s="18">
        <f t="shared" ca="1" si="41"/>
        <v>0</v>
      </c>
      <c r="BI17" s="18">
        <f t="shared" ca="1" si="41"/>
        <v>0</v>
      </c>
      <c r="BJ17" s="18">
        <f t="shared" ca="1" si="41"/>
        <v>0</v>
      </c>
      <c r="BK17" s="18">
        <f t="shared" ca="1" si="41"/>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SUMIF($J$84:$M$747,B18&amp;"- "&amp;C18,$Q$84:$Q$747)</f>
        <v>0</v>
      </c>
      <c r="K18" s="114">
        <f t="shared" ref="K18:K39" ca="1" si="58">I18+J18</f>
        <v>0</v>
      </c>
      <c r="L18" s="114"/>
      <c r="M18" s="114">
        <f t="shared" ref="M18:M39" ca="1" si="59">+G18-K18</f>
        <v>0</v>
      </c>
      <c r="N18" s="18"/>
      <c r="O18" s="38"/>
      <c r="P18" s="39"/>
      <c r="Q18" s="35"/>
      <c r="Y18" s="15">
        <f t="shared" si="48"/>
        <v>9</v>
      </c>
      <c r="Z18" s="25" t="str">
        <f t="shared" si="48"/>
        <v>Impôt sur les revenus des personnes physiques (IRPP)</v>
      </c>
      <c r="AA18" s="16">
        <f t="shared" si="37"/>
        <v>0</v>
      </c>
      <c r="AB18" s="16">
        <f t="shared" si="37"/>
        <v>0</v>
      </c>
      <c r="AC18" s="16">
        <f t="shared" si="37"/>
        <v>0</v>
      </c>
      <c r="AD18" s="16">
        <f t="shared" si="37"/>
        <v>0</v>
      </c>
      <c r="AE18" s="16">
        <f t="shared" si="37"/>
        <v>0</v>
      </c>
      <c r="AF18" s="16">
        <f t="shared" si="37"/>
        <v>0</v>
      </c>
      <c r="AG18" s="16">
        <f t="shared" si="37"/>
        <v>0</v>
      </c>
      <c r="AH18" s="16">
        <f t="shared" si="37"/>
        <v>0</v>
      </c>
      <c r="AI18" s="16">
        <f t="shared" si="37"/>
        <v>0</v>
      </c>
      <c r="AJ18" s="16">
        <f t="shared" si="38"/>
        <v>0</v>
      </c>
      <c r="AL18" s="17">
        <f t="shared" si="49"/>
        <v>9</v>
      </c>
      <c r="AM18" s="26" t="str">
        <f t="shared" si="49"/>
        <v>Impôt sur les revenus des personnes physiques (IRPP)</v>
      </c>
      <c r="AN18" s="18">
        <f t="shared" si="39"/>
        <v>0</v>
      </c>
      <c r="AO18" s="18">
        <f t="shared" si="39"/>
        <v>0</v>
      </c>
      <c r="AP18" s="18">
        <f t="shared" si="39"/>
        <v>0</v>
      </c>
      <c r="AQ18" s="18">
        <f t="shared" si="39"/>
        <v>0</v>
      </c>
      <c r="AR18" s="18">
        <f t="shared" si="39"/>
        <v>0</v>
      </c>
      <c r="AS18" s="18">
        <f t="shared" si="39"/>
        <v>0</v>
      </c>
      <c r="AT18" s="18">
        <f t="shared" si="39"/>
        <v>0</v>
      </c>
      <c r="AU18" s="18">
        <f t="shared" si="39"/>
        <v>0</v>
      </c>
      <c r="AV18" s="18">
        <f t="shared" si="40"/>
        <v>0</v>
      </c>
      <c r="AW18" s="18"/>
      <c r="AX18" s="17">
        <f t="shared" si="50"/>
        <v>9</v>
      </c>
      <c r="AY18" s="26" t="str">
        <f t="shared" si="50"/>
        <v>Impôt sur les revenus des personnes physiques (IRPP)</v>
      </c>
      <c r="AZ18" s="18">
        <f t="shared" ca="1" si="41"/>
        <v>0</v>
      </c>
      <c r="BA18" s="18">
        <f t="shared" ca="1" si="41"/>
        <v>0</v>
      </c>
      <c r="BB18" s="18">
        <f t="shared" ca="1" si="41"/>
        <v>0</v>
      </c>
      <c r="BC18" s="18">
        <f t="shared" ca="1" si="41"/>
        <v>0</v>
      </c>
      <c r="BD18" s="18">
        <f t="shared" ca="1" si="41"/>
        <v>0</v>
      </c>
      <c r="BE18" s="18">
        <f t="shared" ca="1" si="41"/>
        <v>0</v>
      </c>
      <c r="BF18" s="18">
        <f t="shared" ca="1" si="41"/>
        <v>0</v>
      </c>
      <c r="BG18" s="18">
        <f t="shared" ca="1" si="41"/>
        <v>0</v>
      </c>
      <c r="BH18" s="18">
        <f t="shared" ca="1" si="41"/>
        <v>0</v>
      </c>
      <c r="BI18" s="18">
        <f t="shared" ca="1" si="41"/>
        <v>0</v>
      </c>
      <c r="BJ18" s="18">
        <f t="shared" ca="1" si="41"/>
        <v>0</v>
      </c>
      <c r="BK18" s="18">
        <f t="shared" ca="1" si="41"/>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46"/>
        <v/>
      </c>
      <c r="P19" s="39" t="str">
        <f t="shared" ca="1" si="47"/>
        <v/>
      </c>
      <c r="Q19" s="35"/>
      <c r="W19" s="41" t="str">
        <f ca="1">IF(M8=V15,"","ERROR")</f>
        <v>ERROR</v>
      </c>
      <c r="Y19" s="15">
        <f t="shared" si="48"/>
        <v>10</v>
      </c>
      <c r="Z19" s="25" t="str">
        <f t="shared" si="48"/>
        <v>Impôt sur les sociétés (IS)</v>
      </c>
      <c r="AA19" s="16">
        <f t="shared" si="37"/>
        <v>0</v>
      </c>
      <c r="AB19" s="16">
        <f t="shared" si="37"/>
        <v>0</v>
      </c>
      <c r="AC19" s="16">
        <f t="shared" si="37"/>
        <v>0</v>
      </c>
      <c r="AD19" s="16">
        <f t="shared" si="37"/>
        <v>0</v>
      </c>
      <c r="AE19" s="16">
        <f t="shared" si="37"/>
        <v>0</v>
      </c>
      <c r="AF19" s="16">
        <f t="shared" si="37"/>
        <v>0</v>
      </c>
      <c r="AG19" s="16">
        <f t="shared" si="37"/>
        <v>0</v>
      </c>
      <c r="AH19" s="16">
        <f t="shared" si="37"/>
        <v>0</v>
      </c>
      <c r="AI19" s="16">
        <f t="shared" si="37"/>
        <v>0</v>
      </c>
      <c r="AJ19" s="16">
        <f t="shared" si="38"/>
        <v>0</v>
      </c>
      <c r="AL19" s="17">
        <f t="shared" si="49"/>
        <v>10</v>
      </c>
      <c r="AM19" s="26" t="str">
        <f t="shared" si="49"/>
        <v>Impôt sur les sociétés (IS)</v>
      </c>
      <c r="AN19" s="18">
        <f t="shared" si="39"/>
        <v>0</v>
      </c>
      <c r="AO19" s="18">
        <f t="shared" si="39"/>
        <v>0</v>
      </c>
      <c r="AP19" s="18">
        <f t="shared" si="39"/>
        <v>0</v>
      </c>
      <c r="AQ19" s="18">
        <f t="shared" si="39"/>
        <v>0</v>
      </c>
      <c r="AR19" s="18">
        <f t="shared" si="39"/>
        <v>0</v>
      </c>
      <c r="AS19" s="18">
        <f t="shared" si="39"/>
        <v>0</v>
      </c>
      <c r="AT19" s="18">
        <f t="shared" si="39"/>
        <v>0</v>
      </c>
      <c r="AU19" s="18">
        <f t="shared" si="39"/>
        <v>0</v>
      </c>
      <c r="AV19" s="18">
        <f t="shared" si="40"/>
        <v>0</v>
      </c>
      <c r="AW19" s="18"/>
      <c r="AX19" s="17">
        <f t="shared" si="50"/>
        <v>10</v>
      </c>
      <c r="AY19" s="26" t="str">
        <f t="shared" si="50"/>
        <v>Impôt sur les sociétés (IS)</v>
      </c>
      <c r="AZ19" s="18">
        <f t="shared" ca="1" si="41"/>
        <v>0</v>
      </c>
      <c r="BA19" s="18">
        <f t="shared" ca="1" si="41"/>
        <v>0</v>
      </c>
      <c r="BB19" s="18">
        <f t="shared" ca="1" si="41"/>
        <v>0</v>
      </c>
      <c r="BC19" s="18">
        <f t="shared" ca="1" si="41"/>
        <v>0</v>
      </c>
      <c r="BD19" s="18">
        <f t="shared" ca="1" si="41"/>
        <v>0</v>
      </c>
      <c r="BE19" s="18">
        <f t="shared" ca="1" si="41"/>
        <v>0</v>
      </c>
      <c r="BF19" s="18">
        <f t="shared" ca="1" si="41"/>
        <v>0</v>
      </c>
      <c r="BG19" s="18">
        <f t="shared" ca="1" si="41"/>
        <v>0</v>
      </c>
      <c r="BH19" s="18">
        <f t="shared" ca="1" si="41"/>
        <v>0</v>
      </c>
      <c r="BI19" s="18">
        <f t="shared" ca="1" si="41"/>
        <v>0</v>
      </c>
      <c r="BJ19" s="18">
        <f t="shared" ca="1" si="41"/>
        <v>0</v>
      </c>
      <c r="BK19" s="18">
        <f t="shared" ca="1" si="41"/>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46"/>
        <v/>
      </c>
      <c r="P20" s="39" t="str">
        <f t="shared" ca="1" si="47"/>
        <v/>
      </c>
      <c r="Q20" s="35"/>
      <c r="S20" s="18"/>
      <c r="Y20" s="15">
        <f t="shared" si="48"/>
        <v>11</v>
      </c>
      <c r="Z20" s="25" t="str">
        <f t="shared" si="48"/>
        <v>Loyer annuel</v>
      </c>
      <c r="AA20" s="16">
        <f t="shared" si="37"/>
        <v>0</v>
      </c>
      <c r="AB20" s="16">
        <f t="shared" si="37"/>
        <v>0</v>
      </c>
      <c r="AC20" s="16">
        <f t="shared" si="37"/>
        <v>0</v>
      </c>
      <c r="AD20" s="16">
        <f t="shared" si="37"/>
        <v>0</v>
      </c>
      <c r="AE20" s="16">
        <f t="shared" si="37"/>
        <v>0</v>
      </c>
      <c r="AF20" s="16">
        <f t="shared" si="37"/>
        <v>0</v>
      </c>
      <c r="AG20" s="16">
        <f t="shared" si="37"/>
        <v>0</v>
      </c>
      <c r="AH20" s="16">
        <f t="shared" si="37"/>
        <v>0</v>
      </c>
      <c r="AI20" s="16">
        <f t="shared" si="37"/>
        <v>0</v>
      </c>
      <c r="AJ20" s="16">
        <f t="shared" si="38"/>
        <v>0</v>
      </c>
      <c r="AL20" s="17">
        <f t="shared" si="49"/>
        <v>11</v>
      </c>
      <c r="AM20" s="26" t="str">
        <f t="shared" si="49"/>
        <v>Loyer annuel</v>
      </c>
      <c r="AN20" s="18">
        <f t="shared" si="39"/>
        <v>0</v>
      </c>
      <c r="AO20" s="18">
        <f t="shared" si="39"/>
        <v>0</v>
      </c>
      <c r="AP20" s="18">
        <f t="shared" si="39"/>
        <v>0</v>
      </c>
      <c r="AQ20" s="18">
        <f t="shared" si="39"/>
        <v>0</v>
      </c>
      <c r="AR20" s="18">
        <f t="shared" si="39"/>
        <v>0</v>
      </c>
      <c r="AS20" s="18">
        <f t="shared" si="39"/>
        <v>0</v>
      </c>
      <c r="AT20" s="18">
        <f t="shared" si="39"/>
        <v>0</v>
      </c>
      <c r="AU20" s="18">
        <f t="shared" si="39"/>
        <v>0</v>
      </c>
      <c r="AV20" s="18">
        <f t="shared" si="40"/>
        <v>0</v>
      </c>
      <c r="AW20" s="18"/>
      <c r="AX20" s="17">
        <f t="shared" si="50"/>
        <v>11</v>
      </c>
      <c r="AY20" s="26" t="str">
        <f t="shared" si="50"/>
        <v>Loyer annuel</v>
      </c>
      <c r="AZ20" s="18">
        <f t="shared" ca="1" si="41"/>
        <v>0</v>
      </c>
      <c r="BA20" s="18">
        <f t="shared" ca="1" si="41"/>
        <v>0</v>
      </c>
      <c r="BB20" s="18">
        <f t="shared" ca="1" si="41"/>
        <v>0</v>
      </c>
      <c r="BC20" s="18">
        <f t="shared" ca="1" si="41"/>
        <v>0</v>
      </c>
      <c r="BD20" s="18">
        <f t="shared" ca="1" si="41"/>
        <v>0</v>
      </c>
      <c r="BE20" s="18">
        <f t="shared" ca="1" si="41"/>
        <v>0</v>
      </c>
      <c r="BF20" s="18">
        <f t="shared" ca="1" si="41"/>
        <v>0</v>
      </c>
      <c r="BG20" s="18">
        <f t="shared" ca="1" si="41"/>
        <v>0</v>
      </c>
      <c r="BH20" s="18">
        <f t="shared" ca="1" si="41"/>
        <v>0</v>
      </c>
      <c r="BI20" s="18">
        <f t="shared" ca="1" si="41"/>
        <v>0</v>
      </c>
      <c r="BJ20" s="18">
        <f t="shared" ca="1" si="41"/>
        <v>0</v>
      </c>
      <c r="BK20" s="18">
        <f t="shared" ca="1" si="41"/>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46"/>
        <v/>
      </c>
      <c r="P21" s="39" t="str">
        <f t="shared" ca="1" si="47"/>
        <v/>
      </c>
      <c r="Q21" s="35"/>
      <c r="V21" s="18"/>
      <c r="Y21" s="15">
        <f t="shared" si="48"/>
        <v>12</v>
      </c>
      <c r="Z21" s="25" t="str">
        <f t="shared" si="48"/>
        <v>Patente</v>
      </c>
      <c r="AA21" s="16">
        <f t="shared" si="37"/>
        <v>0</v>
      </c>
      <c r="AB21" s="16">
        <f t="shared" si="37"/>
        <v>0</v>
      </c>
      <c r="AC21" s="16">
        <f t="shared" si="37"/>
        <v>0</v>
      </c>
      <c r="AD21" s="16">
        <f t="shared" si="37"/>
        <v>0</v>
      </c>
      <c r="AE21" s="16">
        <f t="shared" si="37"/>
        <v>0</v>
      </c>
      <c r="AF21" s="16">
        <f t="shared" si="37"/>
        <v>0</v>
      </c>
      <c r="AG21" s="16">
        <f t="shared" si="37"/>
        <v>0</v>
      </c>
      <c r="AH21" s="16">
        <f t="shared" si="37"/>
        <v>0</v>
      </c>
      <c r="AI21" s="16">
        <f t="shared" si="37"/>
        <v>0</v>
      </c>
      <c r="AJ21" s="16">
        <f t="shared" si="38"/>
        <v>0</v>
      </c>
      <c r="AL21" s="17">
        <f t="shared" si="49"/>
        <v>12</v>
      </c>
      <c r="AM21" s="26" t="str">
        <f t="shared" si="49"/>
        <v>Patente</v>
      </c>
      <c r="AN21" s="18">
        <f t="shared" si="39"/>
        <v>0</v>
      </c>
      <c r="AO21" s="18">
        <f t="shared" si="39"/>
        <v>0</v>
      </c>
      <c r="AP21" s="18">
        <f t="shared" si="39"/>
        <v>0</v>
      </c>
      <c r="AQ21" s="18">
        <f t="shared" si="39"/>
        <v>0</v>
      </c>
      <c r="AR21" s="18">
        <f t="shared" si="39"/>
        <v>0</v>
      </c>
      <c r="AS21" s="18">
        <f t="shared" si="39"/>
        <v>0</v>
      </c>
      <c r="AT21" s="18">
        <f t="shared" si="39"/>
        <v>0</v>
      </c>
      <c r="AU21" s="18">
        <f t="shared" si="39"/>
        <v>0</v>
      </c>
      <c r="AV21" s="18">
        <f t="shared" si="40"/>
        <v>0</v>
      </c>
      <c r="AW21" s="18"/>
      <c r="AX21" s="17">
        <f t="shared" si="50"/>
        <v>12</v>
      </c>
      <c r="AY21" s="26" t="str">
        <f t="shared" si="50"/>
        <v>Patente</v>
      </c>
      <c r="AZ21" s="18">
        <f t="shared" ca="1" si="41"/>
        <v>0</v>
      </c>
      <c r="BA21" s="18">
        <f t="shared" ca="1" si="41"/>
        <v>0</v>
      </c>
      <c r="BB21" s="18">
        <f t="shared" ca="1" si="41"/>
        <v>0</v>
      </c>
      <c r="BC21" s="18">
        <f t="shared" ca="1" si="41"/>
        <v>0</v>
      </c>
      <c r="BD21" s="18">
        <f t="shared" ca="1" si="41"/>
        <v>0</v>
      </c>
      <c r="BE21" s="18">
        <f t="shared" ca="1" si="41"/>
        <v>0</v>
      </c>
      <c r="BF21" s="18">
        <f t="shared" ca="1" si="41"/>
        <v>0</v>
      </c>
      <c r="BG21" s="18">
        <f t="shared" ca="1" si="41"/>
        <v>0</v>
      </c>
      <c r="BH21" s="18">
        <f t="shared" ca="1" si="41"/>
        <v>0</v>
      </c>
      <c r="BI21" s="18">
        <f t="shared" ca="1" si="41"/>
        <v>0</v>
      </c>
      <c r="BJ21" s="18">
        <f t="shared" ca="1" si="41"/>
        <v>0</v>
      </c>
      <c r="BK21" s="18">
        <f t="shared" ca="1" si="41"/>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6"/>
        <v/>
      </c>
      <c r="P22" s="39" t="str">
        <f t="shared" ca="1" si="47"/>
        <v/>
      </c>
      <c r="Q22" s="35"/>
      <c r="Y22" s="28"/>
      <c r="Z22" s="28" t="str">
        <f t="shared" ref="Z22:Z53" si="60">C25</f>
        <v xml:space="preserve">Taxe d'abattage  </v>
      </c>
      <c r="AA22" s="29">
        <f>SUM(AA23:AA32)</f>
        <v>0</v>
      </c>
      <c r="AB22" s="29">
        <f t="shared" ref="AB22:AJ22" si="61">SUM(AB23:AB32)</f>
        <v>0</v>
      </c>
      <c r="AC22" s="29">
        <f t="shared" si="61"/>
        <v>0</v>
      </c>
      <c r="AD22" s="29">
        <f t="shared" si="61"/>
        <v>0</v>
      </c>
      <c r="AE22" s="29">
        <f t="shared" si="61"/>
        <v>0</v>
      </c>
      <c r="AF22" s="29">
        <f t="shared" si="61"/>
        <v>0</v>
      </c>
      <c r="AG22" s="29">
        <f t="shared" si="61"/>
        <v>0</v>
      </c>
      <c r="AH22" s="29">
        <f t="shared" si="61"/>
        <v>0</v>
      </c>
      <c r="AI22" s="29">
        <f t="shared" si="61"/>
        <v>0</v>
      </c>
      <c r="AJ22" s="29">
        <f t="shared" si="61"/>
        <v>0</v>
      </c>
      <c r="AL22" s="28"/>
      <c r="AM22" s="28" t="str">
        <f t="shared" ref="AM22:AM53" si="62">+C25</f>
        <v xml:space="preserve">Taxe d'abattage  </v>
      </c>
      <c r="AN22" s="29">
        <f>SUM(AN23:AN32)</f>
        <v>0</v>
      </c>
      <c r="AO22" s="29">
        <f t="shared" ref="AO22:AV22" si="63">SUM(AO23:AO32)</f>
        <v>0</v>
      </c>
      <c r="AP22" s="29">
        <f t="shared" si="63"/>
        <v>0</v>
      </c>
      <c r="AQ22" s="29">
        <f t="shared" si="63"/>
        <v>0</v>
      </c>
      <c r="AR22" s="29">
        <f t="shared" si="63"/>
        <v>0</v>
      </c>
      <c r="AS22" s="29">
        <f t="shared" si="63"/>
        <v>0</v>
      </c>
      <c r="AT22" s="29">
        <f t="shared" si="63"/>
        <v>0</v>
      </c>
      <c r="AU22" s="29">
        <f t="shared" si="63"/>
        <v>0</v>
      </c>
      <c r="AV22" s="29">
        <f t="shared" si="63"/>
        <v>0</v>
      </c>
      <c r="AW22" s="38"/>
      <c r="AX22" s="28"/>
      <c r="AY22" s="28" t="str">
        <f t="shared" ref="AY22:AY53" si="64">C25</f>
        <v xml:space="preserve">Taxe d'abattage  </v>
      </c>
      <c r="AZ22" s="29">
        <f t="shared" ref="AZ22:BK22" ca="1" si="65">SUM(AZ23:AZ32)</f>
        <v>0</v>
      </c>
      <c r="BA22" s="29">
        <f t="shared" ca="1" si="65"/>
        <v>0</v>
      </c>
      <c r="BB22" s="29">
        <f t="shared" ca="1" si="65"/>
        <v>0</v>
      </c>
      <c r="BC22" s="29">
        <f t="shared" ca="1" si="65"/>
        <v>0</v>
      </c>
      <c r="BD22" s="29">
        <f t="shared" ca="1" si="65"/>
        <v>0</v>
      </c>
      <c r="BE22" s="29">
        <f t="shared" ca="1" si="65"/>
        <v>0</v>
      </c>
      <c r="BF22" s="29">
        <f t="shared" ca="1" si="65"/>
        <v>0</v>
      </c>
      <c r="BG22" s="29">
        <f t="shared" ca="1" si="65"/>
        <v>0</v>
      </c>
      <c r="BH22" s="29">
        <f t="shared" ca="1" si="65"/>
        <v>0</v>
      </c>
      <c r="BI22" s="29">
        <f t="shared" ca="1" si="65"/>
        <v>0</v>
      </c>
      <c r="BJ22" s="29">
        <f t="shared" ca="1" si="65"/>
        <v>0</v>
      </c>
      <c r="BK22" s="29">
        <f t="shared" ca="1" si="65"/>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6"/>
        <v/>
      </c>
      <c r="P23" s="39" t="str">
        <f t="shared" ca="1" si="47"/>
        <v/>
      </c>
      <c r="Q23" s="35"/>
      <c r="Y23" s="15">
        <f t="shared" ref="Y23:Y32" si="66">B26</f>
        <v>14</v>
      </c>
      <c r="Z23" s="25" t="str">
        <f t="shared" si="60"/>
        <v xml:space="preserve">Taxe de reboisement  </v>
      </c>
      <c r="AA23" s="16">
        <f t="shared" ref="AA23:AI32" si="67">SUMPRODUCT(($A$84:$A$751=$Y23&amp;"- "&amp;$Z23)*($C$84:$C$751=AA$1)*($G$84:$G$751))</f>
        <v>0</v>
      </c>
      <c r="AB23" s="16">
        <f t="shared" si="67"/>
        <v>0</v>
      </c>
      <c r="AC23" s="16">
        <f t="shared" si="67"/>
        <v>0</v>
      </c>
      <c r="AD23" s="16">
        <f t="shared" si="67"/>
        <v>0</v>
      </c>
      <c r="AE23" s="16">
        <f t="shared" si="67"/>
        <v>0</v>
      </c>
      <c r="AF23" s="16">
        <f t="shared" si="67"/>
        <v>0</v>
      </c>
      <c r="AG23" s="16">
        <f t="shared" si="67"/>
        <v>0</v>
      </c>
      <c r="AH23" s="16">
        <f t="shared" si="67"/>
        <v>0</v>
      </c>
      <c r="AI23" s="16">
        <f t="shared" si="67"/>
        <v>0</v>
      </c>
      <c r="AJ23" s="16">
        <f t="shared" ref="AJ23:AJ28" si="68">SUM(AA23:AI23)</f>
        <v>0</v>
      </c>
      <c r="AL23" s="17">
        <f t="shared" ref="AL23:AL32" si="69">+B26</f>
        <v>14</v>
      </c>
      <c r="AM23" s="26" t="str">
        <f t="shared" si="62"/>
        <v xml:space="preserve">Taxe de reboisement  </v>
      </c>
      <c r="AN23" s="18">
        <f t="shared" ref="AN23:AU32" si="70">SUMPRODUCT(($J$84:$M$746=$AL23&amp;"- "&amp;$AM23)*($N$84:$N$746=AN$1)*($Q$84:$Q$746))</f>
        <v>0</v>
      </c>
      <c r="AO23" s="18">
        <f t="shared" si="70"/>
        <v>0</v>
      </c>
      <c r="AP23" s="18">
        <f t="shared" si="70"/>
        <v>0</v>
      </c>
      <c r="AQ23" s="18">
        <f t="shared" si="70"/>
        <v>0</v>
      </c>
      <c r="AR23" s="18">
        <f t="shared" si="70"/>
        <v>0</v>
      </c>
      <c r="AS23" s="18">
        <f t="shared" si="70"/>
        <v>0</v>
      </c>
      <c r="AT23" s="18">
        <f t="shared" si="70"/>
        <v>0</v>
      </c>
      <c r="AU23" s="18">
        <f t="shared" si="70"/>
        <v>0</v>
      </c>
      <c r="AV23" s="18">
        <f t="shared" ref="AV23:AV28" si="71">SUM(AN23:AU23)</f>
        <v>0</v>
      </c>
      <c r="AW23" s="18"/>
      <c r="AX23" s="17">
        <f t="shared" ref="AX23:AX32" si="72">B26</f>
        <v>14</v>
      </c>
      <c r="AY23" s="26" t="str">
        <f t="shared" si="64"/>
        <v xml:space="preserve">Taxe de reboisement  </v>
      </c>
      <c r="AZ23" s="18">
        <f t="shared" ref="AZ23:BK32" ca="1" si="73">SUMPRODUCT(($C$10:$C$75=$AY23)*($N$10:$N$75=AZ$1)*($M$10:$M$75))</f>
        <v>0</v>
      </c>
      <c r="BA23" s="18">
        <f t="shared" ca="1" si="73"/>
        <v>0</v>
      </c>
      <c r="BB23" s="18">
        <f t="shared" ca="1" si="73"/>
        <v>0</v>
      </c>
      <c r="BC23" s="18">
        <f t="shared" ca="1" si="73"/>
        <v>0</v>
      </c>
      <c r="BD23" s="18">
        <f t="shared" ca="1" si="73"/>
        <v>0</v>
      </c>
      <c r="BE23" s="18">
        <f t="shared" ca="1" si="73"/>
        <v>0</v>
      </c>
      <c r="BF23" s="18">
        <f t="shared" ca="1" si="73"/>
        <v>0</v>
      </c>
      <c r="BG23" s="18">
        <f t="shared" ca="1" si="73"/>
        <v>0</v>
      </c>
      <c r="BH23" s="18">
        <f t="shared" ca="1" si="73"/>
        <v>0</v>
      </c>
      <c r="BI23" s="18">
        <f t="shared" ca="1" si="73"/>
        <v>0</v>
      </c>
      <c r="BJ23" s="18">
        <f t="shared" ca="1" si="73"/>
        <v>0</v>
      </c>
      <c r="BK23" s="18">
        <f t="shared" ca="1" si="73"/>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t="shared" ca="1" si="46"/>
        <v/>
      </c>
      <c r="P24" s="39" t="str">
        <f t="shared" ca="1" si="47"/>
        <v/>
      </c>
      <c r="Q24" s="35"/>
      <c r="R24" s="36" t="s">
        <v>17</v>
      </c>
      <c r="S24" s="37" t="s">
        <v>4</v>
      </c>
      <c r="Y24" s="15">
        <f t="shared" si="66"/>
        <v>15</v>
      </c>
      <c r="Z24" s="25" t="str">
        <f t="shared" si="60"/>
        <v>Impôt sur les fonciers bâtis (IFB)</v>
      </c>
      <c r="AA24" s="16">
        <f t="shared" si="67"/>
        <v>0</v>
      </c>
      <c r="AB24" s="16">
        <f t="shared" si="67"/>
        <v>0</v>
      </c>
      <c r="AC24" s="16">
        <f t="shared" si="67"/>
        <v>0</v>
      </c>
      <c r="AD24" s="16">
        <f t="shared" si="67"/>
        <v>0</v>
      </c>
      <c r="AE24" s="16">
        <f t="shared" si="67"/>
        <v>0</v>
      </c>
      <c r="AF24" s="16">
        <f t="shared" si="67"/>
        <v>0</v>
      </c>
      <c r="AG24" s="16">
        <f t="shared" si="67"/>
        <v>0</v>
      </c>
      <c r="AH24" s="16">
        <f t="shared" si="67"/>
        <v>0</v>
      </c>
      <c r="AI24" s="16">
        <f t="shared" si="67"/>
        <v>0</v>
      </c>
      <c r="AJ24" s="16">
        <f t="shared" si="68"/>
        <v>0</v>
      </c>
      <c r="AL24" s="17">
        <f t="shared" si="69"/>
        <v>15</v>
      </c>
      <c r="AM24" s="26" t="str">
        <f t="shared" si="62"/>
        <v>Impôt sur les fonciers bâtis (IFB)</v>
      </c>
      <c r="AN24" s="18">
        <f t="shared" si="70"/>
        <v>0</v>
      </c>
      <c r="AO24" s="18">
        <f t="shared" si="70"/>
        <v>0</v>
      </c>
      <c r="AP24" s="18">
        <f t="shared" si="70"/>
        <v>0</v>
      </c>
      <c r="AQ24" s="18">
        <f t="shared" si="70"/>
        <v>0</v>
      </c>
      <c r="AR24" s="18">
        <f t="shared" si="70"/>
        <v>0</v>
      </c>
      <c r="AS24" s="18">
        <f t="shared" si="70"/>
        <v>0</v>
      </c>
      <c r="AT24" s="18">
        <f t="shared" si="70"/>
        <v>0</v>
      </c>
      <c r="AU24" s="18">
        <f t="shared" si="70"/>
        <v>0</v>
      </c>
      <c r="AV24" s="18">
        <f t="shared" si="71"/>
        <v>0</v>
      </c>
      <c r="AW24" s="18"/>
      <c r="AX24" s="17">
        <f t="shared" si="72"/>
        <v>15</v>
      </c>
      <c r="AY24" s="26" t="str">
        <f t="shared" si="64"/>
        <v>Impôt sur les fonciers bâtis (IFB)</v>
      </c>
      <c r="AZ24" s="18">
        <f t="shared" ca="1" si="73"/>
        <v>0</v>
      </c>
      <c r="BA24" s="18">
        <f t="shared" ca="1" si="73"/>
        <v>0</v>
      </c>
      <c r="BB24" s="18">
        <f t="shared" ca="1" si="73"/>
        <v>0</v>
      </c>
      <c r="BC24" s="18">
        <f t="shared" ca="1" si="73"/>
        <v>0</v>
      </c>
      <c r="BD24" s="18">
        <f t="shared" ca="1" si="73"/>
        <v>0</v>
      </c>
      <c r="BE24" s="18">
        <f t="shared" ca="1" si="73"/>
        <v>0</v>
      </c>
      <c r="BF24" s="18">
        <f t="shared" ca="1" si="73"/>
        <v>0</v>
      </c>
      <c r="BG24" s="18">
        <f t="shared" ca="1" si="73"/>
        <v>0</v>
      </c>
      <c r="BH24" s="18">
        <f t="shared" ca="1" si="73"/>
        <v>0</v>
      </c>
      <c r="BI24" s="18">
        <f t="shared" ca="1" si="73"/>
        <v>0</v>
      </c>
      <c r="BJ24" s="18">
        <f t="shared" ca="1" si="73"/>
        <v>0</v>
      </c>
      <c r="BK24" s="18">
        <f t="shared" ca="1" si="73"/>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c r="P25" s="39" t="str">
        <f t="shared" si="47"/>
        <v/>
      </c>
      <c r="Q25" s="35"/>
      <c r="R25" s="21" t="str">
        <f>Lists!A80</f>
        <v>Taxes perçues non reportées par l'Etat</v>
      </c>
      <c r="S25" s="18">
        <f t="shared" ref="S25:S32" si="74">SUMIF($N$84:$N$747,R25,$Q$84:$Q$747)</f>
        <v>0</v>
      </c>
      <c r="Y25" s="15">
        <f t="shared" si="66"/>
        <v>16</v>
      </c>
      <c r="Z25" s="25" t="str">
        <f t="shared" si="60"/>
        <v>Minimum impôt sur les sociétés (MIS)</v>
      </c>
      <c r="AA25" s="16">
        <f t="shared" si="67"/>
        <v>0</v>
      </c>
      <c r="AB25" s="16">
        <f t="shared" si="67"/>
        <v>0</v>
      </c>
      <c r="AC25" s="16">
        <f t="shared" si="67"/>
        <v>0</v>
      </c>
      <c r="AD25" s="16">
        <f t="shared" si="67"/>
        <v>0</v>
      </c>
      <c r="AE25" s="16">
        <f t="shared" si="67"/>
        <v>0</v>
      </c>
      <c r="AF25" s="16">
        <f t="shared" si="67"/>
        <v>0</v>
      </c>
      <c r="AG25" s="16">
        <f t="shared" si="67"/>
        <v>0</v>
      </c>
      <c r="AH25" s="16">
        <f t="shared" si="67"/>
        <v>0</v>
      </c>
      <c r="AI25" s="16">
        <f t="shared" si="67"/>
        <v>0</v>
      </c>
      <c r="AJ25" s="16">
        <f t="shared" si="68"/>
        <v>0</v>
      </c>
      <c r="AL25" s="17">
        <f t="shared" si="69"/>
        <v>16</v>
      </c>
      <c r="AM25" s="26" t="str">
        <f t="shared" si="62"/>
        <v>Minimum impôt sur les sociétés (MIS)</v>
      </c>
      <c r="AN25" s="18">
        <f t="shared" si="70"/>
        <v>0</v>
      </c>
      <c r="AO25" s="18">
        <f t="shared" si="70"/>
        <v>0</v>
      </c>
      <c r="AP25" s="18">
        <f t="shared" si="70"/>
        <v>0</v>
      </c>
      <c r="AQ25" s="18">
        <f t="shared" si="70"/>
        <v>0</v>
      </c>
      <c r="AR25" s="18">
        <f t="shared" si="70"/>
        <v>0</v>
      </c>
      <c r="AS25" s="18">
        <f t="shared" si="70"/>
        <v>0</v>
      </c>
      <c r="AT25" s="18">
        <f t="shared" si="70"/>
        <v>0</v>
      </c>
      <c r="AU25" s="18">
        <f t="shared" si="70"/>
        <v>0</v>
      </c>
      <c r="AV25" s="18">
        <f t="shared" si="71"/>
        <v>0</v>
      </c>
      <c r="AW25" s="18"/>
      <c r="AX25" s="17">
        <f t="shared" si="72"/>
        <v>16</v>
      </c>
      <c r="AY25" s="26" t="str">
        <f t="shared" si="64"/>
        <v>Minimum impôt sur les sociétés (MIS)</v>
      </c>
      <c r="AZ25" s="18">
        <f t="shared" ca="1" si="73"/>
        <v>0</v>
      </c>
      <c r="BA25" s="18">
        <f t="shared" ca="1" si="73"/>
        <v>0</v>
      </c>
      <c r="BB25" s="18">
        <f t="shared" ca="1" si="73"/>
        <v>0</v>
      </c>
      <c r="BC25" s="18">
        <f t="shared" ca="1" si="73"/>
        <v>0</v>
      </c>
      <c r="BD25" s="18">
        <f t="shared" ca="1" si="73"/>
        <v>0</v>
      </c>
      <c r="BE25" s="18">
        <f t="shared" ca="1" si="73"/>
        <v>0</v>
      </c>
      <c r="BF25" s="18">
        <f t="shared" ca="1" si="73"/>
        <v>0</v>
      </c>
      <c r="BG25" s="18">
        <f t="shared" ca="1" si="73"/>
        <v>0</v>
      </c>
      <c r="BH25" s="18">
        <f t="shared" ca="1" si="73"/>
        <v>0</v>
      </c>
      <c r="BI25" s="18">
        <f t="shared" ca="1" si="73"/>
        <v>0</v>
      </c>
      <c r="BJ25" s="18">
        <f t="shared" ca="1" si="73"/>
        <v>0</v>
      </c>
      <c r="BK25" s="18">
        <f t="shared" ca="1" si="73"/>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6"/>
        <v/>
      </c>
      <c r="P26" s="39" t="str">
        <f t="shared" ca="1" si="47"/>
        <v/>
      </c>
      <c r="Q26" s="35"/>
      <c r="R26" s="21" t="str">
        <f>Lists!A81</f>
        <v>Montant doublement déclaré</v>
      </c>
      <c r="S26" s="18">
        <f t="shared" si="74"/>
        <v>0</v>
      </c>
      <c r="Y26" s="15">
        <f t="shared" si="66"/>
        <v>17</v>
      </c>
      <c r="Z26" s="25" t="str">
        <f t="shared" si="60"/>
        <v xml:space="preserve">Impôt minimum forfaitaire (IMF) </v>
      </c>
      <c r="AA26" s="16">
        <f t="shared" si="67"/>
        <v>0</v>
      </c>
      <c r="AB26" s="16">
        <f t="shared" si="67"/>
        <v>0</v>
      </c>
      <c r="AC26" s="16">
        <f t="shared" si="67"/>
        <v>0</v>
      </c>
      <c r="AD26" s="16">
        <f t="shared" si="67"/>
        <v>0</v>
      </c>
      <c r="AE26" s="16">
        <f t="shared" si="67"/>
        <v>0</v>
      </c>
      <c r="AF26" s="16">
        <f t="shared" si="67"/>
        <v>0</v>
      </c>
      <c r="AG26" s="16">
        <f t="shared" si="67"/>
        <v>0</v>
      </c>
      <c r="AH26" s="16">
        <f t="shared" si="67"/>
        <v>0</v>
      </c>
      <c r="AI26" s="16">
        <f t="shared" si="67"/>
        <v>0</v>
      </c>
      <c r="AJ26" s="16">
        <f t="shared" si="68"/>
        <v>0</v>
      </c>
      <c r="AL26" s="17">
        <f t="shared" si="69"/>
        <v>17</v>
      </c>
      <c r="AM26" s="26" t="str">
        <f t="shared" si="62"/>
        <v xml:space="preserve">Impôt minimum forfaitaire (IMF) </v>
      </c>
      <c r="AN26" s="18">
        <f t="shared" si="70"/>
        <v>0</v>
      </c>
      <c r="AO26" s="18">
        <f t="shared" si="70"/>
        <v>0</v>
      </c>
      <c r="AP26" s="18">
        <f t="shared" si="70"/>
        <v>0</v>
      </c>
      <c r="AQ26" s="18">
        <f t="shared" si="70"/>
        <v>0</v>
      </c>
      <c r="AR26" s="18">
        <f t="shared" si="70"/>
        <v>0</v>
      </c>
      <c r="AS26" s="18">
        <f t="shared" si="70"/>
        <v>0</v>
      </c>
      <c r="AT26" s="18">
        <f t="shared" si="70"/>
        <v>0</v>
      </c>
      <c r="AU26" s="18">
        <f t="shared" si="70"/>
        <v>0</v>
      </c>
      <c r="AV26" s="18">
        <f t="shared" si="71"/>
        <v>0</v>
      </c>
      <c r="AW26" s="18"/>
      <c r="AX26" s="17">
        <f t="shared" si="72"/>
        <v>17</v>
      </c>
      <c r="AY26" s="26" t="str">
        <f t="shared" si="64"/>
        <v xml:space="preserve">Impôt minimum forfaitaire (IMF) </v>
      </c>
      <c r="AZ26" s="18">
        <f t="shared" ca="1" si="73"/>
        <v>0</v>
      </c>
      <c r="BA26" s="18">
        <f t="shared" ca="1" si="73"/>
        <v>0</v>
      </c>
      <c r="BB26" s="18">
        <f t="shared" ca="1" si="73"/>
        <v>0</v>
      </c>
      <c r="BC26" s="18">
        <f t="shared" ca="1" si="73"/>
        <v>0</v>
      </c>
      <c r="BD26" s="18">
        <f t="shared" ca="1" si="73"/>
        <v>0</v>
      </c>
      <c r="BE26" s="18">
        <f t="shared" ca="1" si="73"/>
        <v>0</v>
      </c>
      <c r="BF26" s="18">
        <f t="shared" ca="1" si="73"/>
        <v>0</v>
      </c>
      <c r="BG26" s="18">
        <f t="shared" ca="1" si="73"/>
        <v>0</v>
      </c>
      <c r="BH26" s="18">
        <f t="shared" ca="1" si="73"/>
        <v>0</v>
      </c>
      <c r="BI26" s="18">
        <f t="shared" ca="1" si="73"/>
        <v>0</v>
      </c>
      <c r="BJ26" s="18">
        <f t="shared" ca="1" si="73"/>
        <v>0</v>
      </c>
      <c r="BK26" s="18">
        <f t="shared" ca="1" si="73"/>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6"/>
        <v/>
      </c>
      <c r="P27" s="39" t="str">
        <f t="shared" ca="1" si="47"/>
        <v/>
      </c>
      <c r="Q27" s="35"/>
      <c r="R27" s="21" t="str">
        <f>Lists!A82</f>
        <v>Taxes perçues hors de la période de réconciliation</v>
      </c>
      <c r="S27" s="18">
        <f t="shared" si="74"/>
        <v>0</v>
      </c>
      <c r="Y27" s="15">
        <f t="shared" si="66"/>
        <v>18</v>
      </c>
      <c r="Z27" s="25" t="str">
        <f t="shared" si="60"/>
        <v>Précompte</v>
      </c>
      <c r="AA27" s="16">
        <f t="shared" si="67"/>
        <v>0</v>
      </c>
      <c r="AB27" s="16">
        <f t="shared" si="67"/>
        <v>0</v>
      </c>
      <c r="AC27" s="16">
        <f t="shared" si="67"/>
        <v>0</v>
      </c>
      <c r="AD27" s="16">
        <f t="shared" si="67"/>
        <v>0</v>
      </c>
      <c r="AE27" s="16">
        <f t="shared" si="67"/>
        <v>0</v>
      </c>
      <c r="AF27" s="16">
        <f t="shared" si="67"/>
        <v>0</v>
      </c>
      <c r="AG27" s="16">
        <f t="shared" si="67"/>
        <v>0</v>
      </c>
      <c r="AH27" s="16">
        <f t="shared" si="67"/>
        <v>0</v>
      </c>
      <c r="AI27" s="16">
        <f t="shared" si="67"/>
        <v>0</v>
      </c>
      <c r="AJ27" s="16">
        <f t="shared" si="68"/>
        <v>0</v>
      </c>
      <c r="AL27" s="17">
        <f t="shared" si="69"/>
        <v>18</v>
      </c>
      <c r="AM27" s="26" t="str">
        <f t="shared" si="62"/>
        <v>Précompte</v>
      </c>
      <c r="AN27" s="18">
        <f t="shared" si="70"/>
        <v>0</v>
      </c>
      <c r="AO27" s="18">
        <f t="shared" si="70"/>
        <v>0</v>
      </c>
      <c r="AP27" s="18">
        <f t="shared" si="70"/>
        <v>0</v>
      </c>
      <c r="AQ27" s="18">
        <f t="shared" si="70"/>
        <v>0</v>
      </c>
      <c r="AR27" s="18">
        <f t="shared" si="70"/>
        <v>0</v>
      </c>
      <c r="AS27" s="18">
        <f t="shared" si="70"/>
        <v>0</v>
      </c>
      <c r="AT27" s="18">
        <f t="shared" si="70"/>
        <v>0</v>
      </c>
      <c r="AU27" s="18">
        <f t="shared" si="70"/>
        <v>0</v>
      </c>
      <c r="AV27" s="18">
        <f t="shared" si="71"/>
        <v>0</v>
      </c>
      <c r="AW27" s="18"/>
      <c r="AX27" s="17">
        <f t="shared" si="72"/>
        <v>18</v>
      </c>
      <c r="AY27" s="26" t="str">
        <f t="shared" si="64"/>
        <v>Précompte</v>
      </c>
      <c r="AZ27" s="18">
        <f t="shared" ca="1" si="73"/>
        <v>0</v>
      </c>
      <c r="BA27" s="18">
        <f t="shared" ca="1" si="73"/>
        <v>0</v>
      </c>
      <c r="BB27" s="18">
        <f t="shared" ca="1" si="73"/>
        <v>0</v>
      </c>
      <c r="BC27" s="18">
        <f t="shared" ca="1" si="73"/>
        <v>0</v>
      </c>
      <c r="BD27" s="18">
        <f t="shared" ca="1" si="73"/>
        <v>0</v>
      </c>
      <c r="BE27" s="18">
        <f t="shared" ca="1" si="73"/>
        <v>0</v>
      </c>
      <c r="BF27" s="18">
        <f t="shared" ca="1" si="73"/>
        <v>0</v>
      </c>
      <c r="BG27" s="18">
        <f t="shared" ca="1" si="73"/>
        <v>0</v>
      </c>
      <c r="BH27" s="18">
        <f t="shared" ca="1" si="73"/>
        <v>0</v>
      </c>
      <c r="BI27" s="18">
        <f t="shared" ca="1" si="73"/>
        <v>0</v>
      </c>
      <c r="BJ27" s="18">
        <f t="shared" ca="1" si="73"/>
        <v>0</v>
      </c>
      <c r="BK27" s="18">
        <f t="shared" ca="1" si="73"/>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6"/>
        <v/>
      </c>
      <c r="P28" s="39" t="str">
        <f t="shared" ca="1" si="47"/>
        <v/>
      </c>
      <c r="Q28" s="35"/>
      <c r="R28" s="21" t="str">
        <f>Lists!A83</f>
        <v>Erreur de reporting (montant et détail)</v>
      </c>
      <c r="S28" s="18">
        <f t="shared" si="74"/>
        <v>0</v>
      </c>
      <c r="Y28" s="15">
        <f t="shared" si="66"/>
        <v>19</v>
      </c>
      <c r="Z28" s="25" t="str">
        <f t="shared" si="60"/>
        <v>Taxe sur la valeur ajoutée (TVA)</v>
      </c>
      <c r="AA28" s="16">
        <f t="shared" si="67"/>
        <v>0</v>
      </c>
      <c r="AB28" s="16">
        <f t="shared" si="67"/>
        <v>0</v>
      </c>
      <c r="AC28" s="16">
        <f t="shared" si="67"/>
        <v>0</v>
      </c>
      <c r="AD28" s="16">
        <f t="shared" si="67"/>
        <v>0</v>
      </c>
      <c r="AE28" s="16">
        <f t="shared" si="67"/>
        <v>0</v>
      </c>
      <c r="AF28" s="16">
        <f t="shared" si="67"/>
        <v>0</v>
      </c>
      <c r="AG28" s="16">
        <f t="shared" si="67"/>
        <v>0</v>
      </c>
      <c r="AH28" s="16">
        <f t="shared" si="67"/>
        <v>0</v>
      </c>
      <c r="AI28" s="16">
        <f t="shared" si="67"/>
        <v>0</v>
      </c>
      <c r="AJ28" s="16">
        <f t="shared" si="68"/>
        <v>0</v>
      </c>
      <c r="AL28" s="17">
        <f t="shared" si="69"/>
        <v>19</v>
      </c>
      <c r="AM28" s="26" t="str">
        <f t="shared" si="62"/>
        <v>Taxe sur la valeur ajoutée (TVA)</v>
      </c>
      <c r="AN28" s="18">
        <f t="shared" si="70"/>
        <v>0</v>
      </c>
      <c r="AO28" s="18">
        <f t="shared" si="70"/>
        <v>0</v>
      </c>
      <c r="AP28" s="18">
        <f t="shared" si="70"/>
        <v>0</v>
      </c>
      <c r="AQ28" s="18">
        <f t="shared" si="70"/>
        <v>0</v>
      </c>
      <c r="AR28" s="18">
        <f t="shared" si="70"/>
        <v>0</v>
      </c>
      <c r="AS28" s="18">
        <f t="shared" si="70"/>
        <v>0</v>
      </c>
      <c r="AT28" s="18">
        <f t="shared" si="70"/>
        <v>0</v>
      </c>
      <c r="AU28" s="18">
        <f t="shared" si="70"/>
        <v>0</v>
      </c>
      <c r="AV28" s="18">
        <f t="shared" si="71"/>
        <v>0</v>
      </c>
      <c r="AW28" s="18"/>
      <c r="AX28" s="17">
        <f t="shared" si="72"/>
        <v>19</v>
      </c>
      <c r="AY28" s="26" t="str">
        <f t="shared" si="64"/>
        <v>Taxe sur la valeur ajoutée (TVA)</v>
      </c>
      <c r="AZ28" s="18">
        <f t="shared" ca="1" si="73"/>
        <v>0</v>
      </c>
      <c r="BA28" s="18">
        <f t="shared" ca="1" si="73"/>
        <v>0</v>
      </c>
      <c r="BB28" s="18">
        <f t="shared" ca="1" si="73"/>
        <v>0</v>
      </c>
      <c r="BC28" s="18">
        <f t="shared" ca="1" si="73"/>
        <v>0</v>
      </c>
      <c r="BD28" s="18">
        <f t="shared" ca="1" si="73"/>
        <v>0</v>
      </c>
      <c r="BE28" s="18">
        <f t="shared" ca="1" si="73"/>
        <v>0</v>
      </c>
      <c r="BF28" s="18">
        <f t="shared" ca="1" si="73"/>
        <v>0</v>
      </c>
      <c r="BG28" s="18">
        <f t="shared" ca="1" si="73"/>
        <v>0</v>
      </c>
      <c r="BH28" s="18">
        <f t="shared" ca="1" si="73"/>
        <v>0</v>
      </c>
      <c r="BI28" s="18">
        <f t="shared" ca="1" si="73"/>
        <v>0</v>
      </c>
      <c r="BJ28" s="18">
        <f t="shared" ca="1" si="73"/>
        <v>0</v>
      </c>
      <c r="BK28" s="18">
        <f t="shared" ca="1" si="73"/>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6"/>
        <v/>
      </c>
      <c r="P29" s="39" t="str">
        <f t="shared" ca="1" si="47"/>
        <v/>
      </c>
      <c r="Q29" s="35"/>
      <c r="R29" s="21" t="str">
        <f>Lists!A84</f>
        <v>Taxe reportée par l'Etat non réellement encaissée</v>
      </c>
      <c r="S29" s="18">
        <f t="shared" si="74"/>
        <v>0</v>
      </c>
      <c r="Y29" s="15">
        <f t="shared" si="66"/>
        <v>20</v>
      </c>
      <c r="Z29" s="25" t="str">
        <f t="shared" si="60"/>
        <v>Impôt sur les revenus des loyers (IRL)</v>
      </c>
      <c r="AA29" s="16">
        <f t="shared" si="67"/>
        <v>0</v>
      </c>
      <c r="AB29" s="16">
        <f t="shared" si="67"/>
        <v>0</v>
      </c>
      <c r="AC29" s="16">
        <f t="shared" si="67"/>
        <v>0</v>
      </c>
      <c r="AD29" s="16">
        <f t="shared" si="67"/>
        <v>0</v>
      </c>
      <c r="AE29" s="16">
        <f t="shared" si="67"/>
        <v>0</v>
      </c>
      <c r="AF29" s="16">
        <f t="shared" si="67"/>
        <v>0</v>
      </c>
      <c r="AG29" s="16">
        <f t="shared" si="67"/>
        <v>0</v>
      </c>
      <c r="AH29" s="16">
        <f t="shared" si="67"/>
        <v>0</v>
      </c>
      <c r="AI29" s="16">
        <f t="shared" si="67"/>
        <v>0</v>
      </c>
      <c r="AJ29" s="16">
        <f>SUM(AA29:AI29)</f>
        <v>0</v>
      </c>
      <c r="AL29" s="17">
        <f t="shared" si="69"/>
        <v>20</v>
      </c>
      <c r="AM29" s="26" t="str">
        <f t="shared" si="62"/>
        <v>Impôt sur les revenus des loyers (IRL)</v>
      </c>
      <c r="AN29" s="18">
        <f t="shared" si="70"/>
        <v>0</v>
      </c>
      <c r="AO29" s="18">
        <f t="shared" si="70"/>
        <v>0</v>
      </c>
      <c r="AP29" s="18">
        <f t="shared" si="70"/>
        <v>0</v>
      </c>
      <c r="AQ29" s="18">
        <f t="shared" si="70"/>
        <v>0</v>
      </c>
      <c r="AR29" s="18">
        <f t="shared" si="70"/>
        <v>0</v>
      </c>
      <c r="AS29" s="18">
        <f t="shared" si="70"/>
        <v>0</v>
      </c>
      <c r="AT29" s="18">
        <f t="shared" si="70"/>
        <v>0</v>
      </c>
      <c r="AU29" s="18">
        <f t="shared" si="70"/>
        <v>0</v>
      </c>
      <c r="AV29" s="18">
        <f>SUM(AN29:AU29)</f>
        <v>0</v>
      </c>
      <c r="AW29" s="18"/>
      <c r="AX29" s="17">
        <f t="shared" si="72"/>
        <v>20</v>
      </c>
      <c r="AY29" s="26" t="str">
        <f t="shared" si="64"/>
        <v>Impôt sur les revenus des loyers (IRL)</v>
      </c>
      <c r="AZ29" s="18">
        <f t="shared" ca="1" si="73"/>
        <v>0</v>
      </c>
      <c r="BA29" s="18">
        <f t="shared" ca="1" si="73"/>
        <v>0</v>
      </c>
      <c r="BB29" s="18">
        <f t="shared" ca="1" si="73"/>
        <v>0</v>
      </c>
      <c r="BC29" s="18">
        <f t="shared" ca="1" si="73"/>
        <v>0</v>
      </c>
      <c r="BD29" s="18">
        <f t="shared" ca="1" si="73"/>
        <v>0</v>
      </c>
      <c r="BE29" s="18">
        <f t="shared" ca="1" si="73"/>
        <v>0</v>
      </c>
      <c r="BF29" s="18">
        <f t="shared" ca="1" si="73"/>
        <v>0</v>
      </c>
      <c r="BG29" s="18">
        <f t="shared" ca="1" si="73"/>
        <v>0</v>
      </c>
      <c r="BH29" s="18">
        <f t="shared" ca="1" si="73"/>
        <v>0</v>
      </c>
      <c r="BI29" s="18">
        <f t="shared" ca="1" si="73"/>
        <v>0</v>
      </c>
      <c r="BJ29" s="18">
        <f t="shared" ca="1" si="73"/>
        <v>0</v>
      </c>
      <c r="BK29" s="18">
        <f t="shared" ca="1" si="73"/>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6"/>
        <v/>
      </c>
      <c r="P30" s="39" t="str">
        <f t="shared" ca="1" si="47"/>
        <v/>
      </c>
      <c r="Q30" s="35"/>
      <c r="R30" s="21" t="str">
        <f>Lists!A85</f>
        <v>Erreur de classification</v>
      </c>
      <c r="S30" s="18">
        <f t="shared" si="74"/>
        <v>0</v>
      </c>
      <c r="Y30" s="15">
        <f t="shared" si="66"/>
        <v>21</v>
      </c>
      <c r="Z30" s="25" t="str">
        <f t="shared" si="60"/>
        <v>Droits fixes (sur l'octroi, renouvellement, transfert) (+)</v>
      </c>
      <c r="AA30" s="16">
        <f t="shared" si="67"/>
        <v>0</v>
      </c>
      <c r="AB30" s="16">
        <f t="shared" si="67"/>
        <v>0</v>
      </c>
      <c r="AC30" s="16">
        <f t="shared" si="67"/>
        <v>0</v>
      </c>
      <c r="AD30" s="16">
        <f t="shared" si="67"/>
        <v>0</v>
      </c>
      <c r="AE30" s="16">
        <f t="shared" si="67"/>
        <v>0</v>
      </c>
      <c r="AF30" s="16">
        <f t="shared" si="67"/>
        <v>0</v>
      </c>
      <c r="AG30" s="16">
        <f t="shared" si="67"/>
        <v>0</v>
      </c>
      <c r="AH30" s="16">
        <f t="shared" si="67"/>
        <v>0</v>
      </c>
      <c r="AI30" s="16">
        <f t="shared" si="67"/>
        <v>0</v>
      </c>
      <c r="AJ30" s="16">
        <f>SUM(AA30:AI30)</f>
        <v>0</v>
      </c>
      <c r="AL30" s="17">
        <f t="shared" si="69"/>
        <v>21</v>
      </c>
      <c r="AM30" s="26" t="str">
        <f t="shared" si="62"/>
        <v>Droits fixes (sur l'octroi, renouvellement, transfert) (+)</v>
      </c>
      <c r="AN30" s="18">
        <f t="shared" si="70"/>
        <v>0</v>
      </c>
      <c r="AO30" s="18">
        <f t="shared" si="70"/>
        <v>0</v>
      </c>
      <c r="AP30" s="18">
        <f t="shared" si="70"/>
        <v>0</v>
      </c>
      <c r="AQ30" s="18">
        <f t="shared" si="70"/>
        <v>0</v>
      </c>
      <c r="AR30" s="18">
        <f t="shared" si="70"/>
        <v>0</v>
      </c>
      <c r="AS30" s="18">
        <f t="shared" si="70"/>
        <v>0</v>
      </c>
      <c r="AT30" s="18">
        <f t="shared" si="70"/>
        <v>0</v>
      </c>
      <c r="AU30" s="18">
        <f t="shared" si="70"/>
        <v>0</v>
      </c>
      <c r="AV30" s="18">
        <f>SUM(AN30:AU30)</f>
        <v>0</v>
      </c>
      <c r="AW30" s="18"/>
      <c r="AX30" s="17">
        <f t="shared" si="72"/>
        <v>21</v>
      </c>
      <c r="AY30" s="26" t="str">
        <f t="shared" si="64"/>
        <v>Droits fixes (sur l'octroi, renouvellement, transfert) (+)</v>
      </c>
      <c r="AZ30" s="18">
        <f t="shared" ca="1" si="73"/>
        <v>0</v>
      </c>
      <c r="BA30" s="18">
        <f t="shared" ca="1" si="73"/>
        <v>0</v>
      </c>
      <c r="BB30" s="18">
        <f t="shared" ca="1" si="73"/>
        <v>0</v>
      </c>
      <c r="BC30" s="18">
        <f t="shared" ca="1" si="73"/>
        <v>0</v>
      </c>
      <c r="BD30" s="18">
        <f t="shared" ca="1" si="73"/>
        <v>0</v>
      </c>
      <c r="BE30" s="18">
        <f t="shared" ca="1" si="73"/>
        <v>0</v>
      </c>
      <c r="BF30" s="18">
        <f t="shared" ca="1" si="73"/>
        <v>0</v>
      </c>
      <c r="BG30" s="18">
        <f t="shared" ca="1" si="73"/>
        <v>0</v>
      </c>
      <c r="BH30" s="18">
        <f t="shared" ca="1" si="73"/>
        <v>0</v>
      </c>
      <c r="BI30" s="18">
        <f t="shared" ca="1" si="73"/>
        <v>0</v>
      </c>
      <c r="BJ30" s="18">
        <f t="shared" ca="1" si="73"/>
        <v>0</v>
      </c>
      <c r="BK30" s="18">
        <f t="shared" ca="1" si="73"/>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6"/>
        <v/>
      </c>
      <c r="P31" s="39" t="str">
        <f t="shared" ca="1" si="47"/>
        <v/>
      </c>
      <c r="Q31" s="35"/>
      <c r="R31" s="21" t="str">
        <f>Lists!A86</f>
        <v>Taxes payées par la Ste sur un autre NINEA non reporté par l'Etat</v>
      </c>
      <c r="S31" s="18">
        <f t="shared" si="74"/>
        <v>0</v>
      </c>
      <c r="Y31" s="15">
        <f t="shared" si="66"/>
        <v>22</v>
      </c>
      <c r="Z31" s="25" t="str">
        <f t="shared" si="60"/>
        <v>Les redevances proportionnelles ou royalties sur les autorisations d'exploitation de carrière et les exploitations des mines (+)</v>
      </c>
      <c r="AA31" s="16">
        <f t="shared" si="67"/>
        <v>0</v>
      </c>
      <c r="AB31" s="16">
        <f t="shared" si="67"/>
        <v>0</v>
      </c>
      <c r="AC31" s="16">
        <f t="shared" si="67"/>
        <v>0</v>
      </c>
      <c r="AD31" s="16">
        <f t="shared" si="67"/>
        <v>0</v>
      </c>
      <c r="AE31" s="16">
        <f t="shared" si="67"/>
        <v>0</v>
      </c>
      <c r="AF31" s="16">
        <f t="shared" si="67"/>
        <v>0</v>
      </c>
      <c r="AG31" s="16">
        <f t="shared" si="67"/>
        <v>0</v>
      </c>
      <c r="AH31" s="16">
        <f t="shared" si="67"/>
        <v>0</v>
      </c>
      <c r="AI31" s="16">
        <f t="shared" si="67"/>
        <v>0</v>
      </c>
      <c r="AJ31" s="16">
        <f>SUM(AA31:AI31)</f>
        <v>0</v>
      </c>
      <c r="AL31" s="17">
        <f t="shared" si="69"/>
        <v>22</v>
      </c>
      <c r="AM31" s="26" t="str">
        <f t="shared" si="62"/>
        <v>Les redevances proportionnelles ou royalties sur les autorisations d'exploitation de carrière et les exploitations des mines (+)</v>
      </c>
      <c r="AN31" s="18">
        <f t="shared" si="70"/>
        <v>0</v>
      </c>
      <c r="AO31" s="18">
        <f t="shared" si="70"/>
        <v>0</v>
      </c>
      <c r="AP31" s="18">
        <f t="shared" si="70"/>
        <v>0</v>
      </c>
      <c r="AQ31" s="18">
        <f t="shared" si="70"/>
        <v>0</v>
      </c>
      <c r="AR31" s="18">
        <f t="shared" si="70"/>
        <v>0</v>
      </c>
      <c r="AS31" s="18">
        <f t="shared" si="70"/>
        <v>0</v>
      </c>
      <c r="AT31" s="18">
        <f t="shared" si="70"/>
        <v>0</v>
      </c>
      <c r="AU31" s="18">
        <f t="shared" si="70"/>
        <v>0</v>
      </c>
      <c r="AV31" s="18">
        <f>SUM(AN31:AU31)</f>
        <v>0</v>
      </c>
      <c r="AW31" s="18"/>
      <c r="AX31" s="17">
        <f t="shared" si="72"/>
        <v>22</v>
      </c>
      <c r="AY31" s="26" t="str">
        <f t="shared" si="64"/>
        <v>Les redevances proportionnelles ou royalties sur les autorisations d'exploitation de carrière et les exploitations des mines (+)</v>
      </c>
      <c r="AZ31" s="18">
        <f t="shared" ca="1" si="73"/>
        <v>0</v>
      </c>
      <c r="BA31" s="18">
        <f t="shared" ca="1" si="73"/>
        <v>0</v>
      </c>
      <c r="BB31" s="18">
        <f t="shared" ca="1" si="73"/>
        <v>0</v>
      </c>
      <c r="BC31" s="18">
        <f t="shared" ca="1" si="73"/>
        <v>0</v>
      </c>
      <c r="BD31" s="18">
        <f t="shared" ca="1" si="73"/>
        <v>0</v>
      </c>
      <c r="BE31" s="18">
        <f t="shared" ca="1" si="73"/>
        <v>0</v>
      </c>
      <c r="BF31" s="18">
        <f t="shared" ca="1" si="73"/>
        <v>0</v>
      </c>
      <c r="BG31" s="18">
        <f t="shared" ca="1" si="73"/>
        <v>0</v>
      </c>
      <c r="BH31" s="18">
        <f t="shared" ca="1" si="73"/>
        <v>0</v>
      </c>
      <c r="BI31" s="18">
        <f t="shared" ca="1" si="73"/>
        <v>0</v>
      </c>
      <c r="BJ31" s="18">
        <f t="shared" ca="1" si="73"/>
        <v>0</v>
      </c>
      <c r="BK31" s="18">
        <f t="shared" ca="1" si="73"/>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6"/>
        <v/>
      </c>
      <c r="P32" s="39" t="str">
        <f t="shared" ca="1" si="47"/>
        <v/>
      </c>
      <c r="Q32" s="35"/>
      <c r="R32" s="21" t="str">
        <f>Lists!A87</f>
        <v>Taxes hors périmètre de réconciliation</v>
      </c>
      <c r="S32" s="18">
        <f t="shared" si="74"/>
        <v>0</v>
      </c>
      <c r="Y32" s="15">
        <f t="shared" si="66"/>
        <v>23</v>
      </c>
      <c r="Z32" s="25" t="str">
        <f t="shared" si="60"/>
        <v>Impôt sur les revenus des capitaux mobiliers (RCM) (+)</v>
      </c>
      <c r="AA32" s="16">
        <f t="shared" si="67"/>
        <v>0</v>
      </c>
      <c r="AB32" s="16">
        <f t="shared" si="67"/>
        <v>0</v>
      </c>
      <c r="AC32" s="16">
        <f t="shared" si="67"/>
        <v>0</v>
      </c>
      <c r="AD32" s="16">
        <f t="shared" si="67"/>
        <v>0</v>
      </c>
      <c r="AE32" s="16">
        <f t="shared" si="67"/>
        <v>0</v>
      </c>
      <c r="AF32" s="16">
        <f t="shared" si="67"/>
        <v>0</v>
      </c>
      <c r="AG32" s="16">
        <f t="shared" si="67"/>
        <v>0</v>
      </c>
      <c r="AH32" s="16">
        <f t="shared" si="67"/>
        <v>0</v>
      </c>
      <c r="AI32" s="16">
        <f t="shared" si="67"/>
        <v>0</v>
      </c>
      <c r="AJ32" s="16">
        <f>SUM(AA32:AI32)</f>
        <v>0</v>
      </c>
      <c r="AL32" s="17">
        <f t="shared" si="69"/>
        <v>23</v>
      </c>
      <c r="AM32" s="26" t="str">
        <f t="shared" si="62"/>
        <v>Impôt sur les revenus des capitaux mobiliers (RCM) (+)</v>
      </c>
      <c r="AN32" s="18">
        <f t="shared" si="70"/>
        <v>0</v>
      </c>
      <c r="AO32" s="18">
        <f t="shared" si="70"/>
        <v>0</v>
      </c>
      <c r="AP32" s="18">
        <f t="shared" si="70"/>
        <v>0</v>
      </c>
      <c r="AQ32" s="18">
        <f t="shared" si="70"/>
        <v>0</v>
      </c>
      <c r="AR32" s="18">
        <f t="shared" si="70"/>
        <v>0</v>
      </c>
      <c r="AS32" s="18">
        <f t="shared" si="70"/>
        <v>0</v>
      </c>
      <c r="AT32" s="18">
        <f t="shared" si="70"/>
        <v>0</v>
      </c>
      <c r="AU32" s="18">
        <f t="shared" si="70"/>
        <v>0</v>
      </c>
      <c r="AV32" s="18">
        <f>SUM(AN32:AU32)</f>
        <v>0</v>
      </c>
      <c r="AW32" s="38"/>
      <c r="AX32" s="17">
        <f t="shared" si="72"/>
        <v>23</v>
      </c>
      <c r="AY32" s="26" t="str">
        <f t="shared" si="64"/>
        <v>Impôt sur les revenus des capitaux mobiliers (RCM) (+)</v>
      </c>
      <c r="AZ32" s="18">
        <f t="shared" ca="1" si="73"/>
        <v>0</v>
      </c>
      <c r="BA32" s="18">
        <f t="shared" ca="1" si="73"/>
        <v>0</v>
      </c>
      <c r="BB32" s="18">
        <f t="shared" ca="1" si="73"/>
        <v>0</v>
      </c>
      <c r="BC32" s="18">
        <f t="shared" ca="1" si="73"/>
        <v>0</v>
      </c>
      <c r="BD32" s="18">
        <f t="shared" ca="1" si="73"/>
        <v>0</v>
      </c>
      <c r="BE32" s="18">
        <f t="shared" ca="1" si="73"/>
        <v>0</v>
      </c>
      <c r="BF32" s="18">
        <f t="shared" ca="1" si="73"/>
        <v>0</v>
      </c>
      <c r="BG32" s="18">
        <f t="shared" ca="1" si="73"/>
        <v>0</v>
      </c>
      <c r="BH32" s="18">
        <f t="shared" ca="1" si="73"/>
        <v>0</v>
      </c>
      <c r="BI32" s="18">
        <f t="shared" ca="1" si="73"/>
        <v>0</v>
      </c>
      <c r="BJ32" s="18">
        <f t="shared" ca="1" si="73"/>
        <v>0</v>
      </c>
      <c r="BK32" s="18">
        <f t="shared" ca="1" si="73"/>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6"/>
        <v/>
      </c>
      <c r="P33" s="39" t="str">
        <f t="shared" ca="1" si="47"/>
        <v/>
      </c>
      <c r="Q33" s="35"/>
      <c r="R33" s="40" t="s">
        <v>18</v>
      </c>
      <c r="S33" s="22">
        <f>SUM(S25:S32)</f>
        <v>0</v>
      </c>
      <c r="Y33" s="28"/>
      <c r="Z33" s="28" t="str">
        <f t="shared" si="60"/>
        <v>Taxe de Développement Artisanal (TDA) (+)</v>
      </c>
      <c r="AA33" s="29">
        <f t="shared" ref="AA33:AJ33" si="75">SUM(AA34:AA49)</f>
        <v>0</v>
      </c>
      <c r="AB33" s="29">
        <f t="shared" si="75"/>
        <v>0</v>
      </c>
      <c r="AC33" s="29">
        <f t="shared" si="75"/>
        <v>0</v>
      </c>
      <c r="AD33" s="29">
        <f t="shared" si="75"/>
        <v>0</v>
      </c>
      <c r="AE33" s="29">
        <f t="shared" si="75"/>
        <v>0</v>
      </c>
      <c r="AF33" s="29">
        <f t="shared" si="75"/>
        <v>0</v>
      </c>
      <c r="AG33" s="29">
        <f t="shared" si="75"/>
        <v>0</v>
      </c>
      <c r="AH33" s="29">
        <f t="shared" si="75"/>
        <v>0</v>
      </c>
      <c r="AI33" s="29">
        <f t="shared" si="75"/>
        <v>0</v>
      </c>
      <c r="AJ33" s="29">
        <f t="shared" si="75"/>
        <v>0</v>
      </c>
      <c r="AL33" s="28"/>
      <c r="AM33" s="28" t="str">
        <f t="shared" si="62"/>
        <v>Taxe de Développement Artisanal (TDA) (+)</v>
      </c>
      <c r="AN33" s="29">
        <f t="shared" ref="AN33:AV33" si="76">SUM(AN34:AN49)</f>
        <v>0</v>
      </c>
      <c r="AO33" s="29">
        <f t="shared" si="76"/>
        <v>0</v>
      </c>
      <c r="AP33" s="29">
        <f t="shared" si="76"/>
        <v>0</v>
      </c>
      <c r="AQ33" s="29">
        <f t="shared" si="76"/>
        <v>0</v>
      </c>
      <c r="AR33" s="29">
        <f t="shared" si="76"/>
        <v>0</v>
      </c>
      <c r="AS33" s="29">
        <f t="shared" si="76"/>
        <v>0</v>
      </c>
      <c r="AT33" s="29">
        <f t="shared" si="76"/>
        <v>0</v>
      </c>
      <c r="AU33" s="29">
        <f t="shared" si="76"/>
        <v>0</v>
      </c>
      <c r="AV33" s="29">
        <f t="shared" si="76"/>
        <v>0</v>
      </c>
      <c r="AW33" s="18"/>
      <c r="AX33" s="28"/>
      <c r="AY33" s="28" t="str">
        <f t="shared" si="64"/>
        <v>Taxe de Développement Artisanal (TDA) (+)</v>
      </c>
      <c r="AZ33" s="29">
        <f t="shared" ref="AZ33:BK33" ca="1" si="77">SUM(AZ34:AZ49)</f>
        <v>0</v>
      </c>
      <c r="BA33" s="29">
        <f t="shared" ca="1" si="77"/>
        <v>0</v>
      </c>
      <c r="BB33" s="29">
        <f t="shared" ca="1" si="77"/>
        <v>0</v>
      </c>
      <c r="BC33" s="29">
        <f t="shared" ca="1" si="77"/>
        <v>0</v>
      </c>
      <c r="BD33" s="29">
        <f t="shared" ca="1" si="77"/>
        <v>0</v>
      </c>
      <c r="BE33" s="29">
        <f t="shared" ca="1" si="77"/>
        <v>0</v>
      </c>
      <c r="BF33" s="29">
        <f t="shared" ca="1" si="77"/>
        <v>0</v>
      </c>
      <c r="BG33" s="29">
        <f t="shared" ca="1" si="77"/>
        <v>0</v>
      </c>
      <c r="BH33" s="29">
        <f t="shared" ca="1" si="77"/>
        <v>0</v>
      </c>
      <c r="BI33" s="29">
        <f t="shared" ca="1" si="77"/>
        <v>0</v>
      </c>
      <c r="BJ33" s="29">
        <f t="shared" ca="1" si="77"/>
        <v>0</v>
      </c>
      <c r="BK33" s="29">
        <f t="shared" ca="1" si="77"/>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6"/>
        <v/>
      </c>
      <c r="P34" s="39" t="str">
        <f t="shared" ca="1" si="47"/>
        <v/>
      </c>
      <c r="Q34" s="35"/>
      <c r="R34" s="43"/>
      <c r="S34" s="27"/>
      <c r="Y34" s="15">
        <f t="shared" ref="Y34:Y49" si="78">B37</f>
        <v>25</v>
      </c>
      <c r="Z34" s="25" t="str">
        <f t="shared" si="60"/>
        <v>Amendes et pénalités payées à la DGID (+)</v>
      </c>
      <c r="AA34" s="16">
        <f t="shared" ref="AA34:AI46" si="79">SUMPRODUCT(($A$84:$A$751=$Y34&amp;"- "&amp;$Z34)*($C$84:$C$751=AA$1)*($G$84:$G$751))</f>
        <v>0</v>
      </c>
      <c r="AB34" s="16">
        <f t="shared" si="79"/>
        <v>0</v>
      </c>
      <c r="AC34" s="16">
        <f t="shared" si="79"/>
        <v>0</v>
      </c>
      <c r="AD34" s="16">
        <f t="shared" si="79"/>
        <v>0</v>
      </c>
      <c r="AE34" s="16">
        <f t="shared" si="79"/>
        <v>0</v>
      </c>
      <c r="AF34" s="16">
        <f t="shared" si="79"/>
        <v>0</v>
      </c>
      <c r="AG34" s="16">
        <f t="shared" si="79"/>
        <v>0</v>
      </c>
      <c r="AH34" s="16">
        <f t="shared" si="79"/>
        <v>0</v>
      </c>
      <c r="AI34" s="16">
        <f t="shared" si="79"/>
        <v>0</v>
      </c>
      <c r="AJ34" s="16">
        <f t="shared" ref="AJ34:AJ48" si="80">SUM(AA34:AI34)</f>
        <v>0</v>
      </c>
      <c r="AK34" s="21"/>
      <c r="AL34" s="17">
        <f t="shared" ref="AL34:AL49" si="81">+B37</f>
        <v>25</v>
      </c>
      <c r="AM34" s="26" t="str">
        <f t="shared" si="62"/>
        <v>Amendes et pénalités payées à la DGID (+)</v>
      </c>
      <c r="AN34" s="18">
        <f t="shared" ref="AN34:AU46" si="82">SUMPRODUCT(($J$84:$M$746=$AL34&amp;"- "&amp;$AM34)*($N$84:$N$746=AN$1)*($Q$84:$Q$746))</f>
        <v>0</v>
      </c>
      <c r="AO34" s="18">
        <f t="shared" si="82"/>
        <v>0</v>
      </c>
      <c r="AP34" s="18">
        <f t="shared" si="82"/>
        <v>0</v>
      </c>
      <c r="AQ34" s="18">
        <f t="shared" si="82"/>
        <v>0</v>
      </c>
      <c r="AR34" s="18">
        <f t="shared" si="82"/>
        <v>0</v>
      </c>
      <c r="AS34" s="18">
        <f t="shared" si="82"/>
        <v>0</v>
      </c>
      <c r="AT34" s="18">
        <f t="shared" si="82"/>
        <v>0</v>
      </c>
      <c r="AU34" s="18">
        <f t="shared" si="82"/>
        <v>0</v>
      </c>
      <c r="AV34" s="18">
        <f t="shared" ref="AV34:AV48" si="83">SUM(AN34:AU34)</f>
        <v>0</v>
      </c>
      <c r="AW34" s="18"/>
      <c r="AX34" s="17">
        <f t="shared" ref="AX34:AX49" si="84">B37</f>
        <v>25</v>
      </c>
      <c r="AY34" s="26" t="str">
        <f t="shared" si="64"/>
        <v>Amendes et pénalités payées à la DGID (+)</v>
      </c>
      <c r="AZ34" s="18">
        <f t="shared" ref="AZ34:BK46" ca="1" si="85">SUMPRODUCT(($C$10:$C$75=$AY34)*($N$10:$N$75=AZ$1)*($M$10:$M$75))</f>
        <v>0</v>
      </c>
      <c r="BA34" s="18">
        <f t="shared" ca="1" si="85"/>
        <v>0</v>
      </c>
      <c r="BB34" s="18">
        <f t="shared" ca="1" si="85"/>
        <v>0</v>
      </c>
      <c r="BC34" s="18">
        <f t="shared" ca="1" si="85"/>
        <v>0</v>
      </c>
      <c r="BD34" s="18">
        <f t="shared" ca="1" si="85"/>
        <v>0</v>
      </c>
      <c r="BE34" s="18">
        <f t="shared" ca="1" si="85"/>
        <v>0</v>
      </c>
      <c r="BF34" s="18">
        <f t="shared" ca="1" si="85"/>
        <v>0</v>
      </c>
      <c r="BG34" s="18">
        <f t="shared" ca="1" si="85"/>
        <v>0</v>
      </c>
      <c r="BH34" s="18">
        <f t="shared" ca="1" si="85"/>
        <v>0</v>
      </c>
      <c r="BI34" s="18">
        <f t="shared" ca="1" si="85"/>
        <v>0</v>
      </c>
      <c r="BJ34" s="18">
        <f t="shared" ca="1" si="85"/>
        <v>0</v>
      </c>
      <c r="BK34" s="18">
        <f t="shared" ca="1" si="85"/>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6"/>
        <v/>
      </c>
      <c r="P35" s="72" t="str">
        <f t="shared" ca="1" si="47"/>
        <v/>
      </c>
      <c r="Q35" s="73"/>
      <c r="Y35" s="15">
        <f t="shared" si="78"/>
        <v>26</v>
      </c>
      <c r="Z35" s="25" t="str">
        <f t="shared" si="60"/>
        <v>Redevance de déboisement (+)</v>
      </c>
      <c r="AA35" s="16">
        <f t="shared" si="79"/>
        <v>0</v>
      </c>
      <c r="AB35" s="16">
        <f t="shared" si="79"/>
        <v>0</v>
      </c>
      <c r="AC35" s="16">
        <f t="shared" si="79"/>
        <v>0</v>
      </c>
      <c r="AD35" s="16">
        <f t="shared" si="79"/>
        <v>0</v>
      </c>
      <c r="AE35" s="16">
        <f t="shared" si="79"/>
        <v>0</v>
      </c>
      <c r="AF35" s="16">
        <f t="shared" si="79"/>
        <v>0</v>
      </c>
      <c r="AG35" s="16">
        <f t="shared" si="79"/>
        <v>0</v>
      </c>
      <c r="AH35" s="16">
        <f t="shared" si="79"/>
        <v>0</v>
      </c>
      <c r="AI35" s="16">
        <f t="shared" si="79"/>
        <v>0</v>
      </c>
      <c r="AJ35" s="16">
        <f t="shared" si="80"/>
        <v>0</v>
      </c>
      <c r="AK35" s="20"/>
      <c r="AL35" s="17">
        <f t="shared" si="81"/>
        <v>26</v>
      </c>
      <c r="AM35" s="26" t="str">
        <f t="shared" si="62"/>
        <v>Redevance de déboisement (+)</v>
      </c>
      <c r="AN35" s="18">
        <f t="shared" si="82"/>
        <v>0</v>
      </c>
      <c r="AO35" s="18">
        <f t="shared" si="82"/>
        <v>0</v>
      </c>
      <c r="AP35" s="18">
        <f t="shared" si="82"/>
        <v>0</v>
      </c>
      <c r="AQ35" s="18">
        <f t="shared" si="82"/>
        <v>0</v>
      </c>
      <c r="AR35" s="18">
        <f t="shared" si="82"/>
        <v>0</v>
      </c>
      <c r="AS35" s="18">
        <f t="shared" si="82"/>
        <v>0</v>
      </c>
      <c r="AT35" s="18">
        <f t="shared" si="82"/>
        <v>0</v>
      </c>
      <c r="AU35" s="18">
        <f t="shared" si="82"/>
        <v>0</v>
      </c>
      <c r="AV35" s="18">
        <f t="shared" si="83"/>
        <v>0</v>
      </c>
      <c r="AW35" s="18"/>
      <c r="AX35" s="17">
        <f t="shared" si="84"/>
        <v>26</v>
      </c>
      <c r="AY35" s="26" t="str">
        <f t="shared" si="64"/>
        <v>Redevance de déboisement (+)</v>
      </c>
      <c r="AZ35" s="18">
        <f t="shared" ca="1" si="85"/>
        <v>0</v>
      </c>
      <c r="BA35" s="18">
        <f t="shared" ca="1" si="85"/>
        <v>0</v>
      </c>
      <c r="BB35" s="18">
        <f t="shared" ca="1" si="85"/>
        <v>0</v>
      </c>
      <c r="BC35" s="18">
        <f t="shared" ca="1" si="85"/>
        <v>0</v>
      </c>
      <c r="BD35" s="18">
        <f t="shared" ca="1" si="85"/>
        <v>0</v>
      </c>
      <c r="BE35" s="18">
        <f t="shared" ca="1" si="85"/>
        <v>0</v>
      </c>
      <c r="BF35" s="18">
        <f t="shared" ca="1" si="85"/>
        <v>0</v>
      </c>
      <c r="BG35" s="18">
        <f t="shared" ca="1" si="85"/>
        <v>0</v>
      </c>
      <c r="BH35" s="18">
        <f t="shared" ca="1" si="85"/>
        <v>0</v>
      </c>
      <c r="BI35" s="18">
        <f t="shared" ca="1" si="85"/>
        <v>0</v>
      </c>
      <c r="BJ35" s="18">
        <f t="shared" ca="1" si="85"/>
        <v>0</v>
      </c>
      <c r="BK35" s="18">
        <f t="shared" ca="1" si="85"/>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78"/>
        <v>27</v>
      </c>
      <c r="Z36" s="25" t="str">
        <f t="shared" si="60"/>
        <v>Redevance de pré reconnaissance (+)</v>
      </c>
      <c r="AA36" s="16">
        <f t="shared" si="79"/>
        <v>0</v>
      </c>
      <c r="AB36" s="16">
        <f t="shared" si="79"/>
        <v>0</v>
      </c>
      <c r="AC36" s="16">
        <f t="shared" si="79"/>
        <v>0</v>
      </c>
      <c r="AD36" s="16">
        <f t="shared" si="79"/>
        <v>0</v>
      </c>
      <c r="AE36" s="16">
        <f t="shared" si="79"/>
        <v>0</v>
      </c>
      <c r="AF36" s="16">
        <f t="shared" si="79"/>
        <v>0</v>
      </c>
      <c r="AG36" s="16">
        <f t="shared" si="79"/>
        <v>0</v>
      </c>
      <c r="AH36" s="16">
        <f t="shared" si="79"/>
        <v>0</v>
      </c>
      <c r="AI36" s="16">
        <f t="shared" si="79"/>
        <v>0</v>
      </c>
      <c r="AJ36" s="16">
        <f t="shared" si="80"/>
        <v>0</v>
      </c>
      <c r="AL36" s="17">
        <f t="shared" si="81"/>
        <v>27</v>
      </c>
      <c r="AM36" s="26" t="str">
        <f t="shared" si="62"/>
        <v>Redevance de pré reconnaissance (+)</v>
      </c>
      <c r="AN36" s="18">
        <f t="shared" si="82"/>
        <v>0</v>
      </c>
      <c r="AO36" s="18">
        <f t="shared" si="82"/>
        <v>0</v>
      </c>
      <c r="AP36" s="18">
        <f t="shared" si="82"/>
        <v>0</v>
      </c>
      <c r="AQ36" s="18">
        <f t="shared" si="82"/>
        <v>0</v>
      </c>
      <c r="AR36" s="18">
        <f t="shared" si="82"/>
        <v>0</v>
      </c>
      <c r="AS36" s="18">
        <f t="shared" si="82"/>
        <v>0</v>
      </c>
      <c r="AT36" s="18">
        <f t="shared" si="82"/>
        <v>0</v>
      </c>
      <c r="AU36" s="18">
        <f t="shared" si="82"/>
        <v>0</v>
      </c>
      <c r="AV36" s="18">
        <f t="shared" si="83"/>
        <v>0</v>
      </c>
      <c r="AW36" s="18"/>
      <c r="AX36" s="17">
        <f t="shared" si="84"/>
        <v>27</v>
      </c>
      <c r="AY36" s="26" t="str">
        <f t="shared" si="64"/>
        <v>Redevance de pré reconnaissance (+)</v>
      </c>
      <c r="AZ36" s="18">
        <f t="shared" ca="1" si="85"/>
        <v>0</v>
      </c>
      <c r="BA36" s="18">
        <f t="shared" ca="1" si="85"/>
        <v>0</v>
      </c>
      <c r="BB36" s="18">
        <f t="shared" ca="1" si="85"/>
        <v>0</v>
      </c>
      <c r="BC36" s="18">
        <f t="shared" ca="1" si="85"/>
        <v>0</v>
      </c>
      <c r="BD36" s="18">
        <f t="shared" ca="1" si="85"/>
        <v>0</v>
      </c>
      <c r="BE36" s="18">
        <f t="shared" ca="1" si="85"/>
        <v>0</v>
      </c>
      <c r="BF36" s="18">
        <f t="shared" ca="1" si="85"/>
        <v>0</v>
      </c>
      <c r="BG36" s="18">
        <f t="shared" ca="1" si="85"/>
        <v>0</v>
      </c>
      <c r="BH36" s="18">
        <f t="shared" ca="1" si="85"/>
        <v>0</v>
      </c>
      <c r="BI36" s="18">
        <f t="shared" ca="1" si="85"/>
        <v>0</v>
      </c>
      <c r="BJ36" s="18">
        <f t="shared" ca="1" si="85"/>
        <v>0</v>
      </c>
      <c r="BK36" s="18">
        <f t="shared" ca="1" si="85"/>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6"/>
        <v/>
      </c>
      <c r="P37" s="39" t="str">
        <f t="shared" ref="P37:P51" ca="1" si="86">IF(O37="ERROR","Please insert comment","")</f>
        <v/>
      </c>
      <c r="Q37" s="35"/>
      <c r="Y37" s="15">
        <f t="shared" si="78"/>
        <v>0</v>
      </c>
      <c r="Z37" s="25" t="str">
        <f t="shared" si="60"/>
        <v>DGTCP (MMG)</v>
      </c>
      <c r="AA37" s="16">
        <f t="shared" si="79"/>
        <v>0</v>
      </c>
      <c r="AB37" s="16">
        <f t="shared" si="79"/>
        <v>0</v>
      </c>
      <c r="AC37" s="16">
        <f t="shared" si="79"/>
        <v>0</v>
      </c>
      <c r="AD37" s="16">
        <f t="shared" si="79"/>
        <v>0</v>
      </c>
      <c r="AE37" s="16">
        <f t="shared" si="79"/>
        <v>0</v>
      </c>
      <c r="AF37" s="16">
        <f t="shared" si="79"/>
        <v>0</v>
      </c>
      <c r="AG37" s="16">
        <f t="shared" si="79"/>
        <v>0</v>
      </c>
      <c r="AH37" s="16">
        <f t="shared" si="79"/>
        <v>0</v>
      </c>
      <c r="AI37" s="16">
        <f t="shared" si="79"/>
        <v>0</v>
      </c>
      <c r="AJ37" s="16">
        <f t="shared" si="80"/>
        <v>0</v>
      </c>
      <c r="AL37" s="17">
        <f t="shared" si="81"/>
        <v>0</v>
      </c>
      <c r="AM37" s="26" t="str">
        <f t="shared" si="62"/>
        <v>DGTCP (MMG)</v>
      </c>
      <c r="AN37" s="18">
        <f t="shared" si="82"/>
        <v>0</v>
      </c>
      <c r="AO37" s="18">
        <f t="shared" si="82"/>
        <v>0</v>
      </c>
      <c r="AP37" s="18">
        <f t="shared" si="82"/>
        <v>0</v>
      </c>
      <c r="AQ37" s="18">
        <f t="shared" si="82"/>
        <v>0</v>
      </c>
      <c r="AR37" s="18">
        <f t="shared" si="82"/>
        <v>0</v>
      </c>
      <c r="AS37" s="18">
        <f t="shared" si="82"/>
        <v>0</v>
      </c>
      <c r="AT37" s="18">
        <f t="shared" si="82"/>
        <v>0</v>
      </c>
      <c r="AU37" s="18">
        <f t="shared" si="82"/>
        <v>0</v>
      </c>
      <c r="AV37" s="18">
        <f t="shared" si="83"/>
        <v>0</v>
      </c>
      <c r="AW37" s="18"/>
      <c r="AX37" s="17">
        <f t="shared" si="84"/>
        <v>0</v>
      </c>
      <c r="AY37" s="26" t="str">
        <f t="shared" si="64"/>
        <v>DGTCP (MMG)</v>
      </c>
      <c r="AZ37" s="18">
        <f t="shared" ca="1" si="85"/>
        <v>0</v>
      </c>
      <c r="BA37" s="18">
        <f t="shared" ca="1" si="85"/>
        <v>0</v>
      </c>
      <c r="BB37" s="18">
        <f t="shared" ca="1" si="85"/>
        <v>0</v>
      </c>
      <c r="BC37" s="18">
        <f t="shared" ca="1" si="85"/>
        <v>0</v>
      </c>
      <c r="BD37" s="18">
        <f t="shared" ca="1" si="85"/>
        <v>0</v>
      </c>
      <c r="BE37" s="18">
        <f t="shared" ca="1" si="85"/>
        <v>0</v>
      </c>
      <c r="BF37" s="18">
        <f t="shared" ca="1" si="85"/>
        <v>0</v>
      </c>
      <c r="BG37" s="18">
        <f t="shared" ca="1" si="85"/>
        <v>0</v>
      </c>
      <c r="BH37" s="18">
        <f t="shared" ca="1" si="85"/>
        <v>0</v>
      </c>
      <c r="BI37" s="18">
        <f t="shared" ca="1" si="85"/>
        <v>0</v>
      </c>
      <c r="BJ37" s="18">
        <f t="shared" ca="1" si="85"/>
        <v>0</v>
      </c>
      <c r="BK37" s="18">
        <f t="shared" ca="1" si="85"/>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6"/>
        <v/>
      </c>
      <c r="P38" s="39" t="str">
        <f t="shared" ca="1" si="86"/>
        <v/>
      </c>
      <c r="Q38" s="35"/>
      <c r="Y38" s="15">
        <f t="shared" si="78"/>
        <v>28</v>
      </c>
      <c r="Z38" s="25" t="str">
        <f t="shared" si="60"/>
        <v>Contribution à la formation professionnelle et à la formation des cadres de l'Administration des Mines (+)</v>
      </c>
      <c r="AA38" s="16">
        <f t="shared" si="79"/>
        <v>0</v>
      </c>
      <c r="AB38" s="16">
        <f t="shared" si="79"/>
        <v>0</v>
      </c>
      <c r="AC38" s="16">
        <f t="shared" si="79"/>
        <v>0</v>
      </c>
      <c r="AD38" s="16">
        <f t="shared" si="79"/>
        <v>0</v>
      </c>
      <c r="AE38" s="16">
        <f t="shared" si="79"/>
        <v>0</v>
      </c>
      <c r="AF38" s="16">
        <f t="shared" si="79"/>
        <v>0</v>
      </c>
      <c r="AG38" s="16">
        <f t="shared" si="79"/>
        <v>0</v>
      </c>
      <c r="AH38" s="16">
        <f t="shared" si="79"/>
        <v>0</v>
      </c>
      <c r="AI38" s="16">
        <f t="shared" si="79"/>
        <v>0</v>
      </c>
      <c r="AJ38" s="16">
        <f t="shared" si="80"/>
        <v>0</v>
      </c>
      <c r="AL38" s="17">
        <f t="shared" si="81"/>
        <v>28</v>
      </c>
      <c r="AM38" s="26" t="str">
        <f t="shared" si="62"/>
        <v>Contribution à la formation professionnelle et à la formation des cadres de l'Administration des Mines (+)</v>
      </c>
      <c r="AN38" s="18">
        <f t="shared" si="82"/>
        <v>0</v>
      </c>
      <c r="AO38" s="18">
        <f t="shared" si="82"/>
        <v>0</v>
      </c>
      <c r="AP38" s="18">
        <f t="shared" si="82"/>
        <v>0</v>
      </c>
      <c r="AQ38" s="18">
        <f t="shared" si="82"/>
        <v>0</v>
      </c>
      <c r="AR38" s="18">
        <f t="shared" si="82"/>
        <v>0</v>
      </c>
      <c r="AS38" s="18">
        <f t="shared" si="82"/>
        <v>0</v>
      </c>
      <c r="AT38" s="18">
        <f t="shared" si="82"/>
        <v>0</v>
      </c>
      <c r="AU38" s="18">
        <f t="shared" si="82"/>
        <v>0</v>
      </c>
      <c r="AV38" s="18">
        <f t="shared" si="83"/>
        <v>0</v>
      </c>
      <c r="AW38" s="18"/>
      <c r="AX38" s="17">
        <f t="shared" si="84"/>
        <v>28</v>
      </c>
      <c r="AY38" s="26" t="str">
        <f t="shared" si="64"/>
        <v>Contribution à la formation professionnelle et à la formation des cadres de l'Administration des Mines (+)</v>
      </c>
      <c r="AZ38" s="18">
        <f t="shared" ca="1" si="85"/>
        <v>0</v>
      </c>
      <c r="BA38" s="18">
        <f t="shared" ca="1" si="85"/>
        <v>0</v>
      </c>
      <c r="BB38" s="18">
        <f t="shared" ca="1" si="85"/>
        <v>0</v>
      </c>
      <c r="BC38" s="18">
        <f t="shared" ca="1" si="85"/>
        <v>0</v>
      </c>
      <c r="BD38" s="18">
        <f t="shared" ca="1" si="85"/>
        <v>0</v>
      </c>
      <c r="BE38" s="18">
        <f t="shared" ca="1" si="85"/>
        <v>0</v>
      </c>
      <c r="BF38" s="18">
        <f t="shared" ca="1" si="85"/>
        <v>0</v>
      </c>
      <c r="BG38" s="18">
        <f t="shared" ca="1" si="85"/>
        <v>0</v>
      </c>
      <c r="BH38" s="18">
        <f t="shared" ca="1" si="85"/>
        <v>0</v>
      </c>
      <c r="BI38" s="18">
        <f t="shared" ca="1" si="85"/>
        <v>0</v>
      </c>
      <c r="BJ38" s="18">
        <f t="shared" ca="1" si="85"/>
        <v>0</v>
      </c>
      <c r="BK38" s="18">
        <f t="shared" ca="1" si="85"/>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6"/>
        <v/>
      </c>
      <c r="P39" s="39" t="str">
        <f t="shared" ca="1" si="86"/>
        <v/>
      </c>
      <c r="Q39" s="35"/>
      <c r="Y39" s="15">
        <f t="shared" si="78"/>
        <v>29</v>
      </c>
      <c r="Z39" s="25" t="str">
        <f t="shared" si="60"/>
        <v>Droits d'attributions</v>
      </c>
      <c r="AA39" s="16">
        <f t="shared" si="79"/>
        <v>0</v>
      </c>
      <c r="AB39" s="16">
        <f t="shared" si="79"/>
        <v>0</v>
      </c>
      <c r="AC39" s="16">
        <f t="shared" si="79"/>
        <v>0</v>
      </c>
      <c r="AD39" s="16">
        <f t="shared" si="79"/>
        <v>0</v>
      </c>
      <c r="AE39" s="16">
        <f t="shared" si="79"/>
        <v>0</v>
      </c>
      <c r="AF39" s="16">
        <f t="shared" si="79"/>
        <v>0</v>
      </c>
      <c r="AG39" s="16">
        <f t="shared" si="79"/>
        <v>0</v>
      </c>
      <c r="AH39" s="16">
        <f t="shared" si="79"/>
        <v>0</v>
      </c>
      <c r="AI39" s="16">
        <f t="shared" si="79"/>
        <v>0</v>
      </c>
      <c r="AJ39" s="16">
        <f t="shared" si="80"/>
        <v>0</v>
      </c>
      <c r="AL39" s="17">
        <f t="shared" si="81"/>
        <v>29</v>
      </c>
      <c r="AM39" s="26" t="str">
        <f t="shared" si="62"/>
        <v>Droits d'attributions</v>
      </c>
      <c r="AN39" s="18">
        <f t="shared" si="82"/>
        <v>0</v>
      </c>
      <c r="AO39" s="18">
        <f t="shared" si="82"/>
        <v>0</v>
      </c>
      <c r="AP39" s="18">
        <f t="shared" si="82"/>
        <v>0</v>
      </c>
      <c r="AQ39" s="18">
        <f t="shared" si="82"/>
        <v>0</v>
      </c>
      <c r="AR39" s="18">
        <f t="shared" si="82"/>
        <v>0</v>
      </c>
      <c r="AS39" s="18">
        <f t="shared" si="82"/>
        <v>0</v>
      </c>
      <c r="AT39" s="18">
        <f t="shared" si="82"/>
        <v>0</v>
      </c>
      <c r="AU39" s="18">
        <f t="shared" si="82"/>
        <v>0</v>
      </c>
      <c r="AV39" s="18">
        <f t="shared" si="83"/>
        <v>0</v>
      </c>
      <c r="AW39" s="18"/>
      <c r="AX39" s="17">
        <f t="shared" si="84"/>
        <v>29</v>
      </c>
      <c r="AY39" s="26" t="str">
        <f t="shared" si="64"/>
        <v>Droits d'attributions</v>
      </c>
      <c r="AZ39" s="18">
        <f t="shared" ca="1" si="85"/>
        <v>0</v>
      </c>
      <c r="BA39" s="18">
        <f t="shared" ca="1" si="85"/>
        <v>0</v>
      </c>
      <c r="BB39" s="18">
        <f t="shared" ca="1" si="85"/>
        <v>0</v>
      </c>
      <c r="BC39" s="18">
        <f t="shared" ca="1" si="85"/>
        <v>0</v>
      </c>
      <c r="BD39" s="18">
        <f t="shared" ca="1" si="85"/>
        <v>0</v>
      </c>
      <c r="BE39" s="18">
        <f t="shared" ca="1" si="85"/>
        <v>0</v>
      </c>
      <c r="BF39" s="18">
        <f t="shared" ca="1" si="85"/>
        <v>0</v>
      </c>
      <c r="BG39" s="18">
        <f t="shared" ca="1" si="85"/>
        <v>0</v>
      </c>
      <c r="BH39" s="18">
        <f t="shared" ca="1" si="85"/>
        <v>0</v>
      </c>
      <c r="BI39" s="18">
        <f t="shared" ca="1" si="85"/>
        <v>0</v>
      </c>
      <c r="BJ39" s="18">
        <f t="shared" ca="1" si="85"/>
        <v>0</v>
      </c>
      <c r="BK39" s="18">
        <f t="shared" ca="1" si="85"/>
        <v>0</v>
      </c>
    </row>
    <row r="40" spans="1:63">
      <c r="A40" s="80">
        <f t="shared" si="29"/>
        <v>0</v>
      </c>
      <c r="B40" s="163"/>
      <c r="C40" s="58" t="str">
        <f>+'Taxes RCA 2022'!B33</f>
        <v>DGTCP (MMG)</v>
      </c>
      <c r="E40" s="166">
        <f>SUM(E41:E44)</f>
        <v>0</v>
      </c>
      <c r="F40" s="166">
        <f>SUM(F41:F44)</f>
        <v>0</v>
      </c>
      <c r="G40" s="166">
        <f>SUM(G41:G44)</f>
        <v>0</v>
      </c>
      <c r="H40" s="114"/>
      <c r="I40" s="166">
        <f>SUM(I41:I44)</f>
        <v>112095000</v>
      </c>
      <c r="J40" s="166">
        <f ca="1">SUM(J41:J44)</f>
        <v>0</v>
      </c>
      <c r="K40" s="166">
        <f ca="1">SUM(K41:K44)</f>
        <v>112095000</v>
      </c>
      <c r="L40" s="114"/>
      <c r="M40" s="166">
        <f ca="1">SUM(M41:M44)</f>
        <v>-112095000</v>
      </c>
      <c r="N40" s="58"/>
      <c r="O40" s="38" t="str">
        <f t="shared" ca="1" si="46"/>
        <v>ERROR</v>
      </c>
      <c r="P40" s="39" t="str">
        <f t="shared" ca="1" si="86"/>
        <v>Please insert comment</v>
      </c>
      <c r="Q40" s="35"/>
      <c r="Y40" s="15">
        <f>B78</f>
        <v>56</v>
      </c>
      <c r="Z40" s="25" t="str">
        <f>C78</f>
        <v xml:space="preserve">Secrétariat permanent du processus de Kimberley (SPPK)  </v>
      </c>
      <c r="AA40" s="16">
        <f t="shared" si="79"/>
        <v>0</v>
      </c>
      <c r="AB40" s="16">
        <f t="shared" si="79"/>
        <v>0</v>
      </c>
      <c r="AC40" s="16">
        <f t="shared" si="79"/>
        <v>0</v>
      </c>
      <c r="AD40" s="16">
        <f t="shared" si="79"/>
        <v>0</v>
      </c>
      <c r="AE40" s="16">
        <f t="shared" si="79"/>
        <v>0</v>
      </c>
      <c r="AF40" s="16">
        <f t="shared" si="79"/>
        <v>0</v>
      </c>
      <c r="AG40" s="16">
        <f t="shared" si="79"/>
        <v>0</v>
      </c>
      <c r="AH40" s="16">
        <f t="shared" si="79"/>
        <v>0</v>
      </c>
      <c r="AI40" s="16">
        <f t="shared" si="79"/>
        <v>0</v>
      </c>
      <c r="AJ40" s="16">
        <f t="shared" si="80"/>
        <v>0</v>
      </c>
      <c r="AL40" s="17">
        <f>+B78</f>
        <v>56</v>
      </c>
      <c r="AM40" s="26" t="str">
        <f>+C78</f>
        <v xml:space="preserve">Secrétariat permanent du processus de Kimberley (SPPK)  </v>
      </c>
      <c r="AN40" s="18">
        <f t="shared" si="82"/>
        <v>0</v>
      </c>
      <c r="AO40" s="18">
        <f t="shared" si="82"/>
        <v>0</v>
      </c>
      <c r="AP40" s="18">
        <f t="shared" si="82"/>
        <v>0</v>
      </c>
      <c r="AQ40" s="18">
        <f t="shared" si="82"/>
        <v>0</v>
      </c>
      <c r="AR40" s="18">
        <f t="shared" si="82"/>
        <v>0</v>
      </c>
      <c r="AS40" s="18">
        <f t="shared" si="82"/>
        <v>0</v>
      </c>
      <c r="AT40" s="18">
        <f t="shared" si="82"/>
        <v>0</v>
      </c>
      <c r="AU40" s="18">
        <f t="shared" si="82"/>
        <v>0</v>
      </c>
      <c r="AV40" s="18">
        <f t="shared" si="83"/>
        <v>0</v>
      </c>
      <c r="AW40" s="18"/>
      <c r="AX40" s="17">
        <f>B78</f>
        <v>56</v>
      </c>
      <c r="AY40" s="26" t="str">
        <f>C78</f>
        <v xml:space="preserve">Secrétariat permanent du processus de Kimberley (SPPK)  </v>
      </c>
      <c r="AZ40" s="18">
        <f t="shared" ca="1" si="85"/>
        <v>0</v>
      </c>
      <c r="BA40" s="18">
        <f t="shared" ca="1" si="85"/>
        <v>0</v>
      </c>
      <c r="BB40" s="18">
        <f t="shared" ca="1" si="85"/>
        <v>0</v>
      </c>
      <c r="BC40" s="18">
        <f t="shared" ca="1" si="85"/>
        <v>0</v>
      </c>
      <c r="BD40" s="18">
        <f t="shared" ca="1" si="85"/>
        <v>0</v>
      </c>
      <c r="BE40" s="18">
        <f t="shared" ca="1" si="85"/>
        <v>0</v>
      </c>
      <c r="BF40" s="18">
        <f t="shared" ca="1" si="85"/>
        <v>0</v>
      </c>
      <c r="BG40" s="18">
        <f t="shared" ca="1" si="85"/>
        <v>0</v>
      </c>
      <c r="BH40" s="18">
        <f t="shared" ca="1" si="85"/>
        <v>0</v>
      </c>
      <c r="BI40" s="18">
        <f t="shared" ca="1" si="85"/>
        <v>0</v>
      </c>
      <c r="BJ40" s="18">
        <f t="shared" ca="1" si="85"/>
        <v>0</v>
      </c>
      <c r="BK40" s="18">
        <f t="shared" ca="1" si="85"/>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SUMIF($J$84:$M$747,B41&amp;"- "&amp;C41,$Q$84:$Q$747)</f>
        <v>0</v>
      </c>
      <c r="K41" s="114">
        <f ca="1">I41+J41</f>
        <v>0</v>
      </c>
      <c r="L41" s="114"/>
      <c r="M41" s="114">
        <f ca="1">+G41-K41</f>
        <v>0</v>
      </c>
      <c r="N41" s="18"/>
      <c r="O41" s="38" t="str">
        <f t="shared" ca="1" si="46"/>
        <v/>
      </c>
      <c r="P41" s="39" t="str">
        <f t="shared" ca="1" si="86"/>
        <v/>
      </c>
      <c r="Q41" s="35"/>
      <c r="Y41" s="15">
        <f>B43</f>
        <v>30</v>
      </c>
      <c r="Z41" s="25" t="str">
        <f>C43</f>
        <v xml:space="preserve">Redevance superficiaire   </v>
      </c>
      <c r="AA41" s="16">
        <f t="shared" si="79"/>
        <v>0</v>
      </c>
      <c r="AB41" s="16">
        <f t="shared" si="79"/>
        <v>0</v>
      </c>
      <c r="AC41" s="16">
        <f t="shared" si="79"/>
        <v>0</v>
      </c>
      <c r="AD41" s="16">
        <f t="shared" si="79"/>
        <v>0</v>
      </c>
      <c r="AE41" s="16">
        <f t="shared" si="79"/>
        <v>0</v>
      </c>
      <c r="AF41" s="16">
        <f t="shared" si="79"/>
        <v>0</v>
      </c>
      <c r="AG41" s="16">
        <f t="shared" si="79"/>
        <v>0</v>
      </c>
      <c r="AH41" s="16">
        <f t="shared" si="79"/>
        <v>0</v>
      </c>
      <c r="AI41" s="16">
        <f t="shared" si="79"/>
        <v>0</v>
      </c>
      <c r="AJ41" s="16">
        <f t="shared" si="80"/>
        <v>0</v>
      </c>
      <c r="AL41" s="17">
        <f>+B43</f>
        <v>30</v>
      </c>
      <c r="AM41" s="26" t="str">
        <f>+C43</f>
        <v xml:space="preserve">Redevance superficiaire   </v>
      </c>
      <c r="AN41" s="18">
        <f t="shared" si="82"/>
        <v>0</v>
      </c>
      <c r="AO41" s="18">
        <f t="shared" si="82"/>
        <v>0</v>
      </c>
      <c r="AP41" s="18">
        <f t="shared" si="82"/>
        <v>0</v>
      </c>
      <c r="AQ41" s="18">
        <f t="shared" si="82"/>
        <v>0</v>
      </c>
      <c r="AR41" s="18">
        <f t="shared" si="82"/>
        <v>0</v>
      </c>
      <c r="AS41" s="18">
        <f t="shared" si="82"/>
        <v>0</v>
      </c>
      <c r="AT41" s="18">
        <f t="shared" si="82"/>
        <v>0</v>
      </c>
      <c r="AU41" s="18">
        <f t="shared" si="82"/>
        <v>0</v>
      </c>
      <c r="AV41" s="18">
        <f t="shared" si="83"/>
        <v>0</v>
      </c>
      <c r="AW41" s="18"/>
      <c r="AX41" s="17">
        <f>B43</f>
        <v>30</v>
      </c>
      <c r="AY41" s="26" t="str">
        <f>C43</f>
        <v xml:space="preserve">Redevance superficiaire   </v>
      </c>
      <c r="AZ41" s="18">
        <f t="shared" ca="1" si="85"/>
        <v>0</v>
      </c>
      <c r="BA41" s="18">
        <f t="shared" ca="1" si="85"/>
        <v>0</v>
      </c>
      <c r="BB41" s="18">
        <f t="shared" ca="1" si="85"/>
        <v>0</v>
      </c>
      <c r="BC41" s="18">
        <f t="shared" ca="1" si="85"/>
        <v>0</v>
      </c>
      <c r="BD41" s="18">
        <f t="shared" ca="1" si="85"/>
        <v>0</v>
      </c>
      <c r="BE41" s="18">
        <f t="shared" ca="1" si="85"/>
        <v>0</v>
      </c>
      <c r="BF41" s="18">
        <f t="shared" ca="1" si="85"/>
        <v>0</v>
      </c>
      <c r="BG41" s="18">
        <f t="shared" ca="1" si="85"/>
        <v>0</v>
      </c>
      <c r="BH41" s="18">
        <f t="shared" ca="1" si="85"/>
        <v>0</v>
      </c>
      <c r="BI41" s="18">
        <f t="shared" ca="1" si="85"/>
        <v>0</v>
      </c>
      <c r="BJ41" s="18">
        <f t="shared" ca="1" si="85"/>
        <v>0</v>
      </c>
      <c r="BK41" s="18">
        <f t="shared" ca="1" si="85"/>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SUMIF($J$84:$M$747,B42&amp;"- "&amp;C42,$Q$84:$Q$747)</f>
        <v>0</v>
      </c>
      <c r="K42" s="165">
        <f ca="1">I42+J42</f>
        <v>0</v>
      </c>
      <c r="L42" s="114"/>
      <c r="M42" s="165">
        <f ca="1">+G42-K42</f>
        <v>0</v>
      </c>
      <c r="N42" s="68"/>
      <c r="O42" s="38" t="str">
        <f t="shared" ca="1" si="46"/>
        <v/>
      </c>
      <c r="P42" s="39" t="str">
        <f t="shared" ca="1" si="86"/>
        <v/>
      </c>
      <c r="Q42" s="35"/>
      <c r="T42" s="41" t="str">
        <f ca="1">IF(J8=S33,"","ERROR")</f>
        <v/>
      </c>
      <c r="Y42" s="15">
        <f>B44</f>
        <v>31</v>
      </c>
      <c r="Z42" s="25" t="str">
        <f>C44</f>
        <v>Projet de développement du secteur minier (PDSM)</v>
      </c>
      <c r="AA42" s="16">
        <f t="shared" si="79"/>
        <v>0</v>
      </c>
      <c r="AB42" s="16">
        <f t="shared" si="79"/>
        <v>0</v>
      </c>
      <c r="AC42" s="16">
        <f t="shared" si="79"/>
        <v>0</v>
      </c>
      <c r="AD42" s="16">
        <f t="shared" si="79"/>
        <v>0</v>
      </c>
      <c r="AE42" s="16">
        <f t="shared" si="79"/>
        <v>0</v>
      </c>
      <c r="AF42" s="16">
        <f t="shared" si="79"/>
        <v>0</v>
      </c>
      <c r="AG42" s="16">
        <f t="shared" si="79"/>
        <v>0</v>
      </c>
      <c r="AH42" s="16">
        <f t="shared" si="79"/>
        <v>0</v>
      </c>
      <c r="AI42" s="16">
        <f t="shared" si="79"/>
        <v>0</v>
      </c>
      <c r="AJ42" s="16">
        <f t="shared" si="80"/>
        <v>0</v>
      </c>
      <c r="AL42" s="17">
        <f>+B44</f>
        <v>31</v>
      </c>
      <c r="AM42" s="26" t="str">
        <f>+C44</f>
        <v>Projet de développement du secteur minier (PDSM)</v>
      </c>
      <c r="AN42" s="18">
        <f t="shared" si="82"/>
        <v>0</v>
      </c>
      <c r="AO42" s="18">
        <f t="shared" si="82"/>
        <v>0</v>
      </c>
      <c r="AP42" s="18">
        <f t="shared" si="82"/>
        <v>0</v>
      </c>
      <c r="AQ42" s="18">
        <f t="shared" si="82"/>
        <v>0</v>
      </c>
      <c r="AR42" s="18">
        <f t="shared" si="82"/>
        <v>0</v>
      </c>
      <c r="AS42" s="18">
        <f t="shared" si="82"/>
        <v>0</v>
      </c>
      <c r="AT42" s="18">
        <f t="shared" si="82"/>
        <v>0</v>
      </c>
      <c r="AU42" s="18">
        <f t="shared" si="82"/>
        <v>0</v>
      </c>
      <c r="AV42" s="18">
        <f t="shared" si="83"/>
        <v>0</v>
      </c>
      <c r="AW42" s="18"/>
      <c r="AX42" s="17">
        <f>B44</f>
        <v>31</v>
      </c>
      <c r="AY42" s="26" t="str">
        <f>C44</f>
        <v>Projet de développement du secteur minier (PDSM)</v>
      </c>
      <c r="AZ42" s="18">
        <f t="shared" ca="1" si="85"/>
        <v>0</v>
      </c>
      <c r="BA42" s="18">
        <f t="shared" ca="1" si="85"/>
        <v>0</v>
      </c>
      <c r="BB42" s="18">
        <f t="shared" ca="1" si="85"/>
        <v>0</v>
      </c>
      <c r="BC42" s="18">
        <f t="shared" ca="1" si="85"/>
        <v>0</v>
      </c>
      <c r="BD42" s="18">
        <f t="shared" ca="1" si="85"/>
        <v>0</v>
      </c>
      <c r="BE42" s="18">
        <f t="shared" ca="1" si="85"/>
        <v>0</v>
      </c>
      <c r="BF42" s="18">
        <f t="shared" ca="1" si="85"/>
        <v>0</v>
      </c>
      <c r="BG42" s="18">
        <f t="shared" ca="1" si="85"/>
        <v>0</v>
      </c>
      <c r="BH42" s="18">
        <f t="shared" ca="1" si="85"/>
        <v>0</v>
      </c>
      <c r="BI42" s="18">
        <f t="shared" ca="1" si="85"/>
        <v>0</v>
      </c>
      <c r="BJ42" s="18">
        <f t="shared" ca="1" si="85"/>
        <v>0</v>
      </c>
      <c r="BK42" s="18">
        <f t="shared" ca="1" si="85"/>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v>112095000</v>
      </c>
      <c r="J43" s="114">
        <f ca="1">SUMIF($J$84:$M$747,B43&amp;"- "&amp;C43,$Q$84:$Q$747)</f>
        <v>0</v>
      </c>
      <c r="K43" s="114">
        <f ca="1">I43+J43</f>
        <v>112095000</v>
      </c>
      <c r="L43" s="114"/>
      <c r="M43" s="114">
        <f ca="1">+G43-K43</f>
        <v>-112095000</v>
      </c>
      <c r="N43" s="18"/>
      <c r="O43" s="38" t="str">
        <f t="shared" ca="1" si="46"/>
        <v>ERROR</v>
      </c>
      <c r="P43" s="39" t="str">
        <f t="shared" ca="1" si="86"/>
        <v>Please insert comment</v>
      </c>
      <c r="Q43" s="35"/>
      <c r="Y43" s="15">
        <f t="shared" si="78"/>
        <v>32</v>
      </c>
      <c r="Z43" s="25" t="str">
        <f t="shared" si="60"/>
        <v>Taxes superficiaires (+)</v>
      </c>
      <c r="AA43" s="16">
        <f t="shared" si="79"/>
        <v>0</v>
      </c>
      <c r="AB43" s="16">
        <f t="shared" si="79"/>
        <v>0</v>
      </c>
      <c r="AC43" s="16">
        <f t="shared" si="79"/>
        <v>0</v>
      </c>
      <c r="AD43" s="16">
        <f t="shared" si="79"/>
        <v>0</v>
      </c>
      <c r="AE43" s="16">
        <f t="shared" si="79"/>
        <v>0</v>
      </c>
      <c r="AF43" s="16">
        <f t="shared" si="79"/>
        <v>0</v>
      </c>
      <c r="AG43" s="16">
        <f t="shared" si="79"/>
        <v>0</v>
      </c>
      <c r="AH43" s="16">
        <f t="shared" si="79"/>
        <v>0</v>
      </c>
      <c r="AI43" s="16">
        <f t="shared" si="79"/>
        <v>0</v>
      </c>
      <c r="AJ43" s="16">
        <f t="shared" si="80"/>
        <v>0</v>
      </c>
      <c r="AL43" s="17">
        <f t="shared" si="81"/>
        <v>32</v>
      </c>
      <c r="AM43" s="26" t="str">
        <f t="shared" si="62"/>
        <v>Taxes superficiaires (+)</v>
      </c>
      <c r="AN43" s="18">
        <f t="shared" si="82"/>
        <v>0</v>
      </c>
      <c r="AO43" s="18">
        <f t="shared" si="82"/>
        <v>0</v>
      </c>
      <c r="AP43" s="18">
        <f t="shared" si="82"/>
        <v>0</v>
      </c>
      <c r="AQ43" s="18">
        <f t="shared" si="82"/>
        <v>0</v>
      </c>
      <c r="AR43" s="18">
        <f t="shared" si="82"/>
        <v>0</v>
      </c>
      <c r="AS43" s="18">
        <f t="shared" si="82"/>
        <v>0</v>
      </c>
      <c r="AT43" s="18">
        <f t="shared" si="82"/>
        <v>0</v>
      </c>
      <c r="AU43" s="18">
        <f t="shared" si="82"/>
        <v>0</v>
      </c>
      <c r="AV43" s="18">
        <f t="shared" si="83"/>
        <v>0</v>
      </c>
      <c r="AW43" s="18"/>
      <c r="AX43" s="17">
        <f t="shared" si="84"/>
        <v>32</v>
      </c>
      <c r="AY43" s="26" t="str">
        <f t="shared" si="64"/>
        <v>Taxes superficiaires (+)</v>
      </c>
      <c r="AZ43" s="18">
        <f t="shared" ca="1" si="85"/>
        <v>0</v>
      </c>
      <c r="BA43" s="18">
        <f t="shared" ca="1" si="85"/>
        <v>0</v>
      </c>
      <c r="BB43" s="18">
        <f t="shared" ca="1" si="85"/>
        <v>0</v>
      </c>
      <c r="BC43" s="18">
        <f t="shared" ca="1" si="85"/>
        <v>0</v>
      </c>
      <c r="BD43" s="18">
        <f t="shared" ca="1" si="85"/>
        <v>0</v>
      </c>
      <c r="BE43" s="18">
        <f t="shared" ca="1" si="85"/>
        <v>0</v>
      </c>
      <c r="BF43" s="18">
        <f t="shared" ca="1" si="85"/>
        <v>0</v>
      </c>
      <c r="BG43" s="18">
        <f t="shared" ca="1" si="85"/>
        <v>0</v>
      </c>
      <c r="BH43" s="18">
        <f t="shared" ca="1" si="85"/>
        <v>0</v>
      </c>
      <c r="BI43" s="18">
        <f t="shared" ca="1" si="85"/>
        <v>0</v>
      </c>
      <c r="BJ43" s="18">
        <f t="shared" ca="1" si="85"/>
        <v>0</v>
      </c>
      <c r="BK43" s="18">
        <f t="shared" ca="1" si="85"/>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SUMIF($J$84:$M$747,B44&amp;"- "&amp;C44,$Q$84:$Q$747)</f>
        <v>0</v>
      </c>
      <c r="K44" s="165">
        <f ca="1">I44+J44</f>
        <v>0</v>
      </c>
      <c r="L44" s="114"/>
      <c r="M44" s="165">
        <f ca="1">+G44-K44</f>
        <v>0</v>
      </c>
      <c r="N44" s="68"/>
      <c r="O44" s="38" t="str">
        <f t="shared" ca="1" si="46"/>
        <v/>
      </c>
      <c r="P44" s="39" t="str">
        <f t="shared" ca="1" si="86"/>
        <v/>
      </c>
      <c r="Y44" s="15">
        <f t="shared" ref="Y44:Z46" si="87">B48</f>
        <v>33</v>
      </c>
      <c r="Z44" s="25" t="str">
        <f t="shared" si="87"/>
        <v>Taxe d’abattage  (+)</v>
      </c>
      <c r="AA44" s="16">
        <f t="shared" si="79"/>
        <v>0</v>
      </c>
      <c r="AB44" s="16">
        <f t="shared" si="79"/>
        <v>0</v>
      </c>
      <c r="AC44" s="16">
        <f t="shared" si="79"/>
        <v>0</v>
      </c>
      <c r="AD44" s="16">
        <f t="shared" si="79"/>
        <v>0</v>
      </c>
      <c r="AE44" s="16">
        <f t="shared" si="79"/>
        <v>0</v>
      </c>
      <c r="AF44" s="16">
        <f t="shared" si="79"/>
        <v>0</v>
      </c>
      <c r="AG44" s="16">
        <f t="shared" si="79"/>
        <v>0</v>
      </c>
      <c r="AH44" s="16">
        <f t="shared" si="79"/>
        <v>0</v>
      </c>
      <c r="AI44" s="16">
        <f t="shared" si="79"/>
        <v>0</v>
      </c>
      <c r="AJ44" s="16">
        <f t="shared" si="80"/>
        <v>0</v>
      </c>
      <c r="AL44" s="17">
        <f t="shared" ref="AL44:AM46" si="88">+B48</f>
        <v>33</v>
      </c>
      <c r="AM44" s="26" t="str">
        <f t="shared" si="88"/>
        <v>Taxe d’abattage  (+)</v>
      </c>
      <c r="AN44" s="18">
        <f t="shared" si="82"/>
        <v>0</v>
      </c>
      <c r="AO44" s="18">
        <f t="shared" si="82"/>
        <v>0</v>
      </c>
      <c r="AP44" s="18">
        <f t="shared" si="82"/>
        <v>0</v>
      </c>
      <c r="AQ44" s="18">
        <f t="shared" si="82"/>
        <v>0</v>
      </c>
      <c r="AR44" s="18">
        <f t="shared" si="82"/>
        <v>0</v>
      </c>
      <c r="AS44" s="18">
        <f t="shared" si="82"/>
        <v>0</v>
      </c>
      <c r="AT44" s="18">
        <f t="shared" si="82"/>
        <v>0</v>
      </c>
      <c r="AU44" s="18">
        <f t="shared" si="82"/>
        <v>0</v>
      </c>
      <c r="AV44" s="18">
        <f t="shared" si="83"/>
        <v>0</v>
      </c>
      <c r="AW44" s="18"/>
      <c r="AX44" s="17">
        <f t="shared" ref="AX44:AY46" si="89">B48</f>
        <v>33</v>
      </c>
      <c r="AY44" s="26" t="str">
        <f t="shared" si="89"/>
        <v>Taxe d’abattage  (+)</v>
      </c>
      <c r="AZ44" s="18">
        <f t="shared" ca="1" si="85"/>
        <v>0</v>
      </c>
      <c r="BA44" s="18">
        <f t="shared" ca="1" si="85"/>
        <v>0</v>
      </c>
      <c r="BB44" s="18">
        <f t="shared" ca="1" si="85"/>
        <v>0</v>
      </c>
      <c r="BC44" s="18">
        <f t="shared" ca="1" si="85"/>
        <v>0</v>
      </c>
      <c r="BD44" s="18">
        <f t="shared" ca="1" si="85"/>
        <v>0</v>
      </c>
      <c r="BE44" s="18">
        <f t="shared" ca="1" si="85"/>
        <v>0</v>
      </c>
      <c r="BF44" s="18">
        <f t="shared" ca="1" si="85"/>
        <v>0</v>
      </c>
      <c r="BG44" s="18">
        <f t="shared" ca="1" si="85"/>
        <v>0</v>
      </c>
      <c r="BH44" s="18">
        <f t="shared" ca="1" si="85"/>
        <v>0</v>
      </c>
      <c r="BI44" s="18">
        <f t="shared" ca="1" si="85"/>
        <v>0</v>
      </c>
      <c r="BJ44" s="18">
        <f t="shared" ca="1" si="85"/>
        <v>0</v>
      </c>
      <c r="BK44" s="18">
        <f t="shared" ca="1" si="85"/>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6"/>
        <v/>
      </c>
      <c r="P45" s="39" t="str">
        <f t="shared" ca="1" si="86"/>
        <v/>
      </c>
      <c r="Y45" s="15">
        <f t="shared" si="87"/>
        <v>34</v>
      </c>
      <c r="Z45" s="25" t="str">
        <f t="shared" si="87"/>
        <v>Taxe de reboisement (+)</v>
      </c>
      <c r="AA45" s="16">
        <f t="shared" si="79"/>
        <v>0</v>
      </c>
      <c r="AB45" s="16">
        <f t="shared" si="79"/>
        <v>0</v>
      </c>
      <c r="AC45" s="16">
        <f t="shared" si="79"/>
        <v>0</v>
      </c>
      <c r="AD45" s="16">
        <f t="shared" si="79"/>
        <v>0</v>
      </c>
      <c r="AE45" s="16">
        <f t="shared" si="79"/>
        <v>0</v>
      </c>
      <c r="AF45" s="16">
        <f t="shared" si="79"/>
        <v>0</v>
      </c>
      <c r="AG45" s="16">
        <f t="shared" si="79"/>
        <v>0</v>
      </c>
      <c r="AH45" s="16">
        <f t="shared" si="79"/>
        <v>0</v>
      </c>
      <c r="AI45" s="16">
        <f t="shared" si="79"/>
        <v>0</v>
      </c>
      <c r="AJ45" s="16">
        <f t="shared" si="80"/>
        <v>0</v>
      </c>
      <c r="AL45" s="17">
        <f t="shared" si="88"/>
        <v>34</v>
      </c>
      <c r="AM45" s="26" t="str">
        <f t="shared" si="88"/>
        <v>Taxe de reboisement (+)</v>
      </c>
      <c r="AN45" s="18">
        <f t="shared" si="82"/>
        <v>0</v>
      </c>
      <c r="AO45" s="18">
        <f t="shared" si="82"/>
        <v>0</v>
      </c>
      <c r="AP45" s="18">
        <f t="shared" si="82"/>
        <v>0</v>
      </c>
      <c r="AQ45" s="18">
        <f t="shared" si="82"/>
        <v>0</v>
      </c>
      <c r="AR45" s="18">
        <f t="shared" si="82"/>
        <v>0</v>
      </c>
      <c r="AS45" s="18">
        <f t="shared" si="82"/>
        <v>0</v>
      </c>
      <c r="AT45" s="18">
        <f t="shared" si="82"/>
        <v>0</v>
      </c>
      <c r="AU45" s="18">
        <f t="shared" si="82"/>
        <v>0</v>
      </c>
      <c r="AV45" s="18">
        <f t="shared" si="83"/>
        <v>0</v>
      </c>
      <c r="AW45" s="18"/>
      <c r="AX45" s="17">
        <f t="shared" si="89"/>
        <v>34</v>
      </c>
      <c r="AY45" s="26" t="str">
        <f t="shared" si="89"/>
        <v>Taxe de reboisement (+)</v>
      </c>
      <c r="AZ45" s="18">
        <f t="shared" ca="1" si="85"/>
        <v>0</v>
      </c>
      <c r="BA45" s="18">
        <f t="shared" ca="1" si="85"/>
        <v>0</v>
      </c>
      <c r="BB45" s="18">
        <f t="shared" ca="1" si="85"/>
        <v>0</v>
      </c>
      <c r="BC45" s="18">
        <f t="shared" ca="1" si="85"/>
        <v>0</v>
      </c>
      <c r="BD45" s="18">
        <f t="shared" ca="1" si="85"/>
        <v>0</v>
      </c>
      <c r="BE45" s="18">
        <f t="shared" ca="1" si="85"/>
        <v>0</v>
      </c>
      <c r="BF45" s="18">
        <f t="shared" ca="1" si="85"/>
        <v>0</v>
      </c>
      <c r="BG45" s="18">
        <f t="shared" ca="1" si="85"/>
        <v>0</v>
      </c>
      <c r="BH45" s="18">
        <f t="shared" ca="1" si="85"/>
        <v>0</v>
      </c>
      <c r="BI45" s="18">
        <f t="shared" ca="1" si="85"/>
        <v>0</v>
      </c>
      <c r="BJ45" s="18">
        <f t="shared" ca="1" si="85"/>
        <v>0</v>
      </c>
      <c r="BK45" s="18">
        <f t="shared" ca="1" si="85"/>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SUMIF($J$84:$M$747,B46&amp;"- "&amp;C46,$Q$84:$Q$747)</f>
        <v>0</v>
      </c>
      <c r="K46" s="165">
        <f ca="1">I46+J46</f>
        <v>0</v>
      </c>
      <c r="L46" s="114"/>
      <c r="M46" s="165">
        <f ca="1">+G46-K46</f>
        <v>0</v>
      </c>
      <c r="N46" s="68"/>
      <c r="O46" s="38" t="str">
        <f t="shared" ca="1" si="46"/>
        <v/>
      </c>
      <c r="P46" s="39" t="str">
        <f t="shared" ca="1" si="86"/>
        <v/>
      </c>
      <c r="Y46" s="15">
        <f t="shared" si="87"/>
        <v>35</v>
      </c>
      <c r="Z46" s="25" t="str">
        <f t="shared" si="87"/>
        <v>Droit de sortie (DS)/Taxe Export (+)</v>
      </c>
      <c r="AA46" s="16">
        <f t="shared" si="79"/>
        <v>0</v>
      </c>
      <c r="AB46" s="16">
        <f t="shared" si="79"/>
        <v>0</v>
      </c>
      <c r="AC46" s="16">
        <f t="shared" si="79"/>
        <v>0</v>
      </c>
      <c r="AD46" s="16">
        <f t="shared" si="79"/>
        <v>0</v>
      </c>
      <c r="AE46" s="16">
        <f t="shared" si="79"/>
        <v>0</v>
      </c>
      <c r="AF46" s="16">
        <f t="shared" si="79"/>
        <v>0</v>
      </c>
      <c r="AG46" s="16">
        <f t="shared" si="79"/>
        <v>0</v>
      </c>
      <c r="AH46" s="16">
        <f t="shared" si="79"/>
        <v>0</v>
      </c>
      <c r="AI46" s="16">
        <f t="shared" si="79"/>
        <v>0</v>
      </c>
      <c r="AJ46" s="16">
        <f t="shared" si="80"/>
        <v>0</v>
      </c>
      <c r="AL46" s="17">
        <f t="shared" si="88"/>
        <v>35</v>
      </c>
      <c r="AM46" s="26" t="str">
        <f t="shared" si="88"/>
        <v>Droit de sortie (DS)/Taxe Export (+)</v>
      </c>
      <c r="AN46" s="18">
        <f t="shared" si="82"/>
        <v>0</v>
      </c>
      <c r="AO46" s="18">
        <f t="shared" si="82"/>
        <v>0</v>
      </c>
      <c r="AP46" s="18">
        <f t="shared" si="82"/>
        <v>0</v>
      </c>
      <c r="AQ46" s="18">
        <f t="shared" si="82"/>
        <v>0</v>
      </c>
      <c r="AR46" s="18">
        <f t="shared" si="82"/>
        <v>0</v>
      </c>
      <c r="AS46" s="18">
        <f t="shared" si="82"/>
        <v>0</v>
      </c>
      <c r="AT46" s="18">
        <f t="shared" si="82"/>
        <v>0</v>
      </c>
      <c r="AU46" s="18">
        <f t="shared" si="82"/>
        <v>0</v>
      </c>
      <c r="AV46" s="18">
        <f t="shared" si="83"/>
        <v>0</v>
      </c>
      <c r="AW46" s="18"/>
      <c r="AX46" s="17">
        <f t="shared" si="89"/>
        <v>35</v>
      </c>
      <c r="AY46" s="26" t="str">
        <f t="shared" si="89"/>
        <v>Droit de sortie (DS)/Taxe Export (+)</v>
      </c>
      <c r="AZ46" s="18">
        <f t="shared" ca="1" si="85"/>
        <v>0</v>
      </c>
      <c r="BA46" s="18">
        <f t="shared" ca="1" si="85"/>
        <v>0</v>
      </c>
      <c r="BB46" s="18">
        <f t="shared" ca="1" si="85"/>
        <v>0</v>
      </c>
      <c r="BC46" s="18">
        <f t="shared" ca="1" si="85"/>
        <v>0</v>
      </c>
      <c r="BD46" s="18">
        <f t="shared" ca="1" si="85"/>
        <v>0</v>
      </c>
      <c r="BE46" s="18">
        <f t="shared" ca="1" si="85"/>
        <v>0</v>
      </c>
      <c r="BF46" s="18">
        <f t="shared" ca="1" si="85"/>
        <v>0</v>
      </c>
      <c r="BG46" s="18">
        <f t="shared" ca="1" si="85"/>
        <v>0</v>
      </c>
      <c r="BH46" s="18">
        <f t="shared" ca="1" si="85"/>
        <v>0</v>
      </c>
      <c r="BI46" s="18">
        <f t="shared" ca="1" si="85"/>
        <v>0</v>
      </c>
      <c r="BJ46" s="18">
        <f t="shared" ca="1" si="85"/>
        <v>0</v>
      </c>
      <c r="BK46" s="18">
        <f t="shared" ca="1" si="85"/>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SUMIF($J$84:$M$747,B48&amp;"- "&amp;C48,$Q$84:$Q$747)</f>
        <v>0</v>
      </c>
      <c r="K48" s="114">
        <f ca="1">I48+J48</f>
        <v>0</v>
      </c>
      <c r="L48" s="114"/>
      <c r="M48" s="114">
        <f ca="1">+G48-K48</f>
        <v>0</v>
      </c>
      <c r="N48" s="18"/>
      <c r="O48" s="38" t="str">
        <f t="shared" ca="1" si="46"/>
        <v/>
      </c>
      <c r="P48" s="39" t="str">
        <f t="shared" ca="1" si="86"/>
        <v/>
      </c>
      <c r="Y48" s="15">
        <f t="shared" si="78"/>
        <v>36</v>
      </c>
      <c r="Z48" s="25" t="str">
        <f t="shared" si="60"/>
        <v>Taxes environnementales sur les Stes forestières et Minières (+)</v>
      </c>
      <c r="AA48" s="16">
        <f t="shared" ref="AA48:AI49" si="90">SUMPRODUCT(($A$84:$A$751=$Y48&amp;"- "&amp;$Z48)*($C$84:$C$751=AA$1)*($G$84:$G$751))</f>
        <v>0</v>
      </c>
      <c r="AB48" s="16">
        <f t="shared" si="90"/>
        <v>0</v>
      </c>
      <c r="AC48" s="16">
        <f t="shared" si="90"/>
        <v>0</v>
      </c>
      <c r="AD48" s="16">
        <f t="shared" si="90"/>
        <v>0</v>
      </c>
      <c r="AE48" s="16">
        <f t="shared" si="90"/>
        <v>0</v>
      </c>
      <c r="AF48" s="16">
        <f t="shared" si="90"/>
        <v>0</v>
      </c>
      <c r="AG48" s="16">
        <f t="shared" si="90"/>
        <v>0</v>
      </c>
      <c r="AH48" s="16">
        <f t="shared" si="90"/>
        <v>0</v>
      </c>
      <c r="AI48" s="16">
        <f t="shared" si="90"/>
        <v>0</v>
      </c>
      <c r="AJ48" s="16">
        <f t="shared" si="80"/>
        <v>0</v>
      </c>
      <c r="AL48" s="17">
        <f t="shared" si="81"/>
        <v>36</v>
      </c>
      <c r="AM48" s="26" t="str">
        <f t="shared" si="62"/>
        <v>Taxes environnementales sur les Stes forestières et Minières (+)</v>
      </c>
      <c r="AN48" s="18">
        <f t="shared" ref="AN48:AU49" si="91">SUMPRODUCT(($J$84:$M$746=$AL48&amp;"- "&amp;$AM48)*($N$84:$N$746=AN$1)*($Q$84:$Q$746))</f>
        <v>0</v>
      </c>
      <c r="AO48" s="18">
        <f t="shared" si="91"/>
        <v>0</v>
      </c>
      <c r="AP48" s="18">
        <f t="shared" si="91"/>
        <v>0</v>
      </c>
      <c r="AQ48" s="18">
        <f t="shared" si="91"/>
        <v>0</v>
      </c>
      <c r="AR48" s="18">
        <f t="shared" si="91"/>
        <v>0</v>
      </c>
      <c r="AS48" s="18">
        <f t="shared" si="91"/>
        <v>0</v>
      </c>
      <c r="AT48" s="18">
        <f t="shared" si="91"/>
        <v>0</v>
      </c>
      <c r="AU48" s="18">
        <f t="shared" si="91"/>
        <v>0</v>
      </c>
      <c r="AV48" s="18">
        <f t="shared" si="83"/>
        <v>0</v>
      </c>
      <c r="AW48" s="38"/>
      <c r="AX48" s="17">
        <f t="shared" si="84"/>
        <v>36</v>
      </c>
      <c r="AY48" s="26" t="str">
        <f t="shared" si="64"/>
        <v>Taxes environnementales sur les Stes forestières et Minières (+)</v>
      </c>
      <c r="AZ48" s="18">
        <f t="shared" ref="AZ48:BK49" ca="1" si="92">SUMPRODUCT(($C$10:$C$75=$AY48)*($N$10:$N$75=AZ$1)*($M$10:$M$75))</f>
        <v>0</v>
      </c>
      <c r="BA48" s="18">
        <f t="shared" ca="1" si="92"/>
        <v>0</v>
      </c>
      <c r="BB48" s="18">
        <f t="shared" ca="1" si="92"/>
        <v>0</v>
      </c>
      <c r="BC48" s="18">
        <f t="shared" ca="1" si="92"/>
        <v>0</v>
      </c>
      <c r="BD48" s="18">
        <f t="shared" ca="1" si="92"/>
        <v>0</v>
      </c>
      <c r="BE48" s="18">
        <f t="shared" ca="1" si="92"/>
        <v>0</v>
      </c>
      <c r="BF48" s="18">
        <f t="shared" ca="1" si="92"/>
        <v>0</v>
      </c>
      <c r="BG48" s="18">
        <f t="shared" ca="1" si="92"/>
        <v>0</v>
      </c>
      <c r="BH48" s="18">
        <f t="shared" ca="1" si="92"/>
        <v>0</v>
      </c>
      <c r="BI48" s="18">
        <f t="shared" ca="1" si="92"/>
        <v>0</v>
      </c>
      <c r="BJ48" s="18">
        <f t="shared" ca="1" si="92"/>
        <v>0</v>
      </c>
      <c r="BK48" s="18">
        <f t="shared" ca="1" si="92"/>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SUMIF($J$84:$M$747,B49&amp;"- "&amp;C49,$Q$84:$Q$747)</f>
        <v>0</v>
      </c>
      <c r="K49" s="165">
        <f ca="1">I49+J49</f>
        <v>0</v>
      </c>
      <c r="L49" s="114"/>
      <c r="M49" s="165">
        <f ca="1">+G49-K49</f>
        <v>0</v>
      </c>
      <c r="N49" s="68"/>
      <c r="O49" s="38" t="str">
        <f t="shared" ca="1" si="46"/>
        <v/>
      </c>
      <c r="P49" s="39" t="str">
        <f t="shared" ca="1" si="86"/>
        <v/>
      </c>
      <c r="Y49" s="15">
        <f t="shared" si="78"/>
        <v>0</v>
      </c>
      <c r="Z49" s="25" t="str">
        <f t="shared" si="60"/>
        <v>Affectations spéciales</v>
      </c>
      <c r="AA49" s="16">
        <f t="shared" si="90"/>
        <v>0</v>
      </c>
      <c r="AB49" s="16">
        <f t="shared" si="90"/>
        <v>0</v>
      </c>
      <c r="AC49" s="16">
        <f t="shared" si="90"/>
        <v>0</v>
      </c>
      <c r="AD49" s="16">
        <f t="shared" si="90"/>
        <v>0</v>
      </c>
      <c r="AE49" s="16">
        <f t="shared" si="90"/>
        <v>0</v>
      </c>
      <c r="AF49" s="16">
        <f t="shared" si="90"/>
        <v>0</v>
      </c>
      <c r="AG49" s="16">
        <f t="shared" si="90"/>
        <v>0</v>
      </c>
      <c r="AH49" s="16">
        <f t="shared" si="90"/>
        <v>0</v>
      </c>
      <c r="AI49" s="16">
        <f t="shared" si="90"/>
        <v>0</v>
      </c>
      <c r="AJ49" s="16">
        <f>SUM(AA49:AI49)</f>
        <v>0</v>
      </c>
      <c r="AL49" s="17">
        <f t="shared" si="81"/>
        <v>0</v>
      </c>
      <c r="AM49" s="26" t="str">
        <f t="shared" si="62"/>
        <v>Affectations spéciales</v>
      </c>
      <c r="AN49" s="18">
        <f t="shared" si="91"/>
        <v>0</v>
      </c>
      <c r="AO49" s="18">
        <f t="shared" si="91"/>
        <v>0</v>
      </c>
      <c r="AP49" s="18">
        <f t="shared" si="91"/>
        <v>0</v>
      </c>
      <c r="AQ49" s="18">
        <f t="shared" si="91"/>
        <v>0</v>
      </c>
      <c r="AR49" s="18">
        <f t="shared" si="91"/>
        <v>0</v>
      </c>
      <c r="AS49" s="18">
        <f t="shared" si="91"/>
        <v>0</v>
      </c>
      <c r="AT49" s="18">
        <f t="shared" si="91"/>
        <v>0</v>
      </c>
      <c r="AU49" s="18">
        <f t="shared" si="91"/>
        <v>0</v>
      </c>
      <c r="AV49" s="18">
        <f>SUM(AN49:AU49)</f>
        <v>0</v>
      </c>
      <c r="AW49" s="38"/>
      <c r="AX49" s="17">
        <f t="shared" si="84"/>
        <v>0</v>
      </c>
      <c r="AY49" s="26" t="str">
        <f t="shared" si="64"/>
        <v>Affectations spéciales</v>
      </c>
      <c r="AZ49" s="18">
        <f t="shared" ca="1" si="92"/>
        <v>0</v>
      </c>
      <c r="BA49" s="18">
        <f t="shared" ca="1" si="92"/>
        <v>0</v>
      </c>
      <c r="BB49" s="18">
        <f t="shared" ca="1" si="92"/>
        <v>0</v>
      </c>
      <c r="BC49" s="18">
        <f t="shared" ca="1" si="92"/>
        <v>0</v>
      </c>
      <c r="BD49" s="18">
        <f t="shared" ca="1" si="92"/>
        <v>0</v>
      </c>
      <c r="BE49" s="18">
        <f t="shared" ca="1" si="92"/>
        <v>0</v>
      </c>
      <c r="BF49" s="18">
        <f t="shared" ca="1" si="92"/>
        <v>0</v>
      </c>
      <c r="BG49" s="18">
        <f t="shared" ca="1" si="92"/>
        <v>0</v>
      </c>
      <c r="BH49" s="18">
        <f t="shared" ca="1" si="92"/>
        <v>0</v>
      </c>
      <c r="BI49" s="18">
        <f t="shared" ca="1" si="92"/>
        <v>0</v>
      </c>
      <c r="BJ49" s="18">
        <f t="shared" ca="1" si="92"/>
        <v>0</v>
      </c>
      <c r="BK49" s="18">
        <f t="shared" ca="1" si="92"/>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SUMIF($J$84:$M$747,B50&amp;"- "&amp;C50,$Q$84:$Q$747)</f>
        <v>0</v>
      </c>
      <c r="K50" s="114">
        <f ca="1">I50+J50</f>
        <v>0</v>
      </c>
      <c r="L50" s="114"/>
      <c r="M50" s="114">
        <f ca="1">+G50-K50</f>
        <v>0</v>
      </c>
      <c r="N50" s="18"/>
      <c r="O50" s="38" t="str">
        <f t="shared" ca="1" si="46"/>
        <v/>
      </c>
      <c r="P50" s="39" t="str">
        <f t="shared" ca="1" si="86"/>
        <v/>
      </c>
      <c r="Y50" s="28"/>
      <c r="Z50" s="28" t="str">
        <f t="shared" si="60"/>
        <v>Affectation au titre la taxe de reboisement (+)</v>
      </c>
      <c r="AA50" s="29">
        <f t="shared" ref="AA50:AJ50" si="93">SUM(AA51:AA59)</f>
        <v>0</v>
      </c>
      <c r="AB50" s="29">
        <f t="shared" si="93"/>
        <v>0</v>
      </c>
      <c r="AC50" s="29">
        <f t="shared" si="93"/>
        <v>0</v>
      </c>
      <c r="AD50" s="29">
        <f t="shared" si="93"/>
        <v>0</v>
      </c>
      <c r="AE50" s="29">
        <f t="shared" si="93"/>
        <v>0</v>
      </c>
      <c r="AF50" s="29">
        <f t="shared" si="93"/>
        <v>0</v>
      </c>
      <c r="AG50" s="29">
        <f t="shared" si="93"/>
        <v>0</v>
      </c>
      <c r="AH50" s="29">
        <f t="shared" si="93"/>
        <v>0</v>
      </c>
      <c r="AI50" s="29">
        <f t="shared" si="93"/>
        <v>0</v>
      </c>
      <c r="AJ50" s="29">
        <f t="shared" si="93"/>
        <v>0</v>
      </c>
      <c r="AL50" s="28"/>
      <c r="AM50" s="28" t="str">
        <f t="shared" si="62"/>
        <v>Affectation au titre la taxe de reboisement (+)</v>
      </c>
      <c r="AN50" s="29">
        <f t="shared" ref="AN50:AV50" si="94">SUM(AN51:AN59)</f>
        <v>0</v>
      </c>
      <c r="AO50" s="29">
        <f t="shared" si="94"/>
        <v>0</v>
      </c>
      <c r="AP50" s="29">
        <f t="shared" si="94"/>
        <v>0</v>
      </c>
      <c r="AQ50" s="29">
        <f t="shared" si="94"/>
        <v>0</v>
      </c>
      <c r="AR50" s="29">
        <f t="shared" si="94"/>
        <v>0</v>
      </c>
      <c r="AS50" s="29">
        <f t="shared" si="94"/>
        <v>0</v>
      </c>
      <c r="AT50" s="29">
        <f t="shared" si="94"/>
        <v>0</v>
      </c>
      <c r="AU50" s="29">
        <f t="shared" si="94"/>
        <v>0</v>
      </c>
      <c r="AV50" s="29">
        <f t="shared" si="94"/>
        <v>0</v>
      </c>
      <c r="AW50" s="18"/>
      <c r="AX50" s="28"/>
      <c r="AY50" s="28" t="str">
        <f t="shared" si="64"/>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SUMIF($J$84:$M$747,B51&amp;"- "&amp;C51,$Q$84:$Q$747)</f>
        <v>0</v>
      </c>
      <c r="K51" s="165">
        <f ca="1">I51+J51</f>
        <v>0</v>
      </c>
      <c r="L51" s="114"/>
      <c r="M51" s="165">
        <f ca="1">+G51-K51</f>
        <v>0</v>
      </c>
      <c r="N51" s="68"/>
      <c r="O51" s="38" t="str">
        <f t="shared" ca="1" si="46"/>
        <v/>
      </c>
      <c r="P51" s="39" t="str">
        <f t="shared" ca="1" si="86"/>
        <v/>
      </c>
      <c r="Y51" s="15">
        <f t="shared" ref="Y51:Y58" si="96">B54</f>
        <v>38</v>
      </c>
      <c r="Z51" s="25" t="str">
        <f t="shared" si="60"/>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62"/>
        <v>Affectation au titre de taxe d’abattage (+)</v>
      </c>
      <c r="AN51" s="18">
        <f t="shared" ref="AN51:AU59" si="100">SUMPRODUCT(($J$84:$M$746=$AL51&amp;"- "&amp;$AM51)*($N$84:$N$746=AN$1)*($Q$84:$Q$746))</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64"/>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0</v>
      </c>
      <c r="J52" s="166">
        <f t="shared" ref="J52" ca="1" si="105">+J53+J54</f>
        <v>0</v>
      </c>
      <c r="K52" s="166">
        <f t="shared" ref="K52" ca="1" si="106">+K53+K54</f>
        <v>0</v>
      </c>
      <c r="L52" s="114"/>
      <c r="M52" s="166">
        <f t="shared" ref="M52" ca="1" si="107">+M53+M54</f>
        <v>0</v>
      </c>
      <c r="N52" s="58"/>
      <c r="O52" s="38" t="str">
        <f ca="1">IF(M52=0,"",IF(N52=0,"ERROR",""))</f>
        <v/>
      </c>
      <c r="P52" s="39" t="str">
        <f ca="1">IF(O52="ERROR","Please insert comment","")</f>
        <v/>
      </c>
      <c r="Y52" s="15">
        <f t="shared" si="96"/>
        <v>0</v>
      </c>
      <c r="Z52" s="25" t="str">
        <f t="shared" si="60"/>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62"/>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64"/>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SUMIF($J$84:$M$747,B53&amp;"- "&amp;C53,$Q$84:$Q$747)</f>
        <v>0</v>
      </c>
      <c r="K53" s="114">
        <f ca="1">I53+J53</f>
        <v>0</v>
      </c>
      <c r="L53" s="114"/>
      <c r="M53" s="114">
        <f ca="1">+G53-K53</f>
        <v>0</v>
      </c>
      <c r="N53" s="18"/>
      <c r="O53" s="38" t="str">
        <f t="shared" ca="1" si="46"/>
        <v/>
      </c>
      <c r="P53" s="39" t="str">
        <f ca="1">IF(O53="ERROR","Please insert comment","")</f>
        <v/>
      </c>
      <c r="Y53" s="15">
        <f t="shared" si="96"/>
        <v>0</v>
      </c>
      <c r="Z53" s="25" t="str">
        <f t="shared" si="60"/>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62"/>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64"/>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SUMIF($J$84:$M$747,B54&amp;"- "&amp;C54,$Q$84:$Q$747)</f>
        <v>0</v>
      </c>
      <c r="K54" s="165">
        <f ca="1">I54+J54</f>
        <v>0</v>
      </c>
      <c r="L54" s="114"/>
      <c r="M54" s="165">
        <f ca="1">+G54-K54</f>
        <v>0</v>
      </c>
      <c r="N54" s="68"/>
      <c r="O54" s="38" t="str">
        <f t="shared" ca="1" si="46"/>
        <v/>
      </c>
      <c r="P54" s="39" t="str">
        <f ca="1">IF(O54="ERROR","Please insert comment","")</f>
        <v/>
      </c>
      <c r="Y54" s="15">
        <f t="shared" si="96"/>
        <v>39</v>
      </c>
      <c r="Z54" s="25" t="str">
        <f t="shared" ref="Z54:Z61" si="108">C57</f>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ref="AM54:AM61" si="109">+C57</f>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ref="AY54:AY61" si="110">C57</f>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11">SUM(F56:F61)</f>
        <v>0</v>
      </c>
      <c r="G55" s="166">
        <f t="shared" si="111"/>
        <v>0</v>
      </c>
      <c r="H55" s="114"/>
      <c r="I55" s="166">
        <f>SUM(I56:I61)</f>
        <v>0</v>
      </c>
      <c r="J55" s="166">
        <f t="shared" ref="J55" ca="1" si="112">SUM(J56:J61)</f>
        <v>0</v>
      </c>
      <c r="K55" s="166">
        <f t="shared" ref="K55" ca="1" si="113">SUM(K56:K61)</f>
        <v>0</v>
      </c>
      <c r="L55" s="114"/>
      <c r="M55" s="166">
        <f t="shared" ref="M55" ca="1" si="114">SUM(M56:M61)</f>
        <v>0</v>
      </c>
      <c r="N55" s="58"/>
      <c r="O55" s="38" t="str">
        <f t="shared" ca="1" si="46"/>
        <v/>
      </c>
      <c r="P55" s="39" t="str">
        <f ca="1">IF(O55="ERROR","Please insert comment","")</f>
        <v/>
      </c>
      <c r="Y55" s="15">
        <f t="shared" si="96"/>
        <v>40</v>
      </c>
      <c r="Z55" s="25" t="str">
        <f t="shared" si="108"/>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109"/>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110"/>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5">SUMIF($A$84:$A$751,B56&amp;"- "&amp;C56,$G$84:$G$751)</f>
        <v>0</v>
      </c>
      <c r="G56" s="114">
        <f t="shared" ref="G56:G61" si="116">E56+F56</f>
        <v>0</v>
      </c>
      <c r="H56" s="114"/>
      <c r="I56" s="114"/>
      <c r="J56" s="114">
        <f t="shared" ref="J56:J61" ca="1" si="117">SUMIF($J$84:$M$747,B56&amp;"- "&amp;C56,$Q$84:$Q$747)</f>
        <v>0</v>
      </c>
      <c r="K56" s="114">
        <f t="shared" ref="K56:K61" ca="1" si="118">I56+J56</f>
        <v>0</v>
      </c>
      <c r="L56" s="114"/>
      <c r="M56" s="114">
        <f t="shared" ref="M56:M61" ca="1" si="119">+G56-K56</f>
        <v>0</v>
      </c>
      <c r="N56" s="18"/>
      <c r="O56" s="38"/>
      <c r="P56" s="39"/>
      <c r="Y56" s="15">
        <f t="shared" si="96"/>
        <v>41</v>
      </c>
      <c r="Z56" s="25" t="str">
        <f t="shared" si="108"/>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109"/>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110"/>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5"/>
        <v>0</v>
      </c>
      <c r="G57" s="165">
        <f t="shared" si="116"/>
        <v>0</v>
      </c>
      <c r="H57" s="114"/>
      <c r="I57" s="165"/>
      <c r="J57" s="165">
        <f t="shared" ca="1" si="117"/>
        <v>0</v>
      </c>
      <c r="K57" s="165">
        <f t="shared" ca="1" si="118"/>
        <v>0</v>
      </c>
      <c r="L57" s="114"/>
      <c r="M57" s="165">
        <f t="shared" ca="1" si="119"/>
        <v>0</v>
      </c>
      <c r="N57" s="68"/>
      <c r="O57" s="38"/>
      <c r="P57" s="39"/>
      <c r="Y57" s="15">
        <f t="shared" si="96"/>
        <v>42</v>
      </c>
      <c r="Z57" s="25" t="str">
        <f t="shared" si="108"/>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109"/>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110"/>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5"/>
        <v>0</v>
      </c>
      <c r="G58" s="114">
        <f t="shared" si="116"/>
        <v>0</v>
      </c>
      <c r="H58" s="114"/>
      <c r="I58" s="114"/>
      <c r="J58" s="114">
        <f t="shared" ca="1" si="117"/>
        <v>0</v>
      </c>
      <c r="K58" s="114">
        <f t="shared" ca="1" si="118"/>
        <v>0</v>
      </c>
      <c r="L58" s="114"/>
      <c r="M58" s="114">
        <f t="shared" ca="1" si="119"/>
        <v>0</v>
      </c>
      <c r="N58" s="18"/>
      <c r="O58" s="38"/>
      <c r="P58" s="39"/>
      <c r="Y58" s="15">
        <f t="shared" si="96"/>
        <v>43</v>
      </c>
      <c r="Z58" s="25" t="str">
        <f t="shared" si="108"/>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 t="shared" si="109"/>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 t="shared" si="110"/>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5"/>
        <v>0</v>
      </c>
      <c r="G59" s="165">
        <f t="shared" si="116"/>
        <v>0</v>
      </c>
      <c r="H59" s="114"/>
      <c r="I59" s="165"/>
      <c r="J59" s="165">
        <f t="shared" ca="1" si="117"/>
        <v>0</v>
      </c>
      <c r="K59" s="165">
        <f t="shared" ca="1" si="118"/>
        <v>0</v>
      </c>
      <c r="L59" s="114"/>
      <c r="M59" s="165">
        <f t="shared" ca="1" si="119"/>
        <v>0</v>
      </c>
      <c r="N59" s="68"/>
      <c r="O59" s="38"/>
      <c r="P59" s="39"/>
      <c r="Y59" s="15">
        <f>B62</f>
        <v>0</v>
      </c>
      <c r="Z59" s="25" t="str">
        <f t="shared" si="108"/>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 t="shared" si="109"/>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 t="shared" si="110"/>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5"/>
        <v>0</v>
      </c>
      <c r="G60" s="114">
        <f t="shared" si="116"/>
        <v>0</v>
      </c>
      <c r="H60" s="114"/>
      <c r="I60" s="114"/>
      <c r="J60" s="114">
        <f t="shared" ca="1" si="117"/>
        <v>0</v>
      </c>
      <c r="K60" s="114">
        <f t="shared" ca="1" si="118"/>
        <v>0</v>
      </c>
      <c r="L60" s="114"/>
      <c r="M60" s="114">
        <f t="shared" ca="1" si="119"/>
        <v>0</v>
      </c>
      <c r="N60" s="18"/>
      <c r="O60" s="38"/>
      <c r="P60" s="39"/>
      <c r="Y60" s="15"/>
      <c r="Z60" s="25" t="str">
        <f t="shared" si="108"/>
        <v xml:space="preserve">Fonds du soutien à la Promotion Pétrolière </v>
      </c>
      <c r="AA60" s="16">
        <f>SUM(AA61:AA64)</f>
        <v>0</v>
      </c>
      <c r="AB60" s="16">
        <f t="shared" ref="AB60:AJ60" si="120">SUM(AB61:AB64)</f>
        <v>0</v>
      </c>
      <c r="AC60" s="16">
        <f t="shared" si="120"/>
        <v>0</v>
      </c>
      <c r="AD60" s="16">
        <f t="shared" si="120"/>
        <v>0</v>
      </c>
      <c r="AE60" s="16">
        <f t="shared" si="120"/>
        <v>0</v>
      </c>
      <c r="AF60" s="16">
        <f t="shared" si="120"/>
        <v>0</v>
      </c>
      <c r="AG60" s="16">
        <f t="shared" si="120"/>
        <v>0</v>
      </c>
      <c r="AH60" s="16">
        <f t="shared" si="120"/>
        <v>0</v>
      </c>
      <c r="AI60" s="16">
        <f t="shared" si="120"/>
        <v>0</v>
      </c>
      <c r="AJ60" s="16">
        <f t="shared" si="120"/>
        <v>0</v>
      </c>
      <c r="AL60" s="17"/>
      <c r="AM60" s="26" t="str">
        <f t="shared" si="109"/>
        <v xml:space="preserve">Fonds du soutien à la Promotion Pétrolière </v>
      </c>
      <c r="AN60" s="18">
        <f t="shared" ref="AN60:AV60" si="121">SUM(AN61:AN64)</f>
        <v>0</v>
      </c>
      <c r="AO60" s="18">
        <f t="shared" si="121"/>
        <v>0</v>
      </c>
      <c r="AP60" s="18">
        <f t="shared" si="121"/>
        <v>0</v>
      </c>
      <c r="AQ60" s="18">
        <f t="shared" si="121"/>
        <v>0</v>
      </c>
      <c r="AR60" s="18">
        <f t="shared" si="121"/>
        <v>0</v>
      </c>
      <c r="AS60" s="18">
        <f t="shared" si="121"/>
        <v>0</v>
      </c>
      <c r="AT60" s="18">
        <f t="shared" si="121"/>
        <v>0</v>
      </c>
      <c r="AU60" s="18">
        <f t="shared" si="121"/>
        <v>0</v>
      </c>
      <c r="AV60" s="18">
        <f t="shared" si="121"/>
        <v>0</v>
      </c>
      <c r="AW60" s="18"/>
      <c r="AX60" s="17"/>
      <c r="AY60" s="26" t="str">
        <f t="shared" si="110"/>
        <v xml:space="preserve">Fonds du soutien à la Promotion Pétrolière </v>
      </c>
      <c r="AZ60" s="18">
        <f t="shared" ref="AZ60:BK60" ca="1" si="122">SUM(AZ61:AZ64)</f>
        <v>0</v>
      </c>
      <c r="BA60" s="18">
        <f t="shared" ca="1" si="122"/>
        <v>0</v>
      </c>
      <c r="BB60" s="18">
        <f t="shared" ca="1" si="122"/>
        <v>0</v>
      </c>
      <c r="BC60" s="18">
        <f t="shared" ca="1" si="122"/>
        <v>0</v>
      </c>
      <c r="BD60" s="18">
        <f t="shared" ca="1" si="122"/>
        <v>0</v>
      </c>
      <c r="BE60" s="18">
        <f t="shared" ca="1" si="122"/>
        <v>0</v>
      </c>
      <c r="BF60" s="18">
        <f t="shared" ca="1" si="122"/>
        <v>0</v>
      </c>
      <c r="BG60" s="18">
        <f t="shared" ca="1" si="122"/>
        <v>0</v>
      </c>
      <c r="BH60" s="18">
        <f t="shared" ca="1" si="122"/>
        <v>0</v>
      </c>
      <c r="BI60" s="18">
        <f t="shared" ca="1" si="122"/>
        <v>0</v>
      </c>
      <c r="BJ60" s="18">
        <f t="shared" ca="1" si="122"/>
        <v>0</v>
      </c>
      <c r="BK60" s="18">
        <f t="shared" ca="1" si="122"/>
        <v>0</v>
      </c>
    </row>
    <row r="61" spans="1:63">
      <c r="A61" s="80"/>
      <c r="B61" s="64">
        <f>+'Taxes RCA 2022'!A54</f>
        <v>43</v>
      </c>
      <c r="C61" s="68" t="str">
        <f>+'Taxes RCA 2022'!B54</f>
        <v xml:space="preserve">Autres transferts au profit des communes </v>
      </c>
      <c r="E61" s="165"/>
      <c r="F61" s="165">
        <f t="shared" si="115"/>
        <v>0</v>
      </c>
      <c r="G61" s="165">
        <f t="shared" si="116"/>
        <v>0</v>
      </c>
      <c r="H61" s="114"/>
      <c r="I61" s="165"/>
      <c r="J61" s="165">
        <f t="shared" ca="1" si="117"/>
        <v>0</v>
      </c>
      <c r="K61" s="165">
        <f t="shared" ca="1" si="118"/>
        <v>0</v>
      </c>
      <c r="L61" s="114"/>
      <c r="M61" s="165">
        <f t="shared" ca="1" si="119"/>
        <v>0</v>
      </c>
      <c r="N61" s="68"/>
      <c r="O61" s="38"/>
      <c r="P61" s="39"/>
      <c r="Y61" s="15">
        <f>B64</f>
        <v>45</v>
      </c>
      <c r="Z61" s="25" t="str">
        <f t="shared" si="108"/>
        <v>Fonds de Soutien aux projets de Développement Communautaire</v>
      </c>
      <c r="AA61" s="16">
        <f t="shared" ref="AA61:AI61" si="123">SUMPRODUCT(($A$84:$A$751=$Y61&amp;"- "&amp;$Z61)*($C$84:$C$751=AA$1)*($G$84:$G$751))</f>
        <v>0</v>
      </c>
      <c r="AB61" s="16">
        <f t="shared" si="123"/>
        <v>0</v>
      </c>
      <c r="AC61" s="16">
        <f t="shared" si="123"/>
        <v>0</v>
      </c>
      <c r="AD61" s="16">
        <f t="shared" si="123"/>
        <v>0</v>
      </c>
      <c r="AE61" s="16">
        <f t="shared" si="123"/>
        <v>0</v>
      </c>
      <c r="AF61" s="16">
        <f t="shared" si="123"/>
        <v>0</v>
      </c>
      <c r="AG61" s="16">
        <f t="shared" si="123"/>
        <v>0</v>
      </c>
      <c r="AH61" s="16">
        <f t="shared" si="123"/>
        <v>0</v>
      </c>
      <c r="AI61" s="16">
        <f t="shared" si="123"/>
        <v>0</v>
      </c>
      <c r="AJ61" s="16">
        <f>SUM(AA61:AI61)</f>
        <v>0</v>
      </c>
      <c r="AL61" s="17">
        <f>+B64</f>
        <v>45</v>
      </c>
      <c r="AM61" s="26" t="str">
        <f t="shared" si="109"/>
        <v>Fonds de Soutien aux projets de Développement Communautaire</v>
      </c>
      <c r="AN61" s="18">
        <f t="shared" ref="AN61:AU61" si="124">SUMPRODUCT(($J$84:$M$746=$AL61&amp;"- "&amp;$AM61)*($N$84:$N$746=AN$1)*($Q$84:$Q$746))</f>
        <v>0</v>
      </c>
      <c r="AO61" s="18">
        <f t="shared" si="124"/>
        <v>0</v>
      </c>
      <c r="AP61" s="18">
        <f t="shared" si="124"/>
        <v>0</v>
      </c>
      <c r="AQ61" s="18">
        <f t="shared" si="124"/>
        <v>0</v>
      </c>
      <c r="AR61" s="18">
        <f t="shared" si="124"/>
        <v>0</v>
      </c>
      <c r="AS61" s="18">
        <f t="shared" si="124"/>
        <v>0</v>
      </c>
      <c r="AT61" s="18">
        <f t="shared" si="124"/>
        <v>0</v>
      </c>
      <c r="AU61" s="18">
        <f t="shared" si="124"/>
        <v>0</v>
      </c>
      <c r="AV61" s="18">
        <f>SUM(AN61:AU61)</f>
        <v>0</v>
      </c>
      <c r="AW61" s="18"/>
      <c r="AX61" s="17">
        <f>B64</f>
        <v>45</v>
      </c>
      <c r="AY61" s="26" t="str">
        <f t="shared" si="110"/>
        <v>Fonds de Soutien aux projets de Développement Communautaire</v>
      </c>
      <c r="AZ61" s="18">
        <f t="shared" ref="AZ61:BK61" ca="1" si="125">SUMPRODUCT(($C$10:$C$75=$AY61)*($N$10:$N$75=AZ$1)*($M$10:$M$75))</f>
        <v>0</v>
      </c>
      <c r="BA61" s="18">
        <f t="shared" ca="1" si="125"/>
        <v>0</v>
      </c>
      <c r="BB61" s="18">
        <f t="shared" ca="1" si="125"/>
        <v>0</v>
      </c>
      <c r="BC61" s="18">
        <f t="shared" ca="1" si="125"/>
        <v>0</v>
      </c>
      <c r="BD61" s="18">
        <f t="shared" ca="1" si="125"/>
        <v>0</v>
      </c>
      <c r="BE61" s="18">
        <f t="shared" ca="1" si="125"/>
        <v>0</v>
      </c>
      <c r="BF61" s="18">
        <f t="shared" ca="1" si="125"/>
        <v>0</v>
      </c>
      <c r="BG61" s="18">
        <f t="shared" ca="1" si="125"/>
        <v>0</v>
      </c>
      <c r="BH61" s="18">
        <f t="shared" ca="1" si="125"/>
        <v>0</v>
      </c>
      <c r="BI61" s="18">
        <f t="shared" ca="1" si="125"/>
        <v>0</v>
      </c>
      <c r="BJ61" s="18">
        <f t="shared" ca="1" si="125"/>
        <v>0</v>
      </c>
      <c r="BK61" s="18">
        <f t="shared" ca="1" si="125"/>
        <v>0</v>
      </c>
    </row>
    <row r="62" spans="1:63">
      <c r="A62" s="80"/>
      <c r="B62" s="163"/>
      <c r="C62" s="58" t="str">
        <f>+'Taxes RCA 2022'!B55</f>
        <v>DGTCP (DGP)</v>
      </c>
      <c r="E62" s="166">
        <f>+E64+E63</f>
        <v>0</v>
      </c>
      <c r="F62" s="166">
        <f t="shared" ref="F62:G62" si="126">+F64+F63</f>
        <v>0</v>
      </c>
      <c r="G62" s="166">
        <f t="shared" si="126"/>
        <v>0</v>
      </c>
      <c r="H62" s="114"/>
      <c r="I62" s="166">
        <f>+I64+I63</f>
        <v>0</v>
      </c>
      <c r="J62" s="166">
        <f t="shared" ref="J62" si="127">+J64+J63</f>
        <v>0</v>
      </c>
      <c r="K62" s="166">
        <f t="shared" ref="K62" si="128">+K64+K63</f>
        <v>0</v>
      </c>
      <c r="L62" s="114"/>
      <c r="M62" s="166">
        <f t="shared" ref="M62" si="129">+M64+M63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SUMIF($J$84:$J$97,C63,$Q$84:$Q$97)</f>
        <v>0</v>
      </c>
      <c r="K63" s="114">
        <f>I63+J63</f>
        <v>0</v>
      </c>
      <c r="L63" s="114"/>
      <c r="M63" s="114">
        <f>+G63-K63</f>
        <v>0</v>
      </c>
      <c r="N63" s="18"/>
      <c r="O63" s="38" t="str">
        <f t="shared" si="46"/>
        <v/>
      </c>
      <c r="P63" s="39"/>
      <c r="Q63" s="23"/>
      <c r="Y63" s="15">
        <f>B65</f>
        <v>0</v>
      </c>
      <c r="Z63" s="25" t="str">
        <f>C65</f>
        <v xml:space="preserve">Paiements Sociaux </v>
      </c>
      <c r="AA63" s="16">
        <f t="shared" ref="AA63:AI64" si="130">SUMPRODUCT(($A$84:$A$751=$Y63&amp;"- "&amp;$Z63)*($C$84:$C$751=AA$1)*($G$84:$G$751))</f>
        <v>0</v>
      </c>
      <c r="AB63" s="16">
        <f t="shared" si="130"/>
        <v>0</v>
      </c>
      <c r="AC63" s="16">
        <f t="shared" si="130"/>
        <v>0</v>
      </c>
      <c r="AD63" s="16">
        <f t="shared" si="130"/>
        <v>0</v>
      </c>
      <c r="AE63" s="16">
        <f t="shared" si="130"/>
        <v>0</v>
      </c>
      <c r="AF63" s="16">
        <f t="shared" si="130"/>
        <v>0</v>
      </c>
      <c r="AG63" s="16">
        <f t="shared" si="130"/>
        <v>0</v>
      </c>
      <c r="AH63" s="16">
        <f t="shared" si="130"/>
        <v>0</v>
      </c>
      <c r="AI63" s="16">
        <f t="shared" si="130"/>
        <v>0</v>
      </c>
      <c r="AJ63" s="16">
        <f>SUM(AA63:AI63)</f>
        <v>0</v>
      </c>
      <c r="AL63" s="17">
        <f>+B65</f>
        <v>0</v>
      </c>
      <c r="AM63" s="26" t="str">
        <f>+C65</f>
        <v xml:space="preserve">Paiements Sociaux </v>
      </c>
      <c r="AN63" s="18">
        <f t="shared" ref="AN63:AU64" si="131">SUMPRODUCT(($J$84:$M$746=$AL63&amp;"- "&amp;$AM63)*($N$84:$N$746=AN$1)*($Q$84:$Q$746))</f>
        <v>0</v>
      </c>
      <c r="AO63" s="18">
        <f t="shared" si="131"/>
        <v>0</v>
      </c>
      <c r="AP63" s="18">
        <f t="shared" si="131"/>
        <v>0</v>
      </c>
      <c r="AQ63" s="18">
        <f t="shared" si="131"/>
        <v>0</v>
      </c>
      <c r="AR63" s="18">
        <f t="shared" si="131"/>
        <v>0</v>
      </c>
      <c r="AS63" s="18">
        <f t="shared" si="131"/>
        <v>0</v>
      </c>
      <c r="AT63" s="18">
        <f t="shared" si="131"/>
        <v>0</v>
      </c>
      <c r="AU63" s="18">
        <f t="shared" si="131"/>
        <v>0</v>
      </c>
      <c r="AV63" s="18">
        <f>SUM(AN63:AU63)</f>
        <v>0</v>
      </c>
      <c r="AW63" s="18"/>
      <c r="AX63" s="17">
        <f>B65</f>
        <v>0</v>
      </c>
      <c r="AY63" s="26" t="str">
        <f>C65</f>
        <v xml:space="preserve">Paiements Sociaux </v>
      </c>
      <c r="AZ63" s="18">
        <f t="shared" ref="AZ63:BK64" ca="1" si="132">SUMPRODUCT(($C$10:$C$75=$AY63)*($N$10:$N$75=AZ$1)*($M$10:$M$75))</f>
        <v>0</v>
      </c>
      <c r="BA63" s="18">
        <f t="shared" ca="1" si="132"/>
        <v>0</v>
      </c>
      <c r="BB63" s="18">
        <f t="shared" ca="1" si="132"/>
        <v>0</v>
      </c>
      <c r="BC63" s="18">
        <f t="shared" ca="1" si="132"/>
        <v>0</v>
      </c>
      <c r="BD63" s="18">
        <f t="shared" ca="1" si="132"/>
        <v>0</v>
      </c>
      <c r="BE63" s="18">
        <f t="shared" ca="1" si="132"/>
        <v>0</v>
      </c>
      <c r="BF63" s="18">
        <f t="shared" ca="1" si="132"/>
        <v>0</v>
      </c>
      <c r="BG63" s="18">
        <f t="shared" ca="1" si="132"/>
        <v>0</v>
      </c>
      <c r="BH63" s="18">
        <f t="shared" ca="1" si="132"/>
        <v>0</v>
      </c>
      <c r="BI63" s="18">
        <f t="shared" ca="1" si="132"/>
        <v>0</v>
      </c>
      <c r="BJ63" s="18">
        <f t="shared" ca="1" si="132"/>
        <v>0</v>
      </c>
      <c r="BK63" s="18">
        <f t="shared" ca="1" si="132"/>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SUMIF($J$84:$J$97,C64,$Q$84:$Q$97)</f>
        <v>0</v>
      </c>
      <c r="K64" s="165">
        <f>I64+J64</f>
        <v>0</v>
      </c>
      <c r="L64" s="114"/>
      <c r="M64" s="165">
        <f>+G64-K64</f>
        <v>0</v>
      </c>
      <c r="N64" s="68"/>
      <c r="O64" s="38" t="str">
        <f t="shared" si="46"/>
        <v/>
      </c>
      <c r="P64" s="39" t="str">
        <f>IF(O64="ERROR","Please insert comment","")</f>
        <v/>
      </c>
      <c r="Y64" s="15">
        <f>B66</f>
        <v>46</v>
      </c>
      <c r="Z64" s="25" t="str">
        <f>C66</f>
        <v>Paiements sociaux obligatoires</v>
      </c>
      <c r="AA64" s="16">
        <f t="shared" si="130"/>
        <v>0</v>
      </c>
      <c r="AB64" s="16">
        <f t="shared" si="130"/>
        <v>0</v>
      </c>
      <c r="AC64" s="16">
        <f t="shared" si="130"/>
        <v>0</v>
      </c>
      <c r="AD64" s="16">
        <f t="shared" si="130"/>
        <v>0</v>
      </c>
      <c r="AE64" s="16">
        <f t="shared" si="130"/>
        <v>0</v>
      </c>
      <c r="AF64" s="16">
        <f t="shared" si="130"/>
        <v>0</v>
      </c>
      <c r="AG64" s="16">
        <f t="shared" si="130"/>
        <v>0</v>
      </c>
      <c r="AH64" s="16">
        <f t="shared" si="130"/>
        <v>0</v>
      </c>
      <c r="AI64" s="16">
        <f t="shared" si="130"/>
        <v>0</v>
      </c>
      <c r="AJ64" s="16">
        <f>SUM(AA64:AI64)</f>
        <v>0</v>
      </c>
      <c r="AL64" s="17">
        <f>+B66</f>
        <v>46</v>
      </c>
      <c r="AM64" s="26" t="str">
        <f>+C66</f>
        <v>Paiements sociaux obligatoires</v>
      </c>
      <c r="AN64" s="18">
        <f t="shared" si="131"/>
        <v>0</v>
      </c>
      <c r="AO64" s="18">
        <f t="shared" si="131"/>
        <v>0</v>
      </c>
      <c r="AP64" s="18">
        <f t="shared" si="131"/>
        <v>0</v>
      </c>
      <c r="AQ64" s="18">
        <f t="shared" si="131"/>
        <v>0</v>
      </c>
      <c r="AR64" s="18">
        <f t="shared" si="131"/>
        <v>0</v>
      </c>
      <c r="AS64" s="18">
        <f t="shared" si="131"/>
        <v>0</v>
      </c>
      <c r="AT64" s="18">
        <f t="shared" si="131"/>
        <v>0</v>
      </c>
      <c r="AU64" s="18">
        <f t="shared" si="131"/>
        <v>0</v>
      </c>
      <c r="AV64" s="18">
        <f>SUM(AN64:AU64)</f>
        <v>0</v>
      </c>
      <c r="AW64" s="38"/>
      <c r="AX64" s="17">
        <f>B66</f>
        <v>46</v>
      </c>
      <c r="AY64" s="26" t="str">
        <f>C66</f>
        <v>Paiements sociaux obligatoires</v>
      </c>
      <c r="AZ64" s="18">
        <f t="shared" ca="1" si="132"/>
        <v>0</v>
      </c>
      <c r="BA64" s="18">
        <f t="shared" ca="1" si="132"/>
        <v>0</v>
      </c>
      <c r="BB64" s="18">
        <f t="shared" ca="1" si="132"/>
        <v>0</v>
      </c>
      <c r="BC64" s="18">
        <f t="shared" ca="1" si="132"/>
        <v>0</v>
      </c>
      <c r="BD64" s="18">
        <f t="shared" ca="1" si="132"/>
        <v>0</v>
      </c>
      <c r="BE64" s="18">
        <f t="shared" ca="1" si="132"/>
        <v>0</v>
      </c>
      <c r="BF64" s="18">
        <f t="shared" ca="1" si="132"/>
        <v>0</v>
      </c>
      <c r="BG64" s="18">
        <f t="shared" ca="1" si="132"/>
        <v>0</v>
      </c>
      <c r="BH64" s="18">
        <f t="shared" ca="1" si="132"/>
        <v>0</v>
      </c>
      <c r="BI64" s="18">
        <f t="shared" ca="1" si="132"/>
        <v>0</v>
      </c>
      <c r="BJ64" s="18">
        <f t="shared" ca="1" si="132"/>
        <v>0</v>
      </c>
      <c r="BK64" s="18">
        <f t="shared" ca="1" si="132"/>
        <v>0</v>
      </c>
    </row>
    <row r="65" spans="1:64">
      <c r="A65" s="80">
        <f t="shared" si="29"/>
        <v>0</v>
      </c>
      <c r="B65" s="163"/>
      <c r="C65" s="58" t="str">
        <f>+'Taxes RCA 2022'!B58</f>
        <v xml:space="preserve">Paiements Sociaux </v>
      </c>
      <c r="E65" s="166">
        <f>+E67+E66</f>
        <v>0</v>
      </c>
      <c r="F65" s="166">
        <f t="shared" ref="F65:G65" si="133">+F67+F66</f>
        <v>0</v>
      </c>
      <c r="G65" s="166">
        <f t="shared" si="133"/>
        <v>0</v>
      </c>
      <c r="H65" s="114"/>
      <c r="I65" s="166">
        <f>+I67+I66</f>
        <v>0</v>
      </c>
      <c r="J65" s="166">
        <f t="shared" ref="J65" ca="1" si="134">+J67+J66</f>
        <v>0</v>
      </c>
      <c r="K65" s="166">
        <f t="shared" ref="K65" ca="1" si="135">+K67+K66</f>
        <v>0</v>
      </c>
      <c r="L65" s="114"/>
      <c r="M65" s="166">
        <f t="shared" ref="M65" ca="1" si="136">+M67+M66</f>
        <v>0</v>
      </c>
      <c r="N65" s="58"/>
      <c r="O65" s="38" t="str">
        <f t="shared" ca="1" si="46"/>
        <v/>
      </c>
      <c r="P65" s="39" t="str">
        <f ca="1">IF(O65="ERROR","Please insert comment","")</f>
        <v/>
      </c>
      <c r="Y65" s="15"/>
      <c r="Z65" s="25" t="str">
        <f t="shared" ref="Z65:Z73" si="137">C67</f>
        <v>Paiements sociaux volontaires</v>
      </c>
      <c r="AA65" s="16">
        <f>SUM(AA66:AA67)</f>
        <v>0</v>
      </c>
      <c r="AB65" s="16">
        <f t="shared" ref="AB65:AJ65" si="138">SUM(AB66:AB67)</f>
        <v>0</v>
      </c>
      <c r="AC65" s="16">
        <f t="shared" si="138"/>
        <v>0</v>
      </c>
      <c r="AD65" s="16">
        <f t="shared" si="138"/>
        <v>0</v>
      </c>
      <c r="AE65" s="16">
        <f t="shared" si="138"/>
        <v>0</v>
      </c>
      <c r="AF65" s="16">
        <f t="shared" si="138"/>
        <v>0</v>
      </c>
      <c r="AG65" s="16">
        <f t="shared" si="138"/>
        <v>0</v>
      </c>
      <c r="AH65" s="16">
        <f t="shared" si="138"/>
        <v>0</v>
      </c>
      <c r="AI65" s="16">
        <f t="shared" si="138"/>
        <v>0</v>
      </c>
      <c r="AJ65" s="16">
        <f t="shared" si="138"/>
        <v>0</v>
      </c>
      <c r="AL65" s="17"/>
      <c r="AM65" s="26" t="str">
        <f t="shared" ref="AM65:AM73" si="139">+C67</f>
        <v>Paiements sociaux volontaires</v>
      </c>
      <c r="AN65" s="18">
        <f>SUM(AN66:AN67)</f>
        <v>0</v>
      </c>
      <c r="AO65" s="18">
        <f t="shared" ref="AO65:AV65" si="140">SUM(AO66:AO67)</f>
        <v>0</v>
      </c>
      <c r="AP65" s="18">
        <f t="shared" si="140"/>
        <v>0</v>
      </c>
      <c r="AQ65" s="18">
        <f t="shared" si="140"/>
        <v>0</v>
      </c>
      <c r="AR65" s="18">
        <f t="shared" si="140"/>
        <v>0</v>
      </c>
      <c r="AS65" s="18">
        <f t="shared" si="140"/>
        <v>0</v>
      </c>
      <c r="AT65" s="18">
        <f t="shared" si="140"/>
        <v>0</v>
      </c>
      <c r="AU65" s="18">
        <f t="shared" si="140"/>
        <v>0</v>
      </c>
      <c r="AV65" s="18">
        <f t="shared" si="140"/>
        <v>0</v>
      </c>
      <c r="AW65" s="18"/>
      <c r="AX65" s="17"/>
      <c r="AY65" s="26" t="str">
        <f t="shared" ref="AY65:AY73" si="141">C67</f>
        <v>Paiements sociaux volontaires</v>
      </c>
      <c r="AZ65" s="18">
        <f ca="1">SUM(AZ66:AZ67)</f>
        <v>0</v>
      </c>
      <c r="BA65" s="18">
        <f t="shared" ref="BA65:BK65" ca="1" si="142">SUM(BA66:BA67)</f>
        <v>0</v>
      </c>
      <c r="BB65" s="18">
        <f t="shared" ca="1" si="142"/>
        <v>0</v>
      </c>
      <c r="BC65" s="18">
        <f t="shared" ca="1" si="142"/>
        <v>0</v>
      </c>
      <c r="BD65" s="18">
        <f t="shared" ca="1" si="142"/>
        <v>0</v>
      </c>
      <c r="BE65" s="18">
        <f t="shared" ca="1" si="142"/>
        <v>0</v>
      </c>
      <c r="BF65" s="18">
        <f t="shared" ca="1" si="142"/>
        <v>0</v>
      </c>
      <c r="BG65" s="18">
        <f t="shared" ca="1" si="142"/>
        <v>0</v>
      </c>
      <c r="BH65" s="18">
        <f t="shared" ca="1" si="142"/>
        <v>0</v>
      </c>
      <c r="BI65" s="18">
        <f t="shared" ca="1" si="142"/>
        <v>0</v>
      </c>
      <c r="BJ65" s="18">
        <f t="shared" ca="1" si="142"/>
        <v>0</v>
      </c>
      <c r="BK65" s="18">
        <f t="shared" ca="1" si="142"/>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SUMIF($J$84:$M$747,B66&amp;"- "&amp;C66,$Q$84:$Q$747)</f>
        <v>0</v>
      </c>
      <c r="K66" s="114">
        <f ca="1">I66+J66</f>
        <v>0</v>
      </c>
      <c r="L66" s="114"/>
      <c r="M66" s="114">
        <f ca="1">+G66-K66</f>
        <v>0</v>
      </c>
      <c r="N66" s="18"/>
      <c r="O66" s="38" t="str">
        <f t="shared" ca="1" si="46"/>
        <v/>
      </c>
      <c r="P66" s="39" t="str">
        <f ca="1">IF(O66="ERROR","Please insert comment","")</f>
        <v/>
      </c>
      <c r="Y66" s="15">
        <f>B68</f>
        <v>0</v>
      </c>
      <c r="Z66" s="25" t="str">
        <f t="shared" si="137"/>
        <v>Paiements environnementaux - DGTCP (FNE)</v>
      </c>
      <c r="AA66" s="16">
        <f t="shared" ref="AA66:AI67" si="143">SUMPRODUCT(($A$84:$A$751=$Y66&amp;"- "&amp;$Z66)*($C$84:$C$751=AA$1)*($G$84:$G$751))</f>
        <v>0</v>
      </c>
      <c r="AB66" s="16">
        <f t="shared" si="143"/>
        <v>0</v>
      </c>
      <c r="AC66" s="16">
        <f t="shared" si="143"/>
        <v>0</v>
      </c>
      <c r="AD66" s="16">
        <f t="shared" si="143"/>
        <v>0</v>
      </c>
      <c r="AE66" s="16">
        <f t="shared" si="143"/>
        <v>0</v>
      </c>
      <c r="AF66" s="16">
        <f t="shared" si="143"/>
        <v>0</v>
      </c>
      <c r="AG66" s="16">
        <f t="shared" si="143"/>
        <v>0</v>
      </c>
      <c r="AH66" s="16">
        <f t="shared" si="143"/>
        <v>0</v>
      </c>
      <c r="AI66" s="16">
        <f t="shared" si="143"/>
        <v>0</v>
      </c>
      <c r="AJ66" s="16">
        <f>SUM(AA66:AI66)</f>
        <v>0</v>
      </c>
      <c r="AL66" s="17">
        <f>+B68</f>
        <v>0</v>
      </c>
      <c r="AM66" s="26" t="str">
        <f t="shared" si="139"/>
        <v>Paiements environnementaux - DGTCP (FNE)</v>
      </c>
      <c r="AN66" s="18">
        <f t="shared" ref="AN66:AU67" si="144">SUMPRODUCT(($J$84:$M$746=$AL66&amp;"- "&amp;$AM66)*($N$84:$N$746=AN$1)*($Q$84:$Q$746))</f>
        <v>0</v>
      </c>
      <c r="AO66" s="18">
        <f t="shared" si="144"/>
        <v>0</v>
      </c>
      <c r="AP66" s="18">
        <f t="shared" si="144"/>
        <v>0</v>
      </c>
      <c r="AQ66" s="18">
        <f t="shared" si="144"/>
        <v>0</v>
      </c>
      <c r="AR66" s="18">
        <f t="shared" si="144"/>
        <v>0</v>
      </c>
      <c r="AS66" s="18">
        <f t="shared" si="144"/>
        <v>0</v>
      </c>
      <c r="AT66" s="18">
        <f t="shared" si="144"/>
        <v>0</v>
      </c>
      <c r="AU66" s="18">
        <f t="shared" si="144"/>
        <v>0</v>
      </c>
      <c r="AV66" s="18">
        <f>SUM(AN66:AU66)</f>
        <v>0</v>
      </c>
      <c r="AW66" s="18"/>
      <c r="AX66" s="17">
        <f>B68</f>
        <v>0</v>
      </c>
      <c r="AY66" s="26" t="str">
        <f t="shared" si="141"/>
        <v>Paiements environnementaux - DGTCP (FNE)</v>
      </c>
      <c r="AZ66" s="18">
        <f t="shared" ref="AZ66:BK67" ca="1" si="145">SUMPRODUCT(($C$10:$C$75=$AY66)*($N$10:$N$75=AZ$1)*($M$10:$M$75))</f>
        <v>0</v>
      </c>
      <c r="BA66" s="18">
        <f t="shared" ca="1" si="145"/>
        <v>0</v>
      </c>
      <c r="BB66" s="18">
        <f t="shared" ca="1" si="145"/>
        <v>0</v>
      </c>
      <c r="BC66" s="18">
        <f t="shared" ca="1" si="145"/>
        <v>0</v>
      </c>
      <c r="BD66" s="18">
        <f t="shared" ca="1" si="145"/>
        <v>0</v>
      </c>
      <c r="BE66" s="18">
        <f t="shared" ca="1" si="145"/>
        <v>0</v>
      </c>
      <c r="BF66" s="18">
        <f t="shared" ca="1" si="145"/>
        <v>0</v>
      </c>
      <c r="BG66" s="18">
        <f t="shared" ca="1" si="145"/>
        <v>0</v>
      </c>
      <c r="BH66" s="18">
        <f t="shared" ca="1" si="145"/>
        <v>0</v>
      </c>
      <c r="BI66" s="18">
        <f t="shared" ca="1" si="145"/>
        <v>0</v>
      </c>
      <c r="BJ66" s="18">
        <f t="shared" ca="1" si="145"/>
        <v>0</v>
      </c>
      <c r="BK66" s="18">
        <f t="shared" ca="1" si="145"/>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SUMIF($J$84:$M$747,B67&amp;"- "&amp;C67,$Q$84:$Q$747)</f>
        <v>0</v>
      </c>
      <c r="K67" s="165">
        <f ca="1">I67+J67</f>
        <v>0</v>
      </c>
      <c r="L67" s="114"/>
      <c r="M67" s="165">
        <f ca="1">+G67-K67</f>
        <v>0</v>
      </c>
      <c r="N67" s="68"/>
      <c r="O67" s="38"/>
      <c r="P67" s="39"/>
      <c r="Y67" s="15">
        <f>B69</f>
        <v>48</v>
      </c>
      <c r="Z67" s="25" t="str">
        <f t="shared" si="137"/>
        <v>Taxes sur les appareils à pression de vapeur et de gaz (+)</v>
      </c>
      <c r="AA67" s="16">
        <f t="shared" si="143"/>
        <v>0</v>
      </c>
      <c r="AB67" s="16">
        <f t="shared" si="143"/>
        <v>0</v>
      </c>
      <c r="AC67" s="16">
        <f t="shared" si="143"/>
        <v>0</v>
      </c>
      <c r="AD67" s="16">
        <f t="shared" si="143"/>
        <v>0</v>
      </c>
      <c r="AE67" s="16">
        <f t="shared" si="143"/>
        <v>0</v>
      </c>
      <c r="AF67" s="16">
        <f t="shared" si="143"/>
        <v>0</v>
      </c>
      <c r="AG67" s="16">
        <f t="shared" si="143"/>
        <v>0</v>
      </c>
      <c r="AH67" s="16">
        <f t="shared" si="143"/>
        <v>0</v>
      </c>
      <c r="AI67" s="16">
        <f t="shared" si="143"/>
        <v>0</v>
      </c>
      <c r="AJ67" s="16">
        <f>SUM(AA67:AI67)</f>
        <v>0</v>
      </c>
      <c r="AL67" s="17">
        <f>+B69</f>
        <v>48</v>
      </c>
      <c r="AM67" s="26" t="str">
        <f t="shared" si="139"/>
        <v>Taxes sur les appareils à pression de vapeur et de gaz (+)</v>
      </c>
      <c r="AN67" s="18">
        <f t="shared" si="144"/>
        <v>0</v>
      </c>
      <c r="AO67" s="18">
        <f t="shared" si="144"/>
        <v>0</v>
      </c>
      <c r="AP67" s="18">
        <f t="shared" si="144"/>
        <v>0</v>
      </c>
      <c r="AQ67" s="18">
        <f t="shared" si="144"/>
        <v>0</v>
      </c>
      <c r="AR67" s="18">
        <f t="shared" si="144"/>
        <v>0</v>
      </c>
      <c r="AS67" s="18">
        <f t="shared" si="144"/>
        <v>0</v>
      </c>
      <c r="AT67" s="18">
        <f t="shared" si="144"/>
        <v>0</v>
      </c>
      <c r="AU67" s="18">
        <f t="shared" si="144"/>
        <v>0</v>
      </c>
      <c r="AV67" s="18">
        <f>SUM(AN67:AU67)</f>
        <v>0</v>
      </c>
      <c r="AW67" s="18"/>
      <c r="AX67" s="17">
        <f>B69</f>
        <v>48</v>
      </c>
      <c r="AY67" s="26" t="str">
        <f t="shared" si="141"/>
        <v>Taxes sur les appareils à pression de vapeur et de gaz (+)</v>
      </c>
      <c r="AZ67" s="18">
        <f t="shared" ca="1" si="145"/>
        <v>0</v>
      </c>
      <c r="BA67" s="18">
        <f t="shared" ca="1" si="145"/>
        <v>0</v>
      </c>
      <c r="BB67" s="18">
        <f t="shared" ca="1" si="145"/>
        <v>0</v>
      </c>
      <c r="BC67" s="18">
        <f t="shared" ca="1" si="145"/>
        <v>0</v>
      </c>
      <c r="BD67" s="18">
        <f t="shared" ca="1" si="145"/>
        <v>0</v>
      </c>
      <c r="BE67" s="18">
        <f t="shared" ca="1" si="145"/>
        <v>0</v>
      </c>
      <c r="BF67" s="18">
        <f t="shared" ca="1" si="145"/>
        <v>0</v>
      </c>
      <c r="BG67" s="18">
        <f t="shared" ca="1" si="145"/>
        <v>0</v>
      </c>
      <c r="BH67" s="18">
        <f t="shared" ca="1" si="145"/>
        <v>0</v>
      </c>
      <c r="BI67" s="18">
        <f t="shared" ca="1" si="145"/>
        <v>0</v>
      </c>
      <c r="BJ67" s="18">
        <f t="shared" ca="1" si="145"/>
        <v>0</v>
      </c>
      <c r="BK67" s="18">
        <f t="shared" ca="1" si="145"/>
        <v>0</v>
      </c>
    </row>
    <row r="68" spans="1:64">
      <c r="A68" s="80"/>
      <c r="B68" s="163"/>
      <c r="C68" s="58" t="str">
        <f>+'Taxes RCA 2022'!B61</f>
        <v>Paiements environnementaux - DGTCP (FNE)</v>
      </c>
      <c r="E68" s="166">
        <f>SUM(E69:E76)</f>
        <v>0</v>
      </c>
      <c r="F68" s="166">
        <f t="shared" ref="F68:G68" si="146">SUM(F69:F76)</f>
        <v>0</v>
      </c>
      <c r="G68" s="166">
        <f t="shared" si="146"/>
        <v>0</v>
      </c>
      <c r="H68" s="114"/>
      <c r="I68" s="166">
        <f>SUM(I69:I76)</f>
        <v>0</v>
      </c>
      <c r="J68" s="166">
        <f t="shared" ref="J68" ca="1" si="147">SUM(J69:J76)</f>
        <v>0</v>
      </c>
      <c r="K68" s="166">
        <f t="shared" ref="K68" ca="1" si="148">SUM(K69:K76)</f>
        <v>0</v>
      </c>
      <c r="L68" s="114"/>
      <c r="M68" s="166">
        <f t="shared" ref="M68" ca="1" si="149">SUM(M69:M76)</f>
        <v>0</v>
      </c>
      <c r="N68" s="58"/>
      <c r="O68" s="38"/>
      <c r="P68" s="39"/>
      <c r="Y68" s="28"/>
      <c r="Z68" s="28" t="str">
        <f t="shared" si="137"/>
        <v>Taxes à la pollution (+)</v>
      </c>
      <c r="AA68" s="29">
        <f>SUM(AA69:AA69)</f>
        <v>0</v>
      </c>
      <c r="AB68" s="29">
        <f t="shared" ref="AB68:AJ68" si="150">SUM(AB69:AB69)</f>
        <v>0</v>
      </c>
      <c r="AC68" s="29">
        <f t="shared" si="150"/>
        <v>0</v>
      </c>
      <c r="AD68" s="29">
        <f t="shared" si="150"/>
        <v>0</v>
      </c>
      <c r="AE68" s="29">
        <f t="shared" si="150"/>
        <v>0</v>
      </c>
      <c r="AF68" s="29">
        <f t="shared" si="150"/>
        <v>0</v>
      </c>
      <c r="AG68" s="29">
        <f t="shared" si="150"/>
        <v>0</v>
      </c>
      <c r="AH68" s="29">
        <f t="shared" si="150"/>
        <v>0</v>
      </c>
      <c r="AI68" s="29">
        <f t="shared" si="150"/>
        <v>0</v>
      </c>
      <c r="AJ68" s="29">
        <f t="shared" si="150"/>
        <v>0</v>
      </c>
      <c r="AL68" s="28"/>
      <c r="AM68" s="28" t="str">
        <f t="shared" si="139"/>
        <v>Taxes à la pollution (+)</v>
      </c>
      <c r="AN68" s="29">
        <f t="shared" ref="AN68:AV68" si="151">SUM(AN69:AN70)</f>
        <v>0</v>
      </c>
      <c r="AO68" s="29">
        <f t="shared" si="151"/>
        <v>0</v>
      </c>
      <c r="AP68" s="29">
        <f t="shared" si="151"/>
        <v>0</v>
      </c>
      <c r="AQ68" s="29">
        <f t="shared" si="151"/>
        <v>0</v>
      </c>
      <c r="AR68" s="29">
        <f t="shared" si="151"/>
        <v>0</v>
      </c>
      <c r="AS68" s="29">
        <f t="shared" si="151"/>
        <v>0</v>
      </c>
      <c r="AT68" s="29">
        <f t="shared" si="151"/>
        <v>0</v>
      </c>
      <c r="AU68" s="29">
        <f t="shared" si="151"/>
        <v>0</v>
      </c>
      <c r="AV68" s="29">
        <f t="shared" si="151"/>
        <v>0</v>
      </c>
      <c r="AW68" s="38"/>
      <c r="AX68" s="28"/>
      <c r="AY68" s="28" t="str">
        <f t="shared" si="141"/>
        <v>Taxes à la pollution (+)</v>
      </c>
      <c r="AZ68" s="29">
        <f t="shared" ref="AZ68:BK68" ca="1" si="152">SUM(AZ69:AZ70)</f>
        <v>0</v>
      </c>
      <c r="BA68" s="29">
        <f t="shared" ca="1" si="152"/>
        <v>0</v>
      </c>
      <c r="BB68" s="29">
        <f t="shared" ca="1" si="152"/>
        <v>0</v>
      </c>
      <c r="BC68" s="29">
        <f t="shared" ca="1" si="152"/>
        <v>0</v>
      </c>
      <c r="BD68" s="29">
        <f t="shared" ca="1" si="152"/>
        <v>0</v>
      </c>
      <c r="BE68" s="29">
        <f t="shared" ca="1" si="152"/>
        <v>0</v>
      </c>
      <c r="BF68" s="29">
        <f t="shared" ca="1" si="152"/>
        <v>0</v>
      </c>
      <c r="BG68" s="29">
        <f t="shared" ca="1" si="152"/>
        <v>0</v>
      </c>
      <c r="BH68" s="29">
        <f t="shared" ca="1" si="152"/>
        <v>0</v>
      </c>
      <c r="BI68" s="29">
        <f t="shared" ca="1" si="152"/>
        <v>0</v>
      </c>
      <c r="BJ68" s="29">
        <f t="shared" ca="1" si="152"/>
        <v>0</v>
      </c>
      <c r="BK68" s="29">
        <f t="shared" ca="1" si="152"/>
        <v>0</v>
      </c>
    </row>
    <row r="69" spans="1:64">
      <c r="A69" s="80"/>
      <c r="B69" s="53">
        <f>+'Taxes RCA 2022'!A62</f>
        <v>48</v>
      </c>
      <c r="C69" s="18" t="str">
        <f>+'Taxes RCA 2022'!B62</f>
        <v>Taxes sur les appareils à pression de vapeur et de gaz (+)</v>
      </c>
      <c r="E69" s="114"/>
      <c r="F69" s="114">
        <f t="shared" ref="F69:F76" si="153">SUMIF($A$84:$A$751,B69&amp;"- "&amp;C69,$G$84:$G$751)</f>
        <v>0</v>
      </c>
      <c r="G69" s="114">
        <f t="shared" ref="G69:G76" si="154">E69+F69</f>
        <v>0</v>
      </c>
      <c r="H69" s="114"/>
      <c r="I69" s="114"/>
      <c r="J69" s="114">
        <f t="shared" ref="J69:J76" ca="1" si="155">SUMIF($J$84:$M$747,B69&amp;"- "&amp;C69,$Q$84:$Q$747)</f>
        <v>0</v>
      </c>
      <c r="K69" s="114">
        <f t="shared" ref="K69:K76" ca="1" si="156">I69+J69</f>
        <v>0</v>
      </c>
      <c r="L69" s="114"/>
      <c r="M69" s="114">
        <f t="shared" ref="M69:M76" ca="1" si="157">+G69-K69</f>
        <v>0</v>
      </c>
      <c r="N69" s="18"/>
      <c r="O69" s="38"/>
      <c r="P69" s="39"/>
      <c r="Y69" s="15">
        <f>B71</f>
        <v>50</v>
      </c>
      <c r="Z69" s="25" t="str">
        <f t="shared" si="137"/>
        <v>Redevances annuelles résultant des inspections et contrôle des installations classées (+)</v>
      </c>
      <c r="AA69" s="16">
        <f t="shared" ref="AA69:AI69" si="158">SUMPRODUCT(($A$84:$A$751=$Y69&amp;"- "&amp;$Z69)*($C$84:$C$751=AA$1)*($G$84:$G$751))</f>
        <v>0</v>
      </c>
      <c r="AB69" s="16">
        <f t="shared" si="158"/>
        <v>0</v>
      </c>
      <c r="AC69" s="16">
        <f t="shared" si="158"/>
        <v>0</v>
      </c>
      <c r="AD69" s="16">
        <f t="shared" si="158"/>
        <v>0</v>
      </c>
      <c r="AE69" s="16">
        <f t="shared" si="158"/>
        <v>0</v>
      </c>
      <c r="AF69" s="16">
        <f t="shared" si="158"/>
        <v>0</v>
      </c>
      <c r="AG69" s="16">
        <f t="shared" si="158"/>
        <v>0</v>
      </c>
      <c r="AH69" s="16">
        <f t="shared" si="158"/>
        <v>0</v>
      </c>
      <c r="AI69" s="16">
        <f t="shared" si="158"/>
        <v>0</v>
      </c>
      <c r="AJ69" s="16">
        <f>SUM(AA69:AI69)</f>
        <v>0</v>
      </c>
      <c r="AL69" s="17">
        <f>+B71</f>
        <v>50</v>
      </c>
      <c r="AM69" s="26" t="str">
        <f t="shared" si="139"/>
        <v>Redevances annuelles résultant des inspections et contrôle des installations classées (+)</v>
      </c>
      <c r="AN69" s="18">
        <f t="shared" ref="AN69:AU69" si="159">SUMPRODUCT(($J$84:$M$746=$AL69&amp;"- "&amp;$AM69)*($N$84:$N$746=AN$1)*($Q$84:$Q$746))</f>
        <v>0</v>
      </c>
      <c r="AO69" s="18">
        <f t="shared" si="159"/>
        <v>0</v>
      </c>
      <c r="AP69" s="18">
        <f t="shared" si="159"/>
        <v>0</v>
      </c>
      <c r="AQ69" s="18">
        <f t="shared" si="159"/>
        <v>0</v>
      </c>
      <c r="AR69" s="18">
        <f t="shared" si="159"/>
        <v>0</v>
      </c>
      <c r="AS69" s="18">
        <f t="shared" si="159"/>
        <v>0</v>
      </c>
      <c r="AT69" s="18">
        <f t="shared" si="159"/>
        <v>0</v>
      </c>
      <c r="AU69" s="18">
        <f t="shared" si="159"/>
        <v>0</v>
      </c>
      <c r="AV69" s="18">
        <f>SUM(AN69:AU69)</f>
        <v>0</v>
      </c>
      <c r="AW69" s="18"/>
      <c r="AX69" s="17">
        <f>B71</f>
        <v>50</v>
      </c>
      <c r="AY69" s="26" t="str">
        <f t="shared" si="141"/>
        <v>Redevances annuelles résultant des inspections et contrôle des installations classées (+)</v>
      </c>
      <c r="AZ69" s="18">
        <f t="shared" ref="AZ69:BK69" ca="1" si="160">SUMPRODUCT(($C$10:$C$75=$AY69)*($N$10:$N$75=AZ$1)*($M$10:$M$75))</f>
        <v>0</v>
      </c>
      <c r="BA69" s="18">
        <f t="shared" ca="1" si="160"/>
        <v>0</v>
      </c>
      <c r="BB69" s="18">
        <f t="shared" ca="1" si="160"/>
        <v>0</v>
      </c>
      <c r="BC69" s="18">
        <f t="shared" ca="1" si="160"/>
        <v>0</v>
      </c>
      <c r="BD69" s="18">
        <f t="shared" ca="1" si="160"/>
        <v>0</v>
      </c>
      <c r="BE69" s="18">
        <f t="shared" ca="1" si="160"/>
        <v>0</v>
      </c>
      <c r="BF69" s="18">
        <f t="shared" ca="1" si="160"/>
        <v>0</v>
      </c>
      <c r="BG69" s="18">
        <f t="shared" ca="1" si="160"/>
        <v>0</v>
      </c>
      <c r="BH69" s="18">
        <f t="shared" ca="1" si="160"/>
        <v>0</v>
      </c>
      <c r="BI69" s="18">
        <f t="shared" ca="1" si="160"/>
        <v>0</v>
      </c>
      <c r="BJ69" s="18">
        <f t="shared" ca="1" si="160"/>
        <v>0</v>
      </c>
      <c r="BK69" s="18">
        <f t="shared" ca="1" si="160"/>
        <v>0</v>
      </c>
    </row>
    <row r="70" spans="1:64">
      <c r="A70" s="80">
        <f t="shared" si="29"/>
        <v>49</v>
      </c>
      <c r="B70" s="64">
        <f>+'Taxes RCA 2022'!A63</f>
        <v>49</v>
      </c>
      <c r="C70" s="68" t="str">
        <f>+'Taxes RCA 2022'!B63</f>
        <v>Taxes à la pollution (+)</v>
      </c>
      <c r="E70" s="165"/>
      <c r="F70" s="165">
        <f t="shared" si="153"/>
        <v>0</v>
      </c>
      <c r="G70" s="165">
        <f t="shared" si="154"/>
        <v>0</v>
      </c>
      <c r="H70" s="114"/>
      <c r="I70" s="165"/>
      <c r="J70" s="165">
        <f t="shared" ca="1" si="155"/>
        <v>0</v>
      </c>
      <c r="K70" s="165">
        <f t="shared" ca="1" si="156"/>
        <v>0</v>
      </c>
      <c r="L70" s="114"/>
      <c r="M70" s="165">
        <f t="shared" ca="1" si="157"/>
        <v>0</v>
      </c>
      <c r="N70" s="68"/>
      <c r="O70" s="38"/>
      <c r="P70" s="39"/>
      <c r="Y70" s="15"/>
      <c r="Z70" s="25" t="str">
        <f t="shared" si="137"/>
        <v>Taxes superficiaires encaissées par le FNE (+)</v>
      </c>
      <c r="AA70" s="16">
        <f t="shared" ref="AA70:AJ70" si="161">SUM(AA71:AA71)</f>
        <v>0</v>
      </c>
      <c r="AB70" s="16">
        <f t="shared" si="161"/>
        <v>0</v>
      </c>
      <c r="AC70" s="16">
        <f t="shared" si="161"/>
        <v>0</v>
      </c>
      <c r="AD70" s="16">
        <f t="shared" si="161"/>
        <v>0</v>
      </c>
      <c r="AE70" s="16">
        <f t="shared" si="161"/>
        <v>0</v>
      </c>
      <c r="AF70" s="16">
        <f t="shared" si="161"/>
        <v>0</v>
      </c>
      <c r="AG70" s="16">
        <f t="shared" si="161"/>
        <v>0</v>
      </c>
      <c r="AH70" s="16">
        <f t="shared" si="161"/>
        <v>0</v>
      </c>
      <c r="AI70" s="16">
        <f t="shared" si="161"/>
        <v>0</v>
      </c>
      <c r="AJ70" s="16">
        <f t="shared" si="161"/>
        <v>0</v>
      </c>
      <c r="AL70" s="17"/>
      <c r="AM70" s="26" t="str">
        <f t="shared" si="139"/>
        <v>Taxes superficiaires encaissées par le FNE (+)</v>
      </c>
      <c r="AN70" s="18">
        <f t="shared" ref="AN70:AU70" si="162">SUM(AN71:AN71)</f>
        <v>0</v>
      </c>
      <c r="AO70" s="18">
        <f t="shared" si="162"/>
        <v>0</v>
      </c>
      <c r="AP70" s="18">
        <f t="shared" si="162"/>
        <v>0</v>
      </c>
      <c r="AQ70" s="18">
        <f t="shared" si="162"/>
        <v>0</v>
      </c>
      <c r="AR70" s="18">
        <f t="shared" si="162"/>
        <v>0</v>
      </c>
      <c r="AS70" s="18">
        <f t="shared" si="162"/>
        <v>0</v>
      </c>
      <c r="AT70" s="18">
        <f t="shared" si="162"/>
        <v>0</v>
      </c>
      <c r="AU70" s="18">
        <f t="shared" si="162"/>
        <v>0</v>
      </c>
      <c r="AV70" s="18">
        <f>SUM(AV71:AV71)</f>
        <v>0</v>
      </c>
      <c r="AW70" s="18"/>
      <c r="AX70" s="17"/>
      <c r="AY70" s="26" t="str">
        <f t="shared" si="141"/>
        <v>Taxes superficiaires encaissées par le FNE (+)</v>
      </c>
      <c r="AZ70" s="18">
        <f t="shared" ref="AZ70:BK70" ca="1" si="163">SUM(AZ71:AZ71)</f>
        <v>0</v>
      </c>
      <c r="BA70" s="18">
        <f t="shared" ca="1" si="163"/>
        <v>0</v>
      </c>
      <c r="BB70" s="18">
        <f t="shared" ca="1" si="163"/>
        <v>0</v>
      </c>
      <c r="BC70" s="18">
        <f t="shared" ca="1" si="163"/>
        <v>0</v>
      </c>
      <c r="BD70" s="18">
        <f t="shared" ca="1" si="163"/>
        <v>0</v>
      </c>
      <c r="BE70" s="18">
        <f t="shared" ca="1" si="163"/>
        <v>0</v>
      </c>
      <c r="BF70" s="18">
        <f t="shared" ca="1" si="163"/>
        <v>0</v>
      </c>
      <c r="BG70" s="18">
        <f t="shared" ca="1" si="163"/>
        <v>0</v>
      </c>
      <c r="BH70" s="18">
        <f t="shared" ca="1" si="163"/>
        <v>0</v>
      </c>
      <c r="BI70" s="18">
        <f t="shared" ca="1" si="163"/>
        <v>0</v>
      </c>
      <c r="BJ70" s="18">
        <f t="shared" ca="1" si="163"/>
        <v>0</v>
      </c>
      <c r="BK70" s="18">
        <f t="shared" ca="1" si="163"/>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3"/>
        <v>0</v>
      </c>
      <c r="G71" s="114">
        <f t="shared" si="154"/>
        <v>0</v>
      </c>
      <c r="H71" s="114"/>
      <c r="I71" s="114"/>
      <c r="J71" s="114">
        <f t="shared" ca="1" si="155"/>
        <v>0</v>
      </c>
      <c r="K71" s="114">
        <f t="shared" ca="1" si="156"/>
        <v>0</v>
      </c>
      <c r="L71" s="114"/>
      <c r="M71" s="114">
        <f t="shared" ca="1" si="157"/>
        <v>0</v>
      </c>
      <c r="N71" s="18"/>
      <c r="O71" s="38" t="str">
        <f t="shared" ca="1" si="46"/>
        <v/>
      </c>
      <c r="P71" s="39" t="str">
        <f ca="1">IF(O71="ERROR","Please insert comment","")</f>
        <v/>
      </c>
      <c r="Y71" s="15">
        <f>B73</f>
        <v>52</v>
      </c>
      <c r="Z71" s="25" t="str">
        <f t="shared" si="137"/>
        <v>Taxes de remise en état (+)</v>
      </c>
      <c r="AA71" s="16">
        <f t="shared" ref="AA71:AI73" si="164">SUMPRODUCT(($A$84:$A$751=$Y71&amp;"- "&amp;$Z71)*($C$84:$C$751=AA$1)*($G$84:$G$751))</f>
        <v>0</v>
      </c>
      <c r="AB71" s="16">
        <f t="shared" si="164"/>
        <v>0</v>
      </c>
      <c r="AC71" s="16">
        <f t="shared" si="164"/>
        <v>0</v>
      </c>
      <c r="AD71" s="16">
        <f t="shared" si="164"/>
        <v>0</v>
      </c>
      <c r="AE71" s="16">
        <f t="shared" si="164"/>
        <v>0</v>
      </c>
      <c r="AF71" s="16">
        <f t="shared" si="164"/>
        <v>0</v>
      </c>
      <c r="AG71" s="16">
        <f t="shared" si="164"/>
        <v>0</v>
      </c>
      <c r="AH71" s="16">
        <f t="shared" si="164"/>
        <v>0</v>
      </c>
      <c r="AI71" s="16">
        <f t="shared" si="164"/>
        <v>0</v>
      </c>
      <c r="AJ71" s="16">
        <f>SUM(AA71:AI71)</f>
        <v>0</v>
      </c>
      <c r="AL71" s="17">
        <f>+B73</f>
        <v>52</v>
      </c>
      <c r="AM71" s="26" t="str">
        <f t="shared" si="139"/>
        <v>Taxes de remise en état (+)</v>
      </c>
      <c r="AN71" s="18">
        <f t="shared" ref="AN71:AU71" si="165">SUMPRODUCT(($J$84:$M$746=$AL71&amp;"- "&amp;$AM71)*($N$84:$N$746=AN$1)*($Q$84:$Q$746))</f>
        <v>0</v>
      </c>
      <c r="AO71" s="18">
        <f t="shared" si="165"/>
        <v>0</v>
      </c>
      <c r="AP71" s="18">
        <f t="shared" si="165"/>
        <v>0</v>
      </c>
      <c r="AQ71" s="18">
        <f t="shared" si="165"/>
        <v>0</v>
      </c>
      <c r="AR71" s="18">
        <f t="shared" si="165"/>
        <v>0</v>
      </c>
      <c r="AS71" s="18">
        <f t="shared" si="165"/>
        <v>0</v>
      </c>
      <c r="AT71" s="18">
        <f t="shared" si="165"/>
        <v>0</v>
      </c>
      <c r="AU71" s="18">
        <f t="shared" si="165"/>
        <v>0</v>
      </c>
      <c r="AV71" s="18">
        <f>SUM(AN71:AU71)</f>
        <v>0</v>
      </c>
      <c r="AW71" s="18"/>
      <c r="AX71" s="17">
        <f>B73</f>
        <v>52</v>
      </c>
      <c r="AY71" s="26" t="str">
        <f t="shared" si="141"/>
        <v>Taxes de remise en état (+)</v>
      </c>
      <c r="AZ71" s="18">
        <f t="shared" ref="AZ71:BK71" ca="1" si="166">SUMPRODUCT(($C$10:$C$75=$AY71)*($N$10:$N$75=AZ$1)*($M$10:$M$75))</f>
        <v>0</v>
      </c>
      <c r="BA71" s="18">
        <f t="shared" ca="1" si="166"/>
        <v>0</v>
      </c>
      <c r="BB71" s="18">
        <f t="shared" ca="1" si="166"/>
        <v>0</v>
      </c>
      <c r="BC71" s="18">
        <f t="shared" ca="1" si="166"/>
        <v>0</v>
      </c>
      <c r="BD71" s="18">
        <f t="shared" ca="1" si="166"/>
        <v>0</v>
      </c>
      <c r="BE71" s="18">
        <f t="shared" ca="1" si="166"/>
        <v>0</v>
      </c>
      <c r="BF71" s="18">
        <f t="shared" ca="1" si="166"/>
        <v>0</v>
      </c>
      <c r="BG71" s="18">
        <f t="shared" ca="1" si="166"/>
        <v>0</v>
      </c>
      <c r="BH71" s="18">
        <f t="shared" ca="1" si="166"/>
        <v>0</v>
      </c>
      <c r="BI71" s="18">
        <f t="shared" ca="1" si="166"/>
        <v>0</v>
      </c>
      <c r="BJ71" s="18">
        <f t="shared" ca="1" si="166"/>
        <v>0</v>
      </c>
      <c r="BK71" s="18">
        <f t="shared" ca="1" si="166"/>
        <v>0</v>
      </c>
    </row>
    <row r="72" spans="1:64">
      <c r="A72" s="80">
        <f t="shared" si="29"/>
        <v>51</v>
      </c>
      <c r="B72" s="64">
        <f>+'Taxes RCA 2022'!A65</f>
        <v>51</v>
      </c>
      <c r="C72" s="68" t="str">
        <f>+'Taxes RCA 2022'!B65</f>
        <v>Taxes superficiaires encaissées par le FNE (+)</v>
      </c>
      <c r="E72" s="165"/>
      <c r="F72" s="165">
        <f t="shared" si="153"/>
        <v>0</v>
      </c>
      <c r="G72" s="165">
        <f t="shared" si="154"/>
        <v>0</v>
      </c>
      <c r="H72" s="114"/>
      <c r="I72" s="165"/>
      <c r="J72" s="165">
        <f t="shared" ca="1" si="155"/>
        <v>0</v>
      </c>
      <c r="K72" s="165">
        <f t="shared" ca="1" si="156"/>
        <v>0</v>
      </c>
      <c r="L72" s="114"/>
      <c r="M72" s="165">
        <f t="shared" ca="1" si="157"/>
        <v>0</v>
      </c>
      <c r="N72" s="68"/>
      <c r="Y72" s="15"/>
      <c r="Z72" s="25" t="str">
        <f t="shared" si="137"/>
        <v>Taxes environnementales sur les Stes forestières et Minières (+)</v>
      </c>
      <c r="AA72" s="16">
        <f t="shared" si="164"/>
        <v>0</v>
      </c>
      <c r="AB72" s="16">
        <f t="shared" si="164"/>
        <v>0</v>
      </c>
      <c r="AC72" s="16">
        <f t="shared" si="164"/>
        <v>0</v>
      </c>
      <c r="AD72" s="16">
        <f t="shared" si="164"/>
        <v>0</v>
      </c>
      <c r="AE72" s="16">
        <f t="shared" si="164"/>
        <v>0</v>
      </c>
      <c r="AF72" s="16">
        <f t="shared" si="164"/>
        <v>0</v>
      </c>
      <c r="AG72" s="16">
        <f t="shared" si="164"/>
        <v>0</v>
      </c>
      <c r="AH72" s="16">
        <f t="shared" si="164"/>
        <v>0</v>
      </c>
      <c r="AI72" s="16">
        <f t="shared" si="164"/>
        <v>0</v>
      </c>
      <c r="AJ72" s="16">
        <f>SUM(AA72:AI72)</f>
        <v>0</v>
      </c>
      <c r="AL72" s="17"/>
      <c r="AM72" s="26" t="str">
        <f t="shared" si="139"/>
        <v>Taxes environnementales sur les Stes forestières et Minières (+)</v>
      </c>
      <c r="AN72" s="18">
        <f t="shared" ref="AN72:AV72" si="167">SUM(AN73:AN73)</f>
        <v>0</v>
      </c>
      <c r="AO72" s="18">
        <f t="shared" si="167"/>
        <v>0</v>
      </c>
      <c r="AP72" s="18">
        <f t="shared" si="167"/>
        <v>0</v>
      </c>
      <c r="AQ72" s="18">
        <f t="shared" si="167"/>
        <v>0</v>
      </c>
      <c r="AR72" s="18">
        <f t="shared" si="167"/>
        <v>0</v>
      </c>
      <c r="AS72" s="18">
        <f t="shared" si="167"/>
        <v>0</v>
      </c>
      <c r="AT72" s="18">
        <f t="shared" si="167"/>
        <v>0</v>
      </c>
      <c r="AU72" s="18">
        <f t="shared" si="167"/>
        <v>0</v>
      </c>
      <c r="AV72" s="18">
        <f t="shared" si="167"/>
        <v>0</v>
      </c>
      <c r="AW72" s="18"/>
      <c r="AX72" s="17"/>
      <c r="AY72" s="26" t="str">
        <f t="shared" si="141"/>
        <v>Taxes environnementales sur les Stes forestières et Minières (+)</v>
      </c>
      <c r="AZ72" s="18">
        <f t="shared" ref="AZ72:BK72" ca="1" si="168">SUM(AZ73:AZ73)</f>
        <v>0</v>
      </c>
      <c r="BA72" s="18">
        <f t="shared" ca="1" si="168"/>
        <v>0</v>
      </c>
      <c r="BB72" s="18">
        <f t="shared" ca="1" si="168"/>
        <v>0</v>
      </c>
      <c r="BC72" s="18">
        <f t="shared" ca="1" si="168"/>
        <v>0</v>
      </c>
      <c r="BD72" s="18">
        <f t="shared" ca="1" si="168"/>
        <v>0</v>
      </c>
      <c r="BE72" s="18">
        <f t="shared" ca="1" si="168"/>
        <v>0</v>
      </c>
      <c r="BF72" s="18">
        <f t="shared" ca="1" si="168"/>
        <v>0</v>
      </c>
      <c r="BG72" s="18">
        <f t="shared" ca="1" si="168"/>
        <v>0</v>
      </c>
      <c r="BH72" s="18">
        <f t="shared" ca="1" si="168"/>
        <v>0</v>
      </c>
      <c r="BI72" s="18">
        <f t="shared" ca="1" si="168"/>
        <v>0</v>
      </c>
      <c r="BJ72" s="18">
        <f t="shared" ca="1" si="168"/>
        <v>0</v>
      </c>
      <c r="BK72" s="18">
        <f t="shared" ca="1" si="168"/>
        <v>0</v>
      </c>
      <c r="BL72" s="41"/>
    </row>
    <row r="73" spans="1:64">
      <c r="A73" s="80">
        <f t="shared" si="29"/>
        <v>52</v>
      </c>
      <c r="B73" s="53">
        <f>+'Taxes RCA 2022'!A66</f>
        <v>52</v>
      </c>
      <c r="C73" s="18" t="str">
        <f>+'Taxes RCA 2022'!B66</f>
        <v>Taxes de remise en état (+)</v>
      </c>
      <c r="E73" s="114"/>
      <c r="F73" s="114">
        <f t="shared" si="153"/>
        <v>0</v>
      </c>
      <c r="G73" s="114">
        <f t="shared" si="154"/>
        <v>0</v>
      </c>
      <c r="H73" s="114"/>
      <c r="I73" s="114"/>
      <c r="J73" s="114">
        <f t="shared" ca="1" si="155"/>
        <v>0</v>
      </c>
      <c r="K73" s="114">
        <f t="shared" ca="1" si="156"/>
        <v>0</v>
      </c>
      <c r="L73" s="114"/>
      <c r="M73" s="114">
        <f t="shared" ca="1" si="157"/>
        <v>0</v>
      </c>
      <c r="N73" s="18"/>
      <c r="O73" s="38" t="str">
        <f ca="1">IF(M73=0,"",IF(N73=0,"ERROR",""))</f>
        <v/>
      </c>
      <c r="P73" s="39" t="str">
        <f ca="1">IF(O73="ERROR","Please insert comment","")</f>
        <v/>
      </c>
      <c r="Y73" s="15">
        <v>58</v>
      </c>
      <c r="Z73" s="25" t="str">
        <f t="shared" si="137"/>
        <v xml:space="preserve">Amendes environnementales </v>
      </c>
      <c r="AA73" s="16">
        <f t="shared" si="164"/>
        <v>0</v>
      </c>
      <c r="AB73" s="16">
        <f t="shared" si="164"/>
        <v>0</v>
      </c>
      <c r="AC73" s="16">
        <f t="shared" si="164"/>
        <v>0</v>
      </c>
      <c r="AD73" s="16">
        <f t="shared" si="164"/>
        <v>0</v>
      </c>
      <c r="AE73" s="16">
        <f t="shared" si="164"/>
        <v>0</v>
      </c>
      <c r="AF73" s="16">
        <f t="shared" si="164"/>
        <v>0</v>
      </c>
      <c r="AG73" s="16">
        <f t="shared" si="164"/>
        <v>0</v>
      </c>
      <c r="AH73" s="16">
        <f t="shared" si="164"/>
        <v>0</v>
      </c>
      <c r="AI73" s="16">
        <f t="shared" si="164"/>
        <v>0</v>
      </c>
      <c r="AJ73" s="16">
        <f>SUM(AA73:AI73)</f>
        <v>0</v>
      </c>
      <c r="AL73" s="17">
        <f>+B75</f>
        <v>54</v>
      </c>
      <c r="AM73" s="26" t="str">
        <f t="shared" si="139"/>
        <v xml:space="preserve">Amendes environnementales </v>
      </c>
      <c r="AN73" s="18">
        <f t="shared" ref="AN73:AU73" si="169">SUMPRODUCT(($J$84:$M$746=$AL73&amp;"- "&amp;$AM73)*($N$84:$N$746=AN$1)*($Q$84:$Q$746))</f>
        <v>0</v>
      </c>
      <c r="AO73" s="18">
        <f t="shared" si="169"/>
        <v>0</v>
      </c>
      <c r="AP73" s="18">
        <f t="shared" si="169"/>
        <v>0</v>
      </c>
      <c r="AQ73" s="18">
        <f t="shared" si="169"/>
        <v>0</v>
      </c>
      <c r="AR73" s="18">
        <f t="shared" si="169"/>
        <v>0</v>
      </c>
      <c r="AS73" s="18">
        <f t="shared" si="169"/>
        <v>0</v>
      </c>
      <c r="AT73" s="18">
        <f t="shared" si="169"/>
        <v>0</v>
      </c>
      <c r="AU73" s="18">
        <f t="shared" si="169"/>
        <v>0</v>
      </c>
      <c r="AV73" s="18">
        <f>SUM(AN73:AU73)</f>
        <v>0</v>
      </c>
      <c r="AW73" s="18"/>
      <c r="AX73" s="17">
        <f>B75</f>
        <v>54</v>
      </c>
      <c r="AY73" s="26" t="str">
        <f t="shared" si="141"/>
        <v xml:space="preserve">Amendes environnementales </v>
      </c>
      <c r="AZ73" s="18">
        <f t="shared" ref="AZ73:BK73" ca="1" si="170">SUMPRODUCT(($C$10:$C$75=$AY73)*($N$10:$N$75=AZ$1)*($M$10:$M$75))</f>
        <v>0</v>
      </c>
      <c r="BA73" s="18">
        <f t="shared" ca="1" si="170"/>
        <v>0</v>
      </c>
      <c r="BB73" s="18">
        <f t="shared" ca="1" si="170"/>
        <v>0</v>
      </c>
      <c r="BC73" s="18">
        <f t="shared" ca="1" si="170"/>
        <v>0</v>
      </c>
      <c r="BD73" s="18">
        <f t="shared" ca="1" si="170"/>
        <v>0</v>
      </c>
      <c r="BE73" s="18">
        <f t="shared" ca="1" si="170"/>
        <v>0</v>
      </c>
      <c r="BF73" s="18">
        <f t="shared" ca="1" si="170"/>
        <v>0</v>
      </c>
      <c r="BG73" s="18">
        <f t="shared" ca="1" si="170"/>
        <v>0</v>
      </c>
      <c r="BH73" s="18">
        <f t="shared" ca="1" si="170"/>
        <v>0</v>
      </c>
      <c r="BI73" s="18">
        <f t="shared" ca="1" si="170"/>
        <v>0</v>
      </c>
      <c r="BJ73" s="18">
        <f t="shared" ca="1" si="170"/>
        <v>0</v>
      </c>
      <c r="BK73" s="18">
        <f t="shared" ca="1" si="170"/>
        <v>0</v>
      </c>
    </row>
    <row r="74" spans="1:64">
      <c r="A74" s="80"/>
      <c r="B74" s="64">
        <f>+'Taxes RCA 2022'!A67</f>
        <v>53</v>
      </c>
      <c r="C74" s="68" t="str">
        <f>+'Taxes RCA 2022'!B67</f>
        <v>Taxes environnementales sur les Stes forestières et Minières (+)</v>
      </c>
      <c r="E74" s="165"/>
      <c r="F74" s="165">
        <f t="shared" si="153"/>
        <v>0</v>
      </c>
      <c r="G74" s="165">
        <f t="shared" si="154"/>
        <v>0</v>
      </c>
      <c r="H74" s="167">
        <v>808920</v>
      </c>
      <c r="I74" s="165"/>
      <c r="J74" s="165">
        <f t="shared" ca="1" si="155"/>
        <v>0</v>
      </c>
      <c r="K74" s="165">
        <f t="shared" ca="1" si="156"/>
        <v>0</v>
      </c>
      <c r="L74" s="114"/>
      <c r="M74" s="165">
        <f t="shared" ca="1" si="157"/>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3"/>
        <v>0</v>
      </c>
      <c r="G75" s="114">
        <f t="shared" si="154"/>
        <v>0</v>
      </c>
      <c r="H75" s="114"/>
      <c r="I75" s="114"/>
      <c r="J75" s="114">
        <f t="shared" ca="1" si="155"/>
        <v>0</v>
      </c>
      <c r="K75" s="114">
        <f t="shared" ca="1" si="156"/>
        <v>0</v>
      </c>
      <c r="L75" s="114"/>
      <c r="M75" s="114">
        <f t="shared" ca="1" si="157"/>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3"/>
        <v>0</v>
      </c>
      <c r="G76" s="165">
        <f t="shared" si="154"/>
        <v>0</v>
      </c>
      <c r="H76" s="168"/>
      <c r="I76" s="165"/>
      <c r="J76" s="165">
        <f t="shared" ca="1" si="155"/>
        <v>0</v>
      </c>
      <c r="K76" s="165">
        <f t="shared" ca="1" si="156"/>
        <v>0</v>
      </c>
      <c r="L76" s="168"/>
      <c r="M76" s="165">
        <f t="shared" ca="1" si="157"/>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71">+F78+F79</f>
        <v>0</v>
      </c>
      <c r="G77" s="166">
        <f t="shared" si="171"/>
        <v>0</v>
      </c>
      <c r="H77" s="169"/>
      <c r="I77" s="166">
        <f t="shared" ref="I77:K77" si="172">+I78+I79</f>
        <v>0</v>
      </c>
      <c r="J77" s="166">
        <f t="shared" ca="1" si="172"/>
        <v>0</v>
      </c>
      <c r="K77" s="166">
        <f t="shared" ca="1" si="172"/>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SUMIF($J$84:$M$747,B78&amp;"- "&amp;C78,$Q$84:$Q$747)</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3">SUMPRODUCT(($A$84:$A$751=$Y78&amp;"- "&amp;$Z78)*($C$84:$C$751=AA$1)*($G$84:$G$751))</f>
        <v>0</v>
      </c>
      <c r="AB78" s="16">
        <f t="shared" si="173"/>
        <v>0</v>
      </c>
      <c r="AC78" s="16">
        <f t="shared" si="173"/>
        <v>0</v>
      </c>
      <c r="AD78" s="16">
        <f t="shared" si="173"/>
        <v>0</v>
      </c>
      <c r="AE78" s="16">
        <f t="shared" si="173"/>
        <v>0</v>
      </c>
      <c r="AF78" s="16">
        <f t="shared" si="173"/>
        <v>0</v>
      </c>
      <c r="AG78" s="16">
        <f t="shared" si="173"/>
        <v>0</v>
      </c>
      <c r="AH78" s="16">
        <f t="shared" si="173"/>
        <v>0</v>
      </c>
      <c r="AI78" s="16">
        <f t="shared" si="173"/>
        <v>0</v>
      </c>
      <c r="AJ78" s="16">
        <f>SUM(AA78:AI78)</f>
        <v>0</v>
      </c>
      <c r="AL78" s="17">
        <f>+B45</f>
        <v>0</v>
      </c>
      <c r="AM78" s="26" t="str">
        <f>+C45</f>
        <v xml:space="preserve">Paiements infranationaux au profit des communes </v>
      </c>
      <c r="AN78" s="18">
        <f t="shared" ref="AN78:AU78" si="174">SUMPRODUCT(($J$84:$M$746=$AL78&amp;"- "&amp;$AM78)*($N$84:$N$746=AN$1)*($Q$84:$Q$746))</f>
        <v>0</v>
      </c>
      <c r="AO78" s="18">
        <f t="shared" si="174"/>
        <v>0</v>
      </c>
      <c r="AP78" s="18">
        <f t="shared" si="174"/>
        <v>0</v>
      </c>
      <c r="AQ78" s="18">
        <f t="shared" si="174"/>
        <v>0</v>
      </c>
      <c r="AR78" s="18">
        <f t="shared" si="174"/>
        <v>0</v>
      </c>
      <c r="AS78" s="18">
        <f t="shared" si="174"/>
        <v>0</v>
      </c>
      <c r="AT78" s="18">
        <f t="shared" si="174"/>
        <v>0</v>
      </c>
      <c r="AU78" s="18">
        <f t="shared" si="174"/>
        <v>0</v>
      </c>
      <c r="AV78" s="18">
        <f>SUM(AN78:AU78)</f>
        <v>0</v>
      </c>
      <c r="AW78" s="18"/>
      <c r="AX78" s="17">
        <f>B45</f>
        <v>0</v>
      </c>
      <c r="AY78" s="26" t="str">
        <f>C45</f>
        <v xml:space="preserve">Paiements infranationaux au profit des communes </v>
      </c>
      <c r="AZ78" s="18">
        <f t="shared" ref="AZ78:BK78" ca="1" si="175">SUMPRODUCT(($C$10:$C$75=$AY78)*($N$10:$N$75=AZ$1)*($M$10:$M$75))</f>
        <v>0</v>
      </c>
      <c r="BA78" s="18">
        <f t="shared" ca="1" si="175"/>
        <v>0</v>
      </c>
      <c r="BB78" s="18">
        <f t="shared" ca="1" si="175"/>
        <v>0</v>
      </c>
      <c r="BC78" s="18">
        <f t="shared" ca="1" si="175"/>
        <v>0</v>
      </c>
      <c r="BD78" s="18">
        <f t="shared" ca="1" si="175"/>
        <v>0</v>
      </c>
      <c r="BE78" s="18">
        <f t="shared" ca="1" si="175"/>
        <v>0</v>
      </c>
      <c r="BF78" s="18">
        <f t="shared" ca="1" si="175"/>
        <v>0</v>
      </c>
      <c r="BG78" s="18">
        <f t="shared" ca="1" si="175"/>
        <v>0</v>
      </c>
      <c r="BH78" s="18">
        <f t="shared" ca="1" si="175"/>
        <v>0</v>
      </c>
      <c r="BI78" s="18">
        <f t="shared" ca="1" si="175"/>
        <v>0</v>
      </c>
      <c r="BJ78" s="18">
        <f t="shared" ca="1" si="175"/>
        <v>0</v>
      </c>
      <c r="BK78" s="18">
        <f t="shared" ca="1" si="175"/>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SUMIF($J$84:$M$747,B79&amp;"- "&amp;C79,$Q$84:$Q$747)</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IF(J8=Q749,"","ERROR")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A84" s="101"/>
      <c r="C84" s="60"/>
      <c r="E84" s="125"/>
      <c r="F84" s="122"/>
      <c r="G84" s="146"/>
      <c r="J84" s="61" t="s">
        <v>205</v>
      </c>
      <c r="N84" s="97"/>
      <c r="O84" s="126"/>
      <c r="P84" s="118"/>
      <c r="Q84" s="144"/>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A85" s="101"/>
      <c r="C85" s="60"/>
      <c r="E85" s="125"/>
      <c r="F85" s="122"/>
      <c r="G85" s="146"/>
      <c r="J85" s="61" t="s">
        <v>207</v>
      </c>
      <c r="N85" s="97"/>
      <c r="O85" s="126"/>
      <c r="P85" s="118"/>
      <c r="Q85" s="144"/>
      <c r="R85" s="144"/>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A86" s="101"/>
      <c r="C86" s="60"/>
      <c r="E86" s="125"/>
      <c r="F86" s="122"/>
      <c r="G86" s="145"/>
      <c r="N86" s="97"/>
      <c r="O86" s="126"/>
      <c r="P86" s="118"/>
      <c r="Q86" s="14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A87" s="101"/>
      <c r="C87" s="60"/>
      <c r="E87" s="125"/>
      <c r="F87" s="122"/>
      <c r="G87" s="145"/>
      <c r="N87" s="97"/>
      <c r="O87" s="126"/>
      <c r="P87" s="118"/>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A88" s="101"/>
      <c r="C88" s="60"/>
      <c r="E88" s="125"/>
      <c r="F88" s="122"/>
      <c r="G88" s="146"/>
      <c r="N88" s="97"/>
      <c r="O88" s="126"/>
      <c r="P88" s="118"/>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A89" s="101"/>
      <c r="C89" s="60"/>
      <c r="E89" s="125"/>
      <c r="F89" s="122"/>
      <c r="G89" s="146"/>
      <c r="J89" s="61" t="s">
        <v>165</v>
      </c>
      <c r="N89" s="97"/>
      <c r="O89" s="126"/>
      <c r="P89" s="118"/>
      <c r="Q89" s="144"/>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A90" s="101"/>
      <c r="C90" s="60"/>
      <c r="E90" s="125"/>
      <c r="F90" s="122"/>
      <c r="G90" s="146"/>
      <c r="J90" s="61" t="s">
        <v>167</v>
      </c>
      <c r="N90" s="97"/>
      <c r="O90" s="126"/>
      <c r="P90" s="118"/>
      <c r="Q90" s="144"/>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A91" s="101"/>
      <c r="C91" s="60"/>
      <c r="E91" s="125"/>
      <c r="F91" s="122"/>
      <c r="G91" s="146"/>
      <c r="N91" s="97"/>
      <c r="O91" s="126"/>
      <c r="P91" s="118"/>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A92" s="101"/>
      <c r="C92" s="60"/>
      <c r="E92" s="125"/>
      <c r="F92" s="122"/>
      <c r="G92" s="146"/>
      <c r="N92" s="97"/>
      <c r="O92" s="126"/>
      <c r="P92" s="118"/>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A93" s="101"/>
      <c r="C93" s="60"/>
      <c r="E93" s="125"/>
      <c r="F93" s="122"/>
      <c r="G93" s="146"/>
      <c r="N93" s="97"/>
      <c r="O93" s="126"/>
      <c r="P93" s="118"/>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A94" s="101"/>
      <c r="C94" s="60"/>
      <c r="E94" s="125"/>
      <c r="F94" s="122"/>
      <c r="G94" s="146"/>
      <c r="N94" s="97"/>
      <c r="O94" s="126"/>
      <c r="P94" s="118"/>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A95" s="101"/>
      <c r="C95" s="60"/>
      <c r="E95" s="125"/>
      <c r="F95" s="122"/>
      <c r="G95" s="146"/>
      <c r="N95" s="97"/>
      <c r="O95" s="126"/>
      <c r="P95" s="118"/>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A96" s="101"/>
      <c r="C96" s="60"/>
      <c r="E96" s="125"/>
      <c r="F96" s="122"/>
      <c r="G96" s="146"/>
      <c r="N96" s="97"/>
      <c r="O96" s="126"/>
      <c r="P96" s="118"/>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1:48" s="61" customFormat="1">
      <c r="A97" s="101"/>
      <c r="C97" s="60"/>
      <c r="E97" s="125"/>
      <c r="F97" s="122"/>
      <c r="G97" s="146"/>
      <c r="N97" s="97"/>
      <c r="O97" s="126"/>
      <c r="P97" s="118"/>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1:48" s="61" customFormat="1">
      <c r="A98" s="101"/>
      <c r="C98" s="60"/>
      <c r="E98" s="125"/>
      <c r="F98" s="122"/>
      <c r="G98" s="146"/>
      <c r="N98" s="97"/>
      <c r="O98" s="126"/>
      <c r="P98" s="118"/>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1:48" s="61" customFormat="1">
      <c r="A99" s="101"/>
      <c r="C99" s="60"/>
      <c r="E99" s="125"/>
      <c r="F99" s="122"/>
      <c r="G99" s="146"/>
      <c r="N99" s="97"/>
      <c r="O99" s="126"/>
      <c r="P99" s="118"/>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1:48" s="61" customFormat="1">
      <c r="A100" s="101"/>
      <c r="C100" s="60"/>
      <c r="E100" s="125"/>
      <c r="F100" s="122"/>
      <c r="G100" s="146"/>
      <c r="N100" s="97"/>
      <c r="O100" s="126"/>
      <c r="P100" s="118"/>
      <c r="Q100" s="144"/>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1:48" s="61" customFormat="1">
      <c r="A101" s="101"/>
      <c r="C101" s="60"/>
      <c r="E101" s="125"/>
      <c r="F101" s="122"/>
      <c r="G101" s="146"/>
      <c r="N101" s="97"/>
      <c r="O101" s="126"/>
      <c r="P101" s="118"/>
      <c r="Q101" s="144"/>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1:48" s="61" customFormat="1">
      <c r="A102" s="101"/>
      <c r="C102" s="60"/>
      <c r="E102" s="125"/>
      <c r="F102" s="122"/>
      <c r="G102" s="146"/>
      <c r="N102" s="97"/>
      <c r="O102" s="126"/>
      <c r="P102" s="118"/>
      <c r="Q102" s="144"/>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1:48" s="61" customFormat="1">
      <c r="A103" s="101"/>
      <c r="C103" s="60"/>
      <c r="E103" s="125"/>
      <c r="F103" s="122"/>
      <c r="G103" s="146"/>
      <c r="N103" s="97"/>
      <c r="O103" s="126"/>
      <c r="P103" s="118"/>
      <c r="Q103" s="144"/>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1:48" s="61" customFormat="1">
      <c r="A104" s="101"/>
      <c r="C104" s="60"/>
      <c r="E104" s="125"/>
      <c r="F104" s="122"/>
      <c r="G104" s="146"/>
      <c r="N104" s="97"/>
      <c r="O104" s="126"/>
      <c r="P104" s="118"/>
      <c r="Q104" s="144"/>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1:48" s="61" customFormat="1">
      <c r="A105" s="101"/>
      <c r="C105" s="60"/>
      <c r="E105" s="125"/>
      <c r="F105" s="122"/>
      <c r="G105" s="146"/>
      <c r="N105" s="97"/>
      <c r="O105" s="126"/>
      <c r="P105" s="118"/>
      <c r="Q105" s="144"/>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1:48" s="61" customFormat="1">
      <c r="A106" s="101"/>
      <c r="C106" s="60"/>
      <c r="E106" s="125"/>
      <c r="F106" s="122"/>
      <c r="G106" s="146"/>
      <c r="N106" s="97"/>
      <c r="O106" s="126"/>
      <c r="P106" s="118"/>
      <c r="Q106" s="144"/>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1:48" s="61" customFormat="1">
      <c r="A107" s="101"/>
      <c r="C107" s="60"/>
      <c r="E107" s="125"/>
      <c r="F107" s="122"/>
      <c r="G107" s="146"/>
      <c r="N107" s="97"/>
      <c r="O107" s="126"/>
      <c r="P107" s="118"/>
      <c r="Q107" s="144"/>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1:48" s="61" customFormat="1">
      <c r="A108" s="101"/>
      <c r="C108" s="60"/>
      <c r="E108" s="125"/>
      <c r="F108" s="122"/>
      <c r="G108" s="146"/>
      <c r="N108" s="97"/>
      <c r="O108" s="126"/>
      <c r="P108" s="118"/>
      <c r="Q108" s="144"/>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1:48" s="61" customFormat="1">
      <c r="A109" s="101"/>
      <c r="C109" s="60"/>
      <c r="E109" s="125"/>
      <c r="F109" s="122"/>
      <c r="G109" s="146"/>
      <c r="N109" s="97"/>
      <c r="O109" s="126"/>
      <c r="P109" s="118"/>
      <c r="Q109" s="144"/>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1:48" s="61" customFormat="1">
      <c r="A110" s="101"/>
      <c r="C110" s="60"/>
      <c r="E110" s="125"/>
      <c r="F110" s="122"/>
      <c r="G110" s="146"/>
      <c r="N110" s="97"/>
      <c r="O110" s="126"/>
      <c r="P110" s="118"/>
      <c r="Q110" s="144"/>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1:48" s="61" customFormat="1">
      <c r="A111" s="101"/>
      <c r="C111" s="60"/>
      <c r="E111" s="125"/>
      <c r="F111" s="122"/>
      <c r="G111" s="146"/>
      <c r="N111" s="97"/>
      <c r="O111" s="126"/>
      <c r="P111" s="118"/>
      <c r="Q111" s="144"/>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1:48" s="61" customFormat="1">
      <c r="A112" s="101"/>
      <c r="C112" s="60"/>
      <c r="E112" s="125"/>
      <c r="F112" s="122"/>
      <c r="G112" s="146"/>
      <c r="N112" s="97"/>
      <c r="O112" s="126"/>
      <c r="P112" s="118"/>
      <c r="Q112" s="144"/>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1:48" s="61" customFormat="1">
      <c r="A113" s="101"/>
      <c r="C113" s="60"/>
      <c r="E113" s="125"/>
      <c r="F113" s="122"/>
      <c r="G113" s="146"/>
      <c r="L113" s="60"/>
      <c r="N113" s="97"/>
      <c r="O113" s="126"/>
      <c r="P113" s="118"/>
      <c r="Q113" s="144"/>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1:48" s="61" customFormat="1">
      <c r="A114" s="101"/>
      <c r="C114" s="60"/>
      <c r="E114" s="125"/>
      <c r="F114" s="122"/>
      <c r="G114" s="146"/>
      <c r="L114" s="60"/>
      <c r="N114" s="97"/>
      <c r="O114" s="126"/>
      <c r="P114" s="118"/>
      <c r="Q114" s="144"/>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1:48" s="61" customFormat="1">
      <c r="A115" s="101"/>
      <c r="C115" s="60"/>
      <c r="E115" s="125"/>
      <c r="F115" s="122"/>
      <c r="G115" s="146"/>
      <c r="L115" s="60"/>
      <c r="N115" s="97"/>
      <c r="O115" s="126"/>
      <c r="P115" s="118"/>
      <c r="Q115" s="144"/>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1:48" s="61" customFormat="1">
      <c r="A116" s="101"/>
      <c r="C116" s="60"/>
      <c r="E116" s="125"/>
      <c r="F116" s="122"/>
      <c r="G116" s="146"/>
      <c r="L116" s="60"/>
      <c r="N116" s="97"/>
      <c r="O116" s="126"/>
      <c r="P116" s="118"/>
      <c r="Q116" s="144"/>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1:48" s="61" customFormat="1">
      <c r="A117" s="101"/>
      <c r="C117" s="60"/>
      <c r="E117" s="125"/>
      <c r="F117" s="122"/>
      <c r="G117" s="146"/>
      <c r="L117" s="60"/>
      <c r="N117" s="97"/>
      <c r="O117" s="126"/>
      <c r="P117" s="118"/>
      <c r="Q117" s="144"/>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1:48" s="61" customFormat="1">
      <c r="A118" s="101"/>
      <c r="C118" s="60"/>
      <c r="E118" s="125"/>
      <c r="F118" s="122"/>
      <c r="G118" s="146"/>
      <c r="L118" s="60"/>
      <c r="N118" s="97"/>
      <c r="O118" s="126"/>
      <c r="P118" s="118"/>
      <c r="Q118" s="144"/>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1:48" s="61" customFormat="1">
      <c r="A119" s="101"/>
      <c r="C119" s="60"/>
      <c r="E119" s="125"/>
      <c r="F119" s="122"/>
      <c r="G119" s="146"/>
      <c r="L119" s="60"/>
      <c r="N119" s="97"/>
      <c r="O119" s="126"/>
      <c r="P119" s="118"/>
      <c r="Q119" s="144"/>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1:48" s="61" customFormat="1">
      <c r="A120" s="101"/>
      <c r="C120" s="60"/>
      <c r="E120" s="125"/>
      <c r="F120" s="122"/>
      <c r="G120" s="146"/>
      <c r="L120" s="60"/>
      <c r="N120" s="97"/>
      <c r="O120" s="126"/>
      <c r="P120" s="118"/>
      <c r="Q120" s="144"/>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1:48" s="61" customFormat="1">
      <c r="A121" s="101"/>
      <c r="C121" s="60"/>
      <c r="E121" s="125"/>
      <c r="F121" s="122"/>
      <c r="G121" s="146"/>
      <c r="L121" s="60"/>
      <c r="N121" s="97"/>
      <c r="O121" s="126"/>
      <c r="P121" s="118"/>
      <c r="Q121" s="144"/>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1:48" s="61" customFormat="1">
      <c r="A122" s="101"/>
      <c r="C122" s="60"/>
      <c r="E122" s="125"/>
      <c r="F122" s="122"/>
      <c r="G122" s="146"/>
      <c r="L122" s="60"/>
      <c r="N122" s="97"/>
      <c r="O122" s="126"/>
      <c r="P122" s="118"/>
      <c r="Q122" s="144"/>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1:48" s="61" customFormat="1">
      <c r="A123" s="101"/>
      <c r="C123" s="60"/>
      <c r="E123" s="125"/>
      <c r="F123" s="122"/>
      <c r="G123" s="146"/>
      <c r="L123" s="60"/>
      <c r="N123" s="97"/>
      <c r="O123" s="126"/>
      <c r="P123" s="118"/>
      <c r="Q123" s="144"/>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1:48" s="61" customFormat="1">
      <c r="A124" s="101"/>
      <c r="C124" s="60"/>
      <c r="E124" s="125"/>
      <c r="F124" s="122"/>
      <c r="G124" s="146"/>
      <c r="L124" s="60"/>
      <c r="N124" s="97"/>
      <c r="O124" s="126"/>
      <c r="P124" s="118"/>
      <c r="Q124" s="144"/>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1:48" s="61" customFormat="1">
      <c r="A125" s="10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1:48" s="61" customFormat="1">
      <c r="A126" s="10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1:48" s="61" customFormat="1">
      <c r="A127" s="10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1:48" s="61" customFormat="1">
      <c r="A128" s="10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1:48" s="61" customFormat="1">
      <c r="A129" s="10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1:48" s="61" customFormat="1">
      <c r="A130" s="10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1:48" s="61" customFormat="1">
      <c r="A131" s="10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1:48" s="61" customFormat="1">
      <c r="A132" s="10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1:48" s="61" customFormat="1">
      <c r="A133" s="10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1:48" s="61" customFormat="1">
      <c r="A134" s="10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1:48" s="61" customFormat="1">
      <c r="A135" s="10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1:48" s="61" customFormat="1">
      <c r="A136" s="10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1:48" s="61" customFormat="1">
      <c r="A137" s="10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1:48" s="61" customFormat="1">
      <c r="A138" s="10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1:48" s="61" customFormat="1">
      <c r="A139" s="10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1:48" s="61" customFormat="1">
      <c r="A140" s="10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1:48" s="61" customFormat="1">
      <c r="A141" s="10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1:48" s="61" customFormat="1">
      <c r="A142" s="10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1:48" s="61" customFormat="1">
      <c r="A143" s="10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1:48" s="61" customFormat="1">
      <c r="A144" s="10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1:48" s="61" customFormat="1">
      <c r="A145" s="10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1:48" s="61" customFormat="1">
      <c r="A146" s="10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1:48" s="61" customFormat="1">
      <c r="A147" s="10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1:48" s="61" customFormat="1">
      <c r="A148" s="10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1:48" s="61" customFormat="1">
      <c r="A149" s="10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1:48" s="61" customFormat="1">
      <c r="A150" s="10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1:48" s="61" customFormat="1">
      <c r="A151" s="10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1:48" s="61" customFormat="1">
      <c r="A152" s="10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1:48" s="61" customFormat="1">
      <c r="A153" s="10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1:48" s="61" customFormat="1">
      <c r="A154" s="10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1:48" s="61" customFormat="1">
      <c r="A155" s="10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1:48" s="61" customFormat="1">
      <c r="A156" s="10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1:48" s="61" customFormat="1">
      <c r="A157" s="10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1:48" s="61" customFormat="1">
      <c r="A158" s="10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1:48" s="61" customFormat="1">
      <c r="A159" s="10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1:48" s="61" customFormat="1">
      <c r="A160" s="10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1:48" s="61" customFormat="1">
      <c r="A161" s="10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1:48" s="61" customFormat="1">
      <c r="A162" s="10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1:48" s="61" customFormat="1">
      <c r="A163" s="10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1:48" s="61" customFormat="1">
      <c r="A164" s="10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1:48" s="61" customFormat="1">
      <c r="A165" s="10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1:48" s="61" customFormat="1">
      <c r="A166" s="10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1:48" s="61" customFormat="1">
      <c r="A167" s="10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1:48" s="61" customFormat="1">
      <c r="A168" s="10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1:48" s="61" customFormat="1">
      <c r="A169" s="10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1:48" s="61" customFormat="1">
      <c r="A170" s="10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1:48" s="61" customFormat="1">
      <c r="A171" s="10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1:48" s="61" customFormat="1">
      <c r="A172" s="10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1:48" s="61" customFormat="1">
      <c r="A173" s="10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1:48" s="61" customFormat="1">
      <c r="A174" s="10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1:48" s="61" customFormat="1">
      <c r="A175" s="10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1:48" s="61" customFormat="1">
      <c r="A176" s="10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1:48" s="61" customFormat="1">
      <c r="A177" s="10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1:48" s="61" customFormat="1">
      <c r="A178" s="10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1:48" s="61" customFormat="1">
      <c r="A179" s="10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1:48" s="61" customFormat="1">
      <c r="A180" s="10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1:48" s="61" customFormat="1">
      <c r="A181" s="10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1:48" s="61" customFormat="1">
      <c r="A182" s="10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1:48" s="61" customFormat="1">
      <c r="A183" s="10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1:48" s="61" customFormat="1">
      <c r="A184" s="10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1:48" s="61" customFormat="1">
      <c r="A185" s="10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1:48" s="61" customFormat="1">
      <c r="A186" s="10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1:48" s="61" customFormat="1">
      <c r="A187" s="10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1:48" s="61" customFormat="1">
      <c r="A188" s="10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1:48" s="61" customFormat="1">
      <c r="A189" s="10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1:48" s="61" customFormat="1">
      <c r="A190" s="10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1:48" s="61" customFormat="1">
      <c r="A191" s="10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1:48" s="61" customFormat="1">
      <c r="A192" s="10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A193" s="10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A194" s="10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A195" s="10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10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10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10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10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10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10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10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10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10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10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10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10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10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10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10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10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10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10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10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10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10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10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10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10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10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10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10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10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10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10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10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10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10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10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10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10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10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10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10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10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10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10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10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10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10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10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10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10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10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10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10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10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10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10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10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10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10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10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10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10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10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10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10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10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10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10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10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10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10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10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10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10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10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10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10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10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10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10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10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10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10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10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10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10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10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10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10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10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10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10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10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10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10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10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10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10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10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10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10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10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10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10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10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10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10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10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10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10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10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10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10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10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10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10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10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10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10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10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10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10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10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10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10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10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10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10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10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10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10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10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10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10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10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10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10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10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10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10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10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10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10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10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10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10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10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10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ht="12.5">
      <c r="A342" s="101"/>
      <c r="B342" s="24"/>
      <c r="C342" s="60"/>
      <c r="E342" s="47"/>
      <c r="F342" s="48"/>
      <c r="G342" s="47"/>
      <c r="J342" s="61"/>
      <c r="K342" s="61"/>
      <c r="L342" s="30"/>
      <c r="N342" s="97"/>
      <c r="O342" s="48"/>
      <c r="P342" s="47"/>
      <c r="Q342" s="24"/>
    </row>
    <row r="343" spans="1:48" ht="12.5">
      <c r="A343" s="101"/>
      <c r="B343" s="24"/>
      <c r="C343" s="60"/>
      <c r="E343" s="47"/>
      <c r="F343" s="48"/>
      <c r="G343" s="47"/>
      <c r="J343" s="61"/>
      <c r="K343" s="61"/>
      <c r="L343" s="30"/>
      <c r="N343" s="97"/>
      <c r="O343" s="48"/>
      <c r="P343" s="47"/>
      <c r="Q343" s="24"/>
    </row>
    <row r="344" spans="1:48" ht="12.5">
      <c r="A344" s="101"/>
      <c r="B344" s="24"/>
      <c r="C344" s="60"/>
      <c r="E344" s="47"/>
      <c r="F344" s="48"/>
      <c r="G344" s="47"/>
      <c r="J344" s="61"/>
      <c r="K344" s="61"/>
      <c r="L344" s="30"/>
      <c r="N344" s="97"/>
      <c r="O344" s="48"/>
      <c r="P344" s="47"/>
      <c r="Q344" s="24"/>
    </row>
    <row r="345" spans="1:48" ht="12.5">
      <c r="A345" s="101"/>
      <c r="B345" s="24"/>
      <c r="C345" s="60"/>
      <c r="E345" s="47"/>
      <c r="F345" s="48"/>
      <c r="G345" s="47"/>
      <c r="J345" s="61"/>
      <c r="K345" s="61"/>
      <c r="L345" s="30"/>
      <c r="N345" s="97"/>
      <c r="O345" s="48"/>
      <c r="P345" s="47"/>
      <c r="Q345" s="24"/>
    </row>
    <row r="346" spans="1:48" ht="12.5">
      <c r="A346" s="101"/>
      <c r="B346" s="24"/>
      <c r="C346" s="60"/>
      <c r="E346" s="47"/>
      <c r="F346" s="48"/>
      <c r="G346" s="47"/>
      <c r="J346" s="61"/>
      <c r="K346" s="61"/>
      <c r="L346" s="30"/>
      <c r="N346" s="97"/>
      <c r="O346" s="48"/>
      <c r="P346" s="47"/>
      <c r="Q346" s="24"/>
    </row>
    <row r="347" spans="1:48" ht="12.5">
      <c r="A347" s="101"/>
      <c r="B347" s="24"/>
      <c r="C347" s="60"/>
      <c r="E347" s="47"/>
      <c r="F347" s="48"/>
      <c r="G347" s="47"/>
      <c r="J347" s="61"/>
      <c r="K347" s="61"/>
      <c r="L347" s="30"/>
      <c r="N347" s="97"/>
      <c r="O347" s="48"/>
      <c r="P347" s="47"/>
      <c r="Q347" s="24"/>
    </row>
    <row r="348" spans="1:48" ht="12.5">
      <c r="A348" s="101"/>
      <c r="B348" s="24"/>
      <c r="C348" s="60"/>
      <c r="E348" s="47"/>
      <c r="F348" s="48"/>
      <c r="G348" s="47"/>
      <c r="J348" s="61"/>
      <c r="K348" s="61"/>
      <c r="L348" s="30"/>
      <c r="N348" s="97"/>
      <c r="O348" s="48"/>
      <c r="P348" s="47"/>
      <c r="Q348" s="24"/>
    </row>
    <row r="349" spans="1:48" ht="12.5">
      <c r="A349" s="101"/>
      <c r="B349" s="24"/>
      <c r="C349" s="60"/>
      <c r="E349" s="47"/>
      <c r="F349" s="48"/>
      <c r="G349" s="47"/>
      <c r="J349" s="61"/>
      <c r="K349" s="61"/>
      <c r="L349" s="30"/>
      <c r="N349" s="97"/>
      <c r="O349" s="48"/>
      <c r="P349" s="47"/>
      <c r="Q349" s="24"/>
    </row>
    <row r="350" spans="1:48" ht="12.5">
      <c r="A350" s="101"/>
      <c r="B350" s="24"/>
      <c r="C350" s="60"/>
      <c r="E350" s="47"/>
      <c r="F350" s="48"/>
      <c r="G350" s="47"/>
      <c r="J350" s="61"/>
      <c r="K350" s="61"/>
      <c r="L350" s="30"/>
      <c r="N350" s="97"/>
      <c r="O350" s="48"/>
      <c r="P350" s="47"/>
      <c r="Q350" s="24"/>
    </row>
    <row r="351" spans="1:48" ht="12.5">
      <c r="A351" s="101"/>
      <c r="B351" s="24"/>
      <c r="C351" s="60"/>
      <c r="E351" s="47"/>
      <c r="F351" s="48"/>
      <c r="G351" s="47"/>
      <c r="J351" s="61"/>
      <c r="K351" s="61"/>
      <c r="L351" s="30"/>
      <c r="N351" s="97"/>
      <c r="O351" s="48"/>
      <c r="P351" s="47"/>
      <c r="Q351" s="24"/>
    </row>
    <row r="352" spans="1:48" ht="12.5">
      <c r="A352" s="101"/>
      <c r="B352" s="24"/>
      <c r="C352" s="60"/>
      <c r="E352" s="47"/>
      <c r="F352" s="48"/>
      <c r="G352" s="47"/>
      <c r="J352" s="61"/>
      <c r="K352" s="61"/>
      <c r="L352" s="30"/>
      <c r="N352" s="97"/>
      <c r="O352" s="48"/>
      <c r="P352" s="47"/>
      <c r="Q352" s="24"/>
    </row>
    <row r="353" spans="1:17" ht="12.5">
      <c r="A353" s="101"/>
      <c r="B353" s="24"/>
      <c r="C353" s="60"/>
      <c r="E353" s="47"/>
      <c r="F353" s="48"/>
      <c r="G353" s="47"/>
      <c r="J353" s="61"/>
      <c r="K353" s="61"/>
      <c r="L353" s="30"/>
      <c r="N353" s="97"/>
      <c r="O353" s="48"/>
      <c r="P353" s="47"/>
      <c r="Q353" s="24"/>
    </row>
    <row r="354" spans="1:17" ht="12.5">
      <c r="A354" s="101"/>
      <c r="B354" s="24"/>
      <c r="C354" s="60"/>
      <c r="E354" s="47"/>
      <c r="F354" s="48"/>
      <c r="G354" s="47"/>
      <c r="J354" s="61"/>
      <c r="K354" s="61"/>
      <c r="L354" s="30"/>
      <c r="N354" s="97"/>
      <c r="O354" s="48"/>
      <c r="P354" s="47"/>
      <c r="Q354" s="24"/>
    </row>
    <row r="355" spans="1:17" ht="12.5">
      <c r="A355" s="101"/>
      <c r="B355" s="24"/>
      <c r="C355" s="60"/>
      <c r="E355" s="47"/>
      <c r="F355" s="48"/>
      <c r="G355" s="47"/>
      <c r="J355" s="61"/>
      <c r="K355" s="61"/>
      <c r="L355" s="30"/>
      <c r="N355" s="97"/>
      <c r="O355" s="48"/>
      <c r="P355" s="47"/>
      <c r="Q355" s="24"/>
    </row>
    <row r="356" spans="1:17" ht="12.5">
      <c r="A356" s="101"/>
      <c r="B356" s="24"/>
      <c r="C356" s="60"/>
      <c r="E356" s="47"/>
      <c r="F356" s="48"/>
      <c r="G356" s="47"/>
      <c r="J356" s="61"/>
      <c r="K356" s="61"/>
      <c r="L356" s="30"/>
      <c r="N356" s="97"/>
      <c r="O356" s="48"/>
      <c r="P356" s="47"/>
      <c r="Q356" s="24"/>
    </row>
    <row r="357" spans="1:17" ht="12.5">
      <c r="A357" s="101"/>
      <c r="B357" s="24"/>
      <c r="C357" s="60"/>
      <c r="E357" s="47"/>
      <c r="F357" s="48"/>
      <c r="G357" s="47"/>
      <c r="J357" s="61"/>
      <c r="K357" s="61"/>
      <c r="L357" s="30"/>
      <c r="N357" s="97"/>
      <c r="O357" s="48"/>
      <c r="P357" s="47"/>
      <c r="Q357" s="24"/>
    </row>
    <row r="358" spans="1:17" ht="12.5">
      <c r="A358" s="101"/>
      <c r="B358" s="24"/>
      <c r="C358" s="60"/>
      <c r="E358" s="47"/>
      <c r="F358" s="48"/>
      <c r="G358" s="47"/>
      <c r="J358" s="61"/>
      <c r="K358" s="61"/>
      <c r="L358" s="30"/>
      <c r="N358" s="97"/>
      <c r="O358" s="48"/>
      <c r="P358" s="47"/>
      <c r="Q358" s="24"/>
    </row>
    <row r="359" spans="1:17" ht="12.5">
      <c r="A359" s="101"/>
      <c r="B359" s="24"/>
      <c r="C359" s="60"/>
      <c r="E359" s="47"/>
      <c r="F359" s="48"/>
      <c r="G359" s="47"/>
      <c r="J359" s="61"/>
      <c r="K359" s="61"/>
      <c r="L359" s="30"/>
      <c r="N359" s="97"/>
      <c r="O359" s="48"/>
      <c r="P359" s="47"/>
      <c r="Q359" s="24"/>
    </row>
    <row r="360" spans="1:17" ht="12.5">
      <c r="A360" s="101"/>
      <c r="B360" s="24"/>
      <c r="C360" s="60"/>
      <c r="E360" s="47"/>
      <c r="F360" s="48"/>
      <c r="G360" s="47"/>
      <c r="J360" s="61"/>
      <c r="K360" s="61"/>
      <c r="L360" s="30"/>
      <c r="N360" s="97"/>
      <c r="O360" s="48"/>
      <c r="P360" s="47"/>
      <c r="Q360" s="24"/>
    </row>
    <row r="361" spans="1:17" ht="12.5">
      <c r="A361" s="101"/>
      <c r="B361" s="24"/>
      <c r="C361" s="60"/>
      <c r="E361" s="47"/>
      <c r="F361" s="48"/>
      <c r="G361" s="47"/>
      <c r="J361" s="61"/>
      <c r="K361" s="61"/>
      <c r="L361" s="30"/>
      <c r="N361" s="97"/>
      <c r="O361" s="48"/>
      <c r="P361" s="47"/>
      <c r="Q361" s="24"/>
    </row>
    <row r="362" spans="1:17" ht="12.5">
      <c r="A362" s="101"/>
      <c r="B362" s="24"/>
      <c r="C362" s="60"/>
      <c r="E362" s="47"/>
      <c r="F362" s="48"/>
      <c r="G362" s="47"/>
      <c r="J362" s="61"/>
      <c r="K362" s="61"/>
      <c r="L362" s="30"/>
      <c r="N362" s="97"/>
      <c r="O362" s="48"/>
      <c r="P362" s="47"/>
      <c r="Q362" s="24"/>
    </row>
    <row r="363" spans="1:17" ht="12.5">
      <c r="A363" s="101"/>
      <c r="B363" s="24"/>
      <c r="C363" s="60"/>
      <c r="E363" s="47"/>
      <c r="F363" s="48"/>
      <c r="G363" s="47"/>
      <c r="J363" s="61"/>
      <c r="K363" s="61"/>
      <c r="L363" s="30"/>
      <c r="N363" s="97"/>
      <c r="O363" s="48"/>
      <c r="P363" s="47"/>
      <c r="Q363" s="24"/>
    </row>
    <row r="364" spans="1:17" ht="12.5">
      <c r="A364" s="101"/>
      <c r="B364" s="24"/>
      <c r="C364" s="60"/>
      <c r="E364" s="47"/>
      <c r="F364" s="48"/>
      <c r="G364" s="47"/>
      <c r="J364" s="61"/>
      <c r="K364" s="61"/>
      <c r="L364" s="30"/>
      <c r="N364" s="97"/>
      <c r="O364" s="48"/>
      <c r="P364" s="47"/>
      <c r="Q364" s="24"/>
    </row>
    <row r="365" spans="1:17" ht="12.5">
      <c r="A365" s="101"/>
      <c r="B365" s="24"/>
      <c r="C365" s="60"/>
      <c r="E365" s="47"/>
      <c r="F365" s="48"/>
      <c r="G365" s="47"/>
      <c r="J365" s="61"/>
      <c r="K365" s="61"/>
      <c r="L365" s="30"/>
      <c r="N365" s="97"/>
      <c r="O365" s="48"/>
      <c r="P365" s="47"/>
      <c r="Q365" s="24"/>
    </row>
    <row r="366" spans="1:17" ht="12.5">
      <c r="A366" s="101"/>
      <c r="B366" s="24"/>
      <c r="C366" s="60"/>
      <c r="E366" s="47"/>
      <c r="F366" s="48"/>
      <c r="G366" s="47"/>
      <c r="J366" s="61"/>
      <c r="K366" s="61"/>
      <c r="L366" s="30"/>
      <c r="N366" s="97"/>
      <c r="O366" s="48"/>
      <c r="P366" s="47"/>
      <c r="Q366" s="24"/>
    </row>
    <row r="367" spans="1:17" ht="12.5">
      <c r="A367" s="101"/>
      <c r="B367" s="24"/>
      <c r="C367" s="60"/>
      <c r="E367" s="47"/>
      <c r="F367" s="48"/>
      <c r="G367" s="47"/>
      <c r="J367" s="61"/>
      <c r="K367" s="61"/>
      <c r="L367" s="30"/>
      <c r="N367" s="97"/>
      <c r="O367" s="48"/>
      <c r="P367" s="47"/>
      <c r="Q367" s="24"/>
    </row>
    <row r="368" spans="1:17" ht="12.5">
      <c r="A368" s="101"/>
      <c r="B368" s="24"/>
      <c r="C368" s="60"/>
      <c r="E368" s="47"/>
      <c r="F368" s="48"/>
      <c r="G368" s="47"/>
      <c r="J368" s="61"/>
      <c r="K368" s="61"/>
      <c r="L368" s="30"/>
      <c r="N368" s="97"/>
      <c r="O368" s="48"/>
      <c r="P368" s="47"/>
      <c r="Q368" s="24"/>
    </row>
    <row r="369" spans="1:17" ht="12.5">
      <c r="A369" s="101"/>
      <c r="B369" s="24"/>
      <c r="C369" s="60"/>
      <c r="E369" s="47"/>
      <c r="F369" s="48"/>
      <c r="G369" s="47"/>
      <c r="J369" s="61"/>
      <c r="K369" s="61"/>
      <c r="L369" s="30"/>
      <c r="N369" s="97"/>
      <c r="O369" s="48"/>
      <c r="P369" s="47"/>
      <c r="Q369" s="24"/>
    </row>
    <row r="370" spans="1:17" ht="12.5">
      <c r="A370" s="101"/>
      <c r="B370" s="24"/>
      <c r="C370" s="60"/>
      <c r="E370" s="47"/>
      <c r="F370" s="48"/>
      <c r="G370" s="47"/>
      <c r="J370" s="61"/>
      <c r="K370" s="61"/>
      <c r="L370" s="30"/>
      <c r="N370" s="97"/>
      <c r="O370" s="48"/>
      <c r="P370" s="47"/>
      <c r="Q370" s="24"/>
    </row>
    <row r="371" spans="1:17" ht="12.5">
      <c r="A371" s="101"/>
      <c r="B371" s="24"/>
      <c r="C371" s="60"/>
      <c r="E371" s="47"/>
      <c r="F371" s="48"/>
      <c r="G371" s="47"/>
      <c r="J371" s="61"/>
      <c r="K371" s="61"/>
      <c r="L371" s="30"/>
      <c r="N371" s="97"/>
      <c r="O371" s="48"/>
      <c r="P371" s="47"/>
      <c r="Q371" s="24"/>
    </row>
    <row r="372" spans="1:17" ht="12.5">
      <c r="A372" s="101"/>
      <c r="B372" s="24"/>
      <c r="C372" s="60"/>
      <c r="E372" s="47"/>
      <c r="F372" s="48"/>
      <c r="G372" s="47"/>
      <c r="J372" s="61"/>
      <c r="K372" s="61"/>
      <c r="L372" s="30"/>
      <c r="N372" s="97"/>
      <c r="O372" s="48"/>
      <c r="P372" s="47"/>
      <c r="Q372" s="24"/>
    </row>
    <row r="373" spans="1:17" ht="12.5">
      <c r="A373" s="101"/>
      <c r="B373" s="24"/>
      <c r="C373" s="60"/>
      <c r="E373" s="47"/>
      <c r="F373" s="48"/>
      <c r="G373" s="47"/>
      <c r="J373" s="61"/>
      <c r="K373" s="61"/>
      <c r="L373" s="30"/>
      <c r="N373" s="97"/>
      <c r="O373" s="48"/>
      <c r="P373" s="47"/>
      <c r="Q373" s="24"/>
    </row>
    <row r="374" spans="1:17" ht="12.5">
      <c r="A374" s="101"/>
      <c r="B374" s="24"/>
      <c r="C374" s="60"/>
      <c r="E374" s="47"/>
      <c r="F374" s="48"/>
      <c r="G374" s="47"/>
      <c r="J374" s="61"/>
      <c r="K374" s="61"/>
      <c r="L374" s="30"/>
      <c r="N374" s="97"/>
      <c r="O374" s="48"/>
      <c r="P374" s="47"/>
      <c r="Q374" s="24"/>
    </row>
    <row r="375" spans="1:17" ht="12.5">
      <c r="A375" s="101"/>
      <c r="B375" s="24"/>
      <c r="C375" s="60"/>
      <c r="E375" s="47"/>
      <c r="F375" s="48"/>
      <c r="G375" s="47"/>
      <c r="J375" s="61"/>
      <c r="K375" s="61"/>
      <c r="L375" s="30"/>
      <c r="N375" s="97"/>
      <c r="O375" s="48"/>
      <c r="P375" s="47"/>
      <c r="Q375" s="24"/>
    </row>
    <row r="376" spans="1:17" ht="12.5">
      <c r="A376" s="101"/>
      <c r="B376" s="24"/>
      <c r="C376" s="60"/>
      <c r="E376" s="47"/>
      <c r="F376" s="48"/>
      <c r="G376" s="47"/>
      <c r="J376" s="61"/>
      <c r="K376" s="61"/>
      <c r="L376" s="30"/>
      <c r="N376" s="97"/>
      <c r="O376" s="48"/>
      <c r="P376" s="47"/>
      <c r="Q376" s="24"/>
    </row>
    <row r="377" spans="1:17" ht="12.5">
      <c r="A377" s="101"/>
      <c r="B377" s="24"/>
      <c r="C377" s="60"/>
      <c r="E377" s="47"/>
      <c r="F377" s="48"/>
      <c r="G377" s="47"/>
      <c r="J377" s="61"/>
      <c r="K377" s="61"/>
      <c r="L377" s="30"/>
      <c r="N377" s="97"/>
      <c r="O377" s="48"/>
      <c r="P377" s="47"/>
      <c r="Q377" s="24"/>
    </row>
    <row r="378" spans="1:17" ht="12.5">
      <c r="A378" s="101"/>
      <c r="B378" s="24"/>
      <c r="C378" s="60"/>
      <c r="E378" s="47"/>
      <c r="F378" s="48"/>
      <c r="G378" s="47"/>
      <c r="J378" s="61"/>
      <c r="K378" s="61"/>
      <c r="L378" s="30"/>
      <c r="N378" s="97"/>
      <c r="O378" s="48"/>
      <c r="P378" s="47"/>
      <c r="Q378" s="24"/>
    </row>
    <row r="379" spans="1:17" ht="12.5">
      <c r="A379" s="101"/>
      <c r="B379" s="24"/>
      <c r="C379" s="60"/>
      <c r="E379" s="47"/>
      <c r="F379" s="48"/>
      <c r="G379" s="47"/>
      <c r="J379" s="61"/>
      <c r="K379" s="61"/>
      <c r="L379" s="30"/>
      <c r="N379" s="97"/>
      <c r="O379" s="48"/>
      <c r="P379" s="47"/>
      <c r="Q379" s="24"/>
    </row>
    <row r="380" spans="1:17" ht="12.5">
      <c r="A380" s="101"/>
      <c r="B380" s="24"/>
      <c r="C380" s="60"/>
      <c r="E380" s="47"/>
      <c r="F380" s="48"/>
      <c r="G380" s="47"/>
      <c r="J380" s="61"/>
      <c r="K380" s="61"/>
      <c r="L380" s="30"/>
      <c r="N380" s="97"/>
      <c r="O380" s="48"/>
      <c r="P380" s="47"/>
      <c r="Q380" s="24"/>
    </row>
    <row r="381" spans="1:17" ht="12.5">
      <c r="A381" s="101"/>
      <c r="B381" s="24"/>
      <c r="C381" s="60"/>
      <c r="E381" s="47"/>
      <c r="F381" s="48"/>
      <c r="G381" s="47"/>
      <c r="J381" s="61"/>
      <c r="K381" s="61"/>
      <c r="L381" s="30"/>
      <c r="N381" s="97"/>
      <c r="O381" s="48"/>
      <c r="P381" s="47"/>
      <c r="Q381" s="24"/>
    </row>
    <row r="382" spans="1:17" ht="12.5">
      <c r="A382" s="101"/>
      <c r="B382" s="24"/>
      <c r="C382" s="60"/>
      <c r="E382" s="47"/>
      <c r="F382" s="48"/>
      <c r="G382" s="47"/>
      <c r="J382" s="61"/>
      <c r="K382" s="61"/>
      <c r="L382" s="30"/>
      <c r="N382" s="97"/>
      <c r="O382" s="48"/>
      <c r="P382" s="47"/>
      <c r="Q382" s="24"/>
    </row>
    <row r="383" spans="1:17" ht="12.5">
      <c r="A383" s="101"/>
      <c r="B383" s="24"/>
      <c r="C383" s="60"/>
      <c r="E383" s="47"/>
      <c r="F383" s="48"/>
      <c r="G383" s="47"/>
      <c r="J383" s="61"/>
      <c r="K383" s="61"/>
      <c r="L383" s="30"/>
      <c r="N383" s="97"/>
      <c r="O383" s="48"/>
      <c r="P383" s="47"/>
      <c r="Q383" s="24"/>
    </row>
    <row r="384" spans="1:17" ht="12.5">
      <c r="A384" s="101"/>
      <c r="B384" s="24"/>
      <c r="C384" s="60"/>
      <c r="E384" s="47"/>
      <c r="F384" s="48"/>
      <c r="G384" s="47"/>
      <c r="J384" s="61"/>
      <c r="K384" s="61"/>
      <c r="L384" s="30"/>
      <c r="N384" s="97"/>
      <c r="O384" s="48"/>
      <c r="P384" s="47"/>
      <c r="Q384" s="24"/>
    </row>
    <row r="385" spans="1:17" ht="12.5">
      <c r="A385" s="101"/>
      <c r="B385" s="24"/>
      <c r="C385" s="60"/>
      <c r="E385" s="47"/>
      <c r="F385" s="48"/>
      <c r="G385" s="47"/>
      <c r="J385" s="61"/>
      <c r="K385" s="61"/>
      <c r="L385" s="30"/>
      <c r="N385" s="97"/>
      <c r="O385" s="48"/>
      <c r="P385" s="47"/>
      <c r="Q385" s="24"/>
    </row>
    <row r="386" spans="1:17" ht="12.5">
      <c r="A386" s="101"/>
      <c r="B386" s="24"/>
      <c r="C386" s="60"/>
      <c r="E386" s="47"/>
      <c r="F386" s="48"/>
      <c r="G386" s="47"/>
      <c r="J386" s="61"/>
      <c r="K386" s="61"/>
      <c r="L386" s="30"/>
      <c r="N386" s="97"/>
      <c r="O386" s="48"/>
      <c r="P386" s="47"/>
      <c r="Q386" s="24"/>
    </row>
    <row r="387" spans="1:17" ht="12.5">
      <c r="A387" s="101"/>
      <c r="B387" s="24"/>
      <c r="C387" s="60"/>
      <c r="E387" s="47"/>
      <c r="F387" s="48"/>
      <c r="G387" s="47"/>
      <c r="J387" s="61"/>
      <c r="K387" s="61"/>
      <c r="L387" s="30"/>
      <c r="N387" s="97"/>
      <c r="O387" s="48"/>
      <c r="P387" s="47"/>
      <c r="Q387" s="24"/>
    </row>
    <row r="388" spans="1:17" ht="12.5">
      <c r="A388" s="101"/>
      <c r="B388" s="24"/>
      <c r="C388" s="60"/>
      <c r="E388" s="47"/>
      <c r="F388" s="48"/>
      <c r="G388" s="47"/>
      <c r="J388" s="61"/>
      <c r="K388" s="61"/>
      <c r="L388" s="30"/>
      <c r="N388" s="97"/>
      <c r="O388" s="48"/>
      <c r="P388" s="47"/>
      <c r="Q388" s="24"/>
    </row>
    <row r="389" spans="1:17" ht="12.5">
      <c r="A389" s="101"/>
      <c r="B389" s="24"/>
      <c r="C389" s="60"/>
      <c r="E389" s="47"/>
      <c r="F389" s="48"/>
      <c r="G389" s="47"/>
      <c r="J389" s="61"/>
      <c r="K389" s="61"/>
      <c r="L389" s="30"/>
      <c r="N389" s="97"/>
      <c r="O389" s="48"/>
      <c r="P389" s="47"/>
      <c r="Q389" s="24"/>
    </row>
    <row r="390" spans="1:17" ht="12.5">
      <c r="A390" s="101"/>
      <c r="B390" s="24"/>
      <c r="C390" s="60"/>
      <c r="E390" s="47"/>
      <c r="F390" s="48"/>
      <c r="G390" s="47"/>
      <c r="J390" s="61"/>
      <c r="K390" s="61"/>
      <c r="L390" s="30"/>
      <c r="N390" s="97"/>
      <c r="O390" s="48"/>
      <c r="P390" s="47"/>
      <c r="Q390" s="24"/>
    </row>
    <row r="391" spans="1:17" ht="12.5">
      <c r="A391" s="101"/>
      <c r="B391" s="24"/>
      <c r="C391" s="60"/>
      <c r="E391" s="47"/>
      <c r="F391" s="48"/>
      <c r="G391" s="47"/>
      <c r="J391" s="61"/>
      <c r="K391" s="61"/>
      <c r="L391" s="30"/>
      <c r="N391" s="97"/>
      <c r="O391" s="48"/>
      <c r="P391" s="47"/>
      <c r="Q391" s="24"/>
    </row>
    <row r="392" spans="1:17" ht="12.5">
      <c r="A392" s="101"/>
      <c r="B392" s="24"/>
      <c r="C392" s="60"/>
      <c r="E392" s="47"/>
      <c r="F392" s="48"/>
      <c r="G392" s="47"/>
      <c r="J392" s="61"/>
      <c r="K392" s="61"/>
      <c r="L392" s="30"/>
      <c r="N392" s="97"/>
      <c r="O392" s="48"/>
      <c r="P392" s="47"/>
      <c r="Q392" s="24"/>
    </row>
    <row r="393" spans="1:17" ht="12.5">
      <c r="A393" s="101"/>
      <c r="B393" s="24"/>
      <c r="C393" s="60"/>
      <c r="E393" s="47"/>
      <c r="F393" s="48"/>
      <c r="G393" s="47"/>
      <c r="J393" s="61"/>
      <c r="K393" s="61"/>
      <c r="L393" s="30"/>
      <c r="N393" s="97"/>
      <c r="O393" s="48"/>
      <c r="P393" s="47"/>
      <c r="Q393" s="24"/>
    </row>
    <row r="394" spans="1:17" ht="12.5">
      <c r="A394" s="101"/>
      <c r="B394" s="24"/>
      <c r="C394" s="60"/>
      <c r="E394" s="47"/>
      <c r="F394" s="48"/>
      <c r="G394" s="47"/>
      <c r="J394" s="61"/>
      <c r="K394" s="61"/>
      <c r="L394" s="30"/>
      <c r="N394" s="97"/>
      <c r="O394" s="48"/>
      <c r="P394" s="47"/>
      <c r="Q394" s="24"/>
    </row>
    <row r="395" spans="1:17" ht="12.5">
      <c r="A395" s="101"/>
      <c r="B395" s="24"/>
      <c r="C395" s="60"/>
      <c r="E395" s="47"/>
      <c r="F395" s="48"/>
      <c r="G395" s="47"/>
      <c r="J395" s="61"/>
      <c r="K395" s="61"/>
      <c r="L395" s="30"/>
      <c r="N395" s="97"/>
      <c r="O395" s="48"/>
      <c r="P395" s="47"/>
      <c r="Q395" s="24"/>
    </row>
    <row r="396" spans="1:17" ht="12.5">
      <c r="A396" s="101"/>
      <c r="B396" s="24"/>
      <c r="C396" s="60"/>
      <c r="E396" s="47"/>
      <c r="F396" s="48"/>
      <c r="G396" s="47"/>
      <c r="J396" s="61"/>
      <c r="K396" s="61"/>
      <c r="L396" s="30"/>
      <c r="N396" s="97"/>
      <c r="O396" s="48"/>
      <c r="P396" s="47"/>
      <c r="Q396" s="24"/>
    </row>
    <row r="397" spans="1:17" ht="12.5">
      <c r="A397" s="101"/>
      <c r="B397" s="24"/>
      <c r="C397" s="60"/>
      <c r="E397" s="47"/>
      <c r="F397" s="48"/>
      <c r="G397" s="47"/>
      <c r="J397" s="61"/>
      <c r="K397" s="61"/>
      <c r="L397" s="30"/>
      <c r="N397" s="97"/>
      <c r="O397" s="48"/>
      <c r="P397" s="47"/>
      <c r="Q397" s="24"/>
    </row>
    <row r="398" spans="1:17" ht="12.5">
      <c r="A398" s="101"/>
      <c r="B398" s="24"/>
      <c r="C398" s="60"/>
      <c r="E398" s="47"/>
      <c r="F398" s="48"/>
      <c r="G398" s="47"/>
      <c r="J398" s="61"/>
      <c r="K398" s="61"/>
      <c r="L398" s="30"/>
      <c r="N398" s="97"/>
      <c r="O398" s="48"/>
      <c r="P398" s="47"/>
      <c r="Q398" s="24"/>
    </row>
    <row r="399" spans="1:17" ht="12.5">
      <c r="A399" s="101"/>
      <c r="B399" s="24"/>
      <c r="C399" s="60"/>
      <c r="E399" s="47"/>
      <c r="F399" s="48"/>
      <c r="G399" s="47"/>
      <c r="J399" s="61"/>
      <c r="K399" s="61"/>
      <c r="L399" s="30"/>
      <c r="N399" s="97"/>
      <c r="O399" s="48"/>
      <c r="P399" s="47"/>
      <c r="Q399" s="24"/>
    </row>
    <row r="400" spans="1:17" ht="12.5">
      <c r="A400" s="101"/>
      <c r="B400" s="24"/>
      <c r="C400" s="60"/>
      <c r="E400" s="47"/>
      <c r="F400" s="48"/>
      <c r="G400" s="47"/>
      <c r="J400" s="61"/>
      <c r="K400" s="61"/>
      <c r="L400" s="30"/>
      <c r="N400" s="97"/>
      <c r="O400" s="48"/>
      <c r="P400" s="47"/>
      <c r="Q400" s="24"/>
    </row>
    <row r="401" spans="1:17" ht="12.5">
      <c r="A401" s="101"/>
      <c r="B401" s="24"/>
      <c r="C401" s="60"/>
      <c r="E401" s="47"/>
      <c r="F401" s="48"/>
      <c r="G401" s="47"/>
      <c r="J401" s="61"/>
      <c r="K401" s="61"/>
      <c r="L401" s="30"/>
      <c r="N401" s="97"/>
      <c r="O401" s="48"/>
      <c r="P401" s="47"/>
      <c r="Q401" s="24"/>
    </row>
    <row r="402" spans="1:17" ht="12.5">
      <c r="A402" s="101"/>
      <c r="B402" s="24"/>
      <c r="C402" s="60"/>
      <c r="E402" s="47"/>
      <c r="F402" s="48"/>
      <c r="G402" s="47"/>
      <c r="J402" s="61"/>
      <c r="K402" s="61"/>
      <c r="L402" s="30"/>
      <c r="N402" s="97"/>
      <c r="O402" s="48"/>
      <c r="P402" s="47"/>
      <c r="Q402" s="24"/>
    </row>
    <row r="403" spans="1:17" ht="12.5">
      <c r="A403" s="101"/>
      <c r="B403" s="24"/>
      <c r="C403" s="60"/>
      <c r="E403" s="47"/>
      <c r="F403" s="48"/>
      <c r="G403" s="47"/>
      <c r="J403" s="61"/>
      <c r="K403" s="61"/>
      <c r="L403" s="30"/>
      <c r="N403" s="97"/>
      <c r="O403" s="48"/>
      <c r="P403" s="47"/>
      <c r="Q403" s="24"/>
    </row>
    <row r="404" spans="1:17" ht="12.5">
      <c r="A404" s="101"/>
      <c r="B404" s="24"/>
      <c r="C404" s="60"/>
      <c r="E404" s="47"/>
      <c r="F404" s="48"/>
      <c r="G404" s="47"/>
      <c r="J404" s="61"/>
      <c r="K404" s="61"/>
      <c r="L404" s="30"/>
      <c r="N404" s="97"/>
      <c r="O404" s="48"/>
      <c r="P404" s="47"/>
      <c r="Q404" s="24"/>
    </row>
    <row r="405" spans="1:17" ht="12.5">
      <c r="A405" s="101"/>
      <c r="B405" s="24"/>
      <c r="C405" s="60"/>
      <c r="E405" s="47"/>
      <c r="F405" s="48"/>
      <c r="G405" s="47"/>
      <c r="J405" s="61"/>
      <c r="K405" s="61"/>
      <c r="L405" s="30"/>
      <c r="N405" s="97"/>
      <c r="O405" s="48"/>
      <c r="P405" s="47"/>
      <c r="Q405" s="24"/>
    </row>
    <row r="406" spans="1:17" ht="12.5">
      <c r="A406" s="101"/>
      <c r="B406" s="24"/>
      <c r="C406" s="60"/>
      <c r="E406" s="47"/>
      <c r="F406" s="48"/>
      <c r="G406" s="47"/>
      <c r="J406" s="61"/>
      <c r="K406" s="61"/>
      <c r="L406" s="30"/>
      <c r="N406" s="97"/>
      <c r="O406" s="48"/>
      <c r="P406" s="47"/>
      <c r="Q406" s="24"/>
    </row>
    <row r="407" spans="1:17" ht="12.5">
      <c r="A407" s="101"/>
      <c r="B407" s="24"/>
      <c r="C407" s="60"/>
      <c r="E407" s="47"/>
      <c r="F407" s="48"/>
      <c r="G407" s="47"/>
      <c r="J407" s="61"/>
      <c r="K407" s="61"/>
      <c r="L407" s="30"/>
      <c r="N407" s="97"/>
      <c r="O407" s="48"/>
      <c r="P407" s="47"/>
      <c r="Q407" s="24"/>
    </row>
    <row r="408" spans="1:17" ht="12.5">
      <c r="A408" s="101"/>
      <c r="B408" s="24"/>
      <c r="C408" s="60"/>
      <c r="E408" s="47"/>
      <c r="F408" s="48"/>
      <c r="G408" s="47"/>
      <c r="J408" s="61"/>
      <c r="K408" s="61"/>
      <c r="L408" s="30"/>
      <c r="N408" s="97"/>
      <c r="O408" s="48"/>
      <c r="P408" s="47"/>
      <c r="Q408" s="24"/>
    </row>
    <row r="409" spans="1:17" ht="12.5">
      <c r="A409" s="101"/>
      <c r="B409" s="24"/>
      <c r="C409" s="60"/>
      <c r="E409" s="47"/>
      <c r="F409" s="48"/>
      <c r="G409" s="47"/>
      <c r="J409" s="61"/>
      <c r="K409" s="61"/>
      <c r="L409" s="30"/>
      <c r="N409" s="97"/>
      <c r="O409" s="48"/>
      <c r="P409" s="47"/>
      <c r="Q409" s="24"/>
    </row>
    <row r="410" spans="1:17" ht="12.5">
      <c r="A410" s="101"/>
      <c r="B410" s="24"/>
      <c r="C410" s="60"/>
      <c r="E410" s="47"/>
      <c r="F410" s="48"/>
      <c r="G410" s="47"/>
      <c r="J410" s="61"/>
      <c r="K410" s="61"/>
      <c r="L410" s="30"/>
      <c r="N410" s="97"/>
      <c r="O410" s="48"/>
      <c r="P410" s="47"/>
      <c r="Q410" s="24"/>
    </row>
    <row r="411" spans="1:17" ht="12.5">
      <c r="A411" s="101"/>
      <c r="B411" s="24"/>
      <c r="C411" s="60"/>
      <c r="E411" s="47"/>
      <c r="F411" s="48"/>
      <c r="G411" s="47"/>
      <c r="J411" s="61"/>
      <c r="K411" s="61"/>
      <c r="L411" s="30"/>
      <c r="N411" s="97"/>
      <c r="O411" s="48"/>
      <c r="P411" s="47"/>
      <c r="Q411" s="24"/>
    </row>
    <row r="412" spans="1:17" ht="12.5">
      <c r="A412" s="101"/>
      <c r="B412" s="24"/>
      <c r="C412" s="60"/>
      <c r="E412" s="47"/>
      <c r="F412" s="48"/>
      <c r="G412" s="47"/>
      <c r="J412" s="61"/>
      <c r="K412" s="61"/>
      <c r="L412" s="30"/>
      <c r="N412" s="97"/>
      <c r="O412" s="48"/>
      <c r="P412" s="47"/>
      <c r="Q412" s="24"/>
    </row>
    <row r="413" spans="1:17" ht="12.5">
      <c r="A413" s="101"/>
      <c r="B413" s="24"/>
      <c r="C413" s="60"/>
      <c r="E413" s="47"/>
      <c r="F413" s="48"/>
      <c r="G413" s="47"/>
      <c r="J413" s="61"/>
      <c r="K413" s="61"/>
      <c r="L413" s="30"/>
      <c r="N413" s="97"/>
      <c r="O413" s="48"/>
      <c r="P413" s="47"/>
      <c r="Q413" s="24"/>
    </row>
    <row r="414" spans="1:17" ht="12.5">
      <c r="A414" s="101"/>
      <c r="B414" s="24"/>
      <c r="C414" s="60"/>
      <c r="E414" s="47"/>
      <c r="F414" s="48"/>
      <c r="G414" s="47"/>
      <c r="J414" s="61"/>
      <c r="K414" s="61"/>
      <c r="L414" s="30"/>
      <c r="N414" s="97"/>
      <c r="O414" s="48"/>
      <c r="P414" s="47"/>
      <c r="Q414" s="24"/>
    </row>
    <row r="415" spans="1:17" ht="12.5">
      <c r="A415" s="101"/>
      <c r="B415" s="24"/>
      <c r="C415" s="60"/>
      <c r="E415" s="47"/>
      <c r="F415" s="48"/>
      <c r="G415" s="47"/>
      <c r="J415" s="61"/>
      <c r="K415" s="61"/>
      <c r="L415" s="30"/>
      <c r="N415" s="97"/>
      <c r="O415" s="48"/>
      <c r="P415" s="47"/>
      <c r="Q415" s="24"/>
    </row>
    <row r="416" spans="1:17" ht="12.5">
      <c r="A416" s="101"/>
      <c r="B416" s="24"/>
      <c r="C416" s="60"/>
      <c r="E416" s="47"/>
      <c r="F416" s="48"/>
      <c r="G416" s="47"/>
      <c r="J416" s="61"/>
      <c r="K416" s="61"/>
      <c r="L416" s="30"/>
      <c r="N416" s="97"/>
      <c r="O416" s="48"/>
      <c r="P416" s="47"/>
      <c r="Q416" s="24"/>
    </row>
    <row r="417" spans="1:17" ht="12.5">
      <c r="A417" s="101"/>
      <c r="B417" s="24"/>
      <c r="C417" s="60"/>
      <c r="E417" s="47"/>
      <c r="F417" s="48"/>
      <c r="G417" s="47"/>
      <c r="J417" s="61"/>
      <c r="K417" s="61"/>
      <c r="L417" s="30"/>
      <c r="N417" s="97"/>
      <c r="O417" s="48"/>
      <c r="P417" s="47"/>
      <c r="Q417" s="24"/>
    </row>
    <row r="418" spans="1:17" ht="12.5">
      <c r="A418" s="101"/>
      <c r="B418" s="24"/>
      <c r="C418" s="60"/>
      <c r="E418" s="47"/>
      <c r="F418" s="48"/>
      <c r="G418" s="47"/>
      <c r="J418" s="61"/>
      <c r="K418" s="61"/>
      <c r="L418" s="30"/>
      <c r="N418" s="97"/>
      <c r="O418" s="48"/>
      <c r="P418" s="47"/>
      <c r="Q418" s="24"/>
    </row>
    <row r="419" spans="1:17" ht="12.5">
      <c r="A419" s="101"/>
      <c r="B419" s="24"/>
      <c r="C419" s="60"/>
      <c r="E419" s="47"/>
      <c r="F419" s="48"/>
      <c r="G419" s="47"/>
      <c r="J419" s="61"/>
      <c r="K419" s="61"/>
      <c r="L419" s="30"/>
      <c r="N419" s="97"/>
      <c r="O419" s="48"/>
      <c r="P419" s="47"/>
      <c r="Q419" s="24"/>
    </row>
    <row r="420" spans="1:17" ht="12.5">
      <c r="A420" s="101"/>
      <c r="B420" s="24"/>
      <c r="C420" s="60"/>
      <c r="E420" s="47"/>
      <c r="F420" s="48"/>
      <c r="G420" s="47"/>
      <c r="J420" s="61"/>
      <c r="K420" s="61"/>
      <c r="L420" s="30"/>
      <c r="N420" s="97"/>
      <c r="O420" s="48"/>
      <c r="P420" s="47"/>
      <c r="Q420" s="24"/>
    </row>
    <row r="421" spans="1:17" ht="12.5">
      <c r="A421" s="101"/>
      <c r="B421" s="24"/>
      <c r="C421" s="60"/>
      <c r="E421" s="47"/>
      <c r="F421" s="48"/>
      <c r="G421" s="47"/>
      <c r="J421" s="61"/>
      <c r="K421" s="61"/>
      <c r="L421" s="30"/>
      <c r="N421" s="97"/>
      <c r="O421" s="48"/>
      <c r="P421" s="47"/>
      <c r="Q421" s="24"/>
    </row>
    <row r="422" spans="1:17" ht="12.5">
      <c r="A422" s="101"/>
      <c r="B422" s="24"/>
      <c r="C422" s="60"/>
      <c r="E422" s="47"/>
      <c r="F422" s="48"/>
      <c r="G422" s="47"/>
      <c r="J422" s="61"/>
      <c r="K422" s="61"/>
      <c r="L422" s="30"/>
      <c r="N422" s="97"/>
      <c r="O422" s="48"/>
      <c r="P422" s="47"/>
      <c r="Q422" s="24"/>
    </row>
    <row r="423" spans="1:17" ht="12.5">
      <c r="A423" s="101"/>
      <c r="B423" s="24"/>
      <c r="C423" s="60"/>
      <c r="E423" s="47"/>
      <c r="F423" s="48"/>
      <c r="G423" s="47"/>
      <c r="J423" s="61"/>
      <c r="K423" s="61"/>
      <c r="L423" s="30"/>
      <c r="N423" s="97"/>
      <c r="O423" s="48"/>
      <c r="P423" s="47"/>
      <c r="Q423" s="24"/>
    </row>
    <row r="424" spans="1:17" ht="12.5">
      <c r="A424" s="101"/>
      <c r="B424" s="24"/>
      <c r="C424" s="60"/>
      <c r="E424" s="47"/>
      <c r="F424" s="48"/>
      <c r="G424" s="47"/>
      <c r="J424" s="61"/>
      <c r="K424" s="61"/>
      <c r="L424" s="30"/>
      <c r="N424" s="97"/>
      <c r="O424" s="48"/>
      <c r="P424" s="47"/>
      <c r="Q424" s="24"/>
    </row>
    <row r="425" spans="1:17" ht="12.5">
      <c r="A425" s="101"/>
      <c r="B425" s="24"/>
      <c r="C425" s="60"/>
      <c r="E425" s="47"/>
      <c r="F425" s="48"/>
      <c r="G425" s="47"/>
      <c r="J425" s="61"/>
      <c r="K425" s="61"/>
      <c r="L425" s="30"/>
      <c r="N425" s="97"/>
      <c r="O425" s="48"/>
      <c r="P425" s="47"/>
      <c r="Q425" s="24"/>
    </row>
    <row r="426" spans="1:17" ht="12.5">
      <c r="A426" s="101"/>
      <c r="B426" s="24"/>
      <c r="C426" s="60"/>
      <c r="E426" s="47"/>
      <c r="F426" s="48"/>
      <c r="G426" s="47"/>
      <c r="J426" s="61"/>
      <c r="K426" s="61"/>
      <c r="L426" s="30"/>
      <c r="N426" s="97"/>
      <c r="O426" s="48"/>
      <c r="P426" s="47"/>
      <c r="Q426" s="24"/>
    </row>
    <row r="427" spans="1:17" ht="12.5">
      <c r="A427" s="101"/>
      <c r="B427" s="24"/>
      <c r="C427" s="60"/>
      <c r="E427" s="47"/>
      <c r="F427" s="48"/>
      <c r="G427" s="47"/>
      <c r="J427" s="61"/>
      <c r="K427" s="61"/>
      <c r="L427" s="30"/>
      <c r="N427" s="97"/>
      <c r="O427" s="48"/>
      <c r="P427" s="47"/>
      <c r="Q427" s="24"/>
    </row>
    <row r="428" spans="1:17" ht="12.5">
      <c r="A428" s="101"/>
      <c r="B428" s="24"/>
      <c r="C428" s="60"/>
      <c r="E428" s="47"/>
      <c r="F428" s="48"/>
      <c r="G428" s="47"/>
      <c r="J428" s="61"/>
      <c r="K428" s="61"/>
      <c r="L428" s="30"/>
      <c r="N428" s="97"/>
      <c r="O428" s="48"/>
      <c r="P428" s="47"/>
      <c r="Q428" s="24"/>
    </row>
    <row r="429" spans="1:17" ht="12.5">
      <c r="A429" s="101"/>
      <c r="B429" s="24"/>
      <c r="C429" s="60"/>
      <c r="E429" s="47"/>
      <c r="F429" s="48"/>
      <c r="G429" s="47"/>
      <c r="J429" s="61"/>
      <c r="K429" s="61"/>
      <c r="L429" s="30"/>
      <c r="N429" s="97"/>
      <c r="O429" s="48"/>
      <c r="P429" s="47"/>
      <c r="Q429" s="24"/>
    </row>
    <row r="430" spans="1:17" ht="12.5">
      <c r="A430" s="101"/>
      <c r="B430" s="24"/>
      <c r="C430" s="60"/>
      <c r="E430" s="47"/>
      <c r="F430" s="48"/>
      <c r="G430" s="47"/>
      <c r="J430" s="61"/>
      <c r="K430" s="61"/>
      <c r="L430" s="30"/>
      <c r="N430" s="97"/>
      <c r="O430" s="48"/>
      <c r="P430" s="47"/>
      <c r="Q430" s="24"/>
    </row>
    <row r="431" spans="1:17" ht="12.5">
      <c r="A431" s="101"/>
      <c r="B431" s="24"/>
      <c r="C431" s="60"/>
      <c r="E431" s="47"/>
      <c r="F431" s="48"/>
      <c r="G431" s="47"/>
      <c r="J431" s="61"/>
      <c r="K431" s="61"/>
      <c r="L431" s="30"/>
      <c r="N431" s="97"/>
      <c r="O431" s="48"/>
      <c r="P431" s="47"/>
      <c r="Q431" s="24"/>
    </row>
    <row r="432" spans="1:17" ht="12.5">
      <c r="A432" s="101"/>
      <c r="B432" s="24"/>
      <c r="C432" s="60"/>
      <c r="E432" s="47"/>
      <c r="F432" s="48"/>
      <c r="G432" s="47"/>
      <c r="J432" s="61"/>
      <c r="K432" s="61"/>
      <c r="L432" s="30"/>
      <c r="N432" s="97"/>
      <c r="O432" s="48"/>
      <c r="P432" s="47"/>
      <c r="Q432" s="24"/>
    </row>
    <row r="433" spans="1:17" ht="12.5">
      <c r="A433" s="101"/>
      <c r="B433" s="24"/>
      <c r="C433" s="60"/>
      <c r="E433" s="47"/>
      <c r="F433" s="48"/>
      <c r="G433" s="47"/>
      <c r="J433" s="61"/>
      <c r="K433" s="61"/>
      <c r="L433" s="30"/>
      <c r="N433" s="97"/>
      <c r="O433" s="48"/>
      <c r="P433" s="47"/>
      <c r="Q433" s="24"/>
    </row>
    <row r="434" spans="1:17" ht="12.5">
      <c r="A434" s="101"/>
      <c r="B434" s="24"/>
      <c r="C434" s="60"/>
      <c r="E434" s="47"/>
      <c r="F434" s="48"/>
      <c r="G434" s="47"/>
      <c r="J434" s="61"/>
      <c r="K434" s="61"/>
      <c r="L434" s="30"/>
      <c r="N434" s="97"/>
      <c r="O434" s="48"/>
      <c r="P434" s="47"/>
      <c r="Q434" s="24"/>
    </row>
    <row r="435" spans="1:17" ht="12.5">
      <c r="A435" s="101"/>
      <c r="B435" s="24"/>
      <c r="C435" s="60"/>
      <c r="E435" s="47"/>
      <c r="F435" s="48"/>
      <c r="G435" s="47"/>
      <c r="J435" s="61"/>
      <c r="K435" s="61"/>
      <c r="L435" s="30"/>
      <c r="N435" s="97"/>
      <c r="O435" s="48"/>
      <c r="P435" s="47"/>
      <c r="Q435" s="24"/>
    </row>
    <row r="436" spans="1:17" ht="12.5">
      <c r="A436" s="101"/>
      <c r="B436" s="24"/>
      <c r="C436" s="60"/>
      <c r="E436" s="47"/>
      <c r="F436" s="48"/>
      <c r="G436" s="47"/>
      <c r="J436" s="61"/>
      <c r="K436" s="61"/>
      <c r="L436" s="30"/>
      <c r="N436" s="97"/>
      <c r="O436" s="48"/>
      <c r="P436" s="47"/>
      <c r="Q436" s="24"/>
    </row>
    <row r="437" spans="1:17" ht="12.5">
      <c r="A437" s="101"/>
      <c r="B437" s="24"/>
      <c r="C437" s="60"/>
      <c r="E437" s="47"/>
      <c r="F437" s="48"/>
      <c r="G437" s="47"/>
      <c r="J437" s="61"/>
      <c r="K437" s="61"/>
      <c r="L437" s="30"/>
      <c r="N437" s="97"/>
      <c r="O437" s="48"/>
      <c r="P437" s="47"/>
      <c r="Q437" s="24"/>
    </row>
    <row r="438" spans="1:17" ht="12.5">
      <c r="A438" s="101"/>
      <c r="B438" s="24"/>
      <c r="C438" s="60"/>
      <c r="E438" s="47"/>
      <c r="F438" s="48"/>
      <c r="G438" s="47"/>
      <c r="J438" s="61"/>
      <c r="K438" s="61"/>
      <c r="L438" s="30"/>
      <c r="N438" s="97"/>
      <c r="O438" s="48"/>
      <c r="P438" s="47"/>
      <c r="Q438" s="24"/>
    </row>
    <row r="439" spans="1:17" ht="12.5">
      <c r="A439" s="101"/>
      <c r="B439" s="24"/>
      <c r="C439" s="60"/>
      <c r="E439" s="47"/>
      <c r="F439" s="48"/>
      <c r="G439" s="47"/>
      <c r="J439" s="61"/>
      <c r="K439" s="61"/>
      <c r="L439" s="30"/>
      <c r="N439" s="97"/>
      <c r="O439" s="48"/>
      <c r="P439" s="47"/>
      <c r="Q439" s="24"/>
    </row>
    <row r="440" spans="1:17" ht="12.5">
      <c r="A440" s="101"/>
      <c r="B440" s="24"/>
      <c r="C440" s="60"/>
      <c r="E440" s="47"/>
      <c r="F440" s="48"/>
      <c r="G440" s="47"/>
      <c r="J440" s="61"/>
      <c r="K440" s="61"/>
      <c r="L440" s="30"/>
      <c r="N440" s="97"/>
      <c r="O440" s="48"/>
      <c r="P440" s="47"/>
      <c r="Q440" s="24"/>
    </row>
    <row r="441" spans="1:17" ht="12.5">
      <c r="A441" s="101"/>
      <c r="B441" s="24"/>
      <c r="C441" s="60"/>
      <c r="E441" s="47"/>
      <c r="F441" s="48"/>
      <c r="G441" s="47"/>
      <c r="J441" s="61"/>
      <c r="K441" s="61"/>
      <c r="L441" s="30"/>
      <c r="N441" s="97"/>
      <c r="O441" s="48"/>
      <c r="P441" s="47"/>
      <c r="Q441" s="24"/>
    </row>
    <row r="442" spans="1:17" ht="12.5">
      <c r="A442" s="101"/>
      <c r="B442" s="24"/>
      <c r="C442" s="60"/>
      <c r="E442" s="47"/>
      <c r="F442" s="48"/>
      <c r="G442" s="47"/>
      <c r="J442" s="61"/>
      <c r="K442" s="61"/>
      <c r="L442" s="30"/>
      <c r="N442" s="97"/>
      <c r="O442" s="48"/>
      <c r="P442" s="47"/>
      <c r="Q442" s="24"/>
    </row>
    <row r="443" spans="1:17" ht="12.5">
      <c r="A443" s="101"/>
      <c r="B443" s="24"/>
      <c r="C443" s="60"/>
      <c r="E443" s="47"/>
      <c r="F443" s="48"/>
      <c r="G443" s="47"/>
      <c r="J443" s="61"/>
      <c r="K443" s="61"/>
      <c r="L443" s="30"/>
      <c r="N443" s="97"/>
      <c r="O443" s="48"/>
      <c r="P443" s="47"/>
      <c r="Q443" s="24"/>
    </row>
    <row r="444" spans="1:17" ht="12.5">
      <c r="A444" s="101"/>
      <c r="B444" s="24"/>
      <c r="C444" s="60"/>
      <c r="E444" s="47"/>
      <c r="F444" s="48"/>
      <c r="G444" s="47"/>
      <c r="J444" s="61"/>
      <c r="K444" s="61"/>
      <c r="L444" s="30"/>
      <c r="N444" s="97"/>
      <c r="O444" s="48"/>
      <c r="P444" s="47"/>
      <c r="Q444" s="24"/>
    </row>
    <row r="445" spans="1:17" ht="12.5">
      <c r="A445" s="101"/>
      <c r="B445" s="24"/>
      <c r="C445" s="60"/>
      <c r="E445" s="47"/>
      <c r="F445" s="48"/>
      <c r="G445" s="47"/>
      <c r="J445" s="61"/>
      <c r="K445" s="61"/>
      <c r="L445" s="30"/>
      <c r="N445" s="97"/>
      <c r="O445" s="48"/>
      <c r="P445" s="47"/>
      <c r="Q445" s="24"/>
    </row>
    <row r="446" spans="1:17" ht="12.5">
      <c r="A446" s="101"/>
      <c r="B446" s="24"/>
      <c r="C446" s="60"/>
      <c r="E446" s="47"/>
      <c r="F446" s="48"/>
      <c r="G446" s="47"/>
      <c r="J446" s="61"/>
      <c r="K446" s="61"/>
      <c r="L446" s="30"/>
      <c r="N446" s="97"/>
      <c r="O446" s="48"/>
      <c r="P446" s="47"/>
      <c r="Q446" s="24"/>
    </row>
    <row r="447" spans="1:17" ht="12.5">
      <c r="A447" s="101"/>
      <c r="B447" s="24"/>
      <c r="C447" s="60"/>
      <c r="E447" s="47"/>
      <c r="F447" s="48"/>
      <c r="G447" s="47"/>
      <c r="J447" s="61"/>
      <c r="K447" s="61"/>
      <c r="L447" s="30"/>
      <c r="N447" s="97"/>
      <c r="O447" s="48"/>
      <c r="P447" s="47"/>
      <c r="Q447" s="24"/>
    </row>
    <row r="448" spans="1:17" ht="12.5">
      <c r="A448" s="101"/>
      <c r="B448" s="24"/>
      <c r="C448" s="60"/>
      <c r="E448" s="47"/>
      <c r="F448" s="48"/>
      <c r="G448" s="47"/>
      <c r="J448" s="61"/>
      <c r="K448" s="61"/>
      <c r="L448" s="30"/>
      <c r="N448" s="97"/>
      <c r="O448" s="48"/>
      <c r="P448" s="47"/>
      <c r="Q448" s="24"/>
    </row>
    <row r="449" spans="1:17" ht="12.5">
      <c r="A449" s="101"/>
      <c r="B449" s="24"/>
      <c r="C449" s="60"/>
      <c r="E449" s="47"/>
      <c r="F449" s="48"/>
      <c r="G449" s="47"/>
      <c r="J449" s="61"/>
      <c r="K449" s="61"/>
      <c r="L449" s="30"/>
      <c r="N449" s="97"/>
      <c r="O449" s="48"/>
      <c r="P449" s="47"/>
      <c r="Q449" s="24"/>
    </row>
    <row r="450" spans="1:17" ht="12.5">
      <c r="A450" s="101"/>
      <c r="B450" s="24"/>
      <c r="C450" s="60"/>
      <c r="E450" s="47"/>
      <c r="F450" s="48"/>
      <c r="G450" s="47"/>
      <c r="J450" s="61"/>
      <c r="K450" s="61"/>
      <c r="L450" s="30"/>
      <c r="N450" s="97"/>
      <c r="O450" s="48"/>
      <c r="P450" s="47"/>
      <c r="Q450" s="24"/>
    </row>
    <row r="451" spans="1:17" ht="12.5">
      <c r="A451" s="101"/>
      <c r="B451" s="24"/>
      <c r="C451" s="60"/>
      <c r="E451" s="47"/>
      <c r="F451" s="48"/>
      <c r="G451" s="47"/>
      <c r="J451" s="61"/>
      <c r="K451" s="61"/>
      <c r="L451" s="30"/>
      <c r="N451" s="97"/>
      <c r="O451" s="48"/>
      <c r="P451" s="47"/>
      <c r="Q451" s="24"/>
    </row>
    <row r="452" spans="1:17" ht="12.5">
      <c r="A452" s="101"/>
      <c r="B452" s="24"/>
      <c r="C452" s="60"/>
      <c r="E452" s="47"/>
      <c r="F452" s="48"/>
      <c r="G452" s="47"/>
      <c r="J452" s="61"/>
      <c r="K452" s="61"/>
      <c r="L452" s="30"/>
      <c r="N452" s="97"/>
      <c r="O452" s="48"/>
      <c r="P452" s="47"/>
      <c r="Q452" s="24"/>
    </row>
    <row r="453" spans="1:17" ht="12.5">
      <c r="A453" s="101"/>
      <c r="B453" s="24"/>
      <c r="C453" s="60"/>
      <c r="E453" s="47"/>
      <c r="F453" s="48"/>
      <c r="G453" s="47"/>
      <c r="J453" s="61"/>
      <c r="K453" s="61"/>
      <c r="L453" s="30"/>
      <c r="N453" s="97"/>
      <c r="O453" s="48"/>
      <c r="P453" s="47"/>
      <c r="Q453" s="24"/>
    </row>
    <row r="454" spans="1:17" ht="12.5">
      <c r="A454" s="101"/>
      <c r="B454" s="24"/>
      <c r="C454" s="60"/>
      <c r="E454" s="47"/>
      <c r="F454" s="48"/>
      <c r="G454" s="47"/>
      <c r="J454" s="61"/>
      <c r="K454" s="61"/>
      <c r="L454" s="30"/>
      <c r="N454" s="97"/>
      <c r="O454" s="48"/>
      <c r="P454" s="47"/>
      <c r="Q454" s="24"/>
    </row>
    <row r="455" spans="1:17" ht="12.5">
      <c r="A455" s="101"/>
      <c r="B455" s="24"/>
      <c r="C455" s="60"/>
      <c r="E455" s="47"/>
      <c r="F455" s="48"/>
      <c r="G455" s="47"/>
      <c r="J455" s="61"/>
      <c r="K455" s="61"/>
      <c r="L455" s="30"/>
      <c r="N455" s="97"/>
      <c r="O455" s="48"/>
      <c r="P455" s="47"/>
      <c r="Q455" s="24"/>
    </row>
    <row r="456" spans="1:17" ht="12.5">
      <c r="A456" s="101"/>
      <c r="B456" s="24"/>
      <c r="C456" s="60"/>
      <c r="E456" s="47"/>
      <c r="F456" s="48"/>
      <c r="G456" s="47"/>
      <c r="J456" s="61"/>
      <c r="K456" s="61"/>
      <c r="L456" s="30"/>
      <c r="N456" s="97"/>
      <c r="O456" s="48"/>
      <c r="P456" s="47"/>
      <c r="Q456" s="24"/>
    </row>
    <row r="457" spans="1:17" ht="12.5">
      <c r="A457" s="101"/>
      <c r="B457" s="24"/>
      <c r="C457" s="60"/>
      <c r="E457" s="47"/>
      <c r="F457" s="48"/>
      <c r="G457" s="47"/>
      <c r="J457" s="61"/>
      <c r="K457" s="61"/>
      <c r="L457" s="30"/>
      <c r="N457" s="97"/>
      <c r="O457" s="48"/>
      <c r="P457" s="47"/>
      <c r="Q457" s="24"/>
    </row>
    <row r="458" spans="1:17" ht="12.5">
      <c r="A458" s="101"/>
      <c r="B458" s="24"/>
      <c r="C458" s="60"/>
      <c r="E458" s="47"/>
      <c r="F458" s="48"/>
      <c r="G458" s="47"/>
      <c r="J458" s="61"/>
      <c r="K458" s="61"/>
      <c r="L458" s="30"/>
      <c r="N458" s="97"/>
      <c r="O458" s="48"/>
      <c r="P458" s="47"/>
      <c r="Q458" s="24"/>
    </row>
    <row r="459" spans="1:17" ht="12.5">
      <c r="A459" s="101"/>
      <c r="B459" s="24"/>
      <c r="C459" s="60"/>
      <c r="E459" s="47"/>
      <c r="F459" s="48"/>
      <c r="G459" s="47"/>
      <c r="J459" s="61"/>
      <c r="K459" s="61"/>
      <c r="L459" s="30"/>
      <c r="N459" s="97"/>
      <c r="O459" s="48"/>
      <c r="P459" s="47"/>
      <c r="Q459" s="24"/>
    </row>
    <row r="460" spans="1:17" ht="12.5">
      <c r="A460" s="101"/>
      <c r="B460" s="24"/>
      <c r="C460" s="60"/>
      <c r="E460" s="47"/>
      <c r="F460" s="48"/>
      <c r="G460" s="47"/>
      <c r="J460" s="61"/>
      <c r="K460" s="61"/>
      <c r="L460" s="30"/>
      <c r="N460" s="97"/>
      <c r="O460" s="48"/>
      <c r="P460" s="47"/>
      <c r="Q460" s="24"/>
    </row>
    <row r="461" spans="1:17" ht="12.5">
      <c r="A461" s="101"/>
      <c r="B461" s="24"/>
      <c r="C461" s="60"/>
      <c r="E461" s="47"/>
      <c r="F461" s="48"/>
      <c r="G461" s="47"/>
      <c r="J461" s="61"/>
      <c r="K461" s="61"/>
      <c r="L461" s="30"/>
      <c r="N461" s="97"/>
      <c r="O461" s="48"/>
      <c r="P461" s="47"/>
      <c r="Q461" s="24"/>
    </row>
    <row r="462" spans="1:17" ht="12.5">
      <c r="A462" s="101"/>
      <c r="B462" s="24"/>
      <c r="C462" s="60"/>
      <c r="E462" s="47"/>
      <c r="F462" s="48"/>
      <c r="G462" s="47"/>
      <c r="J462" s="61"/>
      <c r="K462" s="61"/>
      <c r="L462" s="30"/>
      <c r="N462" s="97"/>
      <c r="O462" s="48"/>
      <c r="P462" s="47"/>
      <c r="Q462" s="24"/>
    </row>
    <row r="463" spans="1:17" ht="12.5">
      <c r="A463" s="101"/>
      <c r="B463" s="24"/>
      <c r="C463" s="60"/>
      <c r="E463" s="47"/>
      <c r="F463" s="48"/>
      <c r="G463" s="47"/>
      <c r="J463" s="61"/>
      <c r="K463" s="61"/>
      <c r="L463" s="30"/>
      <c r="N463" s="97"/>
      <c r="O463" s="48"/>
      <c r="P463" s="47"/>
      <c r="Q463" s="24"/>
    </row>
    <row r="464" spans="1:17" ht="12.5">
      <c r="A464" s="101"/>
      <c r="B464" s="24"/>
      <c r="C464" s="60"/>
      <c r="E464" s="47"/>
      <c r="F464" s="48"/>
      <c r="G464" s="47"/>
      <c r="J464" s="61"/>
      <c r="K464" s="61"/>
      <c r="L464" s="30"/>
      <c r="N464" s="97"/>
      <c r="O464" s="48"/>
      <c r="P464" s="47"/>
      <c r="Q464" s="24"/>
    </row>
    <row r="465" spans="1:17" ht="12.5">
      <c r="A465" s="101"/>
      <c r="B465" s="24"/>
      <c r="C465" s="60"/>
      <c r="E465" s="47"/>
      <c r="F465" s="48"/>
      <c r="G465" s="47"/>
      <c r="J465" s="61"/>
      <c r="K465" s="61"/>
      <c r="L465" s="30"/>
      <c r="N465" s="97"/>
      <c r="O465" s="48"/>
      <c r="P465" s="47"/>
      <c r="Q465" s="24"/>
    </row>
    <row r="466" spans="1:17" ht="12.5">
      <c r="A466" s="101"/>
      <c r="B466" s="24"/>
      <c r="C466" s="60"/>
      <c r="E466" s="47"/>
      <c r="F466" s="48"/>
      <c r="G466" s="47"/>
      <c r="J466" s="61"/>
      <c r="K466" s="61"/>
      <c r="L466" s="30"/>
      <c r="N466" s="97"/>
      <c r="O466" s="48"/>
      <c r="P466" s="47"/>
      <c r="Q466" s="24"/>
    </row>
    <row r="467" spans="1:17" ht="12.5">
      <c r="A467" s="101"/>
      <c r="B467" s="24"/>
      <c r="C467" s="60"/>
      <c r="E467" s="47"/>
      <c r="F467" s="48"/>
      <c r="G467" s="47"/>
      <c r="J467" s="61"/>
      <c r="K467" s="61"/>
      <c r="L467" s="30"/>
      <c r="N467" s="97"/>
      <c r="O467" s="48"/>
      <c r="P467" s="47"/>
      <c r="Q467" s="24"/>
    </row>
    <row r="468" spans="1:17" ht="12.5">
      <c r="A468" s="101"/>
      <c r="B468" s="24"/>
      <c r="C468" s="60"/>
      <c r="E468" s="47"/>
      <c r="F468" s="48"/>
      <c r="G468" s="47"/>
      <c r="J468" s="61"/>
      <c r="K468" s="61"/>
      <c r="L468" s="30"/>
      <c r="N468" s="97"/>
      <c r="O468" s="48"/>
      <c r="P468" s="47"/>
      <c r="Q468" s="24"/>
    </row>
    <row r="469" spans="1:17" ht="12.5">
      <c r="A469" s="101"/>
      <c r="B469" s="24"/>
      <c r="C469" s="60"/>
      <c r="E469" s="47"/>
      <c r="F469" s="48"/>
      <c r="G469" s="47"/>
      <c r="J469" s="61"/>
      <c r="K469" s="61"/>
      <c r="L469" s="30"/>
      <c r="N469" s="97"/>
      <c r="O469" s="48"/>
      <c r="P469" s="47"/>
      <c r="Q469" s="24"/>
    </row>
    <row r="470" spans="1:17" ht="12.5">
      <c r="A470" s="101"/>
      <c r="B470" s="24"/>
      <c r="C470" s="60"/>
      <c r="E470" s="47"/>
      <c r="F470" s="48"/>
      <c r="G470" s="47"/>
      <c r="J470" s="61"/>
      <c r="K470" s="61"/>
      <c r="L470" s="30"/>
      <c r="N470" s="97"/>
      <c r="O470" s="48"/>
      <c r="P470" s="47"/>
      <c r="Q470" s="24"/>
    </row>
    <row r="471" spans="1:17" ht="12.5">
      <c r="A471" s="101"/>
      <c r="B471" s="24"/>
      <c r="C471" s="60"/>
      <c r="E471" s="47"/>
      <c r="F471" s="48"/>
      <c r="G471" s="47"/>
      <c r="J471" s="61"/>
      <c r="K471" s="61"/>
      <c r="L471" s="30"/>
      <c r="N471" s="97"/>
      <c r="O471" s="48"/>
      <c r="P471" s="47"/>
      <c r="Q471" s="24"/>
    </row>
    <row r="472" spans="1:17" ht="12.5">
      <c r="A472" s="101"/>
      <c r="B472" s="24"/>
      <c r="C472" s="60"/>
      <c r="E472" s="47"/>
      <c r="F472" s="48"/>
      <c r="G472" s="47"/>
      <c r="J472" s="61"/>
      <c r="K472" s="61"/>
      <c r="L472" s="30"/>
      <c r="N472" s="97"/>
      <c r="O472" s="48"/>
      <c r="P472" s="47"/>
      <c r="Q472" s="24"/>
    </row>
    <row r="473" spans="1:17" ht="12.5">
      <c r="A473" s="101"/>
      <c r="B473" s="24"/>
      <c r="C473" s="60"/>
      <c r="E473" s="47"/>
      <c r="F473" s="48"/>
      <c r="G473" s="47"/>
      <c r="J473" s="61"/>
      <c r="K473" s="61"/>
      <c r="L473" s="30"/>
      <c r="N473" s="97"/>
      <c r="O473" s="48"/>
      <c r="P473" s="47"/>
      <c r="Q473" s="24"/>
    </row>
    <row r="474" spans="1:17" ht="12.5">
      <c r="A474" s="101"/>
      <c r="B474" s="24"/>
      <c r="C474" s="60"/>
      <c r="E474" s="47"/>
      <c r="F474" s="48"/>
      <c r="G474" s="47"/>
      <c r="J474" s="61"/>
      <c r="K474" s="61"/>
      <c r="L474" s="30"/>
      <c r="N474" s="97"/>
      <c r="O474" s="48"/>
      <c r="P474" s="47"/>
      <c r="Q474" s="24"/>
    </row>
    <row r="475" spans="1:17" ht="12.5">
      <c r="A475" s="101"/>
      <c r="B475" s="24"/>
      <c r="C475" s="60"/>
      <c r="E475" s="47"/>
      <c r="F475" s="48"/>
      <c r="G475" s="47"/>
      <c r="J475" s="61"/>
      <c r="K475" s="61"/>
      <c r="L475" s="30"/>
      <c r="N475" s="97"/>
      <c r="O475" s="48"/>
      <c r="P475" s="47"/>
      <c r="Q475" s="24"/>
    </row>
    <row r="476" spans="1:17" ht="12.5">
      <c r="A476" s="101"/>
      <c r="B476" s="24"/>
      <c r="C476" s="60"/>
      <c r="E476" s="47"/>
      <c r="F476" s="48"/>
      <c r="G476" s="47"/>
      <c r="J476" s="61"/>
      <c r="K476" s="61"/>
      <c r="L476" s="30"/>
      <c r="N476" s="97"/>
      <c r="O476" s="48"/>
      <c r="P476" s="47"/>
      <c r="Q476" s="24"/>
    </row>
    <row r="477" spans="1:17" ht="12.5">
      <c r="A477" s="101"/>
      <c r="B477" s="24"/>
      <c r="C477" s="60"/>
      <c r="E477" s="47"/>
      <c r="F477" s="48"/>
      <c r="G477" s="47"/>
      <c r="J477" s="61"/>
      <c r="K477" s="61"/>
      <c r="L477" s="30"/>
      <c r="N477" s="97"/>
      <c r="O477" s="48"/>
      <c r="P477" s="47"/>
      <c r="Q477" s="24"/>
    </row>
    <row r="478" spans="1:17" ht="12.5">
      <c r="A478" s="101"/>
      <c r="B478" s="24"/>
      <c r="C478" s="60"/>
      <c r="E478" s="47"/>
      <c r="F478" s="48"/>
      <c r="G478" s="47"/>
      <c r="J478" s="61"/>
      <c r="K478" s="61"/>
      <c r="L478" s="30"/>
      <c r="N478" s="97"/>
      <c r="O478" s="48"/>
      <c r="P478" s="47"/>
      <c r="Q478" s="24"/>
    </row>
    <row r="479" spans="1:17" ht="12.5">
      <c r="A479" s="101"/>
      <c r="B479" s="24"/>
      <c r="C479" s="60"/>
      <c r="E479" s="47"/>
      <c r="F479" s="48"/>
      <c r="G479" s="47"/>
      <c r="J479" s="61"/>
      <c r="K479" s="61"/>
      <c r="L479" s="30"/>
      <c r="N479" s="97"/>
      <c r="O479" s="48"/>
      <c r="P479" s="47"/>
      <c r="Q479" s="24"/>
    </row>
    <row r="480" spans="1:17" ht="12.5">
      <c r="A480" s="101"/>
      <c r="B480" s="24"/>
      <c r="C480" s="60"/>
      <c r="E480" s="47"/>
      <c r="F480" s="48"/>
      <c r="G480" s="47"/>
      <c r="J480" s="61"/>
      <c r="K480" s="61"/>
      <c r="L480" s="30"/>
      <c r="N480" s="97"/>
      <c r="O480" s="48"/>
      <c r="P480" s="47"/>
      <c r="Q480" s="24"/>
    </row>
    <row r="481" spans="1:17" ht="12.5">
      <c r="A481" s="101"/>
      <c r="B481" s="24"/>
      <c r="C481" s="60"/>
      <c r="E481" s="47"/>
      <c r="F481" s="48"/>
      <c r="G481" s="47"/>
      <c r="J481" s="61"/>
      <c r="K481" s="61"/>
      <c r="L481" s="30"/>
      <c r="N481" s="97"/>
      <c r="O481" s="48"/>
      <c r="P481" s="47"/>
      <c r="Q481" s="24"/>
    </row>
    <row r="482" spans="1:17" ht="12.5">
      <c r="A482" s="101"/>
      <c r="B482" s="24"/>
      <c r="C482" s="60"/>
      <c r="E482" s="47"/>
      <c r="F482" s="48"/>
      <c r="G482" s="47"/>
      <c r="J482" s="61"/>
      <c r="K482" s="61"/>
      <c r="L482" s="30"/>
      <c r="N482" s="97"/>
      <c r="O482" s="48"/>
      <c r="P482" s="47"/>
      <c r="Q482" s="24"/>
    </row>
    <row r="483" spans="1:17" ht="12.5">
      <c r="A483" s="101"/>
      <c r="B483" s="24"/>
      <c r="C483" s="60"/>
      <c r="E483" s="47"/>
      <c r="F483" s="48"/>
      <c r="G483" s="47"/>
      <c r="J483" s="61"/>
      <c r="K483" s="61"/>
      <c r="L483" s="30"/>
      <c r="N483" s="97"/>
      <c r="O483" s="48"/>
      <c r="P483" s="47"/>
      <c r="Q483" s="24"/>
    </row>
    <row r="484" spans="1:17" ht="12.5">
      <c r="A484" s="101"/>
      <c r="B484" s="24"/>
      <c r="C484" s="60"/>
      <c r="E484" s="47"/>
      <c r="F484" s="48"/>
      <c r="G484" s="47"/>
      <c r="J484" s="61"/>
      <c r="K484" s="61"/>
      <c r="L484" s="30"/>
      <c r="N484" s="97"/>
      <c r="O484" s="48"/>
      <c r="P484" s="47"/>
      <c r="Q484" s="24"/>
    </row>
    <row r="485" spans="1:17" ht="12.5">
      <c r="A485" s="101"/>
      <c r="B485" s="24"/>
      <c r="C485" s="60"/>
      <c r="E485" s="47"/>
      <c r="F485" s="48"/>
      <c r="G485" s="47"/>
      <c r="J485" s="61"/>
      <c r="K485" s="61"/>
      <c r="L485" s="30"/>
      <c r="N485" s="97"/>
      <c r="O485" s="48"/>
      <c r="P485" s="47"/>
      <c r="Q485" s="24"/>
    </row>
    <row r="486" spans="1:17" ht="12.5">
      <c r="A486" s="101"/>
      <c r="B486" s="24"/>
      <c r="C486" s="60"/>
      <c r="E486" s="47"/>
      <c r="F486" s="48"/>
      <c r="G486" s="47"/>
      <c r="J486" s="61"/>
      <c r="K486" s="61"/>
      <c r="L486" s="30"/>
      <c r="N486" s="97"/>
      <c r="O486" s="48"/>
      <c r="P486" s="47"/>
      <c r="Q486" s="24"/>
    </row>
    <row r="487" spans="1:17" ht="12.5">
      <c r="A487" s="101"/>
      <c r="B487" s="24"/>
      <c r="C487" s="60"/>
      <c r="E487" s="47"/>
      <c r="F487" s="48"/>
      <c r="G487" s="47"/>
      <c r="J487" s="61"/>
      <c r="K487" s="61"/>
      <c r="L487" s="30"/>
      <c r="N487" s="97"/>
      <c r="O487" s="48"/>
      <c r="P487" s="47"/>
      <c r="Q487" s="24"/>
    </row>
    <row r="488" spans="1:17" ht="12.5">
      <c r="A488" s="101"/>
      <c r="B488" s="24"/>
      <c r="C488" s="60"/>
      <c r="E488" s="47"/>
      <c r="F488" s="48"/>
      <c r="G488" s="47"/>
      <c r="J488" s="61"/>
      <c r="K488" s="61"/>
      <c r="L488" s="30"/>
      <c r="N488" s="97"/>
      <c r="O488" s="48"/>
      <c r="P488" s="47"/>
      <c r="Q488" s="24"/>
    </row>
    <row r="489" spans="1:17" ht="12.5">
      <c r="A489" s="101"/>
      <c r="B489" s="24"/>
      <c r="C489" s="60"/>
      <c r="E489" s="47"/>
      <c r="F489" s="48"/>
      <c r="G489" s="47"/>
      <c r="J489" s="61"/>
      <c r="K489" s="61"/>
      <c r="L489" s="30"/>
      <c r="N489" s="97"/>
      <c r="O489" s="48"/>
      <c r="P489" s="47"/>
      <c r="Q489" s="24"/>
    </row>
    <row r="490" spans="1:17" ht="12.5">
      <c r="A490" s="101"/>
      <c r="B490" s="24"/>
      <c r="C490" s="60"/>
      <c r="E490" s="47"/>
      <c r="F490" s="48"/>
      <c r="G490" s="47"/>
      <c r="J490" s="61"/>
      <c r="K490" s="61"/>
      <c r="L490" s="30"/>
      <c r="N490" s="97"/>
      <c r="O490" s="48"/>
      <c r="P490" s="47"/>
      <c r="Q490" s="24"/>
    </row>
    <row r="491" spans="1:17" ht="12.5">
      <c r="A491" s="101"/>
      <c r="B491" s="24"/>
      <c r="C491" s="60"/>
      <c r="E491" s="47"/>
      <c r="F491" s="48"/>
      <c r="G491" s="47"/>
      <c r="J491" s="61"/>
      <c r="K491" s="61"/>
      <c r="L491" s="30"/>
      <c r="N491" s="97"/>
      <c r="O491" s="48"/>
      <c r="P491" s="47"/>
      <c r="Q491" s="24"/>
    </row>
    <row r="492" spans="1:17" ht="12.5">
      <c r="A492" s="101"/>
      <c r="B492" s="24"/>
      <c r="C492" s="60"/>
      <c r="E492" s="47"/>
      <c r="F492" s="48"/>
      <c r="G492" s="47"/>
      <c r="J492" s="61"/>
      <c r="K492" s="61"/>
      <c r="L492" s="30"/>
      <c r="N492" s="97"/>
      <c r="O492" s="48"/>
      <c r="P492" s="47"/>
      <c r="Q492" s="24"/>
    </row>
    <row r="493" spans="1:17" ht="12.5">
      <c r="A493" s="101"/>
      <c r="B493" s="24"/>
      <c r="C493" s="60"/>
      <c r="E493" s="47"/>
      <c r="F493" s="48"/>
      <c r="G493" s="47"/>
      <c r="J493" s="61"/>
      <c r="K493" s="61"/>
      <c r="L493" s="30"/>
      <c r="N493" s="97"/>
      <c r="O493" s="48"/>
      <c r="P493" s="47"/>
      <c r="Q493" s="24"/>
    </row>
    <row r="494" spans="1:17" ht="12.5">
      <c r="A494" s="101"/>
      <c r="B494" s="24"/>
      <c r="C494" s="60"/>
      <c r="E494" s="47"/>
      <c r="F494" s="48"/>
      <c r="G494" s="47"/>
      <c r="J494" s="61"/>
      <c r="K494" s="61"/>
      <c r="L494" s="30"/>
      <c r="N494" s="97"/>
      <c r="O494" s="48"/>
      <c r="P494" s="47"/>
      <c r="Q494" s="24"/>
    </row>
    <row r="495" spans="1:17" ht="12.5">
      <c r="A495" s="101"/>
      <c r="B495" s="24"/>
      <c r="C495" s="60"/>
      <c r="E495" s="47"/>
      <c r="F495" s="48"/>
      <c r="G495" s="47"/>
      <c r="J495" s="61"/>
      <c r="K495" s="61"/>
      <c r="L495" s="30"/>
      <c r="N495" s="97"/>
      <c r="O495" s="48"/>
      <c r="P495" s="47"/>
      <c r="Q495" s="24"/>
    </row>
    <row r="496" spans="1:17" ht="12.5">
      <c r="A496" s="101"/>
      <c r="B496" s="24"/>
      <c r="C496" s="60"/>
      <c r="E496" s="47"/>
      <c r="F496" s="48"/>
      <c r="G496" s="47"/>
      <c r="J496" s="61"/>
      <c r="K496" s="61"/>
      <c r="L496" s="30"/>
      <c r="N496" s="97"/>
      <c r="O496" s="48"/>
      <c r="P496" s="47"/>
      <c r="Q496" s="24"/>
    </row>
    <row r="497" spans="1:17" ht="12.5">
      <c r="A497" s="101"/>
      <c r="B497" s="24"/>
      <c r="C497" s="60"/>
      <c r="E497" s="47"/>
      <c r="F497" s="48"/>
      <c r="G497" s="47"/>
      <c r="J497" s="61"/>
      <c r="K497" s="61"/>
      <c r="L497" s="30"/>
      <c r="N497" s="97"/>
      <c r="O497" s="48"/>
      <c r="P497" s="47"/>
      <c r="Q497" s="24"/>
    </row>
    <row r="498" spans="1:17" ht="12.5">
      <c r="A498" s="101"/>
      <c r="B498" s="24"/>
      <c r="C498" s="60"/>
      <c r="E498" s="47"/>
      <c r="F498" s="48"/>
      <c r="G498" s="47"/>
      <c r="J498" s="61"/>
      <c r="K498" s="61"/>
      <c r="L498" s="30"/>
      <c r="N498" s="97"/>
      <c r="O498" s="48"/>
      <c r="P498" s="47"/>
      <c r="Q498" s="24"/>
    </row>
    <row r="499" spans="1:17" ht="12.5">
      <c r="A499" s="101"/>
      <c r="B499" s="24"/>
      <c r="C499" s="60"/>
      <c r="E499" s="47"/>
      <c r="F499" s="48"/>
      <c r="G499" s="47"/>
      <c r="J499" s="61"/>
      <c r="K499" s="61"/>
      <c r="L499" s="30"/>
      <c r="N499" s="97"/>
      <c r="O499" s="48"/>
      <c r="P499" s="47"/>
      <c r="Q499" s="24"/>
    </row>
    <row r="500" spans="1:17" ht="12.5">
      <c r="A500" s="101"/>
      <c r="B500" s="24"/>
      <c r="C500" s="60"/>
      <c r="E500" s="47"/>
      <c r="F500" s="48"/>
      <c r="G500" s="47"/>
      <c r="J500" s="61"/>
      <c r="K500" s="61"/>
      <c r="L500" s="30"/>
      <c r="N500" s="97"/>
      <c r="O500" s="48"/>
      <c r="P500" s="47"/>
      <c r="Q500" s="24"/>
    </row>
    <row r="501" spans="1:17" ht="12.5">
      <c r="A501" s="101"/>
      <c r="B501" s="24"/>
      <c r="C501" s="60"/>
      <c r="E501" s="47"/>
      <c r="F501" s="48"/>
      <c r="G501" s="47"/>
      <c r="J501" s="61"/>
      <c r="K501" s="61"/>
      <c r="L501" s="30"/>
      <c r="N501" s="97"/>
      <c r="O501" s="48"/>
      <c r="P501" s="47"/>
      <c r="Q501" s="24"/>
    </row>
    <row r="502" spans="1:17" ht="12.5">
      <c r="A502" s="101"/>
      <c r="B502" s="24"/>
      <c r="C502" s="60"/>
      <c r="E502" s="47"/>
      <c r="F502" s="48"/>
      <c r="G502" s="47"/>
      <c r="J502" s="61"/>
      <c r="K502" s="61"/>
      <c r="L502" s="30"/>
      <c r="N502" s="97"/>
      <c r="O502" s="48"/>
      <c r="P502" s="47"/>
      <c r="Q502" s="24"/>
    </row>
    <row r="503" spans="1:17" ht="12.5">
      <c r="A503" s="101"/>
      <c r="B503" s="24"/>
      <c r="C503" s="60"/>
      <c r="E503" s="47"/>
      <c r="F503" s="48"/>
      <c r="G503" s="47"/>
      <c r="J503" s="61"/>
      <c r="K503" s="61"/>
      <c r="L503" s="30"/>
      <c r="N503" s="97"/>
      <c r="O503" s="48"/>
      <c r="P503" s="47"/>
      <c r="Q503" s="24"/>
    </row>
    <row r="504" spans="1:17" ht="12.5">
      <c r="A504" s="101"/>
      <c r="B504" s="24"/>
      <c r="C504" s="60"/>
      <c r="E504" s="47"/>
      <c r="F504" s="48"/>
      <c r="G504" s="47"/>
      <c r="J504" s="61"/>
      <c r="K504" s="61"/>
      <c r="L504" s="30"/>
      <c r="N504" s="97"/>
      <c r="O504" s="48"/>
      <c r="P504" s="47"/>
      <c r="Q504" s="24"/>
    </row>
    <row r="505" spans="1:17" ht="12.5">
      <c r="A505" s="101"/>
      <c r="B505" s="24"/>
      <c r="C505" s="60"/>
      <c r="E505" s="47"/>
      <c r="F505" s="48"/>
      <c r="G505" s="47"/>
      <c r="J505" s="61"/>
      <c r="K505" s="61"/>
      <c r="L505" s="30"/>
      <c r="N505" s="97"/>
      <c r="O505" s="48"/>
      <c r="P505" s="47"/>
      <c r="Q505" s="24"/>
    </row>
    <row r="506" spans="1:17" ht="12.5">
      <c r="A506" s="101"/>
      <c r="B506" s="24"/>
      <c r="C506" s="60"/>
      <c r="E506" s="47"/>
      <c r="F506" s="48"/>
      <c r="G506" s="47"/>
      <c r="J506" s="61"/>
      <c r="K506" s="61"/>
      <c r="L506" s="30"/>
      <c r="N506" s="97"/>
      <c r="O506" s="48"/>
      <c r="P506" s="47"/>
      <c r="Q506" s="24"/>
    </row>
    <row r="507" spans="1:17" ht="12.5">
      <c r="A507" s="101"/>
      <c r="B507" s="24"/>
      <c r="C507" s="60"/>
      <c r="E507" s="47"/>
      <c r="F507" s="48"/>
      <c r="G507" s="47"/>
      <c r="J507" s="61"/>
      <c r="K507" s="61"/>
      <c r="L507" s="30"/>
      <c r="N507" s="97"/>
      <c r="O507" s="48"/>
      <c r="P507" s="47"/>
      <c r="Q507" s="24"/>
    </row>
    <row r="508" spans="1:17" ht="12.5">
      <c r="A508" s="101"/>
      <c r="B508" s="24"/>
      <c r="C508" s="60"/>
      <c r="E508" s="47"/>
      <c r="F508" s="48"/>
      <c r="G508" s="47"/>
      <c r="J508" s="61"/>
      <c r="K508" s="61"/>
      <c r="L508" s="30"/>
      <c r="N508" s="97"/>
      <c r="O508" s="48"/>
      <c r="P508" s="47"/>
      <c r="Q508" s="24"/>
    </row>
    <row r="509" spans="1:17" ht="12.5">
      <c r="A509" s="101"/>
      <c r="B509" s="24"/>
      <c r="C509" s="60"/>
      <c r="E509" s="47"/>
      <c r="F509" s="48"/>
      <c r="G509" s="47"/>
      <c r="J509" s="61"/>
      <c r="K509" s="61"/>
      <c r="L509" s="30"/>
      <c r="N509" s="97"/>
      <c r="O509" s="48"/>
      <c r="P509" s="47"/>
      <c r="Q509" s="24"/>
    </row>
    <row r="510" spans="1:17" ht="12.5">
      <c r="A510" s="101"/>
      <c r="B510" s="24"/>
      <c r="C510" s="60"/>
      <c r="E510" s="47"/>
      <c r="F510" s="48"/>
      <c r="G510" s="47"/>
      <c r="J510" s="61"/>
      <c r="K510" s="61"/>
      <c r="L510" s="30"/>
      <c r="N510" s="97"/>
      <c r="O510" s="48"/>
      <c r="P510" s="47"/>
      <c r="Q510" s="24"/>
    </row>
    <row r="511" spans="1:17" ht="12.5">
      <c r="A511" s="101"/>
      <c r="B511" s="24"/>
      <c r="C511" s="60"/>
      <c r="E511" s="47"/>
      <c r="F511" s="48"/>
      <c r="G511" s="47"/>
      <c r="J511" s="61"/>
      <c r="K511" s="61"/>
      <c r="L511" s="30"/>
      <c r="N511" s="97"/>
      <c r="O511" s="48"/>
      <c r="P511" s="47"/>
      <c r="Q511" s="24"/>
    </row>
    <row r="512" spans="1:17" ht="12.5">
      <c r="A512" s="101"/>
      <c r="B512" s="24"/>
      <c r="C512" s="60"/>
      <c r="E512" s="47"/>
      <c r="F512" s="48"/>
      <c r="G512" s="47"/>
      <c r="J512" s="61"/>
      <c r="K512" s="61"/>
      <c r="L512" s="30"/>
      <c r="N512" s="97"/>
      <c r="O512" s="48"/>
      <c r="P512" s="47"/>
      <c r="Q512" s="24"/>
    </row>
    <row r="513" spans="1:17" ht="12.5">
      <c r="A513" s="101"/>
      <c r="B513" s="24"/>
      <c r="C513" s="60"/>
      <c r="E513" s="47"/>
      <c r="F513" s="48"/>
      <c r="G513" s="47"/>
      <c r="J513" s="61"/>
      <c r="K513" s="61"/>
      <c r="L513" s="30"/>
      <c r="N513" s="97"/>
      <c r="O513" s="48"/>
      <c r="P513" s="47"/>
      <c r="Q513" s="24"/>
    </row>
    <row r="514" spans="1:17" ht="12.5">
      <c r="A514" s="101"/>
      <c r="B514" s="24"/>
      <c r="C514" s="60"/>
      <c r="E514" s="47"/>
      <c r="F514" s="48"/>
      <c r="G514" s="47"/>
      <c r="J514" s="61"/>
      <c r="K514" s="61"/>
      <c r="L514" s="30"/>
      <c r="N514" s="97"/>
      <c r="O514" s="48"/>
      <c r="P514" s="47"/>
      <c r="Q514" s="24"/>
    </row>
    <row r="515" spans="1:17" ht="12.5">
      <c r="A515" s="101"/>
      <c r="B515" s="24"/>
      <c r="C515" s="60"/>
      <c r="E515" s="47"/>
      <c r="F515" s="48"/>
      <c r="G515" s="47"/>
      <c r="J515" s="61"/>
      <c r="K515" s="61"/>
      <c r="L515" s="30"/>
      <c r="N515" s="97"/>
      <c r="O515" s="48"/>
      <c r="P515" s="47"/>
      <c r="Q515" s="24"/>
    </row>
    <row r="516" spans="1:17" ht="12.5">
      <c r="A516" s="101"/>
      <c r="B516" s="24"/>
      <c r="C516" s="60"/>
      <c r="E516" s="47"/>
      <c r="F516" s="48"/>
      <c r="G516" s="47"/>
      <c r="J516" s="61"/>
      <c r="K516" s="61"/>
      <c r="L516" s="30"/>
      <c r="N516" s="97"/>
      <c r="O516" s="48"/>
      <c r="P516" s="47"/>
      <c r="Q516" s="24"/>
    </row>
    <row r="517" spans="1:17" ht="12.5">
      <c r="A517" s="101"/>
      <c r="B517" s="24"/>
      <c r="C517" s="60"/>
      <c r="E517" s="47"/>
      <c r="F517" s="48"/>
      <c r="G517" s="47"/>
      <c r="J517" s="61"/>
      <c r="K517" s="61"/>
      <c r="L517" s="30"/>
      <c r="N517" s="97"/>
      <c r="O517" s="48"/>
      <c r="P517" s="47"/>
      <c r="Q517" s="24"/>
    </row>
    <row r="518" spans="1:17" ht="12.5">
      <c r="A518" s="101"/>
      <c r="B518" s="24"/>
      <c r="C518" s="60"/>
      <c r="E518" s="47"/>
      <c r="F518" s="48"/>
      <c r="G518" s="47"/>
      <c r="J518" s="61"/>
      <c r="K518" s="61"/>
      <c r="L518" s="30"/>
      <c r="N518" s="97"/>
      <c r="O518" s="48"/>
      <c r="P518" s="47"/>
      <c r="Q518" s="24"/>
    </row>
    <row r="519" spans="1:17" ht="12.5">
      <c r="A519" s="101"/>
      <c r="B519" s="24"/>
      <c r="C519" s="60"/>
      <c r="E519" s="47"/>
      <c r="F519" s="48"/>
      <c r="G519" s="47"/>
      <c r="J519" s="61"/>
      <c r="K519" s="61"/>
      <c r="L519" s="30"/>
      <c r="N519" s="97"/>
      <c r="O519" s="48"/>
      <c r="P519" s="47"/>
      <c r="Q519" s="24"/>
    </row>
    <row r="520" spans="1:17" ht="12.5">
      <c r="A520" s="101"/>
      <c r="B520" s="24"/>
      <c r="C520" s="60"/>
      <c r="E520" s="47"/>
      <c r="F520" s="48"/>
      <c r="G520" s="47"/>
      <c r="J520" s="61"/>
      <c r="K520" s="61"/>
      <c r="L520" s="30"/>
      <c r="N520" s="97"/>
      <c r="O520" s="48"/>
      <c r="P520" s="47"/>
      <c r="Q520" s="24"/>
    </row>
    <row r="521" spans="1:17" ht="12.5">
      <c r="A521" s="101"/>
      <c r="B521" s="24"/>
      <c r="C521" s="60"/>
      <c r="E521" s="47"/>
      <c r="F521" s="48"/>
      <c r="G521" s="47"/>
      <c r="J521" s="61"/>
      <c r="K521" s="61"/>
      <c r="L521" s="30"/>
      <c r="N521" s="97"/>
      <c r="O521" s="48"/>
      <c r="P521" s="47"/>
      <c r="Q521" s="24"/>
    </row>
    <row r="522" spans="1:17" ht="12.5">
      <c r="A522" s="101"/>
      <c r="B522" s="24"/>
      <c r="C522" s="60"/>
      <c r="E522" s="47"/>
      <c r="F522" s="48"/>
      <c r="G522" s="47"/>
      <c r="J522" s="61"/>
      <c r="K522" s="61"/>
      <c r="L522" s="30"/>
      <c r="N522" s="97"/>
      <c r="O522" s="48"/>
      <c r="P522" s="47"/>
      <c r="Q522" s="24"/>
    </row>
    <row r="523" spans="1:17" ht="12.5">
      <c r="A523" s="101"/>
      <c r="B523" s="24"/>
      <c r="C523" s="60"/>
      <c r="E523" s="47"/>
      <c r="F523" s="48"/>
      <c r="G523" s="47"/>
      <c r="J523" s="61"/>
      <c r="K523" s="61"/>
      <c r="L523" s="30"/>
      <c r="N523" s="97"/>
      <c r="O523" s="48"/>
      <c r="P523" s="47"/>
      <c r="Q523" s="24"/>
    </row>
    <row r="524" spans="1:17" ht="12.5">
      <c r="A524" s="101"/>
      <c r="B524" s="24"/>
      <c r="C524" s="60"/>
      <c r="E524" s="47"/>
      <c r="F524" s="48"/>
      <c r="G524" s="47"/>
      <c r="J524" s="61"/>
      <c r="K524" s="61"/>
      <c r="L524" s="30"/>
      <c r="N524" s="97"/>
      <c r="O524" s="48"/>
      <c r="P524" s="47"/>
      <c r="Q524" s="24"/>
    </row>
    <row r="525" spans="1:17" ht="12.5">
      <c r="A525" s="101"/>
      <c r="B525" s="24"/>
      <c r="C525" s="60"/>
      <c r="E525" s="47"/>
      <c r="F525" s="48"/>
      <c r="G525" s="47"/>
      <c r="J525" s="61"/>
      <c r="K525" s="61"/>
      <c r="L525" s="30"/>
      <c r="N525" s="97"/>
      <c r="O525" s="48"/>
      <c r="P525" s="47"/>
      <c r="Q525" s="24"/>
    </row>
    <row r="526" spans="1:17" ht="12.5">
      <c r="A526" s="101"/>
      <c r="B526" s="24"/>
      <c r="C526" s="60"/>
      <c r="E526" s="47"/>
      <c r="F526" s="48"/>
      <c r="G526" s="47"/>
      <c r="J526" s="61"/>
      <c r="K526" s="61"/>
      <c r="L526" s="30"/>
      <c r="N526" s="97"/>
      <c r="O526" s="48"/>
      <c r="P526" s="47"/>
      <c r="Q526" s="24"/>
    </row>
    <row r="527" spans="1:17" ht="12.5">
      <c r="A527" s="101"/>
      <c r="B527" s="24"/>
      <c r="C527" s="60"/>
      <c r="E527" s="47"/>
      <c r="F527" s="48"/>
      <c r="G527" s="47"/>
      <c r="J527" s="61"/>
      <c r="K527" s="61"/>
      <c r="L527" s="30"/>
      <c r="N527" s="97"/>
      <c r="O527" s="48"/>
      <c r="P527" s="47"/>
      <c r="Q527" s="24"/>
    </row>
    <row r="528" spans="1:17" ht="12.5">
      <c r="A528" s="101"/>
      <c r="B528" s="24"/>
      <c r="C528" s="60"/>
      <c r="E528" s="47"/>
      <c r="F528" s="48"/>
      <c r="G528" s="47"/>
      <c r="J528" s="61"/>
      <c r="K528" s="61"/>
      <c r="L528" s="30"/>
      <c r="N528" s="97"/>
      <c r="O528" s="48"/>
      <c r="P528" s="47"/>
      <c r="Q528" s="24"/>
    </row>
    <row r="529" spans="1:17" ht="12.5">
      <c r="A529" s="101"/>
      <c r="B529" s="24"/>
      <c r="C529" s="60"/>
      <c r="E529" s="47"/>
      <c r="F529" s="48"/>
      <c r="G529" s="47"/>
      <c r="J529" s="61"/>
      <c r="K529" s="61"/>
      <c r="L529" s="30"/>
      <c r="N529" s="97"/>
      <c r="O529" s="48"/>
      <c r="P529" s="47"/>
      <c r="Q529" s="24"/>
    </row>
    <row r="530" spans="1:17" ht="12.5">
      <c r="A530" s="101"/>
      <c r="B530" s="24"/>
      <c r="C530" s="60"/>
      <c r="E530" s="47"/>
      <c r="F530" s="48"/>
      <c r="G530" s="47"/>
      <c r="J530" s="61"/>
      <c r="K530" s="61"/>
      <c r="L530" s="30"/>
      <c r="N530" s="97"/>
      <c r="O530" s="48"/>
      <c r="P530" s="47"/>
      <c r="Q530" s="24"/>
    </row>
    <row r="531" spans="1:17" ht="12.5">
      <c r="A531" s="101"/>
      <c r="B531" s="24"/>
      <c r="C531" s="60"/>
      <c r="E531" s="47"/>
      <c r="F531" s="48"/>
      <c r="G531" s="47"/>
      <c r="J531" s="61"/>
      <c r="K531" s="61"/>
      <c r="L531" s="30"/>
      <c r="N531" s="97"/>
      <c r="O531" s="48"/>
      <c r="P531" s="47"/>
      <c r="Q531" s="24"/>
    </row>
    <row r="532" spans="1:17" ht="12.5">
      <c r="A532" s="101"/>
      <c r="B532" s="24"/>
      <c r="C532" s="60"/>
      <c r="E532" s="47"/>
      <c r="F532" s="48"/>
      <c r="G532" s="47"/>
      <c r="J532" s="61"/>
      <c r="K532" s="61"/>
      <c r="L532" s="30"/>
      <c r="N532" s="97"/>
      <c r="O532" s="48"/>
      <c r="P532" s="47"/>
      <c r="Q532" s="24"/>
    </row>
    <row r="533" spans="1:17" ht="12.5">
      <c r="A533" s="101"/>
      <c r="B533" s="24"/>
      <c r="C533" s="60"/>
      <c r="E533" s="47"/>
      <c r="F533" s="48"/>
      <c r="G533" s="47"/>
      <c r="J533" s="61"/>
      <c r="K533" s="61"/>
      <c r="L533" s="30"/>
      <c r="N533" s="97"/>
      <c r="O533" s="48"/>
      <c r="P533" s="47"/>
      <c r="Q533" s="24"/>
    </row>
    <row r="534" spans="1:17" ht="12.5">
      <c r="A534" s="101"/>
      <c r="B534" s="24"/>
      <c r="C534" s="60"/>
      <c r="E534" s="47"/>
      <c r="F534" s="48"/>
      <c r="G534" s="47"/>
      <c r="J534" s="61"/>
      <c r="K534" s="61"/>
      <c r="L534" s="30"/>
      <c r="N534" s="97"/>
      <c r="O534" s="48"/>
      <c r="P534" s="47"/>
      <c r="Q534" s="24"/>
    </row>
    <row r="535" spans="1:17" ht="12.5">
      <c r="A535" s="101"/>
      <c r="B535" s="24"/>
      <c r="C535" s="60"/>
      <c r="E535" s="47"/>
      <c r="F535" s="48"/>
      <c r="G535" s="47"/>
      <c r="J535" s="61"/>
      <c r="K535" s="61"/>
      <c r="L535" s="30"/>
      <c r="N535" s="97"/>
      <c r="O535" s="48"/>
      <c r="P535" s="47"/>
      <c r="Q535" s="24"/>
    </row>
    <row r="536" spans="1:17" ht="12.5">
      <c r="A536" s="101"/>
      <c r="B536" s="24"/>
      <c r="C536" s="60"/>
      <c r="E536" s="47"/>
      <c r="F536" s="48"/>
      <c r="G536" s="47"/>
      <c r="J536" s="61"/>
      <c r="K536" s="61"/>
      <c r="L536" s="30"/>
      <c r="N536" s="97"/>
      <c r="O536" s="48"/>
      <c r="P536" s="47"/>
      <c r="Q536" s="24"/>
    </row>
    <row r="537" spans="1:17" ht="12.5">
      <c r="A537" s="101"/>
      <c r="B537" s="24"/>
      <c r="C537" s="60"/>
      <c r="E537" s="47"/>
      <c r="F537" s="48"/>
      <c r="G537" s="47"/>
      <c r="J537" s="61"/>
      <c r="K537" s="61"/>
      <c r="L537" s="30"/>
      <c r="N537" s="97"/>
      <c r="O537" s="48"/>
      <c r="P537" s="47"/>
      <c r="Q537" s="24"/>
    </row>
    <row r="538" spans="1:17" ht="12.5">
      <c r="A538" s="101"/>
      <c r="B538" s="24"/>
      <c r="C538" s="60"/>
      <c r="E538" s="47"/>
      <c r="F538" s="48"/>
      <c r="G538" s="47"/>
      <c r="J538" s="61"/>
      <c r="K538" s="61"/>
      <c r="L538" s="30"/>
      <c r="N538" s="97"/>
      <c r="O538" s="48"/>
      <c r="P538" s="47"/>
      <c r="Q538" s="24"/>
    </row>
    <row r="539" spans="1:17" ht="12.5">
      <c r="A539" s="101"/>
      <c r="B539" s="24"/>
      <c r="C539" s="60"/>
      <c r="E539" s="47"/>
      <c r="F539" s="48"/>
      <c r="G539" s="47"/>
      <c r="J539" s="61"/>
      <c r="K539" s="61"/>
      <c r="L539" s="30"/>
      <c r="N539" s="97"/>
      <c r="O539" s="48"/>
      <c r="P539" s="47"/>
      <c r="Q539" s="24"/>
    </row>
    <row r="540" spans="1:17" ht="12.5">
      <c r="A540" s="101"/>
      <c r="B540" s="24"/>
      <c r="C540" s="60"/>
      <c r="E540" s="47"/>
      <c r="F540" s="48"/>
      <c r="G540" s="47"/>
      <c r="J540" s="61"/>
      <c r="K540" s="61"/>
      <c r="L540" s="30"/>
      <c r="N540" s="97"/>
      <c r="O540" s="48"/>
      <c r="P540" s="47"/>
      <c r="Q540" s="24"/>
    </row>
    <row r="541" spans="1:17" ht="12.5">
      <c r="A541" s="101"/>
      <c r="B541" s="24"/>
      <c r="C541" s="60"/>
      <c r="E541" s="47"/>
      <c r="F541" s="48"/>
      <c r="G541" s="47"/>
      <c r="J541" s="61"/>
      <c r="K541" s="61"/>
      <c r="L541" s="30"/>
      <c r="N541" s="97"/>
      <c r="O541" s="48"/>
      <c r="P541" s="47"/>
      <c r="Q541" s="24"/>
    </row>
    <row r="542" spans="1:17" ht="12.5">
      <c r="A542" s="101"/>
      <c r="B542" s="24"/>
      <c r="C542" s="60"/>
      <c r="E542" s="47"/>
      <c r="F542" s="48"/>
      <c r="G542" s="47"/>
      <c r="J542" s="61"/>
      <c r="K542" s="61"/>
      <c r="L542" s="30"/>
      <c r="N542" s="97"/>
      <c r="O542" s="48"/>
      <c r="P542" s="47"/>
      <c r="Q542" s="24"/>
    </row>
    <row r="543" spans="1:17" ht="12.5">
      <c r="A543" s="101"/>
      <c r="B543" s="24"/>
      <c r="C543" s="60"/>
      <c r="E543" s="47"/>
      <c r="F543" s="48"/>
      <c r="G543" s="47"/>
      <c r="J543" s="61"/>
      <c r="K543" s="61"/>
      <c r="L543" s="30"/>
      <c r="N543" s="97"/>
      <c r="O543" s="48"/>
      <c r="P543" s="47"/>
      <c r="Q543" s="24"/>
    </row>
    <row r="544" spans="1:17" ht="12.5">
      <c r="A544" s="101"/>
      <c r="B544" s="24"/>
      <c r="C544" s="60"/>
      <c r="E544" s="47"/>
      <c r="F544" s="48"/>
      <c r="G544" s="47"/>
      <c r="J544" s="61"/>
      <c r="K544" s="61"/>
      <c r="L544" s="30"/>
      <c r="N544" s="97"/>
      <c r="O544" s="48"/>
      <c r="P544" s="47"/>
      <c r="Q544" s="24"/>
    </row>
    <row r="545" spans="1:17" ht="12.5">
      <c r="A545" s="101"/>
      <c r="B545" s="24"/>
      <c r="C545" s="60"/>
      <c r="E545" s="47"/>
      <c r="F545" s="48"/>
      <c r="G545" s="47"/>
      <c r="J545" s="61"/>
      <c r="K545" s="61"/>
      <c r="L545" s="30"/>
      <c r="N545" s="97"/>
      <c r="O545" s="48"/>
      <c r="P545" s="47"/>
      <c r="Q545" s="24"/>
    </row>
    <row r="546" spans="1:17" ht="12.5">
      <c r="A546" s="101"/>
      <c r="B546" s="24"/>
      <c r="C546" s="60"/>
      <c r="E546" s="47"/>
      <c r="F546" s="48"/>
      <c r="G546" s="47"/>
      <c r="J546" s="61"/>
      <c r="K546" s="61"/>
      <c r="L546" s="30"/>
      <c r="N546" s="97"/>
      <c r="O546" s="48"/>
      <c r="P546" s="47"/>
      <c r="Q546" s="24"/>
    </row>
    <row r="547" spans="1:17" ht="12.5">
      <c r="A547" s="101"/>
      <c r="B547" s="24"/>
      <c r="C547" s="60"/>
      <c r="E547" s="47"/>
      <c r="F547" s="48"/>
      <c r="G547" s="47"/>
      <c r="J547" s="61"/>
      <c r="K547" s="61"/>
      <c r="L547" s="30"/>
      <c r="N547" s="97"/>
      <c r="O547" s="48"/>
      <c r="P547" s="47"/>
      <c r="Q547" s="24"/>
    </row>
    <row r="548" spans="1:17" ht="12.5">
      <c r="A548" s="101"/>
      <c r="B548" s="24"/>
      <c r="C548" s="60"/>
      <c r="E548" s="47"/>
      <c r="F548" s="48"/>
      <c r="G548" s="47"/>
      <c r="J548" s="61"/>
      <c r="K548" s="61"/>
      <c r="L548" s="30"/>
      <c r="N548" s="97"/>
      <c r="O548" s="48"/>
      <c r="P548" s="47"/>
      <c r="Q548" s="24"/>
    </row>
    <row r="549" spans="1:17" ht="12.5">
      <c r="A549" s="101"/>
      <c r="B549" s="24"/>
      <c r="C549" s="60"/>
      <c r="E549" s="47"/>
      <c r="F549" s="48"/>
      <c r="G549" s="47"/>
      <c r="J549" s="61"/>
      <c r="K549" s="61"/>
      <c r="L549" s="30"/>
      <c r="N549" s="97"/>
      <c r="O549" s="48"/>
      <c r="P549" s="47"/>
      <c r="Q549" s="24"/>
    </row>
    <row r="550" spans="1:17" ht="12.5">
      <c r="A550" s="101"/>
      <c r="B550" s="24"/>
      <c r="C550" s="60"/>
      <c r="E550" s="47"/>
      <c r="F550" s="48"/>
      <c r="G550" s="47"/>
      <c r="J550" s="61"/>
      <c r="K550" s="61"/>
      <c r="L550" s="30"/>
      <c r="N550" s="97"/>
      <c r="O550" s="48"/>
      <c r="P550" s="47"/>
      <c r="Q550" s="24"/>
    </row>
    <row r="551" spans="1:17" ht="12.5">
      <c r="A551" s="101"/>
      <c r="B551" s="24"/>
      <c r="C551" s="60"/>
      <c r="E551" s="47"/>
      <c r="F551" s="48"/>
      <c r="G551" s="47"/>
      <c r="J551" s="61"/>
      <c r="K551" s="61"/>
      <c r="L551" s="30"/>
      <c r="N551" s="97"/>
      <c r="O551" s="48"/>
      <c r="P551" s="47"/>
      <c r="Q551" s="24"/>
    </row>
    <row r="552" spans="1:17" ht="12.5">
      <c r="A552" s="101"/>
      <c r="B552" s="24"/>
      <c r="C552" s="60"/>
      <c r="E552" s="47"/>
      <c r="F552" s="48"/>
      <c r="G552" s="47"/>
      <c r="J552" s="61"/>
      <c r="K552" s="61"/>
      <c r="L552" s="30"/>
      <c r="N552" s="97"/>
      <c r="O552" s="48"/>
      <c r="P552" s="47"/>
      <c r="Q552" s="24"/>
    </row>
    <row r="553" spans="1:17" ht="12.5">
      <c r="A553" s="101"/>
      <c r="B553" s="24"/>
      <c r="C553" s="60"/>
      <c r="E553" s="47"/>
      <c r="F553" s="48"/>
      <c r="G553" s="47"/>
      <c r="J553" s="61"/>
      <c r="K553" s="61"/>
      <c r="L553" s="30"/>
      <c r="N553" s="97"/>
      <c r="O553" s="48"/>
      <c r="P553" s="47"/>
      <c r="Q553" s="24"/>
    </row>
    <row r="554" spans="1:17" ht="12.5">
      <c r="A554" s="101"/>
      <c r="B554" s="24"/>
      <c r="C554" s="60"/>
      <c r="E554" s="47"/>
      <c r="F554" s="48"/>
      <c r="G554" s="47"/>
      <c r="J554" s="61"/>
      <c r="K554" s="61"/>
      <c r="L554" s="30"/>
      <c r="N554" s="97"/>
      <c r="O554" s="48"/>
      <c r="P554" s="47"/>
      <c r="Q554" s="24"/>
    </row>
    <row r="555" spans="1:17" ht="12.5">
      <c r="A555" s="101"/>
      <c r="B555" s="24"/>
      <c r="C555" s="60"/>
      <c r="E555" s="47"/>
      <c r="F555" s="48"/>
      <c r="G555" s="47"/>
      <c r="J555" s="61"/>
      <c r="K555" s="61"/>
      <c r="L555" s="30"/>
      <c r="N555" s="97"/>
      <c r="O555" s="48"/>
      <c r="P555" s="47"/>
      <c r="Q555" s="24"/>
    </row>
    <row r="556" spans="1:17" ht="12.5">
      <c r="A556" s="101"/>
      <c r="B556" s="24"/>
      <c r="C556" s="60"/>
      <c r="E556" s="47"/>
      <c r="F556" s="48"/>
      <c r="G556" s="47"/>
      <c r="J556" s="61"/>
      <c r="K556" s="61"/>
      <c r="L556" s="30"/>
      <c r="N556" s="97"/>
      <c r="O556" s="48"/>
      <c r="P556" s="47"/>
      <c r="Q556" s="24"/>
    </row>
    <row r="557" spans="1:17" ht="12.5">
      <c r="A557" s="101"/>
      <c r="B557" s="24"/>
      <c r="C557" s="60"/>
      <c r="E557" s="47"/>
      <c r="F557" s="48"/>
      <c r="G557" s="47"/>
      <c r="J557" s="61"/>
      <c r="K557" s="61"/>
      <c r="L557" s="30"/>
      <c r="N557" s="97"/>
      <c r="O557" s="48"/>
      <c r="P557" s="47"/>
      <c r="Q557" s="24"/>
    </row>
    <row r="558" spans="1:17" ht="12.5">
      <c r="A558" s="101"/>
      <c r="B558" s="24"/>
      <c r="C558" s="60"/>
      <c r="E558" s="47"/>
      <c r="F558" s="48"/>
      <c r="G558" s="47"/>
      <c r="J558" s="61"/>
      <c r="K558" s="61"/>
      <c r="L558" s="30"/>
      <c r="N558" s="97"/>
      <c r="O558" s="48"/>
      <c r="P558" s="47"/>
      <c r="Q558" s="24"/>
    </row>
    <row r="559" spans="1:17" ht="12.5">
      <c r="A559" s="101"/>
      <c r="B559" s="24"/>
      <c r="C559" s="60"/>
      <c r="E559" s="47"/>
      <c r="F559" s="48"/>
      <c r="G559" s="47"/>
      <c r="J559" s="61"/>
      <c r="K559" s="61"/>
      <c r="L559" s="30"/>
      <c r="N559" s="97"/>
      <c r="O559" s="48"/>
      <c r="P559" s="47"/>
      <c r="Q559" s="24"/>
    </row>
    <row r="560" spans="1:17" ht="12.5">
      <c r="A560" s="101"/>
      <c r="B560" s="24"/>
      <c r="C560" s="60"/>
      <c r="E560" s="47"/>
      <c r="F560" s="48"/>
      <c r="G560" s="47"/>
      <c r="J560" s="61"/>
      <c r="K560" s="61"/>
      <c r="L560" s="30"/>
      <c r="N560" s="97"/>
      <c r="O560" s="48"/>
      <c r="P560" s="47"/>
      <c r="Q560" s="24"/>
    </row>
    <row r="561" spans="1:17" ht="12.5">
      <c r="A561" s="101"/>
      <c r="B561" s="24"/>
      <c r="C561" s="60"/>
      <c r="E561" s="47"/>
      <c r="F561" s="48"/>
      <c r="G561" s="47"/>
      <c r="J561" s="61"/>
      <c r="K561" s="61"/>
      <c r="L561" s="30"/>
      <c r="N561" s="97"/>
      <c r="O561" s="48"/>
      <c r="P561" s="47"/>
      <c r="Q561" s="24"/>
    </row>
    <row r="562" spans="1:17" ht="12.5">
      <c r="A562" s="101"/>
      <c r="B562" s="24"/>
      <c r="C562" s="60"/>
      <c r="E562" s="47"/>
      <c r="F562" s="48"/>
      <c r="G562" s="47"/>
      <c r="J562" s="61"/>
      <c r="K562" s="61"/>
      <c r="L562" s="30"/>
      <c r="N562" s="97"/>
      <c r="O562" s="48"/>
      <c r="P562" s="47"/>
      <c r="Q562" s="24"/>
    </row>
    <row r="563" spans="1:17" ht="12.5">
      <c r="A563" s="101"/>
      <c r="B563" s="24"/>
      <c r="C563" s="60"/>
      <c r="E563" s="47"/>
      <c r="F563" s="48"/>
      <c r="G563" s="47"/>
      <c r="J563" s="61"/>
      <c r="K563" s="61"/>
      <c r="L563" s="30"/>
      <c r="N563" s="97"/>
      <c r="O563" s="48"/>
      <c r="P563" s="47"/>
      <c r="Q563" s="24"/>
    </row>
    <row r="564" spans="1:17" ht="12.5">
      <c r="A564" s="101"/>
      <c r="B564" s="24"/>
      <c r="C564" s="60"/>
      <c r="E564" s="47"/>
      <c r="F564" s="48"/>
      <c r="G564" s="47"/>
      <c r="J564" s="61"/>
      <c r="K564" s="61"/>
      <c r="L564" s="30"/>
      <c r="N564" s="97"/>
      <c r="O564" s="48"/>
      <c r="P564" s="47"/>
      <c r="Q564" s="24"/>
    </row>
    <row r="565" spans="1:17" ht="12.5">
      <c r="A565" s="101"/>
      <c r="B565" s="24"/>
      <c r="C565" s="60"/>
      <c r="E565" s="47"/>
      <c r="F565" s="48"/>
      <c r="G565" s="47"/>
      <c r="J565" s="61"/>
      <c r="K565" s="61"/>
      <c r="L565" s="30"/>
      <c r="N565" s="97"/>
      <c r="O565" s="48"/>
      <c r="P565" s="47"/>
      <c r="Q565" s="24"/>
    </row>
    <row r="566" spans="1:17" ht="12.5">
      <c r="A566" s="101"/>
      <c r="B566" s="24"/>
      <c r="C566" s="60"/>
      <c r="E566" s="47"/>
      <c r="F566" s="48"/>
      <c r="G566" s="47"/>
      <c r="J566" s="61"/>
      <c r="K566" s="61"/>
      <c r="L566" s="30"/>
      <c r="N566" s="97"/>
      <c r="O566" s="48"/>
      <c r="P566" s="47"/>
      <c r="Q566" s="24"/>
    </row>
    <row r="567" spans="1:17" ht="12.5">
      <c r="A567" s="101"/>
      <c r="B567" s="24"/>
      <c r="C567" s="60"/>
      <c r="E567" s="47"/>
      <c r="F567" s="48"/>
      <c r="G567" s="47"/>
      <c r="J567" s="61"/>
      <c r="K567" s="61"/>
      <c r="L567" s="30"/>
      <c r="N567" s="97"/>
      <c r="O567" s="48"/>
      <c r="P567" s="47"/>
      <c r="Q567" s="24"/>
    </row>
    <row r="568" spans="1:17" ht="12.5">
      <c r="A568" s="101"/>
      <c r="B568" s="24"/>
      <c r="C568" s="60"/>
      <c r="E568" s="47"/>
      <c r="F568" s="48"/>
      <c r="G568" s="47"/>
      <c r="J568" s="61"/>
      <c r="K568" s="61"/>
      <c r="L568" s="30"/>
      <c r="N568" s="97"/>
      <c r="O568" s="48"/>
      <c r="P568" s="47"/>
      <c r="Q568" s="24"/>
    </row>
    <row r="569" spans="1:17" ht="12.5">
      <c r="A569" s="101"/>
      <c r="B569" s="24"/>
      <c r="C569" s="60"/>
      <c r="E569" s="47"/>
      <c r="F569" s="48"/>
      <c r="G569" s="47"/>
      <c r="J569" s="61"/>
      <c r="K569" s="61"/>
      <c r="L569" s="30"/>
      <c r="N569" s="97"/>
      <c r="O569" s="48"/>
      <c r="P569" s="47"/>
      <c r="Q569" s="24"/>
    </row>
    <row r="570" spans="1:17" ht="12.5">
      <c r="A570" s="101"/>
      <c r="B570" s="24"/>
      <c r="C570" s="60"/>
      <c r="E570" s="47"/>
      <c r="F570" s="48"/>
      <c r="G570" s="47"/>
      <c r="J570" s="61"/>
      <c r="K570" s="61"/>
      <c r="L570" s="30"/>
      <c r="N570" s="97"/>
      <c r="O570" s="48"/>
      <c r="P570" s="47"/>
      <c r="Q570" s="24"/>
    </row>
    <row r="571" spans="1:17" ht="12.5">
      <c r="A571" s="101"/>
      <c r="B571" s="24"/>
      <c r="C571" s="60"/>
      <c r="E571" s="47"/>
      <c r="F571" s="48"/>
      <c r="G571" s="47"/>
      <c r="J571" s="61"/>
      <c r="K571" s="61"/>
      <c r="L571" s="30"/>
      <c r="N571" s="97"/>
      <c r="O571" s="48"/>
      <c r="P571" s="47"/>
      <c r="Q571" s="24"/>
    </row>
    <row r="572" spans="1:17" ht="12.5">
      <c r="A572" s="101"/>
      <c r="B572" s="24"/>
      <c r="C572" s="60"/>
      <c r="E572" s="47"/>
      <c r="F572" s="48"/>
      <c r="G572" s="47"/>
      <c r="J572" s="61"/>
      <c r="K572" s="61"/>
      <c r="L572" s="30"/>
      <c r="N572" s="97"/>
      <c r="O572" s="48"/>
      <c r="P572" s="47"/>
      <c r="Q572" s="24"/>
    </row>
    <row r="573" spans="1:17" ht="12.5">
      <c r="A573" s="101"/>
      <c r="B573" s="24"/>
      <c r="C573" s="60"/>
      <c r="E573" s="47"/>
      <c r="F573" s="48"/>
      <c r="G573" s="47"/>
      <c r="J573" s="61"/>
      <c r="K573" s="61"/>
      <c r="L573" s="30"/>
      <c r="N573" s="97"/>
      <c r="O573" s="48"/>
      <c r="P573" s="47"/>
      <c r="Q573" s="24"/>
    </row>
    <row r="574" spans="1:17" ht="12.5">
      <c r="A574" s="101"/>
      <c r="B574" s="24"/>
      <c r="C574" s="60"/>
      <c r="E574" s="47"/>
      <c r="F574" s="48"/>
      <c r="G574" s="47"/>
      <c r="J574" s="61"/>
      <c r="K574" s="61"/>
      <c r="L574" s="30"/>
      <c r="N574" s="97"/>
      <c r="O574" s="48"/>
      <c r="P574" s="47"/>
      <c r="Q574" s="24"/>
    </row>
    <row r="575" spans="1:17" ht="12.5">
      <c r="A575" s="101"/>
      <c r="B575" s="24"/>
      <c r="C575" s="60"/>
      <c r="E575" s="47"/>
      <c r="F575" s="48"/>
      <c r="G575" s="47"/>
      <c r="J575" s="61"/>
      <c r="K575" s="61"/>
      <c r="L575" s="30"/>
      <c r="N575" s="97"/>
      <c r="O575" s="48"/>
      <c r="P575" s="47"/>
      <c r="Q575" s="24"/>
    </row>
    <row r="576" spans="1:17" ht="12.5">
      <c r="A576" s="101"/>
      <c r="B576" s="24"/>
      <c r="C576" s="60"/>
      <c r="E576" s="47"/>
      <c r="F576" s="48"/>
      <c r="G576" s="47"/>
      <c r="J576" s="61"/>
      <c r="K576" s="61"/>
      <c r="L576" s="30"/>
      <c r="N576" s="97"/>
      <c r="O576" s="48"/>
      <c r="P576" s="47"/>
      <c r="Q576" s="24"/>
    </row>
    <row r="577" spans="1:17" ht="12.5">
      <c r="A577" s="101"/>
      <c r="B577" s="24"/>
      <c r="C577" s="60"/>
      <c r="E577" s="47"/>
      <c r="F577" s="48"/>
      <c r="G577" s="47"/>
      <c r="J577" s="61"/>
      <c r="K577" s="61"/>
      <c r="L577" s="30"/>
      <c r="N577" s="97"/>
      <c r="O577" s="48"/>
      <c r="P577" s="47"/>
      <c r="Q577" s="24"/>
    </row>
    <row r="578" spans="1:17" ht="12.5">
      <c r="A578" s="101"/>
      <c r="B578" s="24"/>
      <c r="C578" s="60"/>
      <c r="E578" s="47"/>
      <c r="F578" s="48"/>
      <c r="G578" s="47"/>
      <c r="J578" s="61"/>
      <c r="K578" s="61"/>
      <c r="L578" s="30"/>
      <c r="N578" s="97"/>
      <c r="O578" s="48"/>
      <c r="P578" s="47"/>
      <c r="Q578" s="24"/>
    </row>
    <row r="579" spans="1:17" ht="12.5">
      <c r="A579" s="101"/>
      <c r="B579" s="24"/>
      <c r="C579" s="60"/>
      <c r="E579" s="47"/>
      <c r="F579" s="48"/>
      <c r="G579" s="47"/>
      <c r="J579" s="61"/>
      <c r="K579" s="61"/>
      <c r="L579" s="30"/>
      <c r="N579" s="97"/>
      <c r="O579" s="48"/>
      <c r="P579" s="47"/>
      <c r="Q579" s="24"/>
    </row>
    <row r="580" spans="1:17" ht="12.5">
      <c r="A580" s="101"/>
      <c r="B580" s="24"/>
      <c r="C580" s="60"/>
      <c r="E580" s="47"/>
      <c r="F580" s="48"/>
      <c r="G580" s="47"/>
      <c r="J580" s="61"/>
      <c r="K580" s="61"/>
      <c r="L580" s="30"/>
      <c r="N580" s="97"/>
      <c r="O580" s="48"/>
      <c r="P580" s="47"/>
      <c r="Q580" s="24"/>
    </row>
    <row r="581" spans="1:17" ht="12.5">
      <c r="A581" s="101"/>
      <c r="B581" s="24"/>
      <c r="C581" s="60"/>
      <c r="E581" s="47"/>
      <c r="F581" s="48"/>
      <c r="G581" s="47"/>
      <c r="J581" s="61"/>
      <c r="K581" s="61"/>
      <c r="L581" s="30"/>
      <c r="N581" s="97"/>
      <c r="O581" s="48"/>
      <c r="P581" s="47"/>
      <c r="Q581" s="24"/>
    </row>
    <row r="582" spans="1:17" ht="12.5">
      <c r="A582" s="101"/>
      <c r="B582" s="24"/>
      <c r="C582" s="60"/>
      <c r="E582" s="47"/>
      <c r="F582" s="48"/>
      <c r="G582" s="47"/>
      <c r="J582" s="61"/>
      <c r="K582" s="61"/>
      <c r="L582" s="30"/>
      <c r="N582" s="97"/>
      <c r="O582" s="48"/>
      <c r="P582" s="47"/>
      <c r="Q582" s="24"/>
    </row>
    <row r="583" spans="1:17" ht="12.5">
      <c r="A583" s="101"/>
      <c r="B583" s="24"/>
      <c r="C583" s="60"/>
      <c r="E583" s="47"/>
      <c r="F583" s="48"/>
      <c r="G583" s="47"/>
      <c r="J583" s="61"/>
      <c r="K583" s="61"/>
      <c r="L583" s="30"/>
      <c r="N583" s="97"/>
      <c r="O583" s="48"/>
      <c r="P583" s="47"/>
      <c r="Q583" s="24"/>
    </row>
    <row r="584" spans="1:17" ht="12.5">
      <c r="A584" s="101"/>
      <c r="B584" s="24"/>
      <c r="C584" s="60"/>
      <c r="E584" s="47"/>
      <c r="F584" s="48"/>
      <c r="G584" s="47"/>
      <c r="J584" s="61"/>
      <c r="K584" s="61"/>
      <c r="L584" s="30"/>
      <c r="N584" s="97"/>
      <c r="O584" s="48"/>
      <c r="P584" s="47"/>
      <c r="Q584" s="24"/>
    </row>
    <row r="585" spans="1:17" ht="12.5">
      <c r="A585" s="101"/>
      <c r="B585" s="24"/>
      <c r="C585" s="60"/>
      <c r="E585" s="47"/>
      <c r="F585" s="48"/>
      <c r="G585" s="47"/>
      <c r="J585" s="61"/>
      <c r="K585" s="61"/>
      <c r="L585" s="30"/>
      <c r="N585" s="97"/>
      <c r="O585" s="48"/>
      <c r="P585" s="47"/>
      <c r="Q585" s="24"/>
    </row>
    <row r="586" spans="1:17" ht="12.5">
      <c r="A586" s="101"/>
      <c r="B586" s="24"/>
      <c r="C586" s="60"/>
      <c r="E586" s="47"/>
      <c r="F586" s="48"/>
      <c r="G586" s="47"/>
      <c r="J586" s="61"/>
      <c r="K586" s="61"/>
      <c r="L586" s="30"/>
      <c r="N586" s="97"/>
      <c r="O586" s="48"/>
      <c r="P586" s="47"/>
      <c r="Q586" s="24"/>
    </row>
    <row r="587" spans="1:17" ht="12.5">
      <c r="A587" s="101"/>
      <c r="B587" s="24"/>
      <c r="C587" s="60"/>
      <c r="E587" s="47"/>
      <c r="F587" s="48"/>
      <c r="G587" s="47"/>
      <c r="J587" s="61"/>
      <c r="K587" s="61"/>
      <c r="L587" s="30"/>
      <c r="N587" s="97"/>
      <c r="O587" s="48"/>
      <c r="P587" s="47"/>
      <c r="Q587" s="24"/>
    </row>
    <row r="588" spans="1:17" ht="12.5">
      <c r="A588" s="101"/>
      <c r="B588" s="24"/>
      <c r="C588" s="60"/>
      <c r="E588" s="47"/>
      <c r="F588" s="48"/>
      <c r="G588" s="47"/>
      <c r="J588" s="61"/>
      <c r="K588" s="61"/>
      <c r="L588" s="30"/>
      <c r="N588" s="97"/>
      <c r="O588" s="48"/>
      <c r="P588" s="47"/>
      <c r="Q588" s="24"/>
    </row>
    <row r="589" spans="1:17" ht="12.5">
      <c r="A589" s="101"/>
      <c r="B589" s="24"/>
      <c r="C589" s="60"/>
      <c r="E589" s="47"/>
      <c r="F589" s="48"/>
      <c r="G589" s="47"/>
      <c r="J589" s="61"/>
      <c r="K589" s="61"/>
      <c r="L589" s="30"/>
      <c r="N589" s="97"/>
      <c r="O589" s="48"/>
      <c r="P589" s="47"/>
      <c r="Q589" s="24"/>
    </row>
    <row r="590" spans="1:17" ht="12.5">
      <c r="A590" s="101"/>
      <c r="B590" s="24"/>
      <c r="C590" s="60"/>
      <c r="E590" s="47"/>
      <c r="F590" s="48"/>
      <c r="G590" s="47"/>
      <c r="J590" s="61"/>
      <c r="K590" s="61"/>
      <c r="L590" s="30"/>
      <c r="N590" s="97"/>
      <c r="O590" s="48"/>
      <c r="P590" s="47"/>
      <c r="Q590" s="24"/>
    </row>
    <row r="591" spans="1:17" ht="12.5">
      <c r="A591" s="101"/>
      <c r="B591" s="24"/>
      <c r="C591" s="60"/>
      <c r="E591" s="47"/>
      <c r="F591" s="48"/>
      <c r="G591" s="47"/>
      <c r="J591" s="61"/>
      <c r="K591" s="61"/>
      <c r="L591" s="30"/>
      <c r="N591" s="97"/>
      <c r="O591" s="48"/>
      <c r="P591" s="47"/>
      <c r="Q591" s="24"/>
    </row>
    <row r="592" spans="1:17" ht="12.5">
      <c r="A592" s="101"/>
      <c r="B592" s="24"/>
      <c r="C592" s="60"/>
      <c r="E592" s="47"/>
      <c r="F592" s="48"/>
      <c r="G592" s="47"/>
      <c r="J592" s="61"/>
      <c r="K592" s="61"/>
      <c r="L592" s="30"/>
      <c r="N592" s="97"/>
      <c r="O592" s="48"/>
      <c r="P592" s="47"/>
      <c r="Q592" s="24"/>
    </row>
    <row r="593" spans="1:17" ht="12.5">
      <c r="A593" s="101"/>
      <c r="B593" s="24"/>
      <c r="C593" s="60"/>
      <c r="E593" s="47"/>
      <c r="F593" s="48"/>
      <c r="G593" s="47"/>
      <c r="J593" s="61"/>
      <c r="K593" s="61"/>
      <c r="L593" s="30"/>
      <c r="N593" s="97"/>
      <c r="O593" s="48"/>
      <c r="P593" s="47"/>
      <c r="Q593" s="24"/>
    </row>
    <row r="594" spans="1:17" ht="12.5">
      <c r="A594" s="101"/>
      <c r="B594" s="24"/>
      <c r="C594" s="60"/>
      <c r="E594" s="47"/>
      <c r="F594" s="48"/>
      <c r="G594" s="47"/>
      <c r="J594" s="61"/>
      <c r="K594" s="61"/>
      <c r="L594" s="30"/>
      <c r="N594" s="97"/>
      <c r="O594" s="48"/>
      <c r="P594" s="47"/>
      <c r="Q594" s="24"/>
    </row>
    <row r="595" spans="1:17" ht="12.5">
      <c r="A595" s="101"/>
      <c r="B595" s="24"/>
      <c r="C595" s="60"/>
      <c r="E595" s="47"/>
      <c r="F595" s="48"/>
      <c r="G595" s="47"/>
      <c r="J595" s="61"/>
      <c r="K595" s="61"/>
      <c r="L595" s="30"/>
      <c r="N595" s="97"/>
      <c r="O595" s="48"/>
      <c r="P595" s="47"/>
      <c r="Q595" s="24"/>
    </row>
    <row r="596" spans="1:17" ht="12.5">
      <c r="A596" s="101"/>
      <c r="B596" s="24"/>
      <c r="C596" s="60"/>
      <c r="E596" s="47"/>
      <c r="F596" s="48"/>
      <c r="G596" s="47"/>
      <c r="J596" s="61"/>
      <c r="K596" s="61"/>
      <c r="L596" s="30"/>
      <c r="N596" s="97"/>
      <c r="O596" s="48"/>
      <c r="P596" s="47"/>
      <c r="Q596" s="24"/>
    </row>
    <row r="597" spans="1:17" ht="12.5">
      <c r="A597" s="101"/>
      <c r="B597" s="24"/>
      <c r="C597" s="60"/>
      <c r="E597" s="47"/>
      <c r="F597" s="48"/>
      <c r="G597" s="47"/>
      <c r="J597" s="61"/>
      <c r="K597" s="61"/>
      <c r="L597" s="30"/>
      <c r="N597" s="97"/>
      <c r="O597" s="48"/>
      <c r="P597" s="47"/>
      <c r="Q597" s="24"/>
    </row>
    <row r="598" spans="1:17" ht="12.5">
      <c r="A598" s="101"/>
      <c r="B598" s="24"/>
      <c r="C598" s="60"/>
      <c r="E598" s="47"/>
      <c r="F598" s="48"/>
      <c r="G598" s="47"/>
      <c r="J598" s="61"/>
      <c r="K598" s="61"/>
      <c r="L598" s="30"/>
      <c r="N598" s="97"/>
      <c r="O598" s="48"/>
      <c r="P598" s="47"/>
      <c r="Q598" s="24"/>
    </row>
    <row r="599" spans="1:17" ht="12.5">
      <c r="A599" s="101"/>
      <c r="B599" s="24"/>
      <c r="C599" s="60"/>
      <c r="E599" s="47"/>
      <c r="F599" s="48"/>
      <c r="G599" s="47"/>
      <c r="J599" s="61"/>
      <c r="K599" s="61"/>
      <c r="L599" s="30"/>
      <c r="N599" s="97"/>
      <c r="O599" s="48"/>
      <c r="P599" s="47"/>
      <c r="Q599" s="24"/>
    </row>
    <row r="600" spans="1:17" ht="12.5">
      <c r="A600" s="101"/>
      <c r="B600" s="24"/>
      <c r="C600" s="60"/>
      <c r="E600" s="47"/>
      <c r="F600" s="48"/>
      <c r="G600" s="47"/>
      <c r="J600" s="61"/>
      <c r="K600" s="61"/>
      <c r="L600" s="30"/>
      <c r="N600" s="97"/>
      <c r="O600" s="48"/>
      <c r="P600" s="47"/>
      <c r="Q600" s="24"/>
    </row>
    <row r="601" spans="1:17" ht="12.5">
      <c r="A601" s="101"/>
      <c r="B601" s="24"/>
      <c r="C601" s="60"/>
      <c r="E601" s="47"/>
      <c r="F601" s="48"/>
      <c r="G601" s="47"/>
      <c r="J601" s="61"/>
      <c r="K601" s="61"/>
      <c r="L601" s="30"/>
      <c r="N601" s="97"/>
      <c r="O601" s="48"/>
      <c r="P601" s="47"/>
      <c r="Q601" s="24"/>
    </row>
    <row r="602" spans="1:17" ht="12.5">
      <c r="A602" s="101"/>
      <c r="B602" s="24"/>
      <c r="C602" s="60"/>
      <c r="E602" s="47"/>
      <c r="F602" s="48"/>
      <c r="G602" s="47"/>
      <c r="J602" s="61"/>
      <c r="K602" s="61"/>
      <c r="L602" s="30"/>
      <c r="N602" s="97"/>
      <c r="O602" s="48"/>
      <c r="P602" s="47"/>
      <c r="Q602" s="24"/>
    </row>
    <row r="603" spans="1:17" ht="12.5">
      <c r="A603" s="101"/>
      <c r="B603" s="24"/>
      <c r="C603" s="60"/>
      <c r="E603" s="47"/>
      <c r="F603" s="48"/>
      <c r="G603" s="47"/>
      <c r="J603" s="61"/>
      <c r="K603" s="61"/>
      <c r="L603" s="30"/>
      <c r="N603" s="97"/>
      <c r="O603" s="48"/>
      <c r="P603" s="47"/>
      <c r="Q603" s="24"/>
    </row>
    <row r="604" spans="1:17" ht="12.5">
      <c r="A604" s="101"/>
      <c r="B604" s="24"/>
      <c r="C604" s="60"/>
      <c r="E604" s="47"/>
      <c r="F604" s="48"/>
      <c r="G604" s="47"/>
      <c r="J604" s="61"/>
      <c r="K604" s="61"/>
      <c r="L604" s="30"/>
      <c r="N604" s="97"/>
      <c r="O604" s="48"/>
      <c r="P604" s="47"/>
      <c r="Q604" s="24"/>
    </row>
    <row r="605" spans="1:17" ht="12.5">
      <c r="A605" s="101"/>
      <c r="B605" s="24"/>
      <c r="C605" s="60"/>
      <c r="E605" s="47"/>
      <c r="F605" s="48"/>
      <c r="G605" s="47"/>
      <c r="J605" s="61"/>
      <c r="K605" s="61"/>
      <c r="L605" s="30"/>
      <c r="N605" s="97"/>
      <c r="O605" s="48"/>
      <c r="P605" s="47"/>
      <c r="Q605" s="24"/>
    </row>
    <row r="606" spans="1:17" ht="12.5">
      <c r="A606" s="101"/>
      <c r="B606" s="24"/>
      <c r="C606" s="60"/>
      <c r="E606" s="47"/>
      <c r="F606" s="48"/>
      <c r="G606" s="47"/>
      <c r="J606" s="61"/>
      <c r="K606" s="61"/>
      <c r="L606" s="30"/>
      <c r="N606" s="97"/>
      <c r="O606" s="48"/>
      <c r="P606" s="47"/>
      <c r="Q606" s="24"/>
    </row>
    <row r="607" spans="1:17" ht="12.5">
      <c r="A607" s="101"/>
      <c r="B607" s="24"/>
      <c r="C607" s="60"/>
      <c r="E607" s="47"/>
      <c r="F607" s="48"/>
      <c r="G607" s="47"/>
      <c r="J607" s="61"/>
      <c r="K607" s="61"/>
      <c r="L607" s="30"/>
      <c r="N607" s="97"/>
      <c r="O607" s="48"/>
      <c r="P607" s="47"/>
      <c r="Q607" s="24"/>
    </row>
    <row r="608" spans="1:17" ht="12.5">
      <c r="A608" s="101"/>
      <c r="B608" s="24"/>
      <c r="C608" s="60"/>
      <c r="E608" s="47"/>
      <c r="F608" s="48"/>
      <c r="G608" s="47"/>
      <c r="J608" s="61"/>
      <c r="K608" s="61"/>
      <c r="L608" s="30"/>
      <c r="N608" s="97"/>
      <c r="O608" s="48"/>
      <c r="P608" s="47"/>
      <c r="Q608" s="24"/>
    </row>
    <row r="609" spans="1:17" ht="12.5">
      <c r="A609" s="101"/>
      <c r="B609" s="24"/>
      <c r="C609" s="60"/>
      <c r="E609" s="47"/>
      <c r="F609" s="48"/>
      <c r="G609" s="47"/>
      <c r="J609" s="61"/>
      <c r="K609" s="61"/>
      <c r="L609" s="30"/>
      <c r="N609" s="97"/>
      <c r="O609" s="48"/>
      <c r="P609" s="47"/>
      <c r="Q609" s="24"/>
    </row>
    <row r="610" spans="1:17" ht="12.5">
      <c r="A610" s="101"/>
      <c r="B610" s="24"/>
      <c r="C610" s="60"/>
      <c r="E610" s="47"/>
      <c r="F610" s="48"/>
      <c r="G610" s="47"/>
      <c r="J610" s="61"/>
      <c r="K610" s="61"/>
      <c r="L610" s="30"/>
      <c r="N610" s="97"/>
      <c r="O610" s="48"/>
      <c r="P610" s="47"/>
      <c r="Q610" s="24"/>
    </row>
    <row r="611" spans="1:17" ht="12.5">
      <c r="A611" s="101"/>
      <c r="B611" s="24"/>
      <c r="C611" s="60"/>
      <c r="E611" s="47"/>
      <c r="F611" s="48"/>
      <c r="G611" s="47"/>
      <c r="J611" s="61"/>
      <c r="K611" s="61"/>
      <c r="L611" s="30"/>
      <c r="N611" s="97"/>
      <c r="O611" s="48"/>
      <c r="P611" s="47"/>
      <c r="Q611" s="24"/>
    </row>
    <row r="612" spans="1:17" ht="12.5">
      <c r="A612" s="101"/>
      <c r="B612" s="24"/>
      <c r="C612" s="60"/>
      <c r="E612" s="47"/>
      <c r="F612" s="48"/>
      <c r="G612" s="47"/>
      <c r="J612" s="61"/>
      <c r="K612" s="61"/>
      <c r="L612" s="30"/>
      <c r="N612" s="97"/>
      <c r="O612" s="48"/>
      <c r="P612" s="47"/>
      <c r="Q612" s="24"/>
    </row>
    <row r="613" spans="1:17" ht="12.5">
      <c r="A613" s="101"/>
      <c r="B613" s="24"/>
      <c r="C613" s="60"/>
      <c r="E613" s="47"/>
      <c r="F613" s="48"/>
      <c r="G613" s="47"/>
      <c r="J613" s="61"/>
      <c r="K613" s="61"/>
      <c r="L613" s="30"/>
      <c r="N613" s="97"/>
      <c r="O613" s="48"/>
      <c r="P613" s="47"/>
      <c r="Q613" s="24"/>
    </row>
    <row r="614" spans="1:17" ht="12.5">
      <c r="A614" s="101"/>
      <c r="B614" s="24"/>
      <c r="C614" s="60"/>
      <c r="E614" s="47"/>
      <c r="F614" s="48"/>
      <c r="G614" s="47"/>
      <c r="J614" s="61"/>
      <c r="K614" s="61"/>
      <c r="L614" s="30"/>
      <c r="N614" s="97"/>
      <c r="O614" s="48"/>
      <c r="P614" s="47"/>
      <c r="Q614" s="24"/>
    </row>
    <row r="615" spans="1:17" ht="12.5">
      <c r="A615" s="101"/>
      <c r="B615" s="24"/>
      <c r="C615" s="60"/>
      <c r="E615" s="47"/>
      <c r="F615" s="48"/>
      <c r="G615" s="47"/>
      <c r="J615" s="61"/>
      <c r="K615" s="61"/>
      <c r="L615" s="30"/>
      <c r="N615" s="97"/>
      <c r="O615" s="48"/>
      <c r="P615" s="47"/>
      <c r="Q615" s="24"/>
    </row>
    <row r="616" spans="1:17" ht="12.5">
      <c r="A616" s="101"/>
      <c r="B616" s="24"/>
      <c r="C616" s="60"/>
      <c r="E616" s="47"/>
      <c r="F616" s="48"/>
      <c r="G616" s="47"/>
      <c r="J616" s="61"/>
      <c r="K616" s="61"/>
      <c r="L616" s="30"/>
      <c r="N616" s="97"/>
      <c r="O616" s="48"/>
      <c r="P616" s="47"/>
      <c r="Q616" s="24"/>
    </row>
    <row r="617" spans="1:17" ht="12.5">
      <c r="A617" s="101"/>
      <c r="B617" s="24"/>
      <c r="C617" s="60"/>
      <c r="E617" s="47"/>
      <c r="F617" s="48"/>
      <c r="G617" s="47"/>
      <c r="J617" s="61"/>
      <c r="K617" s="61"/>
      <c r="L617" s="30"/>
      <c r="N617" s="97"/>
      <c r="O617" s="48"/>
      <c r="P617" s="47"/>
      <c r="Q617" s="24"/>
    </row>
    <row r="618" spans="1:17" ht="12.5">
      <c r="A618" s="101"/>
      <c r="B618" s="24"/>
      <c r="C618" s="60"/>
      <c r="E618" s="47"/>
      <c r="F618" s="48"/>
      <c r="G618" s="47"/>
      <c r="J618" s="61"/>
      <c r="K618" s="61"/>
      <c r="L618" s="30"/>
      <c r="N618" s="97"/>
      <c r="O618" s="48"/>
      <c r="P618" s="47"/>
      <c r="Q618" s="24"/>
    </row>
    <row r="619" spans="1:17" ht="12.5">
      <c r="A619" s="101"/>
      <c r="B619" s="24"/>
      <c r="C619" s="60"/>
      <c r="E619" s="47"/>
      <c r="F619" s="48"/>
      <c r="G619" s="47"/>
      <c r="J619" s="61"/>
      <c r="K619" s="61"/>
      <c r="L619" s="30"/>
      <c r="N619" s="97"/>
      <c r="O619" s="48"/>
      <c r="P619" s="47"/>
      <c r="Q619" s="24"/>
    </row>
    <row r="620" spans="1:17" ht="12.5">
      <c r="A620" s="101"/>
      <c r="B620" s="24"/>
      <c r="C620" s="60"/>
      <c r="E620" s="47"/>
      <c r="F620" s="48"/>
      <c r="G620" s="47"/>
      <c r="J620" s="61"/>
      <c r="K620" s="61"/>
      <c r="L620" s="30"/>
      <c r="N620" s="97"/>
      <c r="O620" s="48"/>
      <c r="P620" s="47"/>
      <c r="Q620" s="24"/>
    </row>
    <row r="621" spans="1:17" ht="12.5">
      <c r="A621" s="101"/>
      <c r="B621" s="24"/>
      <c r="C621" s="60"/>
      <c r="E621" s="47"/>
      <c r="F621" s="48"/>
      <c r="G621" s="47"/>
      <c r="J621" s="61"/>
      <c r="K621" s="61"/>
      <c r="L621" s="30"/>
      <c r="N621" s="97"/>
      <c r="O621" s="48"/>
      <c r="P621" s="47"/>
      <c r="Q621" s="24"/>
    </row>
    <row r="622" spans="1:17" ht="12.5">
      <c r="A622" s="101"/>
      <c r="B622" s="24"/>
      <c r="C622" s="60"/>
      <c r="E622" s="47"/>
      <c r="F622" s="48"/>
      <c r="G622" s="47"/>
      <c r="J622" s="61"/>
      <c r="K622" s="61"/>
      <c r="L622" s="30"/>
      <c r="N622" s="97"/>
      <c r="O622" s="48"/>
      <c r="P622" s="47"/>
      <c r="Q622" s="24"/>
    </row>
    <row r="623" spans="1:17" ht="12.5">
      <c r="A623" s="101"/>
      <c r="B623" s="24"/>
      <c r="C623" s="60"/>
      <c r="E623" s="47"/>
      <c r="F623" s="48"/>
      <c r="G623" s="47"/>
      <c r="J623" s="61"/>
      <c r="K623" s="61"/>
      <c r="L623" s="30"/>
      <c r="N623" s="97"/>
      <c r="O623" s="48"/>
      <c r="P623" s="47"/>
      <c r="Q623" s="24"/>
    </row>
    <row r="624" spans="1:17" ht="12.5">
      <c r="A624" s="101"/>
      <c r="B624" s="24"/>
      <c r="C624" s="60"/>
      <c r="E624" s="47"/>
      <c r="F624" s="48"/>
      <c r="G624" s="47"/>
      <c r="J624" s="61"/>
      <c r="K624" s="61"/>
      <c r="L624" s="30"/>
      <c r="N624" s="97"/>
      <c r="O624" s="48"/>
      <c r="P624" s="47"/>
      <c r="Q624" s="24"/>
    </row>
    <row r="625" spans="1:17" ht="12.5">
      <c r="A625" s="101"/>
      <c r="B625" s="24"/>
      <c r="C625" s="60"/>
      <c r="E625" s="47"/>
      <c r="F625" s="48"/>
      <c r="G625" s="47"/>
      <c r="J625" s="61"/>
      <c r="K625" s="61"/>
      <c r="L625" s="30"/>
      <c r="N625" s="97"/>
      <c r="O625" s="48"/>
      <c r="P625" s="47"/>
      <c r="Q625" s="24"/>
    </row>
    <row r="626" spans="1:17" ht="12.5">
      <c r="A626" s="101"/>
      <c r="B626" s="24"/>
      <c r="C626" s="60"/>
      <c r="E626" s="47"/>
      <c r="F626" s="48"/>
      <c r="G626" s="47"/>
      <c r="J626" s="61"/>
      <c r="K626" s="61"/>
      <c r="L626" s="30"/>
      <c r="N626" s="97"/>
      <c r="O626" s="48"/>
      <c r="P626" s="47"/>
      <c r="Q626" s="24"/>
    </row>
    <row r="627" spans="1:17" ht="12.5">
      <c r="A627" s="101"/>
      <c r="B627" s="24"/>
      <c r="C627" s="60"/>
      <c r="E627" s="47"/>
      <c r="F627" s="48"/>
      <c r="G627" s="47"/>
      <c r="J627" s="61"/>
      <c r="K627" s="61"/>
      <c r="L627" s="30"/>
      <c r="N627" s="97"/>
      <c r="O627" s="48"/>
      <c r="P627" s="47"/>
      <c r="Q627" s="24"/>
    </row>
    <row r="628" spans="1:17" ht="12.5">
      <c r="A628" s="101"/>
      <c r="B628" s="24"/>
      <c r="C628" s="60"/>
      <c r="E628" s="47"/>
      <c r="F628" s="48"/>
      <c r="G628" s="47"/>
      <c r="J628" s="61"/>
      <c r="K628" s="61"/>
      <c r="L628" s="30"/>
      <c r="N628" s="97"/>
      <c r="O628" s="48"/>
      <c r="P628" s="47"/>
      <c r="Q628" s="24"/>
    </row>
    <row r="629" spans="1:17" ht="12.5">
      <c r="A629" s="101"/>
      <c r="B629" s="24"/>
      <c r="C629" s="60"/>
      <c r="E629" s="47"/>
      <c r="F629" s="48"/>
      <c r="G629" s="47"/>
      <c r="J629" s="61"/>
      <c r="K629" s="61"/>
      <c r="L629" s="30"/>
      <c r="N629" s="97"/>
      <c r="O629" s="48"/>
      <c r="P629" s="47"/>
      <c r="Q629" s="24"/>
    </row>
    <row r="630" spans="1:17" ht="12.5">
      <c r="A630" s="101"/>
      <c r="B630" s="24"/>
      <c r="C630" s="60"/>
      <c r="E630" s="47"/>
      <c r="F630" s="48"/>
      <c r="G630" s="47"/>
      <c r="J630" s="61"/>
      <c r="K630" s="61"/>
      <c r="L630" s="30"/>
      <c r="N630" s="97"/>
      <c r="O630" s="48"/>
      <c r="P630" s="47"/>
      <c r="Q630" s="24"/>
    </row>
    <row r="631" spans="1:17" ht="12.5">
      <c r="A631" s="101"/>
      <c r="B631" s="24"/>
      <c r="C631" s="60"/>
      <c r="E631" s="47"/>
      <c r="F631" s="48"/>
      <c r="G631" s="47"/>
      <c r="J631" s="61"/>
      <c r="K631" s="61"/>
      <c r="L631" s="30"/>
      <c r="N631" s="97"/>
      <c r="O631" s="48"/>
      <c r="P631" s="47"/>
      <c r="Q631" s="24"/>
    </row>
    <row r="632" spans="1:17" ht="12.5">
      <c r="A632" s="101"/>
      <c r="B632" s="24"/>
      <c r="C632" s="60"/>
      <c r="E632" s="47"/>
      <c r="F632" s="48"/>
      <c r="G632" s="47"/>
      <c r="J632" s="61"/>
      <c r="K632" s="61"/>
      <c r="L632" s="30"/>
      <c r="N632" s="97"/>
      <c r="O632" s="48"/>
      <c r="P632" s="47"/>
      <c r="Q632" s="24"/>
    </row>
    <row r="633" spans="1:17" ht="12.5">
      <c r="A633" s="101"/>
      <c r="B633" s="24"/>
      <c r="C633" s="60"/>
      <c r="E633" s="47"/>
      <c r="F633" s="48"/>
      <c r="G633" s="47"/>
      <c r="J633" s="61"/>
      <c r="K633" s="61"/>
      <c r="L633" s="30"/>
      <c r="N633" s="97"/>
      <c r="O633" s="48"/>
      <c r="P633" s="47"/>
      <c r="Q633" s="24"/>
    </row>
    <row r="634" spans="1:17" ht="12.5">
      <c r="A634" s="101"/>
      <c r="B634" s="24"/>
      <c r="C634" s="60"/>
      <c r="E634" s="47"/>
      <c r="F634" s="48"/>
      <c r="G634" s="47"/>
      <c r="J634" s="61"/>
      <c r="K634" s="61"/>
      <c r="L634" s="30"/>
      <c r="N634" s="97"/>
      <c r="O634" s="48"/>
      <c r="P634" s="47"/>
      <c r="Q634" s="24"/>
    </row>
    <row r="635" spans="1:17" ht="12.5">
      <c r="A635" s="101"/>
      <c r="B635" s="24"/>
      <c r="C635" s="60"/>
      <c r="E635" s="47"/>
      <c r="F635" s="48"/>
      <c r="G635" s="47"/>
      <c r="J635" s="61"/>
      <c r="K635" s="61"/>
      <c r="L635" s="30"/>
      <c r="N635" s="97"/>
      <c r="O635" s="48"/>
      <c r="P635" s="47"/>
      <c r="Q635" s="24"/>
    </row>
    <row r="636" spans="1:17" ht="12.5">
      <c r="A636" s="101"/>
      <c r="B636" s="24"/>
      <c r="C636" s="60"/>
      <c r="E636" s="47"/>
      <c r="F636" s="48"/>
      <c r="G636" s="47"/>
      <c r="J636" s="61"/>
      <c r="K636" s="61"/>
      <c r="L636" s="30"/>
      <c r="N636" s="97"/>
      <c r="O636" s="48"/>
      <c r="P636" s="47"/>
      <c r="Q636" s="24"/>
    </row>
    <row r="637" spans="1:17" ht="12.5">
      <c r="A637" s="101"/>
      <c r="B637" s="24"/>
      <c r="C637" s="60"/>
      <c r="E637" s="47"/>
      <c r="F637" s="48"/>
      <c r="G637" s="47"/>
      <c r="J637" s="61"/>
      <c r="K637" s="61"/>
      <c r="L637" s="30"/>
      <c r="N637" s="97"/>
      <c r="O637" s="48"/>
      <c r="P637" s="47"/>
      <c r="Q637" s="24"/>
    </row>
    <row r="638" spans="1:17" ht="12.5">
      <c r="A638" s="101"/>
      <c r="B638" s="24"/>
      <c r="C638" s="60"/>
      <c r="E638" s="47"/>
      <c r="F638" s="48"/>
      <c r="G638" s="47"/>
      <c r="J638" s="61"/>
      <c r="K638" s="61"/>
      <c r="L638" s="30"/>
      <c r="N638" s="97"/>
      <c r="O638" s="48"/>
      <c r="P638" s="47"/>
      <c r="Q638" s="24"/>
    </row>
    <row r="639" spans="1:17" ht="12.5">
      <c r="A639" s="101"/>
      <c r="B639" s="24"/>
      <c r="C639" s="60"/>
      <c r="E639" s="47"/>
      <c r="F639" s="48"/>
      <c r="G639" s="47"/>
      <c r="J639" s="61"/>
      <c r="K639" s="61"/>
      <c r="L639" s="30"/>
      <c r="N639" s="97"/>
      <c r="O639" s="48"/>
      <c r="P639" s="47"/>
      <c r="Q639" s="24"/>
    </row>
    <row r="640" spans="1:17" ht="12.5">
      <c r="A640" s="101"/>
      <c r="B640" s="24"/>
      <c r="C640" s="60"/>
      <c r="E640" s="47"/>
      <c r="F640" s="48"/>
      <c r="G640" s="47"/>
      <c r="J640" s="61"/>
      <c r="K640" s="61"/>
      <c r="L640" s="30"/>
      <c r="N640" s="97"/>
      <c r="O640" s="48"/>
      <c r="P640" s="47"/>
      <c r="Q640" s="24"/>
    </row>
    <row r="641" spans="1:17" ht="12.5">
      <c r="A641" s="101"/>
      <c r="B641" s="24"/>
      <c r="C641" s="60"/>
      <c r="E641" s="47"/>
      <c r="F641" s="48"/>
      <c r="G641" s="47"/>
      <c r="J641" s="61"/>
      <c r="K641" s="61"/>
      <c r="L641" s="30"/>
      <c r="N641" s="97"/>
      <c r="O641" s="48"/>
      <c r="P641" s="47"/>
      <c r="Q641" s="24"/>
    </row>
    <row r="642" spans="1:17" ht="12.5">
      <c r="A642" s="101"/>
      <c r="B642" s="24"/>
      <c r="C642" s="60"/>
      <c r="E642" s="47"/>
      <c r="F642" s="48"/>
      <c r="G642" s="47"/>
      <c r="J642" s="61"/>
      <c r="K642" s="61"/>
      <c r="L642" s="30"/>
      <c r="N642" s="97"/>
      <c r="O642" s="48"/>
      <c r="P642" s="47"/>
      <c r="Q642" s="24"/>
    </row>
    <row r="643" spans="1:17" ht="12.5">
      <c r="A643" s="101"/>
      <c r="B643" s="24"/>
      <c r="C643" s="60"/>
      <c r="E643" s="47"/>
      <c r="F643" s="48"/>
      <c r="G643" s="47"/>
      <c r="J643" s="61"/>
      <c r="K643" s="61"/>
      <c r="L643" s="30"/>
      <c r="N643" s="97"/>
      <c r="O643" s="48"/>
      <c r="P643" s="47"/>
      <c r="Q643" s="24"/>
    </row>
    <row r="644" spans="1:17" ht="12.5">
      <c r="A644" s="101"/>
      <c r="B644" s="24"/>
      <c r="C644" s="60"/>
      <c r="E644" s="47"/>
      <c r="F644" s="48"/>
      <c r="G644" s="47"/>
      <c r="J644" s="61"/>
      <c r="K644" s="61"/>
      <c r="L644" s="30"/>
      <c r="N644" s="97"/>
      <c r="O644" s="48"/>
      <c r="P644" s="47"/>
      <c r="Q644" s="24"/>
    </row>
    <row r="645" spans="1:17" ht="12.5">
      <c r="A645" s="101"/>
      <c r="B645" s="24"/>
      <c r="C645" s="60"/>
      <c r="E645" s="47"/>
      <c r="F645" s="48"/>
      <c r="G645" s="47"/>
      <c r="J645" s="61"/>
      <c r="K645" s="61"/>
      <c r="L645" s="30"/>
      <c r="N645" s="97"/>
      <c r="O645" s="48"/>
      <c r="P645" s="47"/>
      <c r="Q645" s="24"/>
    </row>
    <row r="646" spans="1:17" ht="12.5">
      <c r="A646" s="101"/>
      <c r="B646" s="24"/>
      <c r="C646" s="60"/>
      <c r="E646" s="47"/>
      <c r="F646" s="48"/>
      <c r="G646" s="47"/>
      <c r="J646" s="61"/>
      <c r="K646" s="61"/>
      <c r="L646" s="30"/>
      <c r="N646" s="97"/>
      <c r="O646" s="48"/>
      <c r="P646" s="47"/>
      <c r="Q646" s="24"/>
    </row>
    <row r="647" spans="1:17" ht="12.5">
      <c r="A647" s="101"/>
      <c r="B647" s="24"/>
      <c r="C647" s="60"/>
      <c r="E647" s="47"/>
      <c r="F647" s="48"/>
      <c r="G647" s="47"/>
      <c r="J647" s="61"/>
      <c r="K647" s="61"/>
      <c r="L647" s="30"/>
      <c r="N647" s="97"/>
      <c r="O647" s="48"/>
      <c r="P647" s="47"/>
      <c r="Q647" s="24"/>
    </row>
    <row r="648" spans="1:17" ht="12.5">
      <c r="A648" s="101"/>
      <c r="B648" s="24"/>
      <c r="C648" s="60"/>
      <c r="E648" s="47"/>
      <c r="F648" s="48"/>
      <c r="G648" s="47"/>
      <c r="J648" s="61"/>
      <c r="K648" s="61"/>
      <c r="L648" s="30"/>
      <c r="N648" s="97"/>
      <c r="O648" s="48"/>
      <c r="P648" s="47"/>
      <c r="Q648" s="24"/>
    </row>
    <row r="649" spans="1:17" ht="12.5">
      <c r="A649" s="101"/>
      <c r="B649" s="24"/>
      <c r="C649" s="60"/>
      <c r="E649" s="47"/>
      <c r="F649" s="48"/>
      <c r="G649" s="47"/>
      <c r="J649" s="61"/>
      <c r="K649" s="61"/>
      <c r="L649" s="30"/>
      <c r="N649" s="97"/>
      <c r="O649" s="48"/>
      <c r="P649" s="47"/>
      <c r="Q649" s="24"/>
    </row>
    <row r="650" spans="1:17" ht="12.5">
      <c r="A650" s="101"/>
      <c r="B650" s="24"/>
      <c r="C650" s="60"/>
      <c r="E650" s="47"/>
      <c r="F650" s="48"/>
      <c r="G650" s="47"/>
      <c r="J650" s="61"/>
      <c r="K650" s="61"/>
      <c r="L650" s="30"/>
      <c r="N650" s="97"/>
      <c r="O650" s="48"/>
      <c r="P650" s="47"/>
      <c r="Q650" s="24"/>
    </row>
    <row r="651" spans="1:17" ht="12.5">
      <c r="A651" s="101"/>
      <c r="B651" s="24"/>
      <c r="C651" s="60"/>
      <c r="E651" s="47"/>
      <c r="F651" s="48"/>
      <c r="G651" s="47"/>
      <c r="J651" s="61"/>
      <c r="K651" s="61"/>
      <c r="L651" s="30"/>
      <c r="N651" s="97"/>
      <c r="O651" s="48"/>
      <c r="P651" s="47"/>
      <c r="Q651" s="24"/>
    </row>
    <row r="652" spans="1:17" ht="12.5">
      <c r="A652" s="101"/>
      <c r="B652" s="24"/>
      <c r="C652" s="60"/>
      <c r="E652" s="47"/>
      <c r="F652" s="48"/>
      <c r="G652" s="47"/>
      <c r="J652" s="61"/>
      <c r="K652" s="61"/>
      <c r="L652" s="30"/>
      <c r="N652" s="97"/>
      <c r="O652" s="48"/>
      <c r="P652" s="47"/>
      <c r="Q652" s="24"/>
    </row>
    <row r="653" spans="1:17" ht="12.5">
      <c r="A653" s="101"/>
      <c r="B653" s="24"/>
      <c r="C653" s="60"/>
      <c r="E653" s="47"/>
      <c r="F653" s="48"/>
      <c r="G653" s="47"/>
      <c r="J653" s="61"/>
      <c r="K653" s="61"/>
      <c r="L653" s="30"/>
      <c r="N653" s="97"/>
      <c r="O653" s="48"/>
      <c r="P653" s="47"/>
      <c r="Q653" s="24"/>
    </row>
    <row r="654" spans="1:17" ht="12.5">
      <c r="A654" s="101"/>
      <c r="B654" s="24"/>
      <c r="C654" s="60"/>
      <c r="E654" s="47"/>
      <c r="F654" s="48"/>
      <c r="G654" s="47"/>
      <c r="J654" s="61"/>
      <c r="K654" s="61"/>
      <c r="L654" s="30"/>
      <c r="N654" s="97"/>
      <c r="O654" s="48"/>
      <c r="P654" s="47"/>
      <c r="Q654" s="24"/>
    </row>
    <row r="655" spans="1:17" ht="12.5">
      <c r="A655" s="101"/>
      <c r="B655" s="24"/>
      <c r="C655" s="60"/>
      <c r="E655" s="47"/>
      <c r="F655" s="48"/>
      <c r="G655" s="47"/>
      <c r="J655" s="61"/>
      <c r="K655" s="61"/>
      <c r="L655" s="30"/>
      <c r="N655" s="97"/>
      <c r="O655" s="48"/>
      <c r="P655" s="47"/>
      <c r="Q655" s="24"/>
    </row>
    <row r="656" spans="1:17" ht="12.5">
      <c r="A656" s="101"/>
      <c r="B656" s="24"/>
      <c r="C656" s="60"/>
      <c r="E656" s="47"/>
      <c r="F656" s="48"/>
      <c r="G656" s="47"/>
      <c r="J656" s="61"/>
      <c r="K656" s="61"/>
      <c r="L656" s="30"/>
      <c r="N656" s="97"/>
      <c r="O656" s="48"/>
      <c r="P656" s="47"/>
      <c r="Q656" s="24"/>
    </row>
    <row r="657" spans="1:17" ht="12.5">
      <c r="A657" s="101"/>
      <c r="B657" s="24"/>
      <c r="C657" s="60"/>
      <c r="E657" s="47"/>
      <c r="F657" s="48"/>
      <c r="G657" s="47"/>
      <c r="J657" s="61"/>
      <c r="K657" s="61"/>
      <c r="L657" s="30"/>
      <c r="N657" s="97"/>
      <c r="O657" s="48"/>
      <c r="P657" s="47"/>
      <c r="Q657" s="24"/>
    </row>
    <row r="658" spans="1:17" ht="12.5">
      <c r="A658" s="101"/>
      <c r="B658" s="24"/>
      <c r="C658" s="60"/>
      <c r="E658" s="47"/>
      <c r="F658" s="48"/>
      <c r="G658" s="47"/>
      <c r="J658" s="61"/>
      <c r="K658" s="61"/>
      <c r="L658" s="30"/>
      <c r="N658" s="97"/>
      <c r="O658" s="48"/>
      <c r="P658" s="47"/>
      <c r="Q658" s="24"/>
    </row>
    <row r="659" spans="1:17" ht="12.5">
      <c r="A659" s="101"/>
      <c r="B659" s="24"/>
      <c r="C659" s="60"/>
      <c r="E659" s="47"/>
      <c r="F659" s="48"/>
      <c r="G659" s="47"/>
      <c r="J659" s="61"/>
      <c r="K659" s="61"/>
      <c r="L659" s="30"/>
      <c r="N659" s="97"/>
      <c r="O659" s="48"/>
      <c r="P659" s="47"/>
      <c r="Q659" s="24"/>
    </row>
    <row r="660" spans="1:17" ht="12.5">
      <c r="A660" s="101"/>
      <c r="B660" s="24"/>
      <c r="C660" s="60"/>
      <c r="E660" s="47"/>
      <c r="F660" s="48"/>
      <c r="G660" s="47"/>
      <c r="J660" s="61"/>
      <c r="K660" s="61"/>
      <c r="L660" s="30"/>
      <c r="N660" s="97"/>
      <c r="O660" s="48"/>
      <c r="P660" s="47"/>
      <c r="Q660" s="24"/>
    </row>
    <row r="661" spans="1:17" ht="12.5">
      <c r="A661" s="101"/>
      <c r="B661" s="24"/>
      <c r="C661" s="60"/>
      <c r="E661" s="47"/>
      <c r="F661" s="48"/>
      <c r="G661" s="47"/>
      <c r="J661" s="61"/>
      <c r="K661" s="61"/>
      <c r="L661" s="30"/>
      <c r="N661" s="97"/>
      <c r="O661" s="48"/>
      <c r="P661" s="47"/>
      <c r="Q661" s="24"/>
    </row>
    <row r="662" spans="1:17" ht="12.5">
      <c r="A662" s="101"/>
      <c r="B662" s="24"/>
      <c r="C662" s="60"/>
      <c r="E662" s="47"/>
      <c r="F662" s="48"/>
      <c r="G662" s="47"/>
      <c r="J662" s="61"/>
      <c r="K662" s="61"/>
      <c r="L662" s="30"/>
      <c r="N662" s="97"/>
      <c r="O662" s="48"/>
      <c r="P662" s="47"/>
      <c r="Q662" s="24"/>
    </row>
    <row r="663" spans="1:17" ht="12.5">
      <c r="A663" s="101"/>
      <c r="B663" s="24"/>
      <c r="C663" s="60"/>
      <c r="E663" s="47"/>
      <c r="F663" s="48"/>
      <c r="G663" s="47"/>
      <c r="J663" s="61"/>
      <c r="K663" s="61"/>
      <c r="L663" s="30"/>
      <c r="N663" s="97"/>
      <c r="O663" s="48"/>
      <c r="P663" s="47"/>
      <c r="Q663" s="24"/>
    </row>
    <row r="664" spans="1:17" ht="12.5">
      <c r="A664" s="101"/>
      <c r="B664" s="24"/>
      <c r="C664" s="60"/>
      <c r="E664" s="47"/>
      <c r="F664" s="48"/>
      <c r="G664" s="47"/>
      <c r="J664" s="61"/>
      <c r="K664" s="61"/>
      <c r="L664" s="30"/>
      <c r="N664" s="97"/>
      <c r="O664" s="48"/>
      <c r="P664" s="47"/>
      <c r="Q664" s="24"/>
    </row>
    <row r="665" spans="1:17" ht="12.5">
      <c r="A665" s="101"/>
      <c r="B665" s="24"/>
      <c r="C665" s="60"/>
      <c r="E665" s="47"/>
      <c r="F665" s="48"/>
      <c r="G665" s="47"/>
      <c r="J665" s="61"/>
      <c r="K665" s="61"/>
      <c r="L665" s="30"/>
      <c r="N665" s="97"/>
      <c r="O665" s="48"/>
      <c r="P665" s="47"/>
      <c r="Q665" s="24"/>
    </row>
    <row r="666" spans="1:17" ht="12.5">
      <c r="A666" s="101"/>
      <c r="B666" s="24"/>
      <c r="C666" s="60"/>
      <c r="E666" s="47"/>
      <c r="F666" s="48"/>
      <c r="G666" s="47"/>
      <c r="J666" s="61"/>
      <c r="K666" s="61"/>
      <c r="L666" s="30"/>
      <c r="N666" s="97"/>
      <c r="O666" s="48"/>
      <c r="P666" s="47"/>
      <c r="Q666" s="24"/>
    </row>
    <row r="667" spans="1:17" ht="12.5">
      <c r="A667" s="101"/>
      <c r="B667" s="24"/>
      <c r="C667" s="60"/>
      <c r="E667" s="47"/>
      <c r="F667" s="48"/>
      <c r="G667" s="47"/>
      <c r="J667" s="61"/>
      <c r="K667" s="61"/>
      <c r="L667" s="30"/>
      <c r="N667" s="97"/>
      <c r="O667" s="48"/>
      <c r="P667" s="47"/>
      <c r="Q667" s="24"/>
    </row>
    <row r="668" spans="1:17" ht="12.5">
      <c r="A668" s="101"/>
      <c r="B668" s="24"/>
      <c r="C668" s="60"/>
      <c r="E668" s="47"/>
      <c r="F668" s="48"/>
      <c r="G668" s="47"/>
      <c r="J668" s="61"/>
      <c r="K668" s="61"/>
      <c r="L668" s="30"/>
      <c r="N668" s="97"/>
      <c r="O668" s="48"/>
      <c r="P668" s="47"/>
      <c r="Q668" s="24"/>
    </row>
    <row r="669" spans="1:17" ht="12.5">
      <c r="A669" s="101"/>
      <c r="B669" s="24"/>
      <c r="C669" s="60"/>
      <c r="E669" s="47"/>
      <c r="F669" s="48"/>
      <c r="G669" s="47"/>
      <c r="J669" s="61"/>
      <c r="K669" s="61"/>
      <c r="L669" s="30"/>
      <c r="N669" s="97"/>
      <c r="O669" s="48"/>
      <c r="P669" s="47"/>
      <c r="Q669" s="24"/>
    </row>
    <row r="670" spans="1:17" ht="12.5">
      <c r="A670" s="101"/>
      <c r="B670" s="24"/>
      <c r="C670" s="60"/>
      <c r="E670" s="47"/>
      <c r="F670" s="48"/>
      <c r="G670" s="47"/>
      <c r="J670" s="61"/>
      <c r="K670" s="61"/>
      <c r="L670" s="30"/>
      <c r="N670" s="97"/>
      <c r="O670" s="48"/>
      <c r="P670" s="47"/>
      <c r="Q670" s="24"/>
    </row>
    <row r="671" spans="1:17" ht="12.5">
      <c r="A671" s="101"/>
      <c r="B671" s="24"/>
      <c r="C671" s="60"/>
      <c r="E671" s="47"/>
      <c r="F671" s="48"/>
      <c r="G671" s="47"/>
      <c r="J671" s="61"/>
      <c r="K671" s="61"/>
      <c r="L671" s="30"/>
      <c r="N671" s="97"/>
      <c r="O671" s="48"/>
      <c r="P671" s="47"/>
      <c r="Q671" s="24"/>
    </row>
    <row r="672" spans="1:17" ht="12.5">
      <c r="A672" s="101"/>
      <c r="B672" s="24"/>
      <c r="C672" s="60"/>
      <c r="E672" s="47"/>
      <c r="F672" s="48"/>
      <c r="G672" s="47"/>
      <c r="J672" s="61"/>
      <c r="K672" s="61"/>
      <c r="L672" s="30"/>
      <c r="N672" s="97"/>
      <c r="O672" s="48"/>
      <c r="P672" s="47"/>
      <c r="Q672" s="24"/>
    </row>
    <row r="673" spans="1:17" ht="12.5">
      <c r="A673" s="101"/>
      <c r="B673" s="24"/>
      <c r="C673" s="60"/>
      <c r="E673" s="47"/>
      <c r="F673" s="48"/>
      <c r="G673" s="47"/>
      <c r="J673" s="61"/>
      <c r="K673" s="61"/>
      <c r="L673" s="30"/>
      <c r="N673" s="97"/>
      <c r="O673" s="48"/>
      <c r="P673" s="47"/>
      <c r="Q673" s="24"/>
    </row>
    <row r="674" spans="1:17" ht="12.5">
      <c r="A674" s="101"/>
      <c r="B674" s="24"/>
      <c r="C674" s="60"/>
      <c r="E674" s="47"/>
      <c r="F674" s="48"/>
      <c r="G674" s="47"/>
      <c r="J674" s="61"/>
      <c r="K674" s="61"/>
      <c r="L674" s="30"/>
      <c r="N674" s="97"/>
      <c r="O674" s="48"/>
      <c r="P674" s="47"/>
      <c r="Q674" s="24"/>
    </row>
    <row r="675" spans="1:17" ht="12.5">
      <c r="A675" s="101"/>
      <c r="B675" s="24"/>
      <c r="C675" s="60"/>
      <c r="E675" s="47"/>
      <c r="F675" s="48"/>
      <c r="G675" s="47"/>
      <c r="J675" s="61"/>
      <c r="K675" s="61"/>
      <c r="L675" s="30"/>
      <c r="N675" s="97"/>
      <c r="O675" s="48"/>
      <c r="P675" s="47"/>
      <c r="Q675" s="24"/>
    </row>
    <row r="676" spans="1:17" ht="12.5">
      <c r="A676" s="101"/>
      <c r="B676" s="24"/>
      <c r="C676" s="60"/>
      <c r="E676" s="47"/>
      <c r="F676" s="48"/>
      <c r="G676" s="47"/>
      <c r="J676" s="61"/>
      <c r="K676" s="61"/>
      <c r="L676" s="30"/>
      <c r="N676" s="97"/>
      <c r="O676" s="48"/>
      <c r="P676" s="47"/>
      <c r="Q676" s="24"/>
    </row>
    <row r="677" spans="1:17" ht="12.5">
      <c r="A677" s="101"/>
      <c r="B677" s="24"/>
      <c r="C677" s="60"/>
      <c r="E677" s="47"/>
      <c r="F677" s="48"/>
      <c r="G677" s="47"/>
      <c r="J677" s="61"/>
      <c r="K677" s="61"/>
      <c r="L677" s="30"/>
      <c r="N677" s="97"/>
      <c r="O677" s="48"/>
      <c r="P677" s="47"/>
      <c r="Q677" s="24"/>
    </row>
    <row r="678" spans="1:17" ht="12.5">
      <c r="A678" s="101"/>
      <c r="B678" s="24"/>
      <c r="C678" s="60"/>
      <c r="E678" s="47"/>
      <c r="F678" s="48"/>
      <c r="G678" s="47"/>
      <c r="J678" s="61"/>
      <c r="K678" s="61"/>
      <c r="L678" s="30"/>
      <c r="N678" s="97"/>
      <c r="O678" s="48"/>
      <c r="P678" s="47"/>
      <c r="Q678" s="24"/>
    </row>
    <row r="679" spans="1:17" ht="12.5">
      <c r="A679" s="101"/>
      <c r="B679" s="24"/>
      <c r="C679" s="60"/>
      <c r="E679" s="47"/>
      <c r="F679" s="48"/>
      <c r="G679" s="47"/>
      <c r="J679" s="61"/>
      <c r="K679" s="61"/>
      <c r="L679" s="30"/>
      <c r="N679" s="97"/>
      <c r="O679" s="48"/>
      <c r="P679" s="47"/>
      <c r="Q679" s="24"/>
    </row>
    <row r="680" spans="1:17" ht="12.5">
      <c r="A680" s="101"/>
      <c r="B680" s="24"/>
      <c r="C680" s="60"/>
      <c r="E680" s="47"/>
      <c r="F680" s="48"/>
      <c r="G680" s="47"/>
      <c r="J680" s="61"/>
      <c r="K680" s="61"/>
      <c r="L680" s="30"/>
      <c r="N680" s="97"/>
      <c r="O680" s="48"/>
      <c r="P680" s="47"/>
      <c r="Q680" s="24"/>
    </row>
    <row r="681" spans="1:17" ht="12.5">
      <c r="A681" s="101"/>
      <c r="B681" s="24"/>
      <c r="C681" s="60"/>
      <c r="E681" s="47"/>
      <c r="F681" s="48"/>
      <c r="G681" s="47"/>
      <c r="J681" s="61"/>
      <c r="K681" s="61"/>
      <c r="L681" s="30"/>
      <c r="N681" s="97"/>
      <c r="O681" s="48"/>
      <c r="P681" s="47"/>
      <c r="Q681" s="24"/>
    </row>
    <row r="682" spans="1:17" ht="12.5">
      <c r="A682" s="101"/>
      <c r="B682" s="24"/>
      <c r="C682" s="60"/>
      <c r="E682" s="47"/>
      <c r="F682" s="48"/>
      <c r="G682" s="47"/>
      <c r="J682" s="61"/>
      <c r="K682" s="61"/>
      <c r="L682" s="30"/>
      <c r="N682" s="97"/>
      <c r="O682" s="48"/>
      <c r="P682" s="47"/>
      <c r="Q682" s="24"/>
    </row>
    <row r="683" spans="1:17" ht="12.5">
      <c r="A683" s="101"/>
      <c r="B683" s="24"/>
      <c r="C683" s="60"/>
      <c r="E683" s="47"/>
      <c r="F683" s="48"/>
      <c r="G683" s="47"/>
      <c r="J683" s="61"/>
      <c r="K683" s="61"/>
      <c r="L683" s="30"/>
      <c r="N683" s="97"/>
      <c r="O683" s="48"/>
      <c r="P683" s="47"/>
      <c r="Q683" s="24"/>
    </row>
    <row r="684" spans="1:17" ht="12.5">
      <c r="A684" s="101"/>
      <c r="B684" s="24"/>
      <c r="C684" s="60"/>
      <c r="E684" s="47"/>
      <c r="F684" s="48"/>
      <c r="G684" s="47"/>
      <c r="J684" s="61"/>
      <c r="K684" s="61"/>
      <c r="L684" s="30"/>
      <c r="N684" s="97"/>
      <c r="O684" s="48"/>
      <c r="P684" s="47"/>
      <c r="Q684" s="24"/>
    </row>
    <row r="685" spans="1:17" ht="12.5">
      <c r="A685" s="101"/>
      <c r="B685" s="24"/>
      <c r="C685" s="60"/>
      <c r="E685" s="47"/>
      <c r="F685" s="48"/>
      <c r="G685" s="47"/>
      <c r="J685" s="61"/>
      <c r="K685" s="61"/>
      <c r="L685" s="30"/>
      <c r="N685" s="97"/>
      <c r="O685" s="48"/>
      <c r="P685" s="47"/>
      <c r="Q685" s="24"/>
    </row>
    <row r="686" spans="1:17" ht="12.5">
      <c r="A686" s="101"/>
      <c r="B686" s="24"/>
      <c r="C686" s="60"/>
      <c r="E686" s="47"/>
      <c r="F686" s="48"/>
      <c r="G686" s="47"/>
      <c r="J686" s="61"/>
      <c r="K686" s="61"/>
      <c r="L686" s="30"/>
      <c r="N686" s="97"/>
      <c r="O686" s="48"/>
      <c r="P686" s="47"/>
      <c r="Q686" s="24"/>
    </row>
    <row r="687" spans="1:17" ht="12.5">
      <c r="A687" s="101"/>
      <c r="B687" s="24"/>
      <c r="C687" s="60"/>
      <c r="E687" s="47"/>
      <c r="F687" s="48"/>
      <c r="G687" s="47"/>
      <c r="J687" s="61"/>
      <c r="K687" s="61"/>
      <c r="L687" s="30"/>
      <c r="N687" s="97"/>
      <c r="O687" s="48"/>
      <c r="P687" s="47"/>
      <c r="Q687" s="24"/>
    </row>
    <row r="688" spans="1:17" ht="12.5">
      <c r="A688" s="101"/>
      <c r="B688" s="24"/>
      <c r="C688" s="60"/>
      <c r="E688" s="47"/>
      <c r="F688" s="48"/>
      <c r="G688" s="47"/>
      <c r="J688" s="61"/>
      <c r="K688" s="61"/>
      <c r="L688" s="30"/>
      <c r="N688" s="97"/>
      <c r="O688" s="48"/>
      <c r="P688" s="47"/>
      <c r="Q688" s="24"/>
    </row>
    <row r="689" spans="1:17" ht="12.5">
      <c r="A689" s="101"/>
      <c r="B689" s="24"/>
      <c r="C689" s="60"/>
      <c r="E689" s="47"/>
      <c r="F689" s="48"/>
      <c r="G689" s="47"/>
      <c r="J689" s="61"/>
      <c r="K689" s="61"/>
      <c r="L689" s="30"/>
      <c r="N689" s="97"/>
      <c r="O689" s="48"/>
      <c r="P689" s="47"/>
      <c r="Q689" s="24"/>
    </row>
    <row r="690" spans="1:17" ht="12.5">
      <c r="A690" s="101"/>
      <c r="B690" s="24"/>
      <c r="C690" s="60"/>
      <c r="E690" s="47"/>
      <c r="F690" s="48"/>
      <c r="G690" s="47"/>
      <c r="J690" s="61"/>
      <c r="K690" s="61"/>
      <c r="L690" s="30"/>
      <c r="N690" s="97"/>
      <c r="O690" s="48"/>
      <c r="P690" s="47"/>
      <c r="Q690" s="24"/>
    </row>
    <row r="691" spans="1:17" ht="12.5">
      <c r="A691" s="101"/>
      <c r="B691" s="24"/>
      <c r="C691" s="60"/>
      <c r="E691" s="47"/>
      <c r="F691" s="48"/>
      <c r="G691" s="47"/>
      <c r="J691" s="61"/>
      <c r="K691" s="61"/>
      <c r="L691" s="30"/>
      <c r="N691" s="97"/>
      <c r="O691" s="48"/>
      <c r="P691" s="47"/>
      <c r="Q691" s="24"/>
    </row>
    <row r="692" spans="1:17" ht="12.5">
      <c r="A692" s="101"/>
      <c r="B692" s="24"/>
      <c r="C692" s="60"/>
      <c r="E692" s="47"/>
      <c r="F692" s="48"/>
      <c r="G692" s="47"/>
      <c r="J692" s="61"/>
      <c r="K692" s="61"/>
      <c r="L692" s="30"/>
      <c r="N692" s="97"/>
      <c r="O692" s="48"/>
      <c r="P692" s="47"/>
      <c r="Q692" s="24"/>
    </row>
    <row r="693" spans="1:17" ht="12.5">
      <c r="A693" s="101"/>
      <c r="B693" s="24"/>
      <c r="C693" s="60"/>
      <c r="E693" s="47"/>
      <c r="F693" s="48"/>
      <c r="G693" s="47"/>
      <c r="J693" s="61"/>
      <c r="K693" s="61"/>
      <c r="L693" s="30"/>
      <c r="N693" s="97"/>
      <c r="O693" s="48"/>
      <c r="P693" s="47"/>
      <c r="Q693" s="24"/>
    </row>
    <row r="694" spans="1:17" ht="12.5">
      <c r="A694" s="101"/>
      <c r="B694" s="24"/>
      <c r="C694" s="60"/>
      <c r="E694" s="47"/>
      <c r="F694" s="48"/>
      <c r="G694" s="47"/>
      <c r="J694" s="61"/>
      <c r="K694" s="61"/>
      <c r="L694" s="30"/>
      <c r="N694" s="97"/>
      <c r="O694" s="48"/>
      <c r="P694" s="47"/>
      <c r="Q694" s="24"/>
    </row>
    <row r="695" spans="1:17" ht="12.5">
      <c r="A695" s="101"/>
      <c r="B695" s="24"/>
      <c r="C695" s="60"/>
      <c r="E695" s="47"/>
      <c r="F695" s="48"/>
      <c r="G695" s="47"/>
      <c r="J695" s="61"/>
      <c r="K695" s="61"/>
      <c r="L695" s="30"/>
      <c r="N695" s="97"/>
      <c r="O695" s="48"/>
      <c r="P695" s="47"/>
      <c r="Q695" s="24"/>
    </row>
    <row r="696" spans="1:17" ht="12.5">
      <c r="A696" s="101"/>
      <c r="B696" s="24"/>
      <c r="C696" s="60"/>
      <c r="E696" s="47"/>
      <c r="F696" s="48"/>
      <c r="G696" s="47"/>
      <c r="J696" s="61"/>
      <c r="K696" s="61"/>
      <c r="L696" s="30"/>
      <c r="N696" s="97"/>
      <c r="O696" s="48"/>
      <c r="P696" s="47"/>
      <c r="Q696" s="24"/>
    </row>
    <row r="697" spans="1:17" ht="12.5">
      <c r="A697" s="101"/>
      <c r="B697" s="24"/>
      <c r="C697" s="60"/>
      <c r="E697" s="47"/>
      <c r="F697" s="48"/>
      <c r="G697" s="47"/>
      <c r="J697" s="61"/>
      <c r="K697" s="61"/>
      <c r="L697" s="30"/>
      <c r="N697" s="97"/>
      <c r="O697" s="48"/>
      <c r="P697" s="47"/>
      <c r="Q697" s="24"/>
    </row>
    <row r="698" spans="1:17" ht="12.5">
      <c r="A698" s="101"/>
      <c r="B698" s="24"/>
      <c r="C698" s="60"/>
      <c r="E698" s="47"/>
      <c r="F698" s="48"/>
      <c r="G698" s="47"/>
      <c r="J698" s="61"/>
      <c r="K698" s="61"/>
      <c r="L698" s="30"/>
      <c r="N698" s="97"/>
      <c r="O698" s="48"/>
      <c r="P698" s="47"/>
      <c r="Q698" s="24"/>
    </row>
    <row r="699" spans="1:17" ht="12.5">
      <c r="A699" s="101"/>
      <c r="B699" s="24"/>
      <c r="C699" s="60"/>
      <c r="E699" s="47"/>
      <c r="F699" s="48"/>
      <c r="G699" s="47"/>
      <c r="J699" s="61"/>
      <c r="K699" s="61"/>
      <c r="L699" s="30"/>
      <c r="N699" s="97"/>
      <c r="O699" s="48"/>
      <c r="P699" s="47"/>
      <c r="Q699" s="24"/>
    </row>
    <row r="700" spans="1:17" ht="12.5">
      <c r="A700" s="101"/>
      <c r="B700" s="24"/>
      <c r="C700" s="60"/>
      <c r="E700" s="47"/>
      <c r="F700" s="48"/>
      <c r="G700" s="47"/>
      <c r="J700" s="61"/>
      <c r="K700" s="61"/>
      <c r="L700" s="30"/>
      <c r="N700" s="97"/>
      <c r="O700" s="48"/>
      <c r="P700" s="47"/>
      <c r="Q700" s="24"/>
    </row>
    <row r="701" spans="1:17" ht="12.5">
      <c r="A701" s="101"/>
      <c r="B701" s="24"/>
      <c r="C701" s="60"/>
      <c r="E701" s="47"/>
      <c r="F701" s="48"/>
      <c r="G701" s="47"/>
      <c r="J701" s="61"/>
      <c r="K701" s="61"/>
      <c r="L701" s="30"/>
      <c r="N701" s="97"/>
      <c r="O701" s="48"/>
      <c r="P701" s="47"/>
      <c r="Q701" s="24"/>
    </row>
    <row r="702" spans="1:17" ht="12.5">
      <c r="A702" s="101"/>
      <c r="B702" s="24"/>
      <c r="C702" s="60"/>
      <c r="E702" s="47"/>
      <c r="F702" s="48"/>
      <c r="G702" s="47"/>
      <c r="J702" s="61"/>
      <c r="K702" s="61"/>
      <c r="L702" s="30"/>
      <c r="N702" s="97"/>
      <c r="O702" s="48"/>
      <c r="P702" s="47"/>
      <c r="Q702" s="24"/>
    </row>
    <row r="703" spans="1:17" ht="12.5">
      <c r="A703" s="101"/>
      <c r="B703" s="24"/>
      <c r="C703" s="60"/>
      <c r="E703" s="47"/>
      <c r="F703" s="48"/>
      <c r="G703" s="47"/>
      <c r="J703" s="61"/>
      <c r="K703" s="61"/>
      <c r="L703" s="30"/>
      <c r="N703" s="97"/>
      <c r="O703" s="48"/>
      <c r="P703" s="47"/>
      <c r="Q703" s="24"/>
    </row>
    <row r="704" spans="1:17" ht="12.5">
      <c r="A704" s="101"/>
      <c r="B704" s="24"/>
      <c r="C704" s="60"/>
      <c r="E704" s="47"/>
      <c r="F704" s="48"/>
      <c r="G704" s="47"/>
      <c r="J704" s="61"/>
      <c r="K704" s="61"/>
      <c r="L704" s="30"/>
      <c r="N704" s="97"/>
      <c r="O704" s="48"/>
      <c r="P704" s="47"/>
      <c r="Q704" s="24"/>
    </row>
    <row r="705" spans="1:17" ht="12.5">
      <c r="A705" s="101"/>
      <c r="B705" s="24"/>
      <c r="C705" s="60"/>
      <c r="E705" s="47"/>
      <c r="F705" s="48"/>
      <c r="G705" s="47"/>
      <c r="J705" s="61"/>
      <c r="K705" s="61"/>
      <c r="L705" s="30"/>
      <c r="N705" s="97"/>
      <c r="O705" s="48"/>
      <c r="P705" s="47"/>
      <c r="Q705" s="24"/>
    </row>
    <row r="706" spans="1:17" ht="12.5">
      <c r="A706" s="101"/>
      <c r="B706" s="24"/>
      <c r="C706" s="60"/>
      <c r="E706" s="47"/>
      <c r="F706" s="48"/>
      <c r="G706" s="47"/>
      <c r="J706" s="61"/>
      <c r="K706" s="61"/>
      <c r="L706" s="30"/>
      <c r="N706" s="97"/>
      <c r="O706" s="48"/>
      <c r="P706" s="47"/>
      <c r="Q706" s="24"/>
    </row>
    <row r="707" spans="1:17" ht="12.5">
      <c r="A707" s="101"/>
      <c r="B707" s="24"/>
      <c r="C707" s="60"/>
      <c r="E707" s="47"/>
      <c r="F707" s="48"/>
      <c r="G707" s="47"/>
      <c r="J707" s="61"/>
      <c r="K707" s="61"/>
      <c r="L707" s="30"/>
      <c r="N707" s="97"/>
      <c r="O707" s="48"/>
      <c r="P707" s="47"/>
      <c r="Q707" s="24"/>
    </row>
    <row r="708" spans="1:17" ht="12.5">
      <c r="A708" s="101"/>
      <c r="B708" s="24"/>
      <c r="C708" s="60"/>
      <c r="E708" s="47"/>
      <c r="F708" s="48"/>
      <c r="G708" s="47"/>
      <c r="J708" s="61"/>
      <c r="K708" s="61"/>
      <c r="L708" s="30"/>
      <c r="N708" s="97"/>
      <c r="O708" s="48"/>
      <c r="P708" s="47"/>
      <c r="Q708" s="24"/>
    </row>
    <row r="709" spans="1:17" ht="12.5">
      <c r="A709" s="101"/>
      <c r="B709" s="24"/>
      <c r="C709" s="60"/>
      <c r="E709" s="47"/>
      <c r="F709" s="48"/>
      <c r="G709" s="47"/>
      <c r="J709" s="61"/>
      <c r="K709" s="61"/>
      <c r="L709" s="30"/>
      <c r="N709" s="97"/>
      <c r="O709" s="48"/>
      <c r="P709" s="47"/>
      <c r="Q709" s="24"/>
    </row>
    <row r="710" spans="1:17" ht="12.5">
      <c r="A710" s="101"/>
      <c r="B710" s="24"/>
      <c r="C710" s="60"/>
      <c r="E710" s="47"/>
      <c r="F710" s="48"/>
      <c r="G710" s="47"/>
      <c r="J710" s="61"/>
      <c r="K710" s="61"/>
      <c r="L710" s="30"/>
      <c r="N710" s="97"/>
      <c r="O710" s="48"/>
      <c r="P710" s="47"/>
      <c r="Q710" s="24"/>
    </row>
    <row r="711" spans="1:17" ht="12.5">
      <c r="A711" s="101"/>
      <c r="B711" s="24"/>
      <c r="C711" s="60"/>
      <c r="E711" s="47"/>
      <c r="F711" s="48"/>
      <c r="G711" s="47"/>
      <c r="J711" s="61"/>
      <c r="K711" s="61"/>
      <c r="L711" s="30"/>
      <c r="N711" s="97"/>
      <c r="O711" s="48"/>
      <c r="P711" s="47"/>
      <c r="Q711" s="24"/>
    </row>
    <row r="712" spans="1:17" ht="12.5">
      <c r="A712" s="101"/>
      <c r="B712" s="24"/>
      <c r="C712" s="60"/>
      <c r="E712" s="47"/>
      <c r="F712" s="48"/>
      <c r="G712" s="47"/>
      <c r="J712" s="61"/>
      <c r="K712" s="61"/>
      <c r="L712" s="30"/>
      <c r="N712" s="97"/>
      <c r="O712" s="48"/>
      <c r="P712" s="47"/>
      <c r="Q712" s="24"/>
    </row>
    <row r="713" spans="1:17" ht="12.5">
      <c r="A713" s="101"/>
      <c r="B713" s="24"/>
      <c r="C713" s="60"/>
      <c r="E713" s="47"/>
      <c r="F713" s="48"/>
      <c r="G713" s="47"/>
      <c r="J713" s="61"/>
      <c r="K713" s="61"/>
      <c r="L713" s="30"/>
      <c r="N713" s="97"/>
      <c r="O713" s="48"/>
      <c r="P713" s="47"/>
      <c r="Q713" s="24"/>
    </row>
    <row r="714" spans="1:17" ht="12.5">
      <c r="A714" s="101"/>
      <c r="B714" s="24"/>
      <c r="C714" s="60"/>
      <c r="E714" s="47"/>
      <c r="F714" s="48"/>
      <c r="G714" s="47"/>
      <c r="J714" s="61"/>
      <c r="K714" s="61"/>
      <c r="L714" s="30"/>
      <c r="N714" s="97"/>
      <c r="O714" s="48"/>
      <c r="P714" s="47"/>
      <c r="Q714" s="24"/>
    </row>
    <row r="715" spans="1:17" ht="12.5">
      <c r="A715" s="101"/>
      <c r="B715" s="24"/>
      <c r="C715" s="60"/>
      <c r="E715" s="47"/>
      <c r="F715" s="48"/>
      <c r="G715" s="47"/>
      <c r="J715" s="61"/>
      <c r="K715" s="61"/>
      <c r="L715" s="30"/>
      <c r="N715" s="97"/>
      <c r="O715" s="48"/>
      <c r="P715" s="47"/>
      <c r="Q715" s="24"/>
    </row>
    <row r="716" spans="1:17" ht="12.5">
      <c r="A716" s="101"/>
      <c r="B716" s="24"/>
      <c r="C716" s="60"/>
      <c r="E716" s="47"/>
      <c r="F716" s="48"/>
      <c r="G716" s="47"/>
      <c r="J716" s="61"/>
      <c r="K716" s="61"/>
      <c r="L716" s="30"/>
      <c r="N716" s="97"/>
      <c r="O716" s="48"/>
      <c r="P716" s="47"/>
      <c r="Q716" s="24"/>
    </row>
    <row r="717" spans="1:17" ht="12.5">
      <c r="A717" s="101"/>
      <c r="B717" s="24"/>
      <c r="C717" s="60"/>
      <c r="E717" s="47"/>
      <c r="F717" s="48"/>
      <c r="G717" s="47"/>
      <c r="J717" s="61"/>
      <c r="K717" s="61"/>
      <c r="L717" s="30"/>
      <c r="N717" s="97"/>
      <c r="O717" s="48"/>
      <c r="P717" s="47"/>
      <c r="Q717" s="24"/>
    </row>
    <row r="718" spans="1:17" ht="12.5">
      <c r="A718" s="101"/>
      <c r="B718" s="24"/>
      <c r="C718" s="60"/>
      <c r="E718" s="47"/>
      <c r="F718" s="48"/>
      <c r="G718" s="47"/>
      <c r="J718" s="61"/>
      <c r="K718" s="61"/>
      <c r="L718" s="30"/>
      <c r="N718" s="97"/>
      <c r="O718" s="48"/>
      <c r="P718" s="47"/>
      <c r="Q718" s="24"/>
    </row>
    <row r="719" spans="1:17" ht="12.5">
      <c r="A719" s="101"/>
      <c r="B719" s="24"/>
      <c r="C719" s="60"/>
      <c r="E719" s="47"/>
      <c r="F719" s="48"/>
      <c r="G719" s="47"/>
      <c r="J719" s="61"/>
      <c r="K719" s="61"/>
      <c r="L719" s="30"/>
      <c r="N719" s="97"/>
      <c r="O719" s="48"/>
      <c r="P719" s="47"/>
      <c r="Q719" s="24"/>
    </row>
    <row r="720" spans="1:17" ht="12.5">
      <c r="A720" s="101"/>
      <c r="B720" s="24"/>
      <c r="C720" s="60"/>
      <c r="E720" s="47"/>
      <c r="F720" s="48"/>
      <c r="G720" s="47"/>
      <c r="J720" s="61"/>
      <c r="K720" s="61"/>
      <c r="L720" s="30"/>
      <c r="N720" s="97"/>
      <c r="O720" s="48"/>
      <c r="P720" s="47"/>
      <c r="Q720" s="24"/>
    </row>
    <row r="721" spans="1:17" ht="12.5">
      <c r="A721" s="101"/>
      <c r="B721" s="24"/>
      <c r="C721" s="60"/>
      <c r="E721" s="47"/>
      <c r="F721" s="48"/>
      <c r="G721" s="47"/>
      <c r="J721" s="61"/>
      <c r="K721" s="61"/>
      <c r="L721" s="30"/>
      <c r="N721" s="97"/>
      <c r="O721" s="48"/>
      <c r="P721" s="47"/>
      <c r="Q721" s="24"/>
    </row>
    <row r="722" spans="1:17" ht="12.5">
      <c r="A722" s="101"/>
      <c r="B722" s="24"/>
      <c r="C722" s="60"/>
      <c r="E722" s="47"/>
      <c r="F722" s="48"/>
      <c r="G722" s="47"/>
      <c r="J722" s="61"/>
      <c r="K722" s="61"/>
      <c r="L722" s="30"/>
      <c r="N722" s="97"/>
      <c r="O722" s="48"/>
      <c r="P722" s="47"/>
      <c r="Q722" s="24"/>
    </row>
    <row r="723" spans="1:17" ht="12.5">
      <c r="A723" s="101"/>
      <c r="B723" s="24"/>
      <c r="C723" s="60"/>
      <c r="E723" s="47"/>
      <c r="F723" s="48"/>
      <c r="G723" s="47"/>
      <c r="J723" s="61"/>
      <c r="K723" s="61"/>
      <c r="L723" s="30"/>
      <c r="N723" s="97"/>
      <c r="O723" s="48"/>
      <c r="P723" s="47"/>
      <c r="Q723" s="24"/>
    </row>
    <row r="724" spans="1:17" ht="12.5">
      <c r="A724" s="101"/>
      <c r="B724" s="24"/>
      <c r="C724" s="60"/>
      <c r="E724" s="47"/>
      <c r="F724" s="48"/>
      <c r="G724" s="47"/>
      <c r="J724" s="61"/>
      <c r="K724" s="61"/>
      <c r="L724" s="30"/>
      <c r="N724" s="97"/>
      <c r="O724" s="48"/>
      <c r="P724" s="47"/>
      <c r="Q724" s="24"/>
    </row>
    <row r="725" spans="1:17" ht="12.5">
      <c r="A725" s="101"/>
      <c r="B725" s="24"/>
      <c r="C725" s="60"/>
      <c r="E725" s="47"/>
      <c r="F725" s="48"/>
      <c r="G725" s="47"/>
      <c r="J725" s="61"/>
      <c r="K725" s="61"/>
      <c r="L725" s="30"/>
      <c r="N725" s="97"/>
      <c r="O725" s="48"/>
      <c r="P725" s="47"/>
      <c r="Q725" s="24"/>
    </row>
    <row r="726" spans="1:17" ht="12.5">
      <c r="A726" s="101"/>
      <c r="B726" s="24"/>
      <c r="C726" s="60"/>
      <c r="E726" s="47"/>
      <c r="F726" s="48"/>
      <c r="G726" s="47"/>
      <c r="J726" s="61"/>
      <c r="K726" s="61"/>
      <c r="L726" s="30"/>
      <c r="N726" s="97"/>
      <c r="O726" s="48"/>
      <c r="P726" s="47"/>
      <c r="Q726" s="24"/>
    </row>
    <row r="727" spans="1:17" ht="12.5">
      <c r="A727" s="101"/>
      <c r="B727" s="24"/>
      <c r="C727" s="60"/>
      <c r="E727" s="47"/>
      <c r="F727" s="48"/>
      <c r="G727" s="47"/>
      <c r="J727" s="61"/>
      <c r="K727" s="61"/>
      <c r="L727" s="30"/>
      <c r="N727" s="97"/>
      <c r="O727" s="48"/>
      <c r="P727" s="47"/>
      <c r="Q727" s="24"/>
    </row>
    <row r="728" spans="1:17" ht="12.5">
      <c r="A728" s="101"/>
      <c r="B728" s="24"/>
      <c r="C728" s="60"/>
      <c r="E728" s="47"/>
      <c r="F728" s="48"/>
      <c r="G728" s="47"/>
      <c r="J728" s="61"/>
      <c r="K728" s="61"/>
      <c r="L728" s="30"/>
      <c r="N728" s="97"/>
      <c r="O728" s="48"/>
      <c r="P728" s="47"/>
      <c r="Q728" s="24"/>
    </row>
    <row r="729" spans="1:17" ht="12.5">
      <c r="A729" s="101"/>
      <c r="B729" s="24"/>
      <c r="C729" s="60"/>
      <c r="E729" s="47"/>
      <c r="F729" s="48"/>
      <c r="G729" s="47"/>
      <c r="J729" s="61"/>
      <c r="K729" s="61"/>
      <c r="L729" s="30"/>
      <c r="N729" s="97"/>
      <c r="O729" s="48"/>
      <c r="P729" s="47"/>
      <c r="Q729" s="24"/>
    </row>
    <row r="730" spans="1:17" ht="12.5">
      <c r="A730" s="101"/>
      <c r="B730" s="24"/>
      <c r="C730" s="60"/>
      <c r="E730" s="47"/>
      <c r="F730" s="48"/>
      <c r="G730" s="47"/>
      <c r="J730" s="61"/>
      <c r="K730" s="61"/>
      <c r="L730" s="30"/>
      <c r="N730" s="97"/>
      <c r="O730" s="48"/>
      <c r="P730" s="47"/>
      <c r="Q730" s="24"/>
    </row>
    <row r="731" spans="1:17" ht="12.5">
      <c r="A731" s="101"/>
      <c r="B731" s="24"/>
      <c r="C731" s="60"/>
      <c r="E731" s="47"/>
      <c r="F731" s="48"/>
      <c r="G731" s="47"/>
      <c r="J731" s="61"/>
      <c r="K731" s="61"/>
      <c r="L731" s="30"/>
      <c r="N731" s="97"/>
      <c r="O731" s="48"/>
      <c r="P731" s="47"/>
      <c r="Q731" s="24"/>
    </row>
    <row r="732" spans="1:17" ht="12.5">
      <c r="A732" s="101"/>
      <c r="B732" s="24"/>
      <c r="C732" s="60"/>
      <c r="E732" s="47"/>
      <c r="F732" s="48"/>
      <c r="G732" s="47"/>
      <c r="J732" s="61"/>
      <c r="K732" s="61"/>
      <c r="L732" s="30"/>
      <c r="N732" s="97"/>
      <c r="O732" s="48"/>
      <c r="P732" s="47"/>
      <c r="Q732" s="24"/>
    </row>
    <row r="733" spans="1:17" ht="12.5">
      <c r="A733" s="101"/>
      <c r="B733" s="24"/>
      <c r="C733" s="60"/>
      <c r="E733" s="47"/>
      <c r="F733" s="48"/>
      <c r="G733" s="47"/>
      <c r="J733" s="61"/>
      <c r="K733" s="61"/>
      <c r="L733" s="30"/>
      <c r="N733" s="97"/>
      <c r="O733" s="48"/>
      <c r="P733" s="47"/>
      <c r="Q733" s="24"/>
    </row>
    <row r="734" spans="1:17" ht="12.5">
      <c r="A734" s="101"/>
      <c r="B734" s="24"/>
      <c r="C734" s="60"/>
      <c r="E734" s="47"/>
      <c r="F734" s="48"/>
      <c r="G734" s="47"/>
      <c r="J734" s="61"/>
      <c r="K734" s="61"/>
      <c r="L734" s="30"/>
      <c r="N734" s="97"/>
      <c r="O734" s="48"/>
      <c r="P734" s="47"/>
      <c r="Q734" s="24"/>
    </row>
    <row r="735" spans="1:17" ht="12.5">
      <c r="A735" s="101"/>
      <c r="B735" s="24"/>
      <c r="C735" s="60"/>
      <c r="E735" s="47"/>
      <c r="F735" s="48"/>
      <c r="G735" s="47"/>
      <c r="J735" s="61"/>
      <c r="K735" s="61"/>
      <c r="L735" s="30"/>
      <c r="N735" s="97"/>
      <c r="O735" s="48"/>
      <c r="P735" s="47"/>
      <c r="Q735" s="24"/>
    </row>
    <row r="736" spans="1:17" ht="12.5">
      <c r="A736" s="101"/>
      <c r="B736" s="24"/>
      <c r="C736" s="60"/>
      <c r="E736" s="47"/>
      <c r="F736" s="48"/>
      <c r="G736" s="47"/>
      <c r="J736" s="61"/>
      <c r="K736" s="61"/>
      <c r="L736" s="30"/>
      <c r="N736" s="97"/>
      <c r="O736" s="48"/>
      <c r="P736" s="47"/>
      <c r="Q736" s="24"/>
    </row>
    <row r="737" spans="1:17" ht="12.5">
      <c r="A737" s="101"/>
      <c r="B737" s="24"/>
      <c r="C737" s="60"/>
      <c r="E737" s="47"/>
      <c r="F737" s="48"/>
      <c r="G737" s="47"/>
      <c r="J737" s="61"/>
      <c r="K737" s="61"/>
      <c r="L737" s="30"/>
      <c r="N737" s="97"/>
      <c r="O737" s="48"/>
      <c r="P737" s="47"/>
      <c r="Q737" s="24"/>
    </row>
    <row r="738" spans="1:17" ht="12.5">
      <c r="A738" s="101"/>
      <c r="B738" s="24"/>
      <c r="C738" s="60"/>
      <c r="E738" s="47"/>
      <c r="F738" s="48"/>
      <c r="G738" s="47"/>
      <c r="J738" s="61"/>
      <c r="K738" s="61"/>
      <c r="L738" s="30"/>
      <c r="N738" s="97"/>
      <c r="O738" s="48"/>
      <c r="P738" s="47"/>
      <c r="Q738" s="24"/>
    </row>
    <row r="739" spans="1:17" ht="12.5">
      <c r="A739" s="101"/>
      <c r="B739" s="24"/>
      <c r="C739" s="60"/>
      <c r="E739" s="47"/>
      <c r="F739" s="48"/>
      <c r="G739" s="47"/>
      <c r="J739" s="61"/>
      <c r="K739" s="61"/>
      <c r="L739" s="30"/>
      <c r="N739" s="97"/>
      <c r="O739" s="48"/>
      <c r="P739" s="47"/>
      <c r="Q739" s="24"/>
    </row>
    <row r="740" spans="1:17" ht="12.5">
      <c r="A740" s="101"/>
      <c r="B740" s="24"/>
      <c r="C740" s="60"/>
      <c r="E740" s="47"/>
      <c r="F740" s="48"/>
      <c r="G740" s="47"/>
      <c r="J740" s="61"/>
      <c r="K740" s="61"/>
      <c r="L740" s="30"/>
      <c r="N740" s="97"/>
      <c r="O740" s="48"/>
      <c r="P740" s="47"/>
      <c r="Q740" s="24"/>
    </row>
    <row r="741" spans="1:17" ht="12.5">
      <c r="A741" s="101"/>
      <c r="B741" s="24"/>
      <c r="C741" s="60"/>
      <c r="E741" s="47"/>
      <c r="F741" s="48"/>
      <c r="G741" s="47"/>
      <c r="J741" s="61"/>
      <c r="K741" s="61"/>
      <c r="L741" s="30"/>
      <c r="N741" s="97"/>
      <c r="O741" s="48"/>
      <c r="P741" s="47"/>
      <c r="Q741" s="24"/>
    </row>
    <row r="742" spans="1:17" ht="12.5">
      <c r="A742" s="101"/>
      <c r="B742" s="24"/>
      <c r="C742" s="60"/>
      <c r="E742" s="47"/>
      <c r="F742" s="48"/>
      <c r="G742" s="47"/>
      <c r="J742" s="61"/>
      <c r="K742" s="61"/>
      <c r="L742" s="30"/>
      <c r="N742" s="97"/>
      <c r="O742" s="48"/>
      <c r="P742" s="47"/>
      <c r="Q742" s="24"/>
    </row>
    <row r="743" spans="1:17" ht="12.5">
      <c r="A743" s="101"/>
      <c r="B743" s="24"/>
      <c r="C743" s="60"/>
      <c r="E743" s="47"/>
      <c r="F743" s="48"/>
      <c r="G743" s="47"/>
      <c r="J743" s="61"/>
      <c r="K743" s="61"/>
      <c r="L743" s="30"/>
      <c r="N743" s="97"/>
      <c r="O743" s="48"/>
      <c r="P743" s="47"/>
      <c r="Q743" s="24"/>
    </row>
    <row r="744" spans="1:17" ht="12.5">
      <c r="A744" s="101"/>
      <c r="B744" s="24"/>
      <c r="C744" s="60"/>
      <c r="E744" s="47"/>
      <c r="F744" s="48"/>
      <c r="G744" s="47"/>
      <c r="J744" s="61"/>
      <c r="K744" s="61"/>
      <c r="L744" s="30"/>
      <c r="N744" s="97"/>
      <c r="O744" s="48"/>
      <c r="P744" s="47"/>
      <c r="Q744" s="24"/>
    </row>
    <row r="745" spans="1:17" ht="12.5">
      <c r="A745" s="101"/>
      <c r="B745" s="24"/>
      <c r="C745" s="60"/>
      <c r="E745" s="47"/>
      <c r="F745" s="48"/>
      <c r="G745" s="47"/>
      <c r="J745" s="61"/>
      <c r="K745" s="61"/>
      <c r="L745" s="30"/>
      <c r="N745" s="97"/>
      <c r="O745" s="48"/>
      <c r="P745" s="47"/>
      <c r="Q745" s="24"/>
    </row>
    <row r="746" spans="1:17" ht="12.5">
      <c r="A746" s="101"/>
      <c r="B746" s="24"/>
      <c r="C746" s="60"/>
      <c r="E746" s="47"/>
      <c r="F746" s="48"/>
      <c r="G746" s="47"/>
      <c r="J746" s="61"/>
      <c r="K746" s="61"/>
      <c r="L746" s="30"/>
      <c r="N746" s="97"/>
      <c r="O746" s="48"/>
      <c r="P746" s="47"/>
      <c r="Q746" s="24"/>
    </row>
    <row r="747" spans="1:17" ht="12.5">
      <c r="A747" s="101"/>
      <c r="B747" s="24"/>
      <c r="C747" s="60"/>
      <c r="E747" s="47"/>
      <c r="F747" s="48"/>
      <c r="G747" s="47"/>
      <c r="J747" s="61"/>
      <c r="K747" s="61"/>
      <c r="L747" s="30"/>
      <c r="N747" s="97"/>
      <c r="O747" s="48"/>
      <c r="P747" s="47"/>
      <c r="Q747" s="24"/>
    </row>
    <row r="748" spans="1:17" ht="12.5">
      <c r="A748" s="101"/>
      <c r="B748" s="24"/>
      <c r="C748" s="60"/>
      <c r="E748" s="47"/>
      <c r="F748" s="48"/>
      <c r="G748" s="47"/>
      <c r="J748" s="61"/>
      <c r="K748" s="61"/>
      <c r="L748" s="30"/>
      <c r="N748" s="97"/>
      <c r="O748" s="48"/>
      <c r="P748" s="47"/>
      <c r="Q748" s="24"/>
    </row>
    <row r="749" spans="1:17" ht="15">
      <c r="A749" s="101"/>
      <c r="B749" s="24"/>
      <c r="C749" s="60"/>
      <c r="E749" s="47"/>
      <c r="F749" s="48"/>
      <c r="G749" s="47"/>
      <c r="J749" s="61"/>
      <c r="K749" s="61"/>
      <c r="N749" s="97"/>
      <c r="O749" s="49"/>
      <c r="P749" s="50"/>
      <c r="Q749" s="51">
        <f>SUM(Q82:Q748)</f>
        <v>0</v>
      </c>
    </row>
    <row r="750" spans="1:17" ht="12.5">
      <c r="A750" s="101"/>
      <c r="B750" s="24"/>
      <c r="C750" s="60"/>
      <c r="E750" s="47"/>
      <c r="F750" s="48"/>
      <c r="G750" s="47"/>
    </row>
    <row r="751" spans="1:17" ht="12.5">
      <c r="A751" s="101"/>
      <c r="B751" s="24"/>
      <c r="C751" s="60"/>
      <c r="E751" s="47"/>
      <c r="F751" s="48"/>
      <c r="G751" s="47"/>
    </row>
    <row r="752" spans="1:17">
      <c r="B752" s="24"/>
      <c r="C752" s="60"/>
      <c r="E752" s="47"/>
      <c r="F752" s="48"/>
      <c r="G752" s="47"/>
    </row>
    <row r="753" spans="5:7" ht="15">
      <c r="E753" s="49"/>
      <c r="F753" s="50"/>
      <c r="G753" s="51">
        <f>SUM(G84:G752)</f>
        <v>0</v>
      </c>
    </row>
  </sheetData>
  <mergeCells count="14">
    <mergeCell ref="A82:G82"/>
    <mergeCell ref="J82:Q82"/>
    <mergeCell ref="Y2:Z2"/>
    <mergeCell ref="AL2:AM2"/>
    <mergeCell ref="AX2:AY2"/>
    <mergeCell ref="Y5:Z5"/>
    <mergeCell ref="AL5:AM5"/>
    <mergeCell ref="AX5:AY5"/>
    <mergeCell ref="I3:K3"/>
    <mergeCell ref="M3:M4"/>
    <mergeCell ref="N3:N4"/>
    <mergeCell ref="B3:B4"/>
    <mergeCell ref="C3:C4"/>
    <mergeCell ref="E3:G3"/>
  </mergeCells>
  <conditionalFormatting sqref="T17">
    <cfRule type="containsText" dxfId="7" priority="6" operator="containsText" text="ERROR">
      <formula>NOT(ISERROR(SEARCH("ERROR",T17)))</formula>
    </cfRule>
  </conditionalFormatting>
  <conditionalFormatting sqref="T42">
    <cfRule type="containsText" dxfId="6" priority="5" operator="containsText" text="ERROR">
      <formula>NOT(ISERROR(SEARCH("ERROR",T42)))</formula>
    </cfRule>
  </conditionalFormatting>
  <conditionalFormatting sqref="W19">
    <cfRule type="containsText" dxfId="5" priority="1" operator="containsText" text="ERROR">
      <formula>NOT(ISERROR(SEARCH("ERROR",W19)))</formula>
    </cfRule>
  </conditionalFormatting>
  <conditionalFormatting sqref="BL72">
    <cfRule type="containsText" dxfId="4" priority="2" operator="containsText" text="ERROR">
      <formula>NOT(ISERROR(SEARCH("ERROR",BL72)))</formula>
    </cfRule>
  </conditionalFormatting>
  <dataValidations count="5">
    <dataValidation type="list" allowBlank="1" showInputMessage="1" showErrorMessage="1" sqref="N5:N8 N73 N75 N77:N79 N10:N71" xr:uid="{B300F343-0A68-4547-88F8-C1AB03379D14}">
      <formula1>FinalDiff</formula1>
    </dataValidation>
    <dataValidation type="list" allowBlank="1" showInputMessage="1" showErrorMessage="1" sqref="M129:M746 L84:L746" xr:uid="{FE7347C8-FBAD-435E-B87B-C9CED7D52E15}">
      <formula1>Taxes</formula1>
    </dataValidation>
    <dataValidation type="list" allowBlank="1" showInputMessage="1" showErrorMessage="1" sqref="C84:C752" xr:uid="{8DB67744-198E-4E49-829B-962F088AD778}">
      <formula1>Compadjust</formula1>
    </dataValidation>
    <dataValidation type="list" allowBlank="1" showErrorMessage="1" errorTitle="Taxes" error="Non valid entry. Please check the tax list" promptTitle="Taxes" prompt="Please select the tax subject to adjustment" sqref="B84:B105" xr:uid="{AE05A729-0FD1-4730-81F7-9E2E875DEE9F}">
      <formula1>$A$135:$A$136</formula1>
    </dataValidation>
    <dataValidation type="list" allowBlank="1" showInputMessage="1" showErrorMessage="1" sqref="N84:N749" xr:uid="{F75B268E-6EAF-49E0-A5AA-001754E7464F}">
      <formula1>Govadjust</formula1>
    </dataValidation>
  </dataValidation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67EBADC0-B895-4D51-85B1-9C5CBFB81EC7}">
          <x14:formula1>
            <xm:f>Lists!$A$131:$A$132</xm:f>
          </x14:formula1>
          <xm:sqref>K84:K749</xm:sqref>
        </x14:dataValidation>
        <x14:dataValidation type="list" allowBlank="1" showErrorMessage="1" errorTitle="Taxes" error="Non valid entry. Please check the tax list" promptTitle="Taxes" prompt="Please select the tax subject to adjustment" xr:uid="{7E9DB570-5953-4832-A281-E1DBDD96C0CD}">
          <x14:formula1>
            <xm:f>Lists!$A$7:$A$64</xm:f>
          </x14:formula1>
          <xm:sqref>A84:A751</xm:sqref>
        </x14:dataValidation>
        <x14:dataValidation type="list" allowBlank="1" showInputMessage="1" showErrorMessage="1" xr:uid="{DA4C04C4-2ECE-4A8C-BC29-A4A8E86D1E83}">
          <x14:formula1>
            <xm:f>Lists!$A$7:$A$64</xm:f>
          </x14:formula1>
          <xm:sqref>J84:J749</xm:sqref>
        </x14:dataValidation>
      </x14:dataValidations>
    </ext>
  </extLs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2B1AE-3B6A-4055-9FC7-6643C787BF79}">
  <sheetPr codeName="Feuil164"/>
  <dimension ref="A1:BL753"/>
  <sheetViews>
    <sheetView showGridLines="0" topLeftCell="B1" zoomScaleNormal="100" workbookViewId="0">
      <selection activeCell="I15" sqref="I15"/>
    </sheetView>
  </sheetViews>
  <sheetFormatPr baseColWidth="10" defaultColWidth="11.54296875" defaultRowHeight="12" outlineLevelCol="1"/>
  <cols>
    <col min="1" max="1" width="28.54296875" style="17" hidden="1" customWidth="1"/>
    <col min="2" max="2" width="4.453125" style="17" customWidth="1"/>
    <col min="3" max="3" width="53" style="30" customWidth="1"/>
    <col min="4" max="4" width="0.81640625" style="21" customWidth="1"/>
    <col min="5" max="5" width="15.54296875" style="21" customWidth="1"/>
    <col min="6" max="6" width="13.7265625" style="17" customWidth="1"/>
    <col min="7" max="7" width="15.26953125" style="21" customWidth="1"/>
    <col min="8" max="8" width="0.81640625" style="21" customWidth="1"/>
    <col min="9" max="9" width="15.26953125" style="21" bestFit="1" customWidth="1"/>
    <col min="10" max="10" width="15.453125" style="21" customWidth="1"/>
    <col min="11" max="11" width="15.26953125" style="21" bestFit="1" customWidth="1"/>
    <col min="12" max="12" width="0.81640625" style="21" customWidth="1"/>
    <col min="13" max="13" width="14.81640625" style="21" customWidth="1"/>
    <col min="14" max="14" width="41.7265625" style="24" bestFit="1" customWidth="1"/>
    <col min="15" max="15" width="23.26953125" style="21" bestFit="1" customWidth="1"/>
    <col min="16" max="16" width="12.81640625" style="17" customWidth="1"/>
    <col min="17" max="17" width="17.26953125" style="21" bestFit="1" customWidth="1"/>
    <col min="18" max="18" width="38.26953125" style="21" bestFit="1" customWidth="1"/>
    <col min="19" max="19" width="12" style="21" bestFit="1" customWidth="1"/>
    <col min="20" max="20" width="7.81640625" style="21" customWidth="1"/>
    <col min="21" max="21" width="41.7265625" style="21" bestFit="1" customWidth="1"/>
    <col min="22" max="22" width="12" style="21" bestFit="1" customWidth="1"/>
    <col min="23" max="23" width="11.54296875" style="21"/>
    <col min="24" max="24" width="0" style="21" hidden="1" customWidth="1"/>
    <col min="25" max="25" width="5.1796875" style="41" hidden="1" customWidth="1"/>
    <col min="26" max="26" width="38.81640625" style="19" hidden="1" customWidth="1"/>
    <col min="27" max="36" width="11.7265625" style="19" hidden="1" customWidth="1" outlineLevel="1"/>
    <col min="37" max="37" width="5" style="21" hidden="1" customWidth="1" collapsed="1"/>
    <col min="38" max="38" width="5.1796875" style="41" hidden="1" customWidth="1"/>
    <col min="39" max="39" width="38.81640625" style="19" hidden="1" customWidth="1"/>
    <col min="40" max="48" width="11.7265625" style="19" hidden="1" customWidth="1" outlineLevel="1"/>
    <col min="49" max="49" width="5.453125" style="21" hidden="1" customWidth="1" collapsed="1"/>
    <col min="50" max="50" width="5.453125" style="21" hidden="1" customWidth="1"/>
    <col min="51" max="51" width="41.1796875" style="21" hidden="1" customWidth="1"/>
    <col min="52" max="53" width="0" style="21" hidden="1" customWidth="1"/>
    <col min="54" max="54" width="12.7265625" style="21" hidden="1" customWidth="1"/>
    <col min="55" max="57" width="0" style="21" hidden="1" customWidth="1"/>
    <col min="58" max="58" width="12" style="21" hidden="1" customWidth="1"/>
    <col min="59" max="60" width="0" style="21" hidden="1" customWidth="1"/>
    <col min="61" max="61" width="12" style="21" hidden="1" customWidth="1"/>
    <col min="62" max="68" width="0" style="21" hidden="1" customWidth="1"/>
    <col min="69" max="16384" width="11.54296875" style="21"/>
  </cols>
  <sheetData>
    <row r="1" spans="1:63" ht="61.5" customHeight="1" thickBot="1">
      <c r="C1" s="31" t="s">
        <v>33</v>
      </c>
      <c r="E1" s="32" t="str">
        <f>+Companies!B29</f>
        <v>PTIAL</v>
      </c>
      <c r="F1" s="103" t="str">
        <f>Companies!C29</f>
        <v>M313171P</v>
      </c>
      <c r="G1" s="33"/>
      <c r="J1" s="33" t="s">
        <v>34</v>
      </c>
      <c r="K1" s="33">
        <f>+Lists!A3</f>
        <v>2022</v>
      </c>
      <c r="Y1" s="74" t="s">
        <v>7</v>
      </c>
      <c r="Z1" s="75" t="s">
        <v>19</v>
      </c>
      <c r="AA1" s="74" t="str">
        <f>Lists!$A$68</f>
        <v>Taxes payées non reportées</v>
      </c>
      <c r="AB1" s="74" t="str">
        <f>Lists!$A$69</f>
        <v>Taxes payées hors période de réconciliation</v>
      </c>
      <c r="AC1" s="74" t="str">
        <f>Lists!$A$70</f>
        <v>Taxes hors périmètre de réconciliation</v>
      </c>
      <c r="AD1" s="74" t="str">
        <f>Lists!$A$71</f>
        <v>Erreur de reporting (montant et détail)</v>
      </c>
      <c r="AE1" s="74" t="str">
        <f>Lists!$A$72</f>
        <v>Taxes reportées non payées</v>
      </c>
      <c r="AF1" s="74" t="str">
        <f>Lists!$A$73</f>
        <v>Montant doublement déclaré</v>
      </c>
      <c r="AG1" s="74" t="str">
        <f>Lists!$A$74</f>
        <v>Erreur de classification</v>
      </c>
      <c r="AH1" s="74" t="str">
        <f>Lists!$A$75</f>
        <v>Taxes payées sous un autre NINEA</v>
      </c>
      <c r="AI1" s="74" t="str">
        <f>Lists!$A$76</f>
        <v>Différence de change</v>
      </c>
      <c r="AJ1" s="74" t="s">
        <v>10</v>
      </c>
      <c r="AL1" s="74" t="s">
        <v>7</v>
      </c>
      <c r="AM1" s="75" t="s">
        <v>19</v>
      </c>
      <c r="AN1" s="74" t="str">
        <f>Lists!$A$80</f>
        <v>Taxes perçues non reportées par l'Etat</v>
      </c>
      <c r="AO1" s="74" t="str">
        <f>Lists!$A$81</f>
        <v>Montant doublement déclaré</v>
      </c>
      <c r="AP1" s="74" t="str">
        <f>Lists!$A$82</f>
        <v>Taxes perçues hors de la période de réconciliation</v>
      </c>
      <c r="AQ1" s="74" t="str">
        <f>Lists!$A$83</f>
        <v>Erreur de reporting (montant et détail)</v>
      </c>
      <c r="AR1" s="74" t="str">
        <f>Lists!$A$84</f>
        <v>Taxe reportée par l'Etat non réellement encaissée</v>
      </c>
      <c r="AS1" s="74" t="str">
        <f>Lists!$A$85</f>
        <v>Erreur de classification</v>
      </c>
      <c r="AT1" s="74" t="str">
        <f>Lists!$A$86</f>
        <v>Taxes payées par la Ste sur un autre NINEA non reporté par l'Etat</v>
      </c>
      <c r="AU1" s="74" t="str">
        <f>Lists!$A$87</f>
        <v>Taxes hors périmètre de réconciliation</v>
      </c>
      <c r="AV1" s="74" t="s">
        <v>11</v>
      </c>
      <c r="AX1" s="76" t="s">
        <v>7</v>
      </c>
      <c r="AY1" s="76" t="s">
        <v>21</v>
      </c>
      <c r="AZ1" s="76" t="str">
        <f>Lists!$A$91</f>
        <v>FD non soumis par la Société</v>
      </c>
      <c r="BA1" s="76" t="str">
        <f>Lists!$A$92</f>
        <v>FD non soumis par l'Etat</v>
      </c>
      <c r="BB1" s="76" t="str">
        <f>Lists!$A$93</f>
        <v>Différences provenant de détail soumis par la société et non soumis par l'Etat d'un coté et détail soumis pas l'Etat et non soumis par la société de l'autre coté</v>
      </c>
      <c r="BC1" s="76" t="str">
        <f>Lists!$A$94</f>
        <v>Les pièces justificatives ne coincident pas avec les données reportés par l'Etat</v>
      </c>
      <c r="BD1" s="76" t="str">
        <f>Lists!$A$95</f>
        <v xml:space="preserve">Détail par quittance non soumis par l'Entreprise Extractive </v>
      </c>
      <c r="BE1" s="76" t="str">
        <f>Lists!$A$96</f>
        <v>Détail non soumis par l'Etat</v>
      </c>
      <c r="BF1" s="76" t="str">
        <f>Lists!$A$97</f>
        <v>Taxes non reportées par l'Entreprise Extractive</v>
      </c>
      <c r="BG1" s="76" t="str">
        <f>Lists!$A$98</f>
        <v>Taxes non reportées par l'Etat</v>
      </c>
      <c r="BH1" s="76" t="str">
        <f>Lists!$A$99</f>
        <v>Montants non reportés par l'Etat</v>
      </c>
      <c r="BI1" s="76" t="str">
        <f>Lists!$A$100</f>
        <v>Différence de classification</v>
      </c>
      <c r="BJ1" s="76" t="str">
        <f>Lists!$A$101</f>
        <v>Montants non reportés par la société</v>
      </c>
      <c r="BK1" s="76" t="str">
        <f>Lists!$A$102</f>
        <v>Non significatif &lt; 1 M FCFA</v>
      </c>
    </row>
    <row r="2" spans="1:63" ht="12.5" thickTop="1">
      <c r="C2" s="34"/>
      <c r="F2" s="21"/>
      <c r="I2" s="21" t="s">
        <v>111</v>
      </c>
      <c r="J2" s="106">
        <f>+'Taux de change RCA 2022'!$J$11</f>
        <v>625.02175000000011</v>
      </c>
      <c r="Q2" s="35"/>
      <c r="R2" s="36" t="s">
        <v>16</v>
      </c>
      <c r="S2" s="37" t="s">
        <v>4</v>
      </c>
      <c r="U2" s="36" t="s">
        <v>20</v>
      </c>
      <c r="V2" s="37" t="s">
        <v>4</v>
      </c>
      <c r="Y2" s="813" t="str">
        <f>B5</f>
        <v>Paiements en nature</v>
      </c>
      <c r="Z2" s="813"/>
      <c r="AA2" s="81">
        <f>AA3+AA4</f>
        <v>0</v>
      </c>
      <c r="AB2" s="81">
        <f t="shared" ref="AB2:AJ2" si="0">AB3+AB4</f>
        <v>0</v>
      </c>
      <c r="AC2" s="81">
        <f t="shared" si="0"/>
        <v>0</v>
      </c>
      <c r="AD2" s="81">
        <f t="shared" si="0"/>
        <v>0</v>
      </c>
      <c r="AE2" s="81">
        <f t="shared" si="0"/>
        <v>0</v>
      </c>
      <c r="AF2" s="81">
        <f t="shared" si="0"/>
        <v>0</v>
      </c>
      <c r="AG2" s="81">
        <f t="shared" si="0"/>
        <v>0</v>
      </c>
      <c r="AH2" s="81">
        <f t="shared" si="0"/>
        <v>0</v>
      </c>
      <c r="AI2" s="81">
        <f t="shared" si="0"/>
        <v>0</v>
      </c>
      <c r="AJ2" s="81">
        <f t="shared" si="0"/>
        <v>0</v>
      </c>
      <c r="AL2" s="811" t="str">
        <f>B5</f>
        <v>Paiements en nature</v>
      </c>
      <c r="AM2" s="811"/>
      <c r="AN2" s="81">
        <f>AN3+AN4</f>
        <v>0</v>
      </c>
      <c r="AO2" s="81">
        <f t="shared" ref="AO2:AV2" si="1">AO3+AO4</f>
        <v>0</v>
      </c>
      <c r="AP2" s="81">
        <f t="shared" si="1"/>
        <v>0</v>
      </c>
      <c r="AQ2" s="81">
        <f t="shared" si="1"/>
        <v>0</v>
      </c>
      <c r="AR2" s="81">
        <f t="shared" si="1"/>
        <v>0</v>
      </c>
      <c r="AS2" s="81">
        <f t="shared" si="1"/>
        <v>0</v>
      </c>
      <c r="AT2" s="81">
        <f t="shared" si="1"/>
        <v>0</v>
      </c>
      <c r="AU2" s="81">
        <f t="shared" si="1"/>
        <v>0</v>
      </c>
      <c r="AV2" s="81">
        <f t="shared" si="1"/>
        <v>0</v>
      </c>
      <c r="AW2" s="82"/>
      <c r="AX2" s="811" t="str">
        <f>B5</f>
        <v>Paiements en nature</v>
      </c>
      <c r="AY2" s="811"/>
      <c r="AZ2" s="81">
        <f ca="1">AZ3+AZ4</f>
        <v>0</v>
      </c>
      <c r="BA2" s="81">
        <f t="shared" ref="BA2:BK2" ca="1" si="2">BA3+BA4</f>
        <v>0</v>
      </c>
      <c r="BB2" s="81">
        <f t="shared" ca="1" si="2"/>
        <v>0</v>
      </c>
      <c r="BC2" s="81">
        <f t="shared" ca="1" si="2"/>
        <v>0</v>
      </c>
      <c r="BD2" s="81">
        <f t="shared" ca="1" si="2"/>
        <v>0</v>
      </c>
      <c r="BE2" s="81">
        <f t="shared" ca="1" si="2"/>
        <v>0</v>
      </c>
      <c r="BF2" s="81">
        <f t="shared" ca="1" si="2"/>
        <v>0</v>
      </c>
      <c r="BG2" s="81">
        <f t="shared" ca="1" si="2"/>
        <v>0</v>
      </c>
      <c r="BH2" s="81">
        <f t="shared" ca="1" si="2"/>
        <v>0</v>
      </c>
      <c r="BI2" s="81">
        <f t="shared" ca="1" si="2"/>
        <v>0</v>
      </c>
      <c r="BJ2" s="81">
        <f t="shared" ca="1" si="2"/>
        <v>0</v>
      </c>
      <c r="BK2" s="81">
        <f t="shared" ca="1" si="2"/>
        <v>0</v>
      </c>
    </row>
    <row r="3" spans="1:63">
      <c r="B3" s="787" t="s">
        <v>6</v>
      </c>
      <c r="C3" s="792" t="s">
        <v>27</v>
      </c>
      <c r="E3" s="793" t="s">
        <v>71</v>
      </c>
      <c r="F3" s="793"/>
      <c r="G3" s="793"/>
      <c r="I3" s="793" t="s">
        <v>30</v>
      </c>
      <c r="J3" s="793"/>
      <c r="K3" s="793"/>
      <c r="M3" s="794" t="s">
        <v>31</v>
      </c>
      <c r="N3" s="814" t="s">
        <v>32</v>
      </c>
      <c r="Q3" s="35"/>
      <c r="R3" s="21" t="str">
        <f>Lists!A68</f>
        <v>Taxes payées non reportées</v>
      </c>
      <c r="S3" s="18">
        <f t="shared" ref="S3:S11" si="3">SUMIF($C$84:$C$751,R3,$G$84:$G$751)</f>
        <v>0</v>
      </c>
      <c r="U3" s="21" t="str">
        <f>Lists!A91</f>
        <v>FD non soumis par la Société</v>
      </c>
      <c r="V3" s="18">
        <f t="shared" ref="V3:V14" si="4">SUMIF($N$9:$N$75,U3,$M$9:$M$75)</f>
        <v>0</v>
      </c>
      <c r="Y3" s="19">
        <f>B6</f>
        <v>0</v>
      </c>
      <c r="Z3" s="19">
        <f>C6</f>
        <v>0</v>
      </c>
      <c r="AA3" s="16">
        <f t="shared" ref="AA3:AI4" si="5">SUMPRODUCT(($A$84:$A$751=$Y3&amp;"- "&amp;$Z3)*($C$84:$C$751=AA$1)*($G$84:$G$751))</f>
        <v>0</v>
      </c>
      <c r="AB3" s="16">
        <f t="shared" si="5"/>
        <v>0</v>
      </c>
      <c r="AC3" s="16">
        <f t="shared" si="5"/>
        <v>0</v>
      </c>
      <c r="AD3" s="16">
        <f t="shared" si="5"/>
        <v>0</v>
      </c>
      <c r="AE3" s="16">
        <f t="shared" si="5"/>
        <v>0</v>
      </c>
      <c r="AF3" s="16">
        <f t="shared" si="5"/>
        <v>0</v>
      </c>
      <c r="AG3" s="16">
        <f t="shared" si="5"/>
        <v>0</v>
      </c>
      <c r="AH3" s="16">
        <f t="shared" si="5"/>
        <v>0</v>
      </c>
      <c r="AI3" s="16">
        <f t="shared" si="5"/>
        <v>0</v>
      </c>
      <c r="AJ3" s="16">
        <f>SUM(AA3:AI3)</f>
        <v>0</v>
      </c>
      <c r="AL3" s="17">
        <f>+B6</f>
        <v>0</v>
      </c>
      <c r="AM3" s="26">
        <f>+C6</f>
        <v>0</v>
      </c>
      <c r="AN3" s="18">
        <f t="shared" ref="AN3:AU4" si="6">SUMPRODUCT(($J$84:$M$746=$AL3&amp;"- "&amp;$AM3)*($N$84:$N$746=AN$1)*($Q$84:$Q$746))</f>
        <v>0</v>
      </c>
      <c r="AO3" s="18">
        <f t="shared" si="6"/>
        <v>0</v>
      </c>
      <c r="AP3" s="18">
        <f t="shared" si="6"/>
        <v>0</v>
      </c>
      <c r="AQ3" s="18">
        <f t="shared" si="6"/>
        <v>0</v>
      </c>
      <c r="AR3" s="18">
        <f t="shared" si="6"/>
        <v>0</v>
      </c>
      <c r="AS3" s="18">
        <f t="shared" si="6"/>
        <v>0</v>
      </c>
      <c r="AT3" s="18">
        <f t="shared" si="6"/>
        <v>0</v>
      </c>
      <c r="AU3" s="18">
        <f t="shared" si="6"/>
        <v>0</v>
      </c>
      <c r="AV3" s="18">
        <f>SUM(AN3:AU3)</f>
        <v>0</v>
      </c>
      <c r="AW3" s="18"/>
      <c r="AX3" s="17">
        <f>B6</f>
        <v>0</v>
      </c>
      <c r="AY3" s="26">
        <f>C6</f>
        <v>0</v>
      </c>
      <c r="AZ3" s="18">
        <f t="shared" ref="AZ3:BK4" ca="1" si="7">SUMPRODUCT(($C$10:$C$75=$AY3)*($N$10:$N$75=AZ$1)*($M$10:$M$75))</f>
        <v>0</v>
      </c>
      <c r="BA3" s="18">
        <f t="shared" ca="1" si="7"/>
        <v>0</v>
      </c>
      <c r="BB3" s="18">
        <f t="shared" ca="1" si="7"/>
        <v>0</v>
      </c>
      <c r="BC3" s="18">
        <f t="shared" ca="1" si="7"/>
        <v>0</v>
      </c>
      <c r="BD3" s="18">
        <f t="shared" ca="1" si="7"/>
        <v>0</v>
      </c>
      <c r="BE3" s="18">
        <f t="shared" ca="1" si="7"/>
        <v>0</v>
      </c>
      <c r="BF3" s="18">
        <f t="shared" ca="1" si="7"/>
        <v>0</v>
      </c>
      <c r="BG3" s="18">
        <f t="shared" ca="1" si="7"/>
        <v>0</v>
      </c>
      <c r="BH3" s="18">
        <f t="shared" ca="1" si="7"/>
        <v>0</v>
      </c>
      <c r="BI3" s="18">
        <f t="shared" ca="1" si="7"/>
        <v>0</v>
      </c>
      <c r="BJ3" s="18">
        <f t="shared" ca="1" si="7"/>
        <v>0</v>
      </c>
      <c r="BK3" s="18">
        <f t="shared" ca="1" si="7"/>
        <v>0</v>
      </c>
    </row>
    <row r="4" spans="1:63">
      <c r="B4" s="787"/>
      <c r="C4" s="792"/>
      <c r="E4" s="70" t="s">
        <v>28</v>
      </c>
      <c r="F4" s="70" t="s">
        <v>29</v>
      </c>
      <c r="G4" s="70" t="s">
        <v>3</v>
      </c>
      <c r="I4" s="70" t="s">
        <v>28</v>
      </c>
      <c r="J4" s="70" t="s">
        <v>29</v>
      </c>
      <c r="K4" s="70" t="s">
        <v>3</v>
      </c>
      <c r="M4" s="794"/>
      <c r="N4" s="814"/>
      <c r="Q4" s="35"/>
      <c r="R4" s="21" t="str">
        <f>Lists!A69</f>
        <v>Taxes payées hors période de réconciliation</v>
      </c>
      <c r="S4" s="18">
        <f t="shared" si="3"/>
        <v>0</v>
      </c>
      <c r="U4" s="21" t="str">
        <f>Lists!A92</f>
        <v>FD non soumis par l'Etat</v>
      </c>
      <c r="V4" s="18">
        <f t="shared" si="4"/>
        <v>0</v>
      </c>
      <c r="Y4" s="19">
        <f>B7</f>
        <v>0</v>
      </c>
      <c r="Z4" s="19">
        <f>C7</f>
        <v>0</v>
      </c>
      <c r="AA4" s="16">
        <f t="shared" si="5"/>
        <v>0</v>
      </c>
      <c r="AB4" s="16">
        <f t="shared" si="5"/>
        <v>0</v>
      </c>
      <c r="AC4" s="16">
        <f t="shared" si="5"/>
        <v>0</v>
      </c>
      <c r="AD4" s="16">
        <f t="shared" si="5"/>
        <v>0</v>
      </c>
      <c r="AE4" s="16">
        <f t="shared" si="5"/>
        <v>0</v>
      </c>
      <c r="AF4" s="16">
        <f t="shared" si="5"/>
        <v>0</v>
      </c>
      <c r="AG4" s="16">
        <f t="shared" si="5"/>
        <v>0</v>
      </c>
      <c r="AH4" s="16">
        <f t="shared" si="5"/>
        <v>0</v>
      </c>
      <c r="AI4" s="16">
        <f t="shared" si="5"/>
        <v>0</v>
      </c>
      <c r="AJ4" s="16">
        <f>SUM(AA4:AI4)</f>
        <v>0</v>
      </c>
      <c r="AL4" s="17">
        <f>+B7</f>
        <v>0</v>
      </c>
      <c r="AM4" s="26">
        <f>+C7</f>
        <v>0</v>
      </c>
      <c r="AN4" s="18">
        <f t="shared" si="6"/>
        <v>0</v>
      </c>
      <c r="AO4" s="18">
        <f t="shared" si="6"/>
        <v>0</v>
      </c>
      <c r="AP4" s="18">
        <f t="shared" si="6"/>
        <v>0</v>
      </c>
      <c r="AQ4" s="18">
        <f t="shared" si="6"/>
        <v>0</v>
      </c>
      <c r="AR4" s="18">
        <f t="shared" si="6"/>
        <v>0</v>
      </c>
      <c r="AS4" s="18">
        <f t="shared" si="6"/>
        <v>0</v>
      </c>
      <c r="AT4" s="18">
        <f t="shared" si="6"/>
        <v>0</v>
      </c>
      <c r="AU4" s="18">
        <f t="shared" si="6"/>
        <v>0</v>
      </c>
      <c r="AV4" s="18">
        <f>SUM(AN4:AU4)</f>
        <v>0</v>
      </c>
      <c r="AW4" s="18"/>
      <c r="AX4" s="17">
        <f>B7</f>
        <v>0</v>
      </c>
      <c r="AY4" s="26">
        <f>C7</f>
        <v>0</v>
      </c>
      <c r="AZ4" s="18">
        <f t="shared" ca="1" si="7"/>
        <v>0</v>
      </c>
      <c r="BA4" s="18">
        <f t="shared" ca="1" si="7"/>
        <v>0</v>
      </c>
      <c r="BB4" s="18">
        <f t="shared" ca="1" si="7"/>
        <v>0</v>
      </c>
      <c r="BC4" s="18">
        <f t="shared" ca="1" si="7"/>
        <v>0</v>
      </c>
      <c r="BD4" s="18">
        <f t="shared" ca="1" si="7"/>
        <v>0</v>
      </c>
      <c r="BE4" s="18">
        <f t="shared" ca="1" si="7"/>
        <v>0</v>
      </c>
      <c r="BF4" s="18">
        <f t="shared" ca="1" si="7"/>
        <v>0</v>
      </c>
      <c r="BG4" s="18">
        <f t="shared" ca="1" si="7"/>
        <v>0</v>
      </c>
      <c r="BH4" s="18">
        <f t="shared" ca="1" si="7"/>
        <v>0</v>
      </c>
      <c r="BI4" s="18">
        <f t="shared" ca="1" si="7"/>
        <v>0</v>
      </c>
      <c r="BJ4" s="18">
        <f t="shared" ca="1" si="7"/>
        <v>0</v>
      </c>
      <c r="BK4" s="18">
        <f t="shared" ca="1" si="7"/>
        <v>0</v>
      </c>
    </row>
    <row r="5" spans="1:63">
      <c r="B5" s="78" t="s">
        <v>94</v>
      </c>
      <c r="C5" s="77"/>
      <c r="E5" s="164">
        <f>E6+E7</f>
        <v>0</v>
      </c>
      <c r="F5" s="164">
        <f t="shared" ref="F5:G5" si="8">F6+F7</f>
        <v>0</v>
      </c>
      <c r="G5" s="164">
        <f t="shared" si="8"/>
        <v>0</v>
      </c>
      <c r="H5" s="114"/>
      <c r="I5" s="164">
        <f>I6+I7</f>
        <v>0</v>
      </c>
      <c r="J5" s="164">
        <f t="shared" ref="J5" ca="1" si="9">J6+J7</f>
        <v>0</v>
      </c>
      <c r="K5" s="164">
        <f t="shared" ref="K5" ca="1" si="10">K6+K7</f>
        <v>0</v>
      </c>
      <c r="L5" s="114"/>
      <c r="M5" s="164">
        <f t="shared" ref="M5" ca="1" si="11">M6+M7</f>
        <v>0</v>
      </c>
      <c r="N5" s="79"/>
      <c r="Q5" s="35"/>
      <c r="R5" s="21" t="str">
        <f>Lists!A70</f>
        <v>Taxes hors périmètre de réconciliation</v>
      </c>
      <c r="S5" s="18">
        <f t="shared" si="3"/>
        <v>0</v>
      </c>
      <c r="U5" s="21" t="str">
        <f>Lists!A93</f>
        <v>Différences provenant de détail soumis par la société et non soumis par l'Etat d'un coté et détail soumis pas l'Etat et non soumis par la société de l'autre coté</v>
      </c>
      <c r="V5" s="18">
        <f t="shared" si="4"/>
        <v>0</v>
      </c>
      <c r="Y5" s="811" t="str">
        <f t="shared" ref="Y5" si="12">B8</f>
        <v>Paiements en numéraire</v>
      </c>
      <c r="Z5" s="811"/>
      <c r="AA5" s="81">
        <f t="shared" ref="AA5:AJ5" si="13">AA6+AA12+AA22+AA33+AA50+AA60+AA68+AA70+AA72+AA65</f>
        <v>0</v>
      </c>
      <c r="AB5" s="81">
        <f t="shared" si="13"/>
        <v>0</v>
      </c>
      <c r="AC5" s="81">
        <f t="shared" si="13"/>
        <v>0</v>
      </c>
      <c r="AD5" s="81">
        <f t="shared" si="13"/>
        <v>0</v>
      </c>
      <c r="AE5" s="81">
        <f t="shared" si="13"/>
        <v>0</v>
      </c>
      <c r="AF5" s="81">
        <f t="shared" si="13"/>
        <v>0</v>
      </c>
      <c r="AG5" s="81">
        <f t="shared" si="13"/>
        <v>0</v>
      </c>
      <c r="AH5" s="81">
        <f t="shared" si="13"/>
        <v>0</v>
      </c>
      <c r="AI5" s="81">
        <f t="shared" si="13"/>
        <v>0</v>
      </c>
      <c r="AJ5" s="81">
        <f t="shared" si="13"/>
        <v>0</v>
      </c>
      <c r="AL5" s="811" t="str">
        <f>B8</f>
        <v>Paiements en numéraire</v>
      </c>
      <c r="AM5" s="811"/>
      <c r="AN5" s="81">
        <f t="shared" ref="AN5:AV5" si="14">AN6+AN12+AN22+AN33+AN50+AN60+AN68+AN70+AN72+AN65</f>
        <v>0</v>
      </c>
      <c r="AO5" s="81">
        <f t="shared" si="14"/>
        <v>0</v>
      </c>
      <c r="AP5" s="81">
        <f t="shared" si="14"/>
        <v>0</v>
      </c>
      <c r="AQ5" s="81">
        <f t="shared" si="14"/>
        <v>0</v>
      </c>
      <c r="AR5" s="81">
        <f t="shared" si="14"/>
        <v>0</v>
      </c>
      <c r="AS5" s="81">
        <f t="shared" si="14"/>
        <v>0</v>
      </c>
      <c r="AT5" s="81">
        <f t="shared" si="14"/>
        <v>0</v>
      </c>
      <c r="AU5" s="81">
        <f t="shared" si="14"/>
        <v>0</v>
      </c>
      <c r="AV5" s="81">
        <f t="shared" si="14"/>
        <v>0</v>
      </c>
      <c r="AW5" s="82"/>
      <c r="AX5" s="811" t="str">
        <f>B8</f>
        <v>Paiements en numéraire</v>
      </c>
      <c r="AY5" s="811"/>
      <c r="AZ5" s="81">
        <f t="shared" ref="AZ5:BK5" ca="1" si="15">AZ6+AZ12+AZ22+AZ33+AZ50+AZ60+AZ68+AZ70+AZ72+AZ65</f>
        <v>0</v>
      </c>
      <c r="BA5" s="81">
        <f t="shared" ca="1" si="15"/>
        <v>0</v>
      </c>
      <c r="BB5" s="81">
        <f t="shared" ca="1" si="15"/>
        <v>0</v>
      </c>
      <c r="BC5" s="81">
        <f t="shared" ca="1" si="15"/>
        <v>0</v>
      </c>
      <c r="BD5" s="81">
        <f t="shared" ca="1" si="15"/>
        <v>0</v>
      </c>
      <c r="BE5" s="81">
        <f t="shared" ca="1" si="15"/>
        <v>0</v>
      </c>
      <c r="BF5" s="81">
        <f t="shared" ca="1" si="15"/>
        <v>0</v>
      </c>
      <c r="BG5" s="81">
        <f t="shared" ca="1" si="15"/>
        <v>0</v>
      </c>
      <c r="BH5" s="81">
        <f t="shared" ca="1" si="15"/>
        <v>0</v>
      </c>
      <c r="BI5" s="81">
        <f t="shared" ca="1" si="15"/>
        <v>0</v>
      </c>
      <c r="BJ5" s="81">
        <f t="shared" ca="1" si="15"/>
        <v>0</v>
      </c>
      <c r="BK5" s="81">
        <f t="shared" ca="1" si="15"/>
        <v>0</v>
      </c>
    </row>
    <row r="6" spans="1:63">
      <c r="B6" s="67"/>
      <c r="C6" s="69"/>
      <c r="E6" s="165"/>
      <c r="F6" s="165">
        <f>SUMIF($A$84:$A$751,B6&amp;"- "&amp;C6,$G$84:$G$751)</f>
        <v>0</v>
      </c>
      <c r="G6" s="165">
        <f>E6+F6</f>
        <v>0</v>
      </c>
      <c r="H6" s="114"/>
      <c r="I6" s="165"/>
      <c r="J6" s="165">
        <f ca="1">SUMIF($J$84:$M$747,B6&amp;"- "&amp;C6,$Q$84:$Q$747)</f>
        <v>0</v>
      </c>
      <c r="K6" s="165">
        <f ca="1">I6+J6</f>
        <v>0</v>
      </c>
      <c r="L6" s="114">
        <f ca="1">+G6-K6</f>
        <v>0</v>
      </c>
      <c r="M6" s="165">
        <f ca="1">+G6-K6</f>
        <v>0</v>
      </c>
      <c r="N6" s="69"/>
      <c r="Q6" s="35"/>
      <c r="R6" s="21" t="str">
        <f>Lists!A71</f>
        <v>Erreur de reporting (montant et détail)</v>
      </c>
      <c r="S6" s="18">
        <f t="shared" si="3"/>
        <v>0</v>
      </c>
      <c r="U6" s="21" t="str">
        <f>Lists!A94</f>
        <v>Les pièces justificatives ne coincident pas avec les données reportés par l'Etat</v>
      </c>
      <c r="V6" s="18">
        <f t="shared" si="4"/>
        <v>0</v>
      </c>
      <c r="Y6" s="28"/>
      <c r="Z6" s="28" t="str">
        <f t="shared" ref="Z6:Z15" si="16">C9</f>
        <v>DGDDI</v>
      </c>
      <c r="AA6" s="29">
        <f t="shared" ref="AA6:AJ6" si="17">SUM(AA7:AA11)</f>
        <v>0</v>
      </c>
      <c r="AB6" s="29">
        <f t="shared" si="17"/>
        <v>0</v>
      </c>
      <c r="AC6" s="29">
        <f t="shared" si="17"/>
        <v>0</v>
      </c>
      <c r="AD6" s="29">
        <f t="shared" si="17"/>
        <v>0</v>
      </c>
      <c r="AE6" s="29">
        <f t="shared" si="17"/>
        <v>0</v>
      </c>
      <c r="AF6" s="29">
        <f t="shared" si="17"/>
        <v>0</v>
      </c>
      <c r="AG6" s="29">
        <f t="shared" si="17"/>
        <v>0</v>
      </c>
      <c r="AH6" s="29">
        <f t="shared" si="17"/>
        <v>0</v>
      </c>
      <c r="AI6" s="29">
        <f t="shared" si="17"/>
        <v>0</v>
      </c>
      <c r="AJ6" s="29">
        <f t="shared" si="17"/>
        <v>0</v>
      </c>
      <c r="AL6" s="28"/>
      <c r="AM6" s="28" t="str">
        <f t="shared" ref="AM6:AM15" si="18">+C9</f>
        <v>DGDDI</v>
      </c>
      <c r="AN6" s="29">
        <f t="shared" ref="AN6:AV6" si="19">SUM(AN7:AN11)</f>
        <v>0</v>
      </c>
      <c r="AO6" s="29">
        <f t="shared" si="19"/>
        <v>0</v>
      </c>
      <c r="AP6" s="29">
        <f t="shared" si="19"/>
        <v>0</v>
      </c>
      <c r="AQ6" s="29">
        <f t="shared" si="19"/>
        <v>0</v>
      </c>
      <c r="AR6" s="29">
        <f t="shared" si="19"/>
        <v>0</v>
      </c>
      <c r="AS6" s="29">
        <f t="shared" si="19"/>
        <v>0</v>
      </c>
      <c r="AT6" s="29">
        <f t="shared" si="19"/>
        <v>0</v>
      </c>
      <c r="AU6" s="29">
        <f t="shared" si="19"/>
        <v>0</v>
      </c>
      <c r="AV6" s="29">
        <f t="shared" si="19"/>
        <v>0</v>
      </c>
      <c r="AW6" s="18"/>
      <c r="AX6" s="28"/>
      <c r="AY6" s="28" t="str">
        <f t="shared" ref="AY6:AY15" si="20">C9</f>
        <v>DGDDI</v>
      </c>
      <c r="AZ6" s="29">
        <f t="shared" ref="AZ6:BK6" ca="1" si="21">SUM(AZ7:AZ11)</f>
        <v>0</v>
      </c>
      <c r="BA6" s="29">
        <f t="shared" ca="1" si="21"/>
        <v>0</v>
      </c>
      <c r="BB6" s="29">
        <f t="shared" ca="1" si="21"/>
        <v>0</v>
      </c>
      <c r="BC6" s="29">
        <f t="shared" ca="1" si="21"/>
        <v>0</v>
      </c>
      <c r="BD6" s="29">
        <f t="shared" ca="1" si="21"/>
        <v>0</v>
      </c>
      <c r="BE6" s="29">
        <f t="shared" ca="1" si="21"/>
        <v>0</v>
      </c>
      <c r="BF6" s="29">
        <f t="shared" ca="1" si="21"/>
        <v>0</v>
      </c>
      <c r="BG6" s="29">
        <f t="shared" ca="1" si="21"/>
        <v>0</v>
      </c>
      <c r="BH6" s="29">
        <f t="shared" ca="1" si="21"/>
        <v>0</v>
      </c>
      <c r="BI6" s="29">
        <f t="shared" ca="1" si="21"/>
        <v>0</v>
      </c>
      <c r="BJ6" s="29">
        <f t="shared" ca="1" si="21"/>
        <v>0</v>
      </c>
      <c r="BK6" s="29">
        <f t="shared" ca="1" si="21"/>
        <v>0</v>
      </c>
    </row>
    <row r="7" spans="1:63">
      <c r="C7" s="24"/>
      <c r="E7" s="114"/>
      <c r="F7" s="114">
        <f>SUMIF($A$84:$A$751,B7&amp;"- "&amp;C7,$G$84:$G$751)</f>
        <v>0</v>
      </c>
      <c r="G7" s="114">
        <f>E7+F7</f>
        <v>0</v>
      </c>
      <c r="H7" s="114"/>
      <c r="I7" s="114"/>
      <c r="J7" s="114">
        <f ca="1">SUMIF($J$84:$M$747,B7&amp;"- "&amp;C7,$Q$84:$Q$747)</f>
        <v>0</v>
      </c>
      <c r="K7" s="114">
        <f ca="1">I7+J7</f>
        <v>0</v>
      </c>
      <c r="L7" s="114"/>
      <c r="M7" s="114">
        <f ca="1">+G7-K7</f>
        <v>0</v>
      </c>
      <c r="Q7" s="35"/>
      <c r="R7" s="21" t="str">
        <f>Lists!A72</f>
        <v>Taxes reportées non payées</v>
      </c>
      <c r="S7" s="18">
        <f t="shared" si="3"/>
        <v>0</v>
      </c>
      <c r="U7" s="21" t="str">
        <f>Lists!A95</f>
        <v xml:space="preserve">Détail par quittance non soumis par l'Entreprise Extractive </v>
      </c>
      <c r="V7" s="18">
        <f t="shared" si="4"/>
        <v>0</v>
      </c>
      <c r="Y7" s="15">
        <f>B10</f>
        <v>1</v>
      </c>
      <c r="Z7" s="25" t="str">
        <f t="shared" si="16"/>
        <v>Redevance équipement, informatique et finances (REIF)</v>
      </c>
      <c r="AA7" s="16">
        <f t="shared" ref="AA7:AI11" si="22">SUMPRODUCT(($A$84:$A$751=$Y7&amp;"- "&amp;$Z7)*($C$84:$C$751=AA$1)*($G$84:$G$751))</f>
        <v>0</v>
      </c>
      <c r="AB7" s="16">
        <f t="shared" si="22"/>
        <v>0</v>
      </c>
      <c r="AC7" s="16">
        <f t="shared" si="22"/>
        <v>0</v>
      </c>
      <c r="AD7" s="16">
        <f t="shared" si="22"/>
        <v>0</v>
      </c>
      <c r="AE7" s="16">
        <f t="shared" si="22"/>
        <v>0</v>
      </c>
      <c r="AF7" s="16">
        <f t="shared" si="22"/>
        <v>0</v>
      </c>
      <c r="AG7" s="16">
        <f t="shared" si="22"/>
        <v>0</v>
      </c>
      <c r="AH7" s="16">
        <f t="shared" si="22"/>
        <v>0</v>
      </c>
      <c r="AI7" s="16">
        <f t="shared" si="22"/>
        <v>0</v>
      </c>
      <c r="AJ7" s="16">
        <f>SUM(AA7:AI7)</f>
        <v>0</v>
      </c>
      <c r="AL7" s="17">
        <f>+B10</f>
        <v>1</v>
      </c>
      <c r="AM7" s="26" t="str">
        <f t="shared" si="18"/>
        <v>Redevance équipement, informatique et finances (REIF)</v>
      </c>
      <c r="AN7" s="18">
        <f t="shared" ref="AN7:AU11" si="23">SUMPRODUCT(($J$84:$M$746=$AL7&amp;"- "&amp;$AM7)*($N$84:$N$746=AN$1)*($Q$84:$Q$746))</f>
        <v>0</v>
      </c>
      <c r="AO7" s="18">
        <f t="shared" si="23"/>
        <v>0</v>
      </c>
      <c r="AP7" s="18">
        <f t="shared" si="23"/>
        <v>0</v>
      </c>
      <c r="AQ7" s="18">
        <f t="shared" si="23"/>
        <v>0</v>
      </c>
      <c r="AR7" s="18">
        <f t="shared" si="23"/>
        <v>0</v>
      </c>
      <c r="AS7" s="18">
        <f t="shared" si="23"/>
        <v>0</v>
      </c>
      <c r="AT7" s="18">
        <f t="shared" si="23"/>
        <v>0</v>
      </c>
      <c r="AU7" s="18">
        <f t="shared" si="23"/>
        <v>0</v>
      </c>
      <c r="AV7" s="18">
        <f>SUM(AN7:AU7)</f>
        <v>0</v>
      </c>
      <c r="AW7" s="18"/>
      <c r="AX7" s="17">
        <f>B10</f>
        <v>1</v>
      </c>
      <c r="AY7" s="26" t="str">
        <f t="shared" si="20"/>
        <v>Redevance équipement, informatique et finances (REIF)</v>
      </c>
      <c r="AZ7" s="18">
        <f t="shared" ref="AZ7:BK11" ca="1" si="24">SUMPRODUCT(($C$10:$C$75=$AY7)*($N$10:$N$75=AZ$1)*($M$10:$M$75))</f>
        <v>0</v>
      </c>
      <c r="BA7" s="18">
        <f t="shared" ca="1" si="24"/>
        <v>0</v>
      </c>
      <c r="BB7" s="18">
        <f t="shared" ca="1" si="24"/>
        <v>0</v>
      </c>
      <c r="BC7" s="18">
        <f t="shared" ca="1" si="24"/>
        <v>0</v>
      </c>
      <c r="BD7" s="18">
        <f t="shared" ca="1" si="24"/>
        <v>0</v>
      </c>
      <c r="BE7" s="18">
        <f t="shared" ca="1" si="24"/>
        <v>0</v>
      </c>
      <c r="BF7" s="18">
        <f t="shared" ca="1" si="24"/>
        <v>0</v>
      </c>
      <c r="BG7" s="18">
        <f t="shared" ca="1" si="24"/>
        <v>0</v>
      </c>
      <c r="BH7" s="18">
        <f t="shared" ca="1" si="24"/>
        <v>0</v>
      </c>
      <c r="BI7" s="18">
        <f t="shared" ca="1" si="24"/>
        <v>0</v>
      </c>
      <c r="BJ7" s="18">
        <f t="shared" ca="1" si="24"/>
        <v>0</v>
      </c>
      <c r="BK7" s="18">
        <f t="shared" ca="1" si="24"/>
        <v>0</v>
      </c>
    </row>
    <row r="8" spans="1:63">
      <c r="B8" s="78" t="s">
        <v>93</v>
      </c>
      <c r="C8" s="77"/>
      <c r="E8" s="164">
        <f>+E9+E13+E15+E17+E40+E45+E47+E52+E55+E62+E65+E68+E77</f>
        <v>0</v>
      </c>
      <c r="F8" s="164">
        <f>+F9+F13+F15+F17+F40+F45+F47+F52+F55+F62+F65+F68+F77</f>
        <v>0</v>
      </c>
      <c r="G8" s="164">
        <f>+G9+G13+G15+G17+G40+G45+G47+G52+G55+G62+G65+G68+G77</f>
        <v>0</v>
      </c>
      <c r="H8" s="114"/>
      <c r="I8" s="164">
        <f>+I9+I13+I15+I17+I40+I45+I47+I52+I55+I62+I65+I68+I77</f>
        <v>49479519</v>
      </c>
      <c r="J8" s="164">
        <f ca="1">+J9+J13+J15+J17+J40+J45+J47+J52+J55+J62+J65+J68+J77</f>
        <v>0</v>
      </c>
      <c r="K8" s="164">
        <f ca="1">+K9+K13+K15+K17+K40+K45+K47+K52+K55+K62+K65+K68+K77</f>
        <v>49479519</v>
      </c>
      <c r="L8" s="114"/>
      <c r="M8" s="164">
        <f ca="1">+M9+M13+M15+M17+M40+M45+M52+M55+M62+M65+M68+M77+M47</f>
        <v>-49479519</v>
      </c>
      <c r="N8" s="79"/>
      <c r="Q8" s="35"/>
      <c r="R8" s="21" t="str">
        <f>Lists!A73</f>
        <v>Montant doublement déclaré</v>
      </c>
      <c r="S8" s="18">
        <f t="shared" si="3"/>
        <v>0</v>
      </c>
      <c r="U8" s="21" t="str">
        <f>Lists!A96</f>
        <v>Détail non soumis par l'Etat</v>
      </c>
      <c r="V8" s="18">
        <f t="shared" si="4"/>
        <v>0</v>
      </c>
      <c r="Y8" s="15">
        <f>B11</f>
        <v>2</v>
      </c>
      <c r="Z8" s="25" t="str">
        <f t="shared" si="16"/>
        <v>Droit de sortie (DS)</v>
      </c>
      <c r="AA8" s="16">
        <f t="shared" si="22"/>
        <v>0</v>
      </c>
      <c r="AB8" s="16">
        <f t="shared" si="22"/>
        <v>0</v>
      </c>
      <c r="AC8" s="16">
        <f t="shared" si="22"/>
        <v>0</v>
      </c>
      <c r="AD8" s="16">
        <f t="shared" si="22"/>
        <v>0</v>
      </c>
      <c r="AE8" s="16">
        <f t="shared" si="22"/>
        <v>0</v>
      </c>
      <c r="AF8" s="16">
        <f t="shared" si="22"/>
        <v>0</v>
      </c>
      <c r="AG8" s="16">
        <f t="shared" si="22"/>
        <v>0</v>
      </c>
      <c r="AH8" s="16">
        <f t="shared" si="22"/>
        <v>0</v>
      </c>
      <c r="AI8" s="16">
        <f t="shared" si="22"/>
        <v>0</v>
      </c>
      <c r="AJ8" s="16">
        <f>SUM(AA8:AI8)</f>
        <v>0</v>
      </c>
      <c r="AL8" s="17">
        <f>+B11</f>
        <v>2</v>
      </c>
      <c r="AM8" s="26" t="str">
        <f t="shared" si="18"/>
        <v>Droit de sortie (DS)</v>
      </c>
      <c r="AN8" s="18">
        <f t="shared" si="23"/>
        <v>0</v>
      </c>
      <c r="AO8" s="18">
        <f t="shared" si="23"/>
        <v>0</v>
      </c>
      <c r="AP8" s="18">
        <f t="shared" si="23"/>
        <v>0</v>
      </c>
      <c r="AQ8" s="18">
        <f t="shared" si="23"/>
        <v>0</v>
      </c>
      <c r="AR8" s="18">
        <f t="shared" si="23"/>
        <v>0</v>
      </c>
      <c r="AS8" s="18">
        <f t="shared" si="23"/>
        <v>0</v>
      </c>
      <c r="AT8" s="18">
        <f t="shared" si="23"/>
        <v>0</v>
      </c>
      <c r="AU8" s="18">
        <f t="shared" si="23"/>
        <v>0</v>
      </c>
      <c r="AV8" s="18">
        <f>SUM(AN8:AU8)</f>
        <v>0</v>
      </c>
      <c r="AW8" s="18"/>
      <c r="AX8" s="17">
        <f>B11</f>
        <v>2</v>
      </c>
      <c r="AY8" s="26" t="str">
        <f t="shared" si="20"/>
        <v>Droit de sortie (DS)</v>
      </c>
      <c r="AZ8" s="18">
        <f t="shared" ca="1" si="24"/>
        <v>0</v>
      </c>
      <c r="BA8" s="18">
        <f t="shared" ca="1" si="24"/>
        <v>0</v>
      </c>
      <c r="BB8" s="18">
        <f t="shared" ca="1" si="24"/>
        <v>0</v>
      </c>
      <c r="BC8" s="18">
        <f t="shared" ca="1" si="24"/>
        <v>0</v>
      </c>
      <c r="BD8" s="18">
        <f t="shared" ca="1" si="24"/>
        <v>0</v>
      </c>
      <c r="BE8" s="18">
        <f t="shared" ca="1" si="24"/>
        <v>0</v>
      </c>
      <c r="BF8" s="18">
        <f t="shared" ca="1" si="24"/>
        <v>0</v>
      </c>
      <c r="BG8" s="18">
        <f t="shared" ca="1" si="24"/>
        <v>0</v>
      </c>
      <c r="BH8" s="18">
        <f t="shared" ca="1" si="24"/>
        <v>0</v>
      </c>
      <c r="BI8" s="18">
        <f t="shared" ca="1" si="24"/>
        <v>0</v>
      </c>
      <c r="BJ8" s="18">
        <f t="shared" ca="1" si="24"/>
        <v>0</v>
      </c>
      <c r="BK8" s="18">
        <f t="shared" ca="1" si="24"/>
        <v>0</v>
      </c>
    </row>
    <row r="9" spans="1:63">
      <c r="B9" s="58"/>
      <c r="C9" s="58" t="str">
        <f>+'Taxes RCA 2022'!B2</f>
        <v>DGDDI</v>
      </c>
      <c r="E9" s="166">
        <f>SUM(E10:E12)</f>
        <v>0</v>
      </c>
      <c r="F9" s="166">
        <f t="shared" ref="F9:G9" si="25">SUM(F10:F12)</f>
        <v>0</v>
      </c>
      <c r="G9" s="166">
        <f t="shared" si="25"/>
        <v>0</v>
      </c>
      <c r="H9" s="114"/>
      <c r="I9" s="166">
        <f>SUM(I10:I12)</f>
        <v>0</v>
      </c>
      <c r="J9" s="166">
        <f t="shared" ref="J9" ca="1" si="26">SUM(J10:J12)</f>
        <v>0</v>
      </c>
      <c r="K9" s="166">
        <f t="shared" ref="K9" ca="1" si="27">SUM(K10:K12)</f>
        <v>0</v>
      </c>
      <c r="L9" s="114"/>
      <c r="M9" s="166">
        <f t="shared" ref="M9" ca="1" si="28">SUM(M10:M12)</f>
        <v>0</v>
      </c>
      <c r="N9" s="58"/>
      <c r="Q9" s="35"/>
      <c r="R9" s="21" t="str">
        <f>Lists!A74</f>
        <v>Erreur de classification</v>
      </c>
      <c r="S9" s="18">
        <f t="shared" si="3"/>
        <v>0</v>
      </c>
      <c r="U9" s="21" t="str">
        <f>Lists!A97</f>
        <v>Taxes non reportées par l'Entreprise Extractive</v>
      </c>
      <c r="V9" s="18">
        <f t="shared" si="4"/>
        <v>0</v>
      </c>
      <c r="Y9" s="15">
        <f>B12</f>
        <v>3</v>
      </c>
      <c r="Z9" s="25" t="str">
        <f t="shared" si="16"/>
        <v>Amendes et pénalités payées à la DGDDI (+)</v>
      </c>
      <c r="AA9" s="16">
        <f t="shared" si="22"/>
        <v>0</v>
      </c>
      <c r="AB9" s="16">
        <f t="shared" si="22"/>
        <v>0</v>
      </c>
      <c r="AC9" s="16">
        <f t="shared" si="22"/>
        <v>0</v>
      </c>
      <c r="AD9" s="16">
        <f t="shared" si="22"/>
        <v>0</v>
      </c>
      <c r="AE9" s="16">
        <f t="shared" si="22"/>
        <v>0</v>
      </c>
      <c r="AF9" s="16">
        <f t="shared" si="22"/>
        <v>0</v>
      </c>
      <c r="AG9" s="16">
        <f t="shared" si="22"/>
        <v>0</v>
      </c>
      <c r="AH9" s="16">
        <f t="shared" si="22"/>
        <v>0</v>
      </c>
      <c r="AI9" s="16">
        <f t="shared" si="22"/>
        <v>0</v>
      </c>
      <c r="AJ9" s="16">
        <f>SUM(AA9:AI9)</f>
        <v>0</v>
      </c>
      <c r="AL9" s="17">
        <f>+B12</f>
        <v>3</v>
      </c>
      <c r="AM9" s="26" t="str">
        <f t="shared" si="18"/>
        <v>Amendes et pénalités payées à la DGDDI (+)</v>
      </c>
      <c r="AN9" s="18">
        <f t="shared" si="23"/>
        <v>0</v>
      </c>
      <c r="AO9" s="18">
        <f t="shared" si="23"/>
        <v>0</v>
      </c>
      <c r="AP9" s="18">
        <f t="shared" si="23"/>
        <v>0</v>
      </c>
      <c r="AQ9" s="18">
        <f t="shared" si="23"/>
        <v>0</v>
      </c>
      <c r="AR9" s="18">
        <f t="shared" si="23"/>
        <v>0</v>
      </c>
      <c r="AS9" s="18">
        <f t="shared" si="23"/>
        <v>0</v>
      </c>
      <c r="AT9" s="18">
        <f t="shared" si="23"/>
        <v>0</v>
      </c>
      <c r="AU9" s="18">
        <f t="shared" si="23"/>
        <v>0</v>
      </c>
      <c r="AV9" s="18">
        <f>SUM(AN9:AU9)</f>
        <v>0</v>
      </c>
      <c r="AW9" s="18"/>
      <c r="AX9" s="17">
        <f>B12</f>
        <v>3</v>
      </c>
      <c r="AY9" s="26" t="str">
        <f t="shared" si="20"/>
        <v>Amendes et pénalités payées à la DGDDI (+)</v>
      </c>
      <c r="AZ9" s="18">
        <f t="shared" ca="1" si="24"/>
        <v>0</v>
      </c>
      <c r="BA9" s="18">
        <f t="shared" ca="1" si="24"/>
        <v>0</v>
      </c>
      <c r="BB9" s="18">
        <f t="shared" ca="1" si="24"/>
        <v>0</v>
      </c>
      <c r="BC9" s="18">
        <f t="shared" ca="1" si="24"/>
        <v>0</v>
      </c>
      <c r="BD9" s="18">
        <f t="shared" ca="1" si="24"/>
        <v>0</v>
      </c>
      <c r="BE9" s="18">
        <f t="shared" ca="1" si="24"/>
        <v>0</v>
      </c>
      <c r="BF9" s="18">
        <f t="shared" ca="1" si="24"/>
        <v>0</v>
      </c>
      <c r="BG9" s="18">
        <f t="shared" ca="1" si="24"/>
        <v>0</v>
      </c>
      <c r="BH9" s="18">
        <f t="shared" ca="1" si="24"/>
        <v>0</v>
      </c>
      <c r="BI9" s="18">
        <f t="shared" ca="1" si="24"/>
        <v>0</v>
      </c>
      <c r="BJ9" s="18">
        <f t="shared" ca="1" si="24"/>
        <v>0</v>
      </c>
      <c r="BK9" s="18">
        <f t="shared" ca="1" si="24"/>
        <v>0</v>
      </c>
    </row>
    <row r="10" spans="1:63">
      <c r="A10" s="80">
        <f>B10</f>
        <v>1</v>
      </c>
      <c r="B10" s="64">
        <f>+'Taxes RCA 2022'!A3</f>
        <v>1</v>
      </c>
      <c r="C10" s="68" t="str">
        <f>+'Taxes RCA 2022'!B3</f>
        <v>Redevance équipement, informatique et finances (REIF)</v>
      </c>
      <c r="E10" s="165"/>
      <c r="F10" s="165">
        <f>SUMIF($A$84:$A$751,B10&amp;"- "&amp;C10,$G$84:$G$751)</f>
        <v>0</v>
      </c>
      <c r="G10" s="165">
        <f>E10+F10</f>
        <v>0</v>
      </c>
      <c r="H10" s="114"/>
      <c r="I10" s="165"/>
      <c r="J10" s="165">
        <f>SUMIF($J$83:$J$1048576,C10,$Q$83:$Q$1048576)</f>
        <v>0</v>
      </c>
      <c r="K10" s="165">
        <f>I10+J10</f>
        <v>0</v>
      </c>
      <c r="L10" s="114"/>
      <c r="M10" s="165">
        <f>+G10-K10</f>
        <v>0</v>
      </c>
      <c r="N10" s="68"/>
      <c r="O10" s="38" t="str">
        <f>IF(M10=0,"",IF(N10=0,"ERROR",""))</f>
        <v/>
      </c>
      <c r="P10" s="39" t="str">
        <f>IF(O10="ERROR","Please insert comment","")</f>
        <v/>
      </c>
      <c r="Q10" s="35"/>
      <c r="R10" s="21" t="str">
        <f>Lists!A75</f>
        <v>Taxes payées sous un autre NINEA</v>
      </c>
      <c r="S10" s="18">
        <f t="shared" si="3"/>
        <v>0</v>
      </c>
      <c r="U10" s="21" t="str">
        <f>Lists!A98</f>
        <v>Taxes non reportées par l'Etat</v>
      </c>
      <c r="V10" s="18">
        <f t="shared" si="4"/>
        <v>0</v>
      </c>
      <c r="Y10" s="15">
        <f>B13</f>
        <v>0</v>
      </c>
      <c r="Z10" s="25" t="str">
        <f t="shared" si="16"/>
        <v>DGTCP</v>
      </c>
      <c r="AA10" s="16">
        <f t="shared" si="22"/>
        <v>0</v>
      </c>
      <c r="AB10" s="16">
        <f t="shared" si="22"/>
        <v>0</v>
      </c>
      <c r="AC10" s="16">
        <f t="shared" si="22"/>
        <v>0</v>
      </c>
      <c r="AD10" s="16">
        <f t="shared" si="22"/>
        <v>0</v>
      </c>
      <c r="AE10" s="16">
        <f t="shared" si="22"/>
        <v>0</v>
      </c>
      <c r="AF10" s="16">
        <f t="shared" si="22"/>
        <v>0</v>
      </c>
      <c r="AG10" s="16">
        <f t="shared" si="22"/>
        <v>0</v>
      </c>
      <c r="AH10" s="16">
        <f t="shared" si="22"/>
        <v>0</v>
      </c>
      <c r="AI10" s="16">
        <f t="shared" si="22"/>
        <v>0</v>
      </c>
      <c r="AJ10" s="16">
        <f>SUM(AA10:AI10)</f>
        <v>0</v>
      </c>
      <c r="AL10" s="17">
        <f>+B13</f>
        <v>0</v>
      </c>
      <c r="AM10" s="26" t="str">
        <f t="shared" si="18"/>
        <v>DGTCP</v>
      </c>
      <c r="AN10" s="18">
        <f t="shared" si="23"/>
        <v>0</v>
      </c>
      <c r="AO10" s="18">
        <f t="shared" si="23"/>
        <v>0</v>
      </c>
      <c r="AP10" s="18">
        <f t="shared" si="23"/>
        <v>0</v>
      </c>
      <c r="AQ10" s="18">
        <f t="shared" si="23"/>
        <v>0</v>
      </c>
      <c r="AR10" s="18">
        <f t="shared" si="23"/>
        <v>0</v>
      </c>
      <c r="AS10" s="18">
        <f t="shared" si="23"/>
        <v>0</v>
      </c>
      <c r="AT10" s="18">
        <f t="shared" si="23"/>
        <v>0</v>
      </c>
      <c r="AU10" s="18">
        <f t="shared" si="23"/>
        <v>0</v>
      </c>
      <c r="AV10" s="18">
        <f>SUM(AN10:AU10)</f>
        <v>0</v>
      </c>
      <c r="AW10" s="18"/>
      <c r="AX10" s="17">
        <f>B13</f>
        <v>0</v>
      </c>
      <c r="AY10" s="26" t="str">
        <f t="shared" si="20"/>
        <v>DGTCP</v>
      </c>
      <c r="AZ10" s="18">
        <f t="shared" ca="1" si="24"/>
        <v>0</v>
      </c>
      <c r="BA10" s="18">
        <f t="shared" ca="1" si="24"/>
        <v>0</v>
      </c>
      <c r="BB10" s="18">
        <f t="shared" ca="1" si="24"/>
        <v>0</v>
      </c>
      <c r="BC10" s="18">
        <f t="shared" ca="1" si="24"/>
        <v>0</v>
      </c>
      <c r="BD10" s="18">
        <f t="shared" ca="1" si="24"/>
        <v>0</v>
      </c>
      <c r="BE10" s="18">
        <f t="shared" ca="1" si="24"/>
        <v>0</v>
      </c>
      <c r="BF10" s="18">
        <f t="shared" ca="1" si="24"/>
        <v>0</v>
      </c>
      <c r="BG10" s="18">
        <f t="shared" ca="1" si="24"/>
        <v>0</v>
      </c>
      <c r="BH10" s="18">
        <f t="shared" ca="1" si="24"/>
        <v>0</v>
      </c>
      <c r="BI10" s="18">
        <f t="shared" ca="1" si="24"/>
        <v>0</v>
      </c>
      <c r="BJ10" s="18">
        <f t="shared" ca="1" si="24"/>
        <v>0</v>
      </c>
      <c r="BK10" s="18">
        <f t="shared" ca="1" si="24"/>
        <v>0</v>
      </c>
    </row>
    <row r="11" spans="1:63">
      <c r="A11" s="80">
        <f t="shared" ref="A11:A79" si="29">B11</f>
        <v>2</v>
      </c>
      <c r="B11" s="53">
        <f>+'Taxes RCA 2022'!A4</f>
        <v>2</v>
      </c>
      <c r="C11" s="18" t="str">
        <f>+'Taxes RCA 2022'!B4</f>
        <v>Droit de sortie (DS)</v>
      </c>
      <c r="E11" s="114"/>
      <c r="F11" s="114">
        <f>SUMIF($A$84:$A$751,B11&amp;"- "&amp;C11,$G$84:$G$751)</f>
        <v>0</v>
      </c>
      <c r="G11" s="114">
        <f>E11+F11</f>
        <v>0</v>
      </c>
      <c r="H11" s="114"/>
      <c r="I11" s="114"/>
      <c r="J11" s="114">
        <f>SUMIF($J$83:$J$1048576,C11,$Q$83:$Q$1048576)</f>
        <v>0</v>
      </c>
      <c r="K11" s="114">
        <f>I11+J11</f>
        <v>0</v>
      </c>
      <c r="L11" s="114"/>
      <c r="M11" s="114">
        <f>+G11-K11</f>
        <v>0</v>
      </c>
      <c r="N11" s="18"/>
      <c r="O11" s="38" t="str">
        <f>IF(M11=0,"",IF(N11=0,"ERROR",""))</f>
        <v/>
      </c>
      <c r="P11" s="39" t="str">
        <f>IF(O11="ERROR","Please insert comment","")</f>
        <v/>
      </c>
      <c r="Q11" s="35"/>
      <c r="R11" s="21" t="str">
        <f>Lists!A76</f>
        <v>Différence de change</v>
      </c>
      <c r="S11" s="18">
        <f t="shared" si="3"/>
        <v>0</v>
      </c>
      <c r="U11" s="21" t="str">
        <f>Lists!A99</f>
        <v>Montants non reportés par l'Etat</v>
      </c>
      <c r="V11" s="18">
        <f t="shared" si="4"/>
        <v>0</v>
      </c>
      <c r="Y11" s="15">
        <f>B14</f>
        <v>4</v>
      </c>
      <c r="Z11" s="25" t="str">
        <f t="shared" si="16"/>
        <v>Dividendes sur participation de l'Etat (+)</v>
      </c>
      <c r="AA11" s="16">
        <f t="shared" si="22"/>
        <v>0</v>
      </c>
      <c r="AB11" s="16">
        <f t="shared" si="22"/>
        <v>0</v>
      </c>
      <c r="AC11" s="16">
        <f t="shared" si="22"/>
        <v>0</v>
      </c>
      <c r="AD11" s="16">
        <f t="shared" si="22"/>
        <v>0</v>
      </c>
      <c r="AE11" s="16">
        <f t="shared" si="22"/>
        <v>0</v>
      </c>
      <c r="AF11" s="16">
        <f t="shared" si="22"/>
        <v>0</v>
      </c>
      <c r="AG11" s="16">
        <f t="shared" si="22"/>
        <v>0</v>
      </c>
      <c r="AH11" s="16">
        <f t="shared" si="22"/>
        <v>0</v>
      </c>
      <c r="AI11" s="16">
        <f t="shared" si="22"/>
        <v>0</v>
      </c>
      <c r="AJ11" s="16">
        <f>SUM(AA11:AI11)</f>
        <v>0</v>
      </c>
      <c r="AL11" s="17">
        <f>+B14</f>
        <v>4</v>
      </c>
      <c r="AM11" s="26" t="str">
        <f t="shared" si="18"/>
        <v>Dividendes sur participation de l'Etat (+)</v>
      </c>
      <c r="AN11" s="18">
        <f t="shared" si="23"/>
        <v>0</v>
      </c>
      <c r="AO11" s="18">
        <f t="shared" si="23"/>
        <v>0</v>
      </c>
      <c r="AP11" s="18">
        <f t="shared" si="23"/>
        <v>0</v>
      </c>
      <c r="AQ11" s="18">
        <f t="shared" si="23"/>
        <v>0</v>
      </c>
      <c r="AR11" s="18">
        <f t="shared" si="23"/>
        <v>0</v>
      </c>
      <c r="AS11" s="18">
        <f t="shared" si="23"/>
        <v>0</v>
      </c>
      <c r="AT11" s="18">
        <f t="shared" si="23"/>
        <v>0</v>
      </c>
      <c r="AU11" s="18">
        <f t="shared" si="23"/>
        <v>0</v>
      </c>
      <c r="AV11" s="18">
        <f>SUM(AN11:AU11)</f>
        <v>0</v>
      </c>
      <c r="AW11" s="18"/>
      <c r="AX11" s="17">
        <f>B14</f>
        <v>4</v>
      </c>
      <c r="AY11" s="26" t="str">
        <f t="shared" si="20"/>
        <v>Dividendes sur participation de l'Etat (+)</v>
      </c>
      <c r="AZ11" s="18">
        <f t="shared" ca="1" si="24"/>
        <v>0</v>
      </c>
      <c r="BA11" s="18">
        <f t="shared" ca="1" si="24"/>
        <v>0</v>
      </c>
      <c r="BB11" s="18">
        <f t="shared" ca="1" si="24"/>
        <v>0</v>
      </c>
      <c r="BC11" s="18">
        <f t="shared" ca="1" si="24"/>
        <v>0</v>
      </c>
      <c r="BD11" s="18">
        <f t="shared" ca="1" si="24"/>
        <v>0</v>
      </c>
      <c r="BE11" s="18">
        <f t="shared" ca="1" si="24"/>
        <v>0</v>
      </c>
      <c r="BF11" s="18">
        <f t="shared" ca="1" si="24"/>
        <v>0</v>
      </c>
      <c r="BG11" s="18">
        <f t="shared" ca="1" si="24"/>
        <v>0</v>
      </c>
      <c r="BH11" s="18">
        <f t="shared" ca="1" si="24"/>
        <v>0</v>
      </c>
      <c r="BI11" s="18">
        <f t="shared" ca="1" si="24"/>
        <v>0</v>
      </c>
      <c r="BJ11" s="18">
        <f t="shared" ca="1" si="24"/>
        <v>0</v>
      </c>
      <c r="BK11" s="18">
        <f t="shared" ca="1" si="24"/>
        <v>0</v>
      </c>
    </row>
    <row r="12" spans="1:63">
      <c r="A12" s="80">
        <f t="shared" si="29"/>
        <v>3</v>
      </c>
      <c r="B12" s="64">
        <f>+'Taxes RCA 2022'!A5</f>
        <v>3</v>
      </c>
      <c r="C12" s="68" t="str">
        <f>+'Taxes RCA 2022'!B5</f>
        <v>Amendes et pénalités payées à la DGDDI (+)</v>
      </c>
      <c r="E12" s="165"/>
      <c r="F12" s="165">
        <f>SUMIF($A$84:$A$751,B12&amp;"- "&amp;C12,$G$84:$G$751)</f>
        <v>0</v>
      </c>
      <c r="G12" s="165">
        <f>E12+F12</f>
        <v>0</v>
      </c>
      <c r="H12" s="114"/>
      <c r="I12" s="165"/>
      <c r="J12" s="165">
        <f ca="1">SUMIF($J$84:$M$747,B12&amp;"- "&amp;C12,$Q$84:$Q$747)</f>
        <v>0</v>
      </c>
      <c r="K12" s="165">
        <f ca="1">I12+J12</f>
        <v>0</v>
      </c>
      <c r="L12" s="114"/>
      <c r="M12" s="165">
        <f ca="1">+G12-K12</f>
        <v>0</v>
      </c>
      <c r="N12" s="68"/>
      <c r="O12" s="38" t="str">
        <f ca="1">IF(M12=0,"",IF(N12=0,"ERROR",""))</f>
        <v/>
      </c>
      <c r="P12" s="39" t="str">
        <f ca="1">IF(O12="ERROR","Please insert comment","")</f>
        <v/>
      </c>
      <c r="Q12" s="35"/>
      <c r="R12" s="40" t="s">
        <v>18</v>
      </c>
      <c r="S12" s="22">
        <f>SUM(S3:S11)</f>
        <v>0</v>
      </c>
      <c r="U12" s="21" t="str">
        <f>Lists!A100</f>
        <v>Différence de classification</v>
      </c>
      <c r="V12" s="18">
        <f t="shared" si="4"/>
        <v>0</v>
      </c>
      <c r="Y12" s="28"/>
      <c r="Z12" s="28" t="str">
        <f t="shared" si="16"/>
        <v>DGTCP (FDM)</v>
      </c>
      <c r="AA12" s="29">
        <f t="shared" ref="AA12:AJ12" si="30">SUM(AA13:AA21)</f>
        <v>0</v>
      </c>
      <c r="AB12" s="29">
        <f t="shared" si="30"/>
        <v>0</v>
      </c>
      <c r="AC12" s="29">
        <f t="shared" si="30"/>
        <v>0</v>
      </c>
      <c r="AD12" s="29">
        <f t="shared" si="30"/>
        <v>0</v>
      </c>
      <c r="AE12" s="29">
        <f t="shared" si="30"/>
        <v>0</v>
      </c>
      <c r="AF12" s="29">
        <f t="shared" si="30"/>
        <v>0</v>
      </c>
      <c r="AG12" s="29">
        <f t="shared" si="30"/>
        <v>0</v>
      </c>
      <c r="AH12" s="29">
        <f t="shared" si="30"/>
        <v>0</v>
      </c>
      <c r="AI12" s="29">
        <f t="shared" si="30"/>
        <v>0</v>
      </c>
      <c r="AJ12" s="29">
        <f t="shared" si="30"/>
        <v>0</v>
      </c>
      <c r="AL12" s="28"/>
      <c r="AM12" s="28" t="str">
        <f t="shared" si="18"/>
        <v>DGTCP (FDM)</v>
      </c>
      <c r="AN12" s="29">
        <f t="shared" ref="AN12:AV12" si="31">SUM(AN13:AN21)</f>
        <v>0</v>
      </c>
      <c r="AO12" s="29">
        <f t="shared" si="31"/>
        <v>0</v>
      </c>
      <c r="AP12" s="29">
        <f t="shared" si="31"/>
        <v>0</v>
      </c>
      <c r="AQ12" s="29">
        <f t="shared" si="31"/>
        <v>0</v>
      </c>
      <c r="AR12" s="29">
        <f t="shared" si="31"/>
        <v>0</v>
      </c>
      <c r="AS12" s="29">
        <f t="shared" si="31"/>
        <v>0</v>
      </c>
      <c r="AT12" s="29">
        <f t="shared" si="31"/>
        <v>0</v>
      </c>
      <c r="AU12" s="29">
        <f t="shared" si="31"/>
        <v>0</v>
      </c>
      <c r="AV12" s="29">
        <f t="shared" si="31"/>
        <v>0</v>
      </c>
      <c r="AW12" s="38"/>
      <c r="AX12" s="28"/>
      <c r="AY12" s="28" t="str">
        <f t="shared" si="20"/>
        <v>DGTCP (FDM)</v>
      </c>
      <c r="AZ12" s="29">
        <f t="shared" ref="AZ12:BK12" ca="1" si="32">SUM(AZ13:AZ21)</f>
        <v>0</v>
      </c>
      <c r="BA12" s="29">
        <f t="shared" ca="1" si="32"/>
        <v>0</v>
      </c>
      <c r="BB12" s="29">
        <f t="shared" ca="1" si="32"/>
        <v>0</v>
      </c>
      <c r="BC12" s="29">
        <f t="shared" ca="1" si="32"/>
        <v>0</v>
      </c>
      <c r="BD12" s="29">
        <f t="shared" ca="1" si="32"/>
        <v>0</v>
      </c>
      <c r="BE12" s="29">
        <f t="shared" ca="1" si="32"/>
        <v>0</v>
      </c>
      <c r="BF12" s="29">
        <f t="shared" ca="1" si="32"/>
        <v>0</v>
      </c>
      <c r="BG12" s="29">
        <f t="shared" ca="1" si="32"/>
        <v>0</v>
      </c>
      <c r="BH12" s="29">
        <f t="shared" ca="1" si="32"/>
        <v>0</v>
      </c>
      <c r="BI12" s="29">
        <f t="shared" ca="1" si="32"/>
        <v>0</v>
      </c>
      <c r="BJ12" s="29">
        <f t="shared" ca="1" si="32"/>
        <v>0</v>
      </c>
      <c r="BK12" s="29">
        <f t="shared" ca="1" si="32"/>
        <v>0</v>
      </c>
    </row>
    <row r="13" spans="1:63">
      <c r="A13" s="80">
        <f t="shared" si="29"/>
        <v>0</v>
      </c>
      <c r="B13" s="163"/>
      <c r="C13" s="58" t="str">
        <f>+'Taxes RCA 2022'!B6</f>
        <v>DGTCP</v>
      </c>
      <c r="E13" s="166">
        <f>+E14</f>
        <v>0</v>
      </c>
      <c r="F13" s="166">
        <f t="shared" ref="F13:G13" si="33">+F14</f>
        <v>0</v>
      </c>
      <c r="G13" s="166">
        <f t="shared" si="33"/>
        <v>0</v>
      </c>
      <c r="H13" s="114"/>
      <c r="I13" s="166">
        <f>+I14</f>
        <v>0</v>
      </c>
      <c r="J13" s="166">
        <f t="shared" ref="J13" ca="1" si="34">+J14</f>
        <v>0</v>
      </c>
      <c r="K13" s="166">
        <f t="shared" ref="K13" ca="1" si="35">+K14</f>
        <v>0</v>
      </c>
      <c r="L13" s="114"/>
      <c r="M13" s="166">
        <f t="shared" ref="M13" ca="1" si="36">+M14</f>
        <v>0</v>
      </c>
      <c r="N13" s="58"/>
      <c r="O13" s="38" t="str">
        <f ca="1">IF(M13=0,"",IF(N13=0,"ERROR",""))</f>
        <v/>
      </c>
      <c r="P13" s="39" t="str">
        <f ca="1">IF(O13="ERROR","Please insert comment","")</f>
        <v/>
      </c>
      <c r="Q13" s="35"/>
      <c r="U13" s="21" t="str">
        <f>Lists!A101</f>
        <v>Montants non reportés par la société</v>
      </c>
      <c r="V13" s="18">
        <f t="shared" si="4"/>
        <v>0</v>
      </c>
      <c r="Y13" s="15">
        <f t="shared" ref="Y13:Z28" si="37">B16</f>
        <v>5</v>
      </c>
      <c r="Z13" s="25" t="str">
        <f t="shared" si="16"/>
        <v>Bonus de signature versés par les investisseurs miniers (+) (DGTCP (FDM))</v>
      </c>
      <c r="AA13" s="16">
        <f t="shared" ref="AA13:AI21" si="38">SUMPRODUCT(($A$84:$A$751=$Y13&amp;"- "&amp;$Z13)*($C$84:$C$751=AA$1)*($G$84:$G$751))</f>
        <v>0</v>
      </c>
      <c r="AB13" s="16">
        <f t="shared" si="38"/>
        <v>0</v>
      </c>
      <c r="AC13" s="16">
        <f t="shared" si="38"/>
        <v>0</v>
      </c>
      <c r="AD13" s="16">
        <f t="shared" si="38"/>
        <v>0</v>
      </c>
      <c r="AE13" s="16">
        <f t="shared" si="38"/>
        <v>0</v>
      </c>
      <c r="AF13" s="16">
        <f t="shared" si="38"/>
        <v>0</v>
      </c>
      <c r="AG13" s="16">
        <f t="shared" si="38"/>
        <v>0</v>
      </c>
      <c r="AH13" s="16">
        <f t="shared" si="38"/>
        <v>0</v>
      </c>
      <c r="AI13" s="16">
        <f t="shared" si="38"/>
        <v>0</v>
      </c>
      <c r="AJ13" s="16">
        <f t="shared" ref="AJ13:AJ21" si="39">SUM(AA13:AI13)</f>
        <v>0</v>
      </c>
      <c r="AL13" s="17">
        <f t="shared" ref="AL13:AM28" si="40">+B16</f>
        <v>5</v>
      </c>
      <c r="AM13" s="26" t="str">
        <f t="shared" si="18"/>
        <v>Bonus de signature versés par les investisseurs miniers (+) (DGTCP (FDM))</v>
      </c>
      <c r="AN13" s="18">
        <f t="shared" ref="AN13:AU21" si="41">SUMPRODUCT(($J$84:$M$746=$AL13&amp;"- "&amp;$AM13)*($N$84:$N$746=AN$1)*($Q$84:$Q$746))</f>
        <v>0</v>
      </c>
      <c r="AO13" s="18">
        <f t="shared" si="41"/>
        <v>0</v>
      </c>
      <c r="AP13" s="18">
        <f t="shared" si="41"/>
        <v>0</v>
      </c>
      <c r="AQ13" s="18">
        <f t="shared" si="41"/>
        <v>0</v>
      </c>
      <c r="AR13" s="18">
        <f t="shared" si="41"/>
        <v>0</v>
      </c>
      <c r="AS13" s="18">
        <f t="shared" si="41"/>
        <v>0</v>
      </c>
      <c r="AT13" s="18">
        <f t="shared" si="41"/>
        <v>0</v>
      </c>
      <c r="AU13" s="18">
        <f t="shared" si="41"/>
        <v>0</v>
      </c>
      <c r="AV13" s="18">
        <f t="shared" ref="AV13:AV21" si="42">SUM(AN13:AU13)</f>
        <v>0</v>
      </c>
      <c r="AW13" s="18"/>
      <c r="AX13" s="17">
        <f t="shared" ref="AX13:AY28" si="43">B16</f>
        <v>5</v>
      </c>
      <c r="AY13" s="26" t="str">
        <f t="shared" si="20"/>
        <v>Bonus de signature versés par les investisseurs miniers (+) (DGTCP (FDM))</v>
      </c>
      <c r="AZ13" s="18">
        <f t="shared" ref="AZ13:BK21" ca="1" si="44">SUMPRODUCT(($C$10:$C$75=$AY13)*($N$10:$N$75=AZ$1)*($M$10:$M$75))</f>
        <v>0</v>
      </c>
      <c r="BA13" s="18">
        <f t="shared" ca="1" si="44"/>
        <v>0</v>
      </c>
      <c r="BB13" s="18">
        <f t="shared" ca="1" si="44"/>
        <v>0</v>
      </c>
      <c r="BC13" s="18">
        <f t="shared" ca="1" si="44"/>
        <v>0</v>
      </c>
      <c r="BD13" s="18">
        <f t="shared" ca="1" si="44"/>
        <v>0</v>
      </c>
      <c r="BE13" s="18">
        <f t="shared" ca="1" si="44"/>
        <v>0</v>
      </c>
      <c r="BF13" s="18">
        <f t="shared" ca="1" si="44"/>
        <v>0</v>
      </c>
      <c r="BG13" s="18">
        <f t="shared" ca="1" si="44"/>
        <v>0</v>
      </c>
      <c r="BH13" s="18">
        <f t="shared" ca="1" si="44"/>
        <v>0</v>
      </c>
      <c r="BI13" s="18">
        <f t="shared" ca="1" si="44"/>
        <v>0</v>
      </c>
      <c r="BJ13" s="18">
        <f t="shared" ca="1" si="44"/>
        <v>0</v>
      </c>
      <c r="BK13" s="18">
        <f t="shared" ca="1" si="44"/>
        <v>0</v>
      </c>
    </row>
    <row r="14" spans="1:63">
      <c r="A14" s="80">
        <f t="shared" si="29"/>
        <v>4</v>
      </c>
      <c r="B14" s="53">
        <f>+'Taxes RCA 2022'!A7</f>
        <v>4</v>
      </c>
      <c r="C14" s="18" t="str">
        <f>+'Taxes RCA 2022'!B7</f>
        <v>Dividendes sur participation de l'Etat (+)</v>
      </c>
      <c r="E14" s="114"/>
      <c r="F14" s="114">
        <f>SUMIF($A$84:$A$751,B14&amp;"- "&amp;C14,$G$84:$G$751)</f>
        <v>0</v>
      </c>
      <c r="G14" s="114">
        <f>E14+F14</f>
        <v>0</v>
      </c>
      <c r="H14" s="114"/>
      <c r="I14" s="114"/>
      <c r="J14" s="114">
        <f ca="1">SUMIF($J$84:$M$747,B14&amp;"- "&amp;C14,$Q$84:$Q$747)</f>
        <v>0</v>
      </c>
      <c r="K14" s="114">
        <f ca="1">I14+J14</f>
        <v>0</v>
      </c>
      <c r="L14" s="114"/>
      <c r="M14" s="114">
        <f ca="1">+G14-K14</f>
        <v>0</v>
      </c>
      <c r="N14" s="18"/>
      <c r="O14" s="38"/>
      <c r="P14" s="39"/>
      <c r="Q14" s="35"/>
      <c r="U14" s="21" t="str">
        <f>Lists!A102</f>
        <v>Non significatif &lt; 1 M FCFA</v>
      </c>
      <c r="V14" s="18">
        <f t="shared" si="4"/>
        <v>0</v>
      </c>
      <c r="Y14" s="15">
        <f t="shared" si="37"/>
        <v>0</v>
      </c>
      <c r="Z14" s="25" t="str">
        <f t="shared" si="16"/>
        <v>DGID</v>
      </c>
      <c r="AA14" s="16">
        <f t="shared" si="38"/>
        <v>0</v>
      </c>
      <c r="AB14" s="16">
        <f t="shared" si="38"/>
        <v>0</v>
      </c>
      <c r="AC14" s="16">
        <f t="shared" si="38"/>
        <v>0</v>
      </c>
      <c r="AD14" s="16">
        <f t="shared" si="38"/>
        <v>0</v>
      </c>
      <c r="AE14" s="16">
        <f t="shared" si="38"/>
        <v>0</v>
      </c>
      <c r="AF14" s="16">
        <f t="shared" si="38"/>
        <v>0</v>
      </c>
      <c r="AG14" s="16">
        <f t="shared" si="38"/>
        <v>0</v>
      </c>
      <c r="AH14" s="16">
        <f t="shared" si="38"/>
        <v>0</v>
      </c>
      <c r="AI14" s="16">
        <f t="shared" si="38"/>
        <v>0</v>
      </c>
      <c r="AJ14" s="16">
        <f t="shared" si="39"/>
        <v>0</v>
      </c>
      <c r="AL14" s="17">
        <f t="shared" si="40"/>
        <v>0</v>
      </c>
      <c r="AM14" s="26" t="str">
        <f t="shared" si="18"/>
        <v>DGID</v>
      </c>
      <c r="AN14" s="18">
        <f t="shared" si="41"/>
        <v>0</v>
      </c>
      <c r="AO14" s="18">
        <f t="shared" si="41"/>
        <v>0</v>
      </c>
      <c r="AP14" s="18">
        <f t="shared" si="41"/>
        <v>0</v>
      </c>
      <c r="AQ14" s="18">
        <f t="shared" si="41"/>
        <v>0</v>
      </c>
      <c r="AR14" s="18">
        <f t="shared" si="41"/>
        <v>0</v>
      </c>
      <c r="AS14" s="18">
        <f t="shared" si="41"/>
        <v>0</v>
      </c>
      <c r="AT14" s="18">
        <f t="shared" si="41"/>
        <v>0</v>
      </c>
      <c r="AU14" s="18">
        <f t="shared" si="41"/>
        <v>0</v>
      </c>
      <c r="AV14" s="18">
        <f t="shared" si="42"/>
        <v>0</v>
      </c>
      <c r="AW14" s="18"/>
      <c r="AX14" s="17">
        <f t="shared" si="43"/>
        <v>0</v>
      </c>
      <c r="AY14" s="26" t="str">
        <f t="shared" si="20"/>
        <v>DGID</v>
      </c>
      <c r="AZ14" s="18">
        <f t="shared" ca="1" si="44"/>
        <v>0</v>
      </c>
      <c r="BA14" s="18">
        <f t="shared" ca="1" si="44"/>
        <v>0</v>
      </c>
      <c r="BB14" s="18">
        <f t="shared" ca="1" si="44"/>
        <v>0</v>
      </c>
      <c r="BC14" s="18">
        <f t="shared" ca="1" si="44"/>
        <v>0</v>
      </c>
      <c r="BD14" s="18">
        <f t="shared" ca="1" si="44"/>
        <v>0</v>
      </c>
      <c r="BE14" s="18">
        <f t="shared" ca="1" si="44"/>
        <v>0</v>
      </c>
      <c r="BF14" s="18">
        <f t="shared" ca="1" si="44"/>
        <v>0</v>
      </c>
      <c r="BG14" s="18">
        <f t="shared" ca="1" si="44"/>
        <v>0</v>
      </c>
      <c r="BH14" s="18">
        <f t="shared" ca="1" si="44"/>
        <v>0</v>
      </c>
      <c r="BI14" s="18">
        <f t="shared" ca="1" si="44"/>
        <v>0</v>
      </c>
      <c r="BJ14" s="18">
        <f t="shared" ca="1" si="44"/>
        <v>0</v>
      </c>
      <c r="BK14" s="18">
        <f t="shared" ca="1" si="44"/>
        <v>0</v>
      </c>
    </row>
    <row r="15" spans="1:63">
      <c r="A15" s="80">
        <f t="shared" si="29"/>
        <v>0</v>
      </c>
      <c r="B15" s="163"/>
      <c r="C15" s="58" t="str">
        <f>+'Taxes RCA 2022'!B8</f>
        <v>DGTCP (FDM)</v>
      </c>
      <c r="E15" s="166">
        <f>+E16</f>
        <v>0</v>
      </c>
      <c r="F15" s="166">
        <f t="shared" ref="F15:G15" si="45">+F16</f>
        <v>0</v>
      </c>
      <c r="G15" s="166">
        <f t="shared" si="45"/>
        <v>0</v>
      </c>
      <c r="H15" s="114"/>
      <c r="I15" s="166">
        <f>+I16</f>
        <v>0</v>
      </c>
      <c r="J15" s="166">
        <f t="shared" ref="J15" ca="1" si="46">+J16</f>
        <v>0</v>
      </c>
      <c r="K15" s="166">
        <f t="shared" ref="K15" ca="1" si="47">+K16</f>
        <v>0</v>
      </c>
      <c r="L15" s="114"/>
      <c r="M15" s="166">
        <f t="shared" ref="M15" ca="1" si="48">+M16</f>
        <v>0</v>
      </c>
      <c r="N15" s="58"/>
      <c r="O15" s="38"/>
      <c r="P15" s="39"/>
      <c r="Q15" s="35"/>
      <c r="U15" s="40" t="s">
        <v>9</v>
      </c>
      <c r="V15" s="22">
        <f>SUM(V3:V14)</f>
        <v>0</v>
      </c>
      <c r="Y15" s="15">
        <f t="shared" si="37"/>
        <v>6</v>
      </c>
      <c r="Z15" s="25" t="str">
        <f t="shared" si="16"/>
        <v>Redevance à la production (+)</v>
      </c>
      <c r="AA15" s="16">
        <f t="shared" si="38"/>
        <v>0</v>
      </c>
      <c r="AB15" s="16">
        <f t="shared" si="38"/>
        <v>0</v>
      </c>
      <c r="AC15" s="16">
        <f t="shared" si="38"/>
        <v>0</v>
      </c>
      <c r="AD15" s="16">
        <f t="shared" si="38"/>
        <v>0</v>
      </c>
      <c r="AE15" s="16">
        <f t="shared" si="38"/>
        <v>0</v>
      </c>
      <c r="AF15" s="16">
        <f t="shared" si="38"/>
        <v>0</v>
      </c>
      <c r="AG15" s="16">
        <f t="shared" si="38"/>
        <v>0</v>
      </c>
      <c r="AH15" s="16">
        <f t="shared" si="38"/>
        <v>0</v>
      </c>
      <c r="AI15" s="16">
        <f t="shared" si="38"/>
        <v>0</v>
      </c>
      <c r="AJ15" s="16">
        <f t="shared" si="39"/>
        <v>0</v>
      </c>
      <c r="AL15" s="17">
        <f t="shared" si="40"/>
        <v>6</v>
      </c>
      <c r="AM15" s="26" t="str">
        <f t="shared" si="18"/>
        <v>Redevance à la production (+)</v>
      </c>
      <c r="AN15" s="18">
        <f t="shared" si="41"/>
        <v>0</v>
      </c>
      <c r="AO15" s="18">
        <f t="shared" si="41"/>
        <v>0</v>
      </c>
      <c r="AP15" s="18">
        <f t="shared" si="41"/>
        <v>0</v>
      </c>
      <c r="AQ15" s="18">
        <f t="shared" si="41"/>
        <v>0</v>
      </c>
      <c r="AR15" s="18">
        <f t="shared" si="41"/>
        <v>0</v>
      </c>
      <c r="AS15" s="18">
        <f t="shared" si="41"/>
        <v>0</v>
      </c>
      <c r="AT15" s="18">
        <f t="shared" si="41"/>
        <v>0</v>
      </c>
      <c r="AU15" s="18">
        <f t="shared" si="41"/>
        <v>0</v>
      </c>
      <c r="AV15" s="18">
        <f t="shared" si="42"/>
        <v>0</v>
      </c>
      <c r="AW15" s="18"/>
      <c r="AX15" s="17">
        <f t="shared" si="43"/>
        <v>6</v>
      </c>
      <c r="AY15" s="26" t="str">
        <f t="shared" si="20"/>
        <v>Redevance à la production (+)</v>
      </c>
      <c r="AZ15" s="18">
        <f t="shared" ca="1" si="44"/>
        <v>0</v>
      </c>
      <c r="BA15" s="18">
        <f t="shared" ca="1" si="44"/>
        <v>0</v>
      </c>
      <c r="BB15" s="18">
        <f t="shared" ca="1" si="44"/>
        <v>0</v>
      </c>
      <c r="BC15" s="18">
        <f t="shared" ca="1" si="44"/>
        <v>0</v>
      </c>
      <c r="BD15" s="18">
        <f t="shared" ca="1" si="44"/>
        <v>0</v>
      </c>
      <c r="BE15" s="18">
        <f t="shared" ca="1" si="44"/>
        <v>0</v>
      </c>
      <c r="BF15" s="18">
        <f t="shared" ca="1" si="44"/>
        <v>0</v>
      </c>
      <c r="BG15" s="18">
        <f t="shared" ca="1" si="44"/>
        <v>0</v>
      </c>
      <c r="BH15" s="18">
        <f t="shared" ca="1" si="44"/>
        <v>0</v>
      </c>
      <c r="BI15" s="18">
        <f t="shared" ca="1" si="44"/>
        <v>0</v>
      </c>
      <c r="BJ15" s="18">
        <f t="shared" ca="1" si="44"/>
        <v>0</v>
      </c>
      <c r="BK15" s="18">
        <f t="shared" ca="1" si="44"/>
        <v>0</v>
      </c>
    </row>
    <row r="16" spans="1:63">
      <c r="A16" s="80">
        <f t="shared" si="29"/>
        <v>5</v>
      </c>
      <c r="B16" s="64">
        <f>+'Taxes RCA 2022'!A9</f>
        <v>5</v>
      </c>
      <c r="C16" s="189" t="str">
        <f>+'Taxes RCA 2022'!B9</f>
        <v>Bonus de signature versés par les investisseurs miniers (+) (DGTCP (FDM))</v>
      </c>
      <c r="E16" s="165"/>
      <c r="F16" s="165">
        <f>SUMIF($A$84:$A$751,B16&amp;"- "&amp;C16,$G$84:$G$751)</f>
        <v>0</v>
      </c>
      <c r="G16" s="165">
        <f>E16+F16</f>
        <v>0</v>
      </c>
      <c r="H16" s="114"/>
      <c r="I16" s="165"/>
      <c r="J16" s="165">
        <f ca="1">SUMIF($J$84:$M$747,B16&amp;"- "&amp;C16,$Q$84:$Q$747)</f>
        <v>0</v>
      </c>
      <c r="K16" s="165">
        <f ca="1">I16+J16</f>
        <v>0</v>
      </c>
      <c r="L16" s="114"/>
      <c r="M16" s="165">
        <f ca="1">+G16-K16</f>
        <v>0</v>
      </c>
      <c r="N16" s="68"/>
      <c r="O16" s="38" t="str">
        <f t="shared" ref="O16:O71" ca="1" si="49">IF(M16=0,"",IF(N16=0,"ERROR",""))</f>
        <v/>
      </c>
      <c r="P16" s="39" t="str">
        <f t="shared" ref="P16:P35" ca="1" si="50">IF(O16="ERROR","Please insert comment","")</f>
        <v/>
      </c>
      <c r="Q16" s="35"/>
      <c r="U16" s="40"/>
      <c r="V16" s="22"/>
      <c r="Y16" s="15">
        <f t="shared" si="37"/>
        <v>7</v>
      </c>
      <c r="Z16" s="25" t="str">
        <f t="shared" si="37"/>
        <v>Contribution au développement social (CDS)</v>
      </c>
      <c r="AA16" s="16">
        <f t="shared" si="38"/>
        <v>0</v>
      </c>
      <c r="AB16" s="16">
        <f t="shared" si="38"/>
        <v>0</v>
      </c>
      <c r="AC16" s="16">
        <f t="shared" si="38"/>
        <v>0</v>
      </c>
      <c r="AD16" s="16">
        <f t="shared" si="38"/>
        <v>0</v>
      </c>
      <c r="AE16" s="16">
        <f t="shared" si="38"/>
        <v>0</v>
      </c>
      <c r="AF16" s="16">
        <f t="shared" si="38"/>
        <v>0</v>
      </c>
      <c r="AG16" s="16">
        <f t="shared" si="38"/>
        <v>0</v>
      </c>
      <c r="AH16" s="16">
        <f t="shared" si="38"/>
        <v>0</v>
      </c>
      <c r="AI16" s="16">
        <f t="shared" si="38"/>
        <v>0</v>
      </c>
      <c r="AJ16" s="16">
        <f t="shared" si="39"/>
        <v>0</v>
      </c>
      <c r="AL16" s="17">
        <f t="shared" si="40"/>
        <v>7</v>
      </c>
      <c r="AM16" s="26" t="str">
        <f t="shared" si="40"/>
        <v>Contribution au développement social (CDS)</v>
      </c>
      <c r="AN16" s="18">
        <f t="shared" si="41"/>
        <v>0</v>
      </c>
      <c r="AO16" s="18">
        <f t="shared" si="41"/>
        <v>0</v>
      </c>
      <c r="AP16" s="18">
        <f t="shared" si="41"/>
        <v>0</v>
      </c>
      <c r="AQ16" s="18">
        <f t="shared" si="41"/>
        <v>0</v>
      </c>
      <c r="AR16" s="18">
        <f t="shared" si="41"/>
        <v>0</v>
      </c>
      <c r="AS16" s="18">
        <f t="shared" si="41"/>
        <v>0</v>
      </c>
      <c r="AT16" s="18">
        <f t="shared" si="41"/>
        <v>0</v>
      </c>
      <c r="AU16" s="18">
        <f t="shared" si="41"/>
        <v>0</v>
      </c>
      <c r="AV16" s="18">
        <f t="shared" si="42"/>
        <v>0</v>
      </c>
      <c r="AW16" s="18"/>
      <c r="AX16" s="17">
        <f t="shared" si="43"/>
        <v>7</v>
      </c>
      <c r="AY16" s="26" t="str">
        <f t="shared" si="43"/>
        <v>Contribution au développement social (CDS)</v>
      </c>
      <c r="AZ16" s="18">
        <f t="shared" ca="1" si="44"/>
        <v>0</v>
      </c>
      <c r="BA16" s="18">
        <f t="shared" ca="1" si="44"/>
        <v>0</v>
      </c>
      <c r="BB16" s="18">
        <f t="shared" ca="1" si="44"/>
        <v>0</v>
      </c>
      <c r="BC16" s="18">
        <f t="shared" ca="1" si="44"/>
        <v>0</v>
      </c>
      <c r="BD16" s="18">
        <f t="shared" ca="1" si="44"/>
        <v>0</v>
      </c>
      <c r="BE16" s="18">
        <f t="shared" ca="1" si="44"/>
        <v>0</v>
      </c>
      <c r="BF16" s="18">
        <f t="shared" ca="1" si="44"/>
        <v>0</v>
      </c>
      <c r="BG16" s="18">
        <f t="shared" ca="1" si="44"/>
        <v>0</v>
      </c>
      <c r="BH16" s="18">
        <f t="shared" ca="1" si="44"/>
        <v>0</v>
      </c>
      <c r="BI16" s="18">
        <f t="shared" ca="1" si="44"/>
        <v>0</v>
      </c>
      <c r="BJ16" s="18">
        <f t="shared" ca="1" si="44"/>
        <v>0</v>
      </c>
      <c r="BK16" s="18">
        <f t="shared" ca="1" si="44"/>
        <v>0</v>
      </c>
    </row>
    <row r="17" spans="1:63">
      <c r="A17" s="80">
        <f t="shared" si="29"/>
        <v>0</v>
      </c>
      <c r="B17" s="163"/>
      <c r="C17" s="58" t="str">
        <f>+'Taxes RCA 2022'!B10</f>
        <v>DGID</v>
      </c>
      <c r="E17" s="166">
        <f>SUM(E18:E39)</f>
        <v>0</v>
      </c>
      <c r="F17" s="166">
        <f t="shared" ref="F17:G17" si="51">SUM(F18:F39)</f>
        <v>0</v>
      </c>
      <c r="G17" s="166">
        <f t="shared" si="51"/>
        <v>0</v>
      </c>
      <c r="H17" s="114"/>
      <c r="I17" s="166">
        <f>SUM(I18:I39)</f>
        <v>0</v>
      </c>
      <c r="J17" s="166">
        <f t="shared" ref="J17" ca="1" si="52">SUM(J18:J39)</f>
        <v>0</v>
      </c>
      <c r="K17" s="166">
        <f t="shared" ref="K17" ca="1" si="53">SUM(K18:K39)</f>
        <v>0</v>
      </c>
      <c r="L17" s="114"/>
      <c r="M17" s="166">
        <f t="shared" ref="M17" ca="1" si="54">SUM(M18:M39)</f>
        <v>0</v>
      </c>
      <c r="N17" s="58"/>
      <c r="O17" s="38" t="str">
        <f t="shared" ca="1" si="49"/>
        <v/>
      </c>
      <c r="P17" s="39" t="str">
        <f t="shared" ca="1" si="50"/>
        <v/>
      </c>
      <c r="Q17" s="35"/>
      <c r="T17" s="41" t="str">
        <f>IF(F8=S12,"","ERROR")</f>
        <v/>
      </c>
      <c r="W17" s="42"/>
      <c r="Y17" s="15">
        <f t="shared" si="37"/>
        <v>8</v>
      </c>
      <c r="Z17" s="25" t="str">
        <f t="shared" si="37"/>
        <v>Droit d'enregistrement (DE)</v>
      </c>
      <c r="AA17" s="16">
        <f t="shared" si="38"/>
        <v>0</v>
      </c>
      <c r="AB17" s="16">
        <f t="shared" si="38"/>
        <v>0</v>
      </c>
      <c r="AC17" s="16">
        <f t="shared" si="38"/>
        <v>0</v>
      </c>
      <c r="AD17" s="16">
        <f t="shared" si="38"/>
        <v>0</v>
      </c>
      <c r="AE17" s="16">
        <f t="shared" si="38"/>
        <v>0</v>
      </c>
      <c r="AF17" s="16">
        <f t="shared" si="38"/>
        <v>0</v>
      </c>
      <c r="AG17" s="16">
        <f t="shared" si="38"/>
        <v>0</v>
      </c>
      <c r="AH17" s="16">
        <f t="shared" si="38"/>
        <v>0</v>
      </c>
      <c r="AI17" s="16">
        <f t="shared" si="38"/>
        <v>0</v>
      </c>
      <c r="AJ17" s="16">
        <f t="shared" si="39"/>
        <v>0</v>
      </c>
      <c r="AL17" s="17">
        <f t="shared" si="40"/>
        <v>8</v>
      </c>
      <c r="AM17" s="26" t="str">
        <f t="shared" si="40"/>
        <v>Droit d'enregistrement (DE)</v>
      </c>
      <c r="AN17" s="18">
        <f t="shared" si="41"/>
        <v>0</v>
      </c>
      <c r="AO17" s="18">
        <f t="shared" si="41"/>
        <v>0</v>
      </c>
      <c r="AP17" s="18">
        <f t="shared" si="41"/>
        <v>0</v>
      </c>
      <c r="AQ17" s="18">
        <f t="shared" si="41"/>
        <v>0</v>
      </c>
      <c r="AR17" s="18">
        <f t="shared" si="41"/>
        <v>0</v>
      </c>
      <c r="AS17" s="18">
        <f t="shared" si="41"/>
        <v>0</v>
      </c>
      <c r="AT17" s="18">
        <f t="shared" si="41"/>
        <v>0</v>
      </c>
      <c r="AU17" s="18">
        <f t="shared" si="41"/>
        <v>0</v>
      </c>
      <c r="AV17" s="18">
        <f t="shared" si="42"/>
        <v>0</v>
      </c>
      <c r="AW17" s="18"/>
      <c r="AX17" s="17">
        <f t="shared" si="43"/>
        <v>8</v>
      </c>
      <c r="AY17" s="26" t="str">
        <f t="shared" si="43"/>
        <v>Droit d'enregistrement (DE)</v>
      </c>
      <c r="AZ17" s="18">
        <f t="shared" ca="1" si="44"/>
        <v>0</v>
      </c>
      <c r="BA17" s="18">
        <f t="shared" ca="1" si="44"/>
        <v>0</v>
      </c>
      <c r="BB17" s="18">
        <f t="shared" ca="1" si="44"/>
        <v>0</v>
      </c>
      <c r="BC17" s="18">
        <f t="shared" ca="1" si="44"/>
        <v>0</v>
      </c>
      <c r="BD17" s="18">
        <f t="shared" ca="1" si="44"/>
        <v>0</v>
      </c>
      <c r="BE17" s="18">
        <f t="shared" ca="1" si="44"/>
        <v>0</v>
      </c>
      <c r="BF17" s="18">
        <f t="shared" ca="1" si="44"/>
        <v>0</v>
      </c>
      <c r="BG17" s="18">
        <f t="shared" ca="1" si="44"/>
        <v>0</v>
      </c>
      <c r="BH17" s="18">
        <f t="shared" ca="1" si="44"/>
        <v>0</v>
      </c>
      <c r="BI17" s="18">
        <f t="shared" ca="1" si="44"/>
        <v>0</v>
      </c>
      <c r="BJ17" s="18">
        <f t="shared" ca="1" si="44"/>
        <v>0</v>
      </c>
      <c r="BK17" s="18">
        <f t="shared" ca="1" si="44"/>
        <v>0</v>
      </c>
    </row>
    <row r="18" spans="1:63">
      <c r="A18" s="80"/>
      <c r="B18" s="53">
        <f>+'Taxes RCA 2022'!A11</f>
        <v>6</v>
      </c>
      <c r="C18" s="18" t="str">
        <f>+'Taxes RCA 2022'!B11</f>
        <v>Redevance à la production (+)</v>
      </c>
      <c r="E18" s="114"/>
      <c r="F18" s="114">
        <f t="shared" ref="F18:F39" si="55">SUMIF($A$84:$A$751,B18&amp;"- "&amp;C18,$G$84:$G$751)</f>
        <v>0</v>
      </c>
      <c r="G18" s="114">
        <f t="shared" ref="G18:G39" si="56">E18+F18</f>
        <v>0</v>
      </c>
      <c r="H18" s="114"/>
      <c r="I18" s="114"/>
      <c r="J18" s="114">
        <f t="shared" ref="J18:J39" ca="1" si="57">SUMIF($J$84:$M$747,B18&amp;"- "&amp;C18,$Q$84:$Q$747)</f>
        <v>0</v>
      </c>
      <c r="K18" s="114">
        <f t="shared" ref="K18:K39" ca="1" si="58">I18+J18</f>
        <v>0</v>
      </c>
      <c r="L18" s="114"/>
      <c r="M18" s="114">
        <f t="shared" ref="M18:M39" ca="1" si="59">+G18-K18</f>
        <v>0</v>
      </c>
      <c r="N18" s="18"/>
      <c r="O18" s="38"/>
      <c r="P18" s="39"/>
      <c r="Q18" s="35"/>
      <c r="Y18" s="15">
        <f t="shared" si="37"/>
        <v>9</v>
      </c>
      <c r="Z18" s="25" t="str">
        <f t="shared" si="37"/>
        <v>Impôt sur les revenus des personnes physiques (IRPP)</v>
      </c>
      <c r="AA18" s="16">
        <f t="shared" si="38"/>
        <v>0</v>
      </c>
      <c r="AB18" s="16">
        <f t="shared" si="38"/>
        <v>0</v>
      </c>
      <c r="AC18" s="16">
        <f t="shared" si="38"/>
        <v>0</v>
      </c>
      <c r="AD18" s="16">
        <f t="shared" si="38"/>
        <v>0</v>
      </c>
      <c r="AE18" s="16">
        <f t="shared" si="38"/>
        <v>0</v>
      </c>
      <c r="AF18" s="16">
        <f t="shared" si="38"/>
        <v>0</v>
      </c>
      <c r="AG18" s="16">
        <f t="shared" si="38"/>
        <v>0</v>
      </c>
      <c r="AH18" s="16">
        <f t="shared" si="38"/>
        <v>0</v>
      </c>
      <c r="AI18" s="16">
        <f t="shared" si="38"/>
        <v>0</v>
      </c>
      <c r="AJ18" s="16">
        <f t="shared" si="39"/>
        <v>0</v>
      </c>
      <c r="AL18" s="17">
        <f t="shared" si="40"/>
        <v>9</v>
      </c>
      <c r="AM18" s="26" t="str">
        <f t="shared" si="40"/>
        <v>Impôt sur les revenus des personnes physiques (IRPP)</v>
      </c>
      <c r="AN18" s="18">
        <f t="shared" si="41"/>
        <v>0</v>
      </c>
      <c r="AO18" s="18">
        <f t="shared" si="41"/>
        <v>0</v>
      </c>
      <c r="AP18" s="18">
        <f t="shared" si="41"/>
        <v>0</v>
      </c>
      <c r="AQ18" s="18">
        <f t="shared" si="41"/>
        <v>0</v>
      </c>
      <c r="AR18" s="18">
        <f t="shared" si="41"/>
        <v>0</v>
      </c>
      <c r="AS18" s="18">
        <f t="shared" si="41"/>
        <v>0</v>
      </c>
      <c r="AT18" s="18">
        <f t="shared" si="41"/>
        <v>0</v>
      </c>
      <c r="AU18" s="18">
        <f t="shared" si="41"/>
        <v>0</v>
      </c>
      <c r="AV18" s="18">
        <f t="shared" si="42"/>
        <v>0</v>
      </c>
      <c r="AW18" s="18"/>
      <c r="AX18" s="17">
        <f t="shared" si="43"/>
        <v>9</v>
      </c>
      <c r="AY18" s="26" t="str">
        <f t="shared" si="43"/>
        <v>Impôt sur les revenus des personnes physiques (IRPP)</v>
      </c>
      <c r="AZ18" s="18">
        <f t="shared" ca="1" si="44"/>
        <v>0</v>
      </c>
      <c r="BA18" s="18">
        <f t="shared" ca="1" si="44"/>
        <v>0</v>
      </c>
      <c r="BB18" s="18">
        <f t="shared" ca="1" si="44"/>
        <v>0</v>
      </c>
      <c r="BC18" s="18">
        <f t="shared" ca="1" si="44"/>
        <v>0</v>
      </c>
      <c r="BD18" s="18">
        <f t="shared" ca="1" si="44"/>
        <v>0</v>
      </c>
      <c r="BE18" s="18">
        <f t="shared" ca="1" si="44"/>
        <v>0</v>
      </c>
      <c r="BF18" s="18">
        <f t="shared" ca="1" si="44"/>
        <v>0</v>
      </c>
      <c r="BG18" s="18">
        <f t="shared" ca="1" si="44"/>
        <v>0</v>
      </c>
      <c r="BH18" s="18">
        <f t="shared" ca="1" si="44"/>
        <v>0</v>
      </c>
      <c r="BI18" s="18">
        <f t="shared" ca="1" si="44"/>
        <v>0</v>
      </c>
      <c r="BJ18" s="18">
        <f t="shared" ca="1" si="44"/>
        <v>0</v>
      </c>
      <c r="BK18" s="18">
        <f t="shared" ca="1" si="44"/>
        <v>0</v>
      </c>
    </row>
    <row r="19" spans="1:63">
      <c r="A19" s="80">
        <f t="shared" si="29"/>
        <v>7</v>
      </c>
      <c r="B19" s="64">
        <f>+'Taxes RCA 2022'!A12</f>
        <v>7</v>
      </c>
      <c r="C19" s="68" t="str">
        <f>+'Taxes RCA 2022'!B12</f>
        <v>Contribution au développement social (CDS)</v>
      </c>
      <c r="E19" s="165"/>
      <c r="F19" s="165">
        <f t="shared" si="55"/>
        <v>0</v>
      </c>
      <c r="G19" s="165">
        <f t="shared" si="56"/>
        <v>0</v>
      </c>
      <c r="H19" s="114"/>
      <c r="I19" s="165"/>
      <c r="J19" s="165">
        <f t="shared" ca="1" si="57"/>
        <v>0</v>
      </c>
      <c r="K19" s="165">
        <f t="shared" ca="1" si="58"/>
        <v>0</v>
      </c>
      <c r="L19" s="114"/>
      <c r="M19" s="165">
        <f t="shared" ca="1" si="59"/>
        <v>0</v>
      </c>
      <c r="N19" s="68"/>
      <c r="O19" s="38" t="str">
        <f t="shared" ca="1" si="49"/>
        <v/>
      </c>
      <c r="P19" s="39" t="str">
        <f t="shared" ca="1" si="50"/>
        <v/>
      </c>
      <c r="Q19" s="35"/>
      <c r="W19" s="41" t="str">
        <f ca="1">IF(M8=V15,"","ERROR")</f>
        <v>ERROR</v>
      </c>
      <c r="Y19" s="15">
        <f t="shared" si="37"/>
        <v>10</v>
      </c>
      <c r="Z19" s="25" t="str">
        <f t="shared" si="37"/>
        <v>Impôt sur les sociétés (IS)</v>
      </c>
      <c r="AA19" s="16">
        <f t="shared" si="38"/>
        <v>0</v>
      </c>
      <c r="AB19" s="16">
        <f t="shared" si="38"/>
        <v>0</v>
      </c>
      <c r="AC19" s="16">
        <f t="shared" si="38"/>
        <v>0</v>
      </c>
      <c r="AD19" s="16">
        <f t="shared" si="38"/>
        <v>0</v>
      </c>
      <c r="AE19" s="16">
        <f t="shared" si="38"/>
        <v>0</v>
      </c>
      <c r="AF19" s="16">
        <f t="shared" si="38"/>
        <v>0</v>
      </c>
      <c r="AG19" s="16">
        <f t="shared" si="38"/>
        <v>0</v>
      </c>
      <c r="AH19" s="16">
        <f t="shared" si="38"/>
        <v>0</v>
      </c>
      <c r="AI19" s="16">
        <f t="shared" si="38"/>
        <v>0</v>
      </c>
      <c r="AJ19" s="16">
        <f t="shared" si="39"/>
        <v>0</v>
      </c>
      <c r="AL19" s="17">
        <f t="shared" si="40"/>
        <v>10</v>
      </c>
      <c r="AM19" s="26" t="str">
        <f t="shared" si="40"/>
        <v>Impôt sur les sociétés (IS)</v>
      </c>
      <c r="AN19" s="18">
        <f t="shared" si="41"/>
        <v>0</v>
      </c>
      <c r="AO19" s="18">
        <f t="shared" si="41"/>
        <v>0</v>
      </c>
      <c r="AP19" s="18">
        <f t="shared" si="41"/>
        <v>0</v>
      </c>
      <c r="AQ19" s="18">
        <f t="shared" si="41"/>
        <v>0</v>
      </c>
      <c r="AR19" s="18">
        <f t="shared" si="41"/>
        <v>0</v>
      </c>
      <c r="AS19" s="18">
        <f t="shared" si="41"/>
        <v>0</v>
      </c>
      <c r="AT19" s="18">
        <f t="shared" si="41"/>
        <v>0</v>
      </c>
      <c r="AU19" s="18">
        <f t="shared" si="41"/>
        <v>0</v>
      </c>
      <c r="AV19" s="18">
        <f t="shared" si="42"/>
        <v>0</v>
      </c>
      <c r="AW19" s="18"/>
      <c r="AX19" s="17">
        <f t="shared" si="43"/>
        <v>10</v>
      </c>
      <c r="AY19" s="26" t="str">
        <f t="shared" si="43"/>
        <v>Impôt sur les sociétés (IS)</v>
      </c>
      <c r="AZ19" s="18">
        <f t="shared" ca="1" si="44"/>
        <v>0</v>
      </c>
      <c r="BA19" s="18">
        <f t="shared" ca="1" si="44"/>
        <v>0</v>
      </c>
      <c r="BB19" s="18">
        <f t="shared" ca="1" si="44"/>
        <v>0</v>
      </c>
      <c r="BC19" s="18">
        <f t="shared" ca="1" si="44"/>
        <v>0</v>
      </c>
      <c r="BD19" s="18">
        <f t="shared" ca="1" si="44"/>
        <v>0</v>
      </c>
      <c r="BE19" s="18">
        <f t="shared" ca="1" si="44"/>
        <v>0</v>
      </c>
      <c r="BF19" s="18">
        <f t="shared" ca="1" si="44"/>
        <v>0</v>
      </c>
      <c r="BG19" s="18">
        <f t="shared" ca="1" si="44"/>
        <v>0</v>
      </c>
      <c r="BH19" s="18">
        <f t="shared" ca="1" si="44"/>
        <v>0</v>
      </c>
      <c r="BI19" s="18">
        <f t="shared" ca="1" si="44"/>
        <v>0</v>
      </c>
      <c r="BJ19" s="18">
        <f t="shared" ca="1" si="44"/>
        <v>0</v>
      </c>
      <c r="BK19" s="18">
        <f t="shared" ca="1" si="44"/>
        <v>0</v>
      </c>
    </row>
    <row r="20" spans="1:63">
      <c r="A20" s="80">
        <f t="shared" si="29"/>
        <v>8</v>
      </c>
      <c r="B20" s="53">
        <f>+'Taxes RCA 2022'!A13</f>
        <v>8</v>
      </c>
      <c r="C20" s="18" t="str">
        <f>+'Taxes RCA 2022'!B13</f>
        <v>Droit d'enregistrement (DE)</v>
      </c>
      <c r="E20" s="114"/>
      <c r="F20" s="114">
        <f t="shared" si="55"/>
        <v>0</v>
      </c>
      <c r="G20" s="114">
        <f t="shared" si="56"/>
        <v>0</v>
      </c>
      <c r="H20" s="114"/>
      <c r="I20" s="114"/>
      <c r="J20" s="114">
        <f t="shared" ca="1" si="57"/>
        <v>0</v>
      </c>
      <c r="K20" s="114">
        <f t="shared" ca="1" si="58"/>
        <v>0</v>
      </c>
      <c r="L20" s="114"/>
      <c r="M20" s="114">
        <f t="shared" ca="1" si="59"/>
        <v>0</v>
      </c>
      <c r="N20" s="18"/>
      <c r="O20" s="38" t="str">
        <f t="shared" ca="1" si="49"/>
        <v/>
      </c>
      <c r="P20" s="39" t="str">
        <f t="shared" ca="1" si="50"/>
        <v/>
      </c>
      <c r="Q20" s="35"/>
      <c r="S20" s="18"/>
      <c r="Y20" s="15">
        <f t="shared" si="37"/>
        <v>11</v>
      </c>
      <c r="Z20" s="25" t="str">
        <f t="shared" si="37"/>
        <v>Loyer annuel</v>
      </c>
      <c r="AA20" s="16">
        <f t="shared" si="38"/>
        <v>0</v>
      </c>
      <c r="AB20" s="16">
        <f t="shared" si="38"/>
        <v>0</v>
      </c>
      <c r="AC20" s="16">
        <f t="shared" si="38"/>
        <v>0</v>
      </c>
      <c r="AD20" s="16">
        <f t="shared" si="38"/>
        <v>0</v>
      </c>
      <c r="AE20" s="16">
        <f t="shared" si="38"/>
        <v>0</v>
      </c>
      <c r="AF20" s="16">
        <f t="shared" si="38"/>
        <v>0</v>
      </c>
      <c r="AG20" s="16">
        <f t="shared" si="38"/>
        <v>0</v>
      </c>
      <c r="AH20" s="16">
        <f t="shared" si="38"/>
        <v>0</v>
      </c>
      <c r="AI20" s="16">
        <f t="shared" si="38"/>
        <v>0</v>
      </c>
      <c r="AJ20" s="16">
        <f t="shared" si="39"/>
        <v>0</v>
      </c>
      <c r="AL20" s="17">
        <f t="shared" si="40"/>
        <v>11</v>
      </c>
      <c r="AM20" s="26" t="str">
        <f t="shared" si="40"/>
        <v>Loyer annuel</v>
      </c>
      <c r="AN20" s="18">
        <f t="shared" si="41"/>
        <v>0</v>
      </c>
      <c r="AO20" s="18">
        <f t="shared" si="41"/>
        <v>0</v>
      </c>
      <c r="AP20" s="18">
        <f t="shared" si="41"/>
        <v>0</v>
      </c>
      <c r="AQ20" s="18">
        <f t="shared" si="41"/>
        <v>0</v>
      </c>
      <c r="AR20" s="18">
        <f t="shared" si="41"/>
        <v>0</v>
      </c>
      <c r="AS20" s="18">
        <f t="shared" si="41"/>
        <v>0</v>
      </c>
      <c r="AT20" s="18">
        <f t="shared" si="41"/>
        <v>0</v>
      </c>
      <c r="AU20" s="18">
        <f t="shared" si="41"/>
        <v>0</v>
      </c>
      <c r="AV20" s="18">
        <f t="shared" si="42"/>
        <v>0</v>
      </c>
      <c r="AW20" s="18"/>
      <c r="AX20" s="17">
        <f t="shared" si="43"/>
        <v>11</v>
      </c>
      <c r="AY20" s="26" t="str">
        <f t="shared" si="43"/>
        <v>Loyer annuel</v>
      </c>
      <c r="AZ20" s="18">
        <f t="shared" ca="1" si="44"/>
        <v>0</v>
      </c>
      <c r="BA20" s="18">
        <f t="shared" ca="1" si="44"/>
        <v>0</v>
      </c>
      <c r="BB20" s="18">
        <f t="shared" ca="1" si="44"/>
        <v>0</v>
      </c>
      <c r="BC20" s="18">
        <f t="shared" ca="1" si="44"/>
        <v>0</v>
      </c>
      <c r="BD20" s="18">
        <f t="shared" ca="1" si="44"/>
        <v>0</v>
      </c>
      <c r="BE20" s="18">
        <f t="shared" ca="1" si="44"/>
        <v>0</v>
      </c>
      <c r="BF20" s="18">
        <f t="shared" ca="1" si="44"/>
        <v>0</v>
      </c>
      <c r="BG20" s="18">
        <f t="shared" ca="1" si="44"/>
        <v>0</v>
      </c>
      <c r="BH20" s="18">
        <f t="shared" ca="1" si="44"/>
        <v>0</v>
      </c>
      <c r="BI20" s="18">
        <f t="shared" ca="1" si="44"/>
        <v>0</v>
      </c>
      <c r="BJ20" s="18">
        <f t="shared" ca="1" si="44"/>
        <v>0</v>
      </c>
      <c r="BK20" s="18">
        <f t="shared" ca="1" si="44"/>
        <v>0</v>
      </c>
    </row>
    <row r="21" spans="1:63">
      <c r="A21" s="80">
        <f t="shared" si="29"/>
        <v>9</v>
      </c>
      <c r="B21" s="64">
        <f>+'Taxes RCA 2022'!A14</f>
        <v>9</v>
      </c>
      <c r="C21" s="68" t="str">
        <f>+'Taxes RCA 2022'!B14</f>
        <v>Impôt sur les revenus des personnes physiques (IRPP)</v>
      </c>
      <c r="E21" s="165"/>
      <c r="F21" s="165">
        <f t="shared" si="55"/>
        <v>0</v>
      </c>
      <c r="G21" s="165">
        <f t="shared" si="56"/>
        <v>0</v>
      </c>
      <c r="H21" s="114"/>
      <c r="I21" s="165"/>
      <c r="J21" s="165">
        <f t="shared" ca="1" si="57"/>
        <v>0</v>
      </c>
      <c r="K21" s="165">
        <f t="shared" ca="1" si="58"/>
        <v>0</v>
      </c>
      <c r="L21" s="114"/>
      <c r="M21" s="165">
        <f t="shared" ca="1" si="59"/>
        <v>0</v>
      </c>
      <c r="N21" s="68"/>
      <c r="O21" s="38" t="str">
        <f t="shared" ca="1" si="49"/>
        <v/>
      </c>
      <c r="P21" s="39" t="str">
        <f t="shared" ca="1" si="50"/>
        <v/>
      </c>
      <c r="Q21" s="35"/>
      <c r="V21" s="18"/>
      <c r="Y21" s="15">
        <f t="shared" si="37"/>
        <v>12</v>
      </c>
      <c r="Z21" s="25" t="str">
        <f t="shared" si="37"/>
        <v>Patente</v>
      </c>
      <c r="AA21" s="16">
        <f t="shared" si="38"/>
        <v>0</v>
      </c>
      <c r="AB21" s="16">
        <f t="shared" si="38"/>
        <v>0</v>
      </c>
      <c r="AC21" s="16">
        <f t="shared" si="38"/>
        <v>0</v>
      </c>
      <c r="AD21" s="16">
        <f t="shared" si="38"/>
        <v>0</v>
      </c>
      <c r="AE21" s="16">
        <f t="shared" si="38"/>
        <v>0</v>
      </c>
      <c r="AF21" s="16">
        <f t="shared" si="38"/>
        <v>0</v>
      </c>
      <c r="AG21" s="16">
        <f t="shared" si="38"/>
        <v>0</v>
      </c>
      <c r="AH21" s="16">
        <f t="shared" si="38"/>
        <v>0</v>
      </c>
      <c r="AI21" s="16">
        <f t="shared" si="38"/>
        <v>0</v>
      </c>
      <c r="AJ21" s="16">
        <f t="shared" si="39"/>
        <v>0</v>
      </c>
      <c r="AL21" s="17">
        <f t="shared" si="40"/>
        <v>12</v>
      </c>
      <c r="AM21" s="26" t="str">
        <f t="shared" si="40"/>
        <v>Patente</v>
      </c>
      <c r="AN21" s="18">
        <f t="shared" si="41"/>
        <v>0</v>
      </c>
      <c r="AO21" s="18">
        <f t="shared" si="41"/>
        <v>0</v>
      </c>
      <c r="AP21" s="18">
        <f t="shared" si="41"/>
        <v>0</v>
      </c>
      <c r="AQ21" s="18">
        <f t="shared" si="41"/>
        <v>0</v>
      </c>
      <c r="AR21" s="18">
        <f t="shared" si="41"/>
        <v>0</v>
      </c>
      <c r="AS21" s="18">
        <f t="shared" si="41"/>
        <v>0</v>
      </c>
      <c r="AT21" s="18">
        <f t="shared" si="41"/>
        <v>0</v>
      </c>
      <c r="AU21" s="18">
        <f t="shared" si="41"/>
        <v>0</v>
      </c>
      <c r="AV21" s="18">
        <f t="shared" si="42"/>
        <v>0</v>
      </c>
      <c r="AW21" s="18"/>
      <c r="AX21" s="17">
        <f t="shared" si="43"/>
        <v>12</v>
      </c>
      <c r="AY21" s="26" t="str">
        <f t="shared" si="43"/>
        <v>Patente</v>
      </c>
      <c r="AZ21" s="18">
        <f t="shared" ca="1" si="44"/>
        <v>0</v>
      </c>
      <c r="BA21" s="18">
        <f t="shared" ca="1" si="44"/>
        <v>0</v>
      </c>
      <c r="BB21" s="18">
        <f t="shared" ca="1" si="44"/>
        <v>0</v>
      </c>
      <c r="BC21" s="18">
        <f t="shared" ca="1" si="44"/>
        <v>0</v>
      </c>
      <c r="BD21" s="18">
        <f t="shared" ca="1" si="44"/>
        <v>0</v>
      </c>
      <c r="BE21" s="18">
        <f t="shared" ca="1" si="44"/>
        <v>0</v>
      </c>
      <c r="BF21" s="18">
        <f t="shared" ca="1" si="44"/>
        <v>0</v>
      </c>
      <c r="BG21" s="18">
        <f t="shared" ca="1" si="44"/>
        <v>0</v>
      </c>
      <c r="BH21" s="18">
        <f t="shared" ca="1" si="44"/>
        <v>0</v>
      </c>
      <c r="BI21" s="18">
        <f t="shared" ca="1" si="44"/>
        <v>0</v>
      </c>
      <c r="BJ21" s="18">
        <f t="shared" ca="1" si="44"/>
        <v>0</v>
      </c>
      <c r="BK21" s="18">
        <f t="shared" ca="1" si="44"/>
        <v>0</v>
      </c>
    </row>
    <row r="22" spans="1:63">
      <c r="A22" s="80">
        <f t="shared" si="29"/>
        <v>10</v>
      </c>
      <c r="B22" s="53">
        <f>+'Taxes RCA 2022'!A15</f>
        <v>10</v>
      </c>
      <c r="C22" s="18" t="str">
        <f>+'Taxes RCA 2022'!B15</f>
        <v>Impôt sur les sociétés (IS)</v>
      </c>
      <c r="E22" s="114"/>
      <c r="F22" s="114">
        <f t="shared" si="55"/>
        <v>0</v>
      </c>
      <c r="G22" s="114">
        <f t="shared" si="56"/>
        <v>0</v>
      </c>
      <c r="H22" s="114"/>
      <c r="I22" s="114"/>
      <c r="J22" s="114">
        <f t="shared" ca="1" si="57"/>
        <v>0</v>
      </c>
      <c r="K22" s="114">
        <f t="shared" ca="1" si="58"/>
        <v>0</v>
      </c>
      <c r="L22" s="114"/>
      <c r="M22" s="114">
        <f t="shared" ca="1" si="59"/>
        <v>0</v>
      </c>
      <c r="N22" s="18"/>
      <c r="O22" s="38" t="str">
        <f t="shared" ca="1" si="49"/>
        <v/>
      </c>
      <c r="P22" s="39" t="str">
        <f t="shared" ca="1" si="50"/>
        <v/>
      </c>
      <c r="Q22" s="35"/>
      <c r="Y22" s="28"/>
      <c r="Z22" s="28" t="str">
        <f t="shared" si="37"/>
        <v xml:space="preserve">Taxe d'abattage  </v>
      </c>
      <c r="AA22" s="29">
        <f>SUM(AA23:AA32)</f>
        <v>0</v>
      </c>
      <c r="AB22" s="29">
        <f t="shared" ref="AB22:AJ22" si="60">SUM(AB23:AB32)</f>
        <v>0</v>
      </c>
      <c r="AC22" s="29">
        <f t="shared" si="60"/>
        <v>0</v>
      </c>
      <c r="AD22" s="29">
        <f t="shared" si="60"/>
        <v>0</v>
      </c>
      <c r="AE22" s="29">
        <f t="shared" si="60"/>
        <v>0</v>
      </c>
      <c r="AF22" s="29">
        <f t="shared" si="60"/>
        <v>0</v>
      </c>
      <c r="AG22" s="29">
        <f t="shared" si="60"/>
        <v>0</v>
      </c>
      <c r="AH22" s="29">
        <f t="shared" si="60"/>
        <v>0</v>
      </c>
      <c r="AI22" s="29">
        <f t="shared" si="60"/>
        <v>0</v>
      </c>
      <c r="AJ22" s="29">
        <f t="shared" si="60"/>
        <v>0</v>
      </c>
      <c r="AL22" s="28"/>
      <c r="AM22" s="28" t="str">
        <f t="shared" si="40"/>
        <v xml:space="preserve">Taxe d'abattage  </v>
      </c>
      <c r="AN22" s="29">
        <f>SUM(AN23:AN32)</f>
        <v>0</v>
      </c>
      <c r="AO22" s="29">
        <f t="shared" ref="AO22:AV22" si="61">SUM(AO23:AO32)</f>
        <v>0</v>
      </c>
      <c r="AP22" s="29">
        <f t="shared" si="61"/>
        <v>0</v>
      </c>
      <c r="AQ22" s="29">
        <f t="shared" si="61"/>
        <v>0</v>
      </c>
      <c r="AR22" s="29">
        <f t="shared" si="61"/>
        <v>0</v>
      </c>
      <c r="AS22" s="29">
        <f t="shared" si="61"/>
        <v>0</v>
      </c>
      <c r="AT22" s="29">
        <f t="shared" si="61"/>
        <v>0</v>
      </c>
      <c r="AU22" s="29">
        <f t="shared" si="61"/>
        <v>0</v>
      </c>
      <c r="AV22" s="29">
        <f t="shared" si="61"/>
        <v>0</v>
      </c>
      <c r="AW22" s="38"/>
      <c r="AX22" s="28"/>
      <c r="AY22" s="28" t="str">
        <f t="shared" si="43"/>
        <v xml:space="preserve">Taxe d'abattage  </v>
      </c>
      <c r="AZ22" s="29">
        <f t="shared" ref="AZ22:BK22" ca="1" si="62">SUM(AZ23:AZ32)</f>
        <v>0</v>
      </c>
      <c r="BA22" s="29">
        <f t="shared" ca="1" si="62"/>
        <v>0</v>
      </c>
      <c r="BB22" s="29">
        <f t="shared" ca="1" si="62"/>
        <v>0</v>
      </c>
      <c r="BC22" s="29">
        <f t="shared" ca="1" si="62"/>
        <v>0</v>
      </c>
      <c r="BD22" s="29">
        <f t="shared" ca="1" si="62"/>
        <v>0</v>
      </c>
      <c r="BE22" s="29">
        <f t="shared" ca="1" si="62"/>
        <v>0</v>
      </c>
      <c r="BF22" s="29">
        <f t="shared" ca="1" si="62"/>
        <v>0</v>
      </c>
      <c r="BG22" s="29">
        <f t="shared" ca="1" si="62"/>
        <v>0</v>
      </c>
      <c r="BH22" s="29">
        <f t="shared" ca="1" si="62"/>
        <v>0</v>
      </c>
      <c r="BI22" s="29">
        <f t="shared" ca="1" si="62"/>
        <v>0</v>
      </c>
      <c r="BJ22" s="29">
        <f t="shared" ca="1" si="62"/>
        <v>0</v>
      </c>
      <c r="BK22" s="29">
        <f t="shared" ca="1" si="62"/>
        <v>0</v>
      </c>
    </row>
    <row r="23" spans="1:63">
      <c r="A23" s="80">
        <f t="shared" si="29"/>
        <v>11</v>
      </c>
      <c r="B23" s="64">
        <f>+'Taxes RCA 2022'!A16</f>
        <v>11</v>
      </c>
      <c r="C23" s="68" t="str">
        <f>+'Taxes RCA 2022'!B16</f>
        <v>Loyer annuel</v>
      </c>
      <c r="E23" s="165"/>
      <c r="F23" s="165">
        <f t="shared" si="55"/>
        <v>0</v>
      </c>
      <c r="G23" s="165">
        <f t="shared" si="56"/>
        <v>0</v>
      </c>
      <c r="H23" s="114"/>
      <c r="I23" s="165"/>
      <c r="J23" s="165">
        <f t="shared" ca="1" si="57"/>
        <v>0</v>
      </c>
      <c r="K23" s="165">
        <f t="shared" ca="1" si="58"/>
        <v>0</v>
      </c>
      <c r="L23" s="114"/>
      <c r="M23" s="165">
        <f t="shared" ca="1" si="59"/>
        <v>0</v>
      </c>
      <c r="N23" s="68"/>
      <c r="O23" s="38" t="str">
        <f t="shared" ca="1" si="49"/>
        <v/>
      </c>
      <c r="P23" s="39" t="str">
        <f t="shared" ca="1" si="50"/>
        <v/>
      </c>
      <c r="Q23" s="35"/>
      <c r="Y23" s="15">
        <f t="shared" ref="Y23:Z38" si="63">B26</f>
        <v>14</v>
      </c>
      <c r="Z23" s="25" t="str">
        <f t="shared" si="37"/>
        <v xml:space="preserve">Taxe de reboisement  </v>
      </c>
      <c r="AA23" s="16">
        <f t="shared" ref="AA23:AI32" si="64">SUMPRODUCT(($A$84:$A$751=$Y23&amp;"- "&amp;$Z23)*($C$84:$C$751=AA$1)*($G$84:$G$751))</f>
        <v>0</v>
      </c>
      <c r="AB23" s="16">
        <f t="shared" si="64"/>
        <v>0</v>
      </c>
      <c r="AC23" s="16">
        <f t="shared" si="64"/>
        <v>0</v>
      </c>
      <c r="AD23" s="16">
        <f t="shared" si="64"/>
        <v>0</v>
      </c>
      <c r="AE23" s="16">
        <f t="shared" si="64"/>
        <v>0</v>
      </c>
      <c r="AF23" s="16">
        <f t="shared" si="64"/>
        <v>0</v>
      </c>
      <c r="AG23" s="16">
        <f t="shared" si="64"/>
        <v>0</v>
      </c>
      <c r="AH23" s="16">
        <f t="shared" si="64"/>
        <v>0</v>
      </c>
      <c r="AI23" s="16">
        <f t="shared" si="64"/>
        <v>0</v>
      </c>
      <c r="AJ23" s="16">
        <f t="shared" ref="AJ23:AJ28" si="65">SUM(AA23:AI23)</f>
        <v>0</v>
      </c>
      <c r="AL23" s="17">
        <f t="shared" ref="AL23:AM38" si="66">+B26</f>
        <v>14</v>
      </c>
      <c r="AM23" s="26" t="str">
        <f t="shared" si="40"/>
        <v xml:space="preserve">Taxe de reboisement  </v>
      </c>
      <c r="AN23" s="18">
        <f t="shared" ref="AN23:AU32" si="67">SUMPRODUCT(($J$84:$M$746=$AL23&amp;"- "&amp;$AM23)*($N$84:$N$746=AN$1)*($Q$84:$Q$746))</f>
        <v>0</v>
      </c>
      <c r="AO23" s="18">
        <f t="shared" si="67"/>
        <v>0</v>
      </c>
      <c r="AP23" s="18">
        <f t="shared" si="67"/>
        <v>0</v>
      </c>
      <c r="AQ23" s="18">
        <f t="shared" si="67"/>
        <v>0</v>
      </c>
      <c r="AR23" s="18">
        <f t="shared" si="67"/>
        <v>0</v>
      </c>
      <c r="AS23" s="18">
        <f t="shared" si="67"/>
        <v>0</v>
      </c>
      <c r="AT23" s="18">
        <f t="shared" si="67"/>
        <v>0</v>
      </c>
      <c r="AU23" s="18">
        <f t="shared" si="67"/>
        <v>0</v>
      </c>
      <c r="AV23" s="18">
        <f t="shared" ref="AV23:AV28" si="68">SUM(AN23:AU23)</f>
        <v>0</v>
      </c>
      <c r="AW23" s="18"/>
      <c r="AX23" s="17">
        <f t="shared" ref="AX23:AY38" si="69">B26</f>
        <v>14</v>
      </c>
      <c r="AY23" s="26" t="str">
        <f t="shared" si="43"/>
        <v xml:space="preserve">Taxe de reboisement  </v>
      </c>
      <c r="AZ23" s="18">
        <f t="shared" ref="AZ23:BK32" ca="1" si="70">SUMPRODUCT(($C$10:$C$75=$AY23)*($N$10:$N$75=AZ$1)*($M$10:$M$75))</f>
        <v>0</v>
      </c>
      <c r="BA23" s="18">
        <f t="shared" ca="1" si="70"/>
        <v>0</v>
      </c>
      <c r="BB23" s="18">
        <f t="shared" ca="1" si="70"/>
        <v>0</v>
      </c>
      <c r="BC23" s="18">
        <f t="shared" ca="1" si="70"/>
        <v>0</v>
      </c>
      <c r="BD23" s="18">
        <f t="shared" ca="1" si="70"/>
        <v>0</v>
      </c>
      <c r="BE23" s="18">
        <f t="shared" ca="1" si="70"/>
        <v>0</v>
      </c>
      <c r="BF23" s="18">
        <f t="shared" ca="1" si="70"/>
        <v>0</v>
      </c>
      <c r="BG23" s="18">
        <f t="shared" ca="1" si="70"/>
        <v>0</v>
      </c>
      <c r="BH23" s="18">
        <f t="shared" ca="1" si="70"/>
        <v>0</v>
      </c>
      <c r="BI23" s="18">
        <f t="shared" ca="1" si="70"/>
        <v>0</v>
      </c>
      <c r="BJ23" s="18">
        <f t="shared" ca="1" si="70"/>
        <v>0</v>
      </c>
      <c r="BK23" s="18">
        <f t="shared" ca="1" si="70"/>
        <v>0</v>
      </c>
    </row>
    <row r="24" spans="1:63">
      <c r="A24" s="80">
        <f t="shared" si="29"/>
        <v>12</v>
      </c>
      <c r="B24" s="53">
        <f>+'Taxes RCA 2022'!A17</f>
        <v>12</v>
      </c>
      <c r="C24" s="18" t="str">
        <f>+'Taxes RCA 2022'!B17</f>
        <v>Patente</v>
      </c>
      <c r="E24" s="114"/>
      <c r="F24" s="114">
        <f t="shared" si="55"/>
        <v>0</v>
      </c>
      <c r="G24" s="114">
        <f t="shared" si="56"/>
        <v>0</v>
      </c>
      <c r="H24" s="114"/>
      <c r="I24" s="114"/>
      <c r="J24" s="114">
        <f t="shared" ca="1" si="57"/>
        <v>0</v>
      </c>
      <c r="K24" s="114">
        <f t="shared" ca="1" si="58"/>
        <v>0</v>
      </c>
      <c r="L24" s="114"/>
      <c r="M24" s="114">
        <f t="shared" ca="1" si="59"/>
        <v>0</v>
      </c>
      <c r="N24" s="18"/>
      <c r="O24" s="38" t="str">
        <f t="shared" ca="1" si="49"/>
        <v/>
      </c>
      <c r="P24" s="39" t="str">
        <f t="shared" ca="1" si="50"/>
        <v/>
      </c>
      <c r="Q24" s="35"/>
      <c r="R24" s="36" t="s">
        <v>17</v>
      </c>
      <c r="S24" s="37" t="s">
        <v>4</v>
      </c>
      <c r="Y24" s="15">
        <f t="shared" si="63"/>
        <v>15</v>
      </c>
      <c r="Z24" s="25" t="str">
        <f t="shared" si="37"/>
        <v>Impôt sur les fonciers bâtis (IFB)</v>
      </c>
      <c r="AA24" s="16">
        <f t="shared" si="64"/>
        <v>0</v>
      </c>
      <c r="AB24" s="16">
        <f t="shared" si="64"/>
        <v>0</v>
      </c>
      <c r="AC24" s="16">
        <f t="shared" si="64"/>
        <v>0</v>
      </c>
      <c r="AD24" s="16">
        <f t="shared" si="64"/>
        <v>0</v>
      </c>
      <c r="AE24" s="16">
        <f t="shared" si="64"/>
        <v>0</v>
      </c>
      <c r="AF24" s="16">
        <f t="shared" si="64"/>
        <v>0</v>
      </c>
      <c r="AG24" s="16">
        <f t="shared" si="64"/>
        <v>0</v>
      </c>
      <c r="AH24" s="16">
        <f t="shared" si="64"/>
        <v>0</v>
      </c>
      <c r="AI24" s="16">
        <f t="shared" si="64"/>
        <v>0</v>
      </c>
      <c r="AJ24" s="16">
        <f t="shared" si="65"/>
        <v>0</v>
      </c>
      <c r="AL24" s="17">
        <f t="shared" si="66"/>
        <v>15</v>
      </c>
      <c r="AM24" s="26" t="str">
        <f t="shared" si="40"/>
        <v>Impôt sur les fonciers bâtis (IFB)</v>
      </c>
      <c r="AN24" s="18">
        <f t="shared" si="67"/>
        <v>0</v>
      </c>
      <c r="AO24" s="18">
        <f t="shared" si="67"/>
        <v>0</v>
      </c>
      <c r="AP24" s="18">
        <f t="shared" si="67"/>
        <v>0</v>
      </c>
      <c r="AQ24" s="18">
        <f t="shared" si="67"/>
        <v>0</v>
      </c>
      <c r="AR24" s="18">
        <f t="shared" si="67"/>
        <v>0</v>
      </c>
      <c r="AS24" s="18">
        <f t="shared" si="67"/>
        <v>0</v>
      </c>
      <c r="AT24" s="18">
        <f t="shared" si="67"/>
        <v>0</v>
      </c>
      <c r="AU24" s="18">
        <f t="shared" si="67"/>
        <v>0</v>
      </c>
      <c r="AV24" s="18">
        <f t="shared" si="68"/>
        <v>0</v>
      </c>
      <c r="AW24" s="18"/>
      <c r="AX24" s="17">
        <f t="shared" si="69"/>
        <v>15</v>
      </c>
      <c r="AY24" s="26" t="str">
        <f t="shared" si="43"/>
        <v>Impôt sur les fonciers bâtis (IFB)</v>
      </c>
      <c r="AZ24" s="18">
        <f t="shared" ca="1" si="70"/>
        <v>0</v>
      </c>
      <c r="BA24" s="18">
        <f t="shared" ca="1" si="70"/>
        <v>0</v>
      </c>
      <c r="BB24" s="18">
        <f t="shared" ca="1" si="70"/>
        <v>0</v>
      </c>
      <c r="BC24" s="18">
        <f t="shared" ca="1" si="70"/>
        <v>0</v>
      </c>
      <c r="BD24" s="18">
        <f t="shared" ca="1" si="70"/>
        <v>0</v>
      </c>
      <c r="BE24" s="18">
        <f t="shared" ca="1" si="70"/>
        <v>0</v>
      </c>
      <c r="BF24" s="18">
        <f t="shared" ca="1" si="70"/>
        <v>0</v>
      </c>
      <c r="BG24" s="18">
        <f t="shared" ca="1" si="70"/>
        <v>0</v>
      </c>
      <c r="BH24" s="18">
        <f t="shared" ca="1" si="70"/>
        <v>0</v>
      </c>
      <c r="BI24" s="18">
        <f t="shared" ca="1" si="70"/>
        <v>0</v>
      </c>
      <c r="BJ24" s="18">
        <f t="shared" ca="1" si="70"/>
        <v>0</v>
      </c>
      <c r="BK24" s="18">
        <f t="shared" ca="1" si="70"/>
        <v>0</v>
      </c>
    </row>
    <row r="25" spans="1:63">
      <c r="A25" s="80">
        <f t="shared" si="29"/>
        <v>13</v>
      </c>
      <c r="B25" s="64">
        <f>+'Taxes RCA 2022'!A18</f>
        <v>13</v>
      </c>
      <c r="C25" s="68" t="str">
        <f>+'Taxes RCA 2022'!B18</f>
        <v xml:space="preserve">Taxe d'abattage  </v>
      </c>
      <c r="E25" s="165"/>
      <c r="F25" s="165">
        <f t="shared" si="55"/>
        <v>0</v>
      </c>
      <c r="G25" s="165">
        <f t="shared" si="56"/>
        <v>0</v>
      </c>
      <c r="H25" s="114"/>
      <c r="I25" s="165"/>
      <c r="J25" s="165">
        <f t="shared" ca="1" si="57"/>
        <v>0</v>
      </c>
      <c r="K25" s="165">
        <f t="shared" ca="1" si="58"/>
        <v>0</v>
      </c>
      <c r="L25" s="114"/>
      <c r="M25" s="165">
        <f t="shared" ca="1" si="59"/>
        <v>0</v>
      </c>
      <c r="N25" s="68"/>
      <c r="O25" s="38" t="str">
        <f t="shared" ca="1" si="49"/>
        <v/>
      </c>
      <c r="P25" s="39" t="str">
        <f t="shared" ca="1" si="50"/>
        <v/>
      </c>
      <c r="Q25" s="35"/>
      <c r="R25" s="21" t="str">
        <f>Lists!A80</f>
        <v>Taxes perçues non reportées par l'Etat</v>
      </c>
      <c r="S25" s="18">
        <f t="shared" ref="S25:S32" si="71">SUMIF($N$84:$N$747,R25,$Q$84:$Q$747)</f>
        <v>0</v>
      </c>
      <c r="Y25" s="15">
        <f t="shared" si="63"/>
        <v>16</v>
      </c>
      <c r="Z25" s="25" t="str">
        <f t="shared" si="37"/>
        <v>Minimum impôt sur les sociétés (MIS)</v>
      </c>
      <c r="AA25" s="16">
        <f t="shared" si="64"/>
        <v>0</v>
      </c>
      <c r="AB25" s="16">
        <f t="shared" si="64"/>
        <v>0</v>
      </c>
      <c r="AC25" s="16">
        <f t="shared" si="64"/>
        <v>0</v>
      </c>
      <c r="AD25" s="16">
        <f t="shared" si="64"/>
        <v>0</v>
      </c>
      <c r="AE25" s="16">
        <f t="shared" si="64"/>
        <v>0</v>
      </c>
      <c r="AF25" s="16">
        <f t="shared" si="64"/>
        <v>0</v>
      </c>
      <c r="AG25" s="16">
        <f t="shared" si="64"/>
        <v>0</v>
      </c>
      <c r="AH25" s="16">
        <f t="shared" si="64"/>
        <v>0</v>
      </c>
      <c r="AI25" s="16">
        <f t="shared" si="64"/>
        <v>0</v>
      </c>
      <c r="AJ25" s="16">
        <f t="shared" si="65"/>
        <v>0</v>
      </c>
      <c r="AL25" s="17">
        <f t="shared" si="66"/>
        <v>16</v>
      </c>
      <c r="AM25" s="26" t="str">
        <f t="shared" si="40"/>
        <v>Minimum impôt sur les sociétés (MIS)</v>
      </c>
      <c r="AN25" s="18">
        <f t="shared" si="67"/>
        <v>0</v>
      </c>
      <c r="AO25" s="18">
        <f t="shared" si="67"/>
        <v>0</v>
      </c>
      <c r="AP25" s="18">
        <f t="shared" si="67"/>
        <v>0</v>
      </c>
      <c r="AQ25" s="18">
        <f t="shared" si="67"/>
        <v>0</v>
      </c>
      <c r="AR25" s="18">
        <f t="shared" si="67"/>
        <v>0</v>
      </c>
      <c r="AS25" s="18">
        <f t="shared" si="67"/>
        <v>0</v>
      </c>
      <c r="AT25" s="18">
        <f t="shared" si="67"/>
        <v>0</v>
      </c>
      <c r="AU25" s="18">
        <f t="shared" si="67"/>
        <v>0</v>
      </c>
      <c r="AV25" s="18">
        <f t="shared" si="68"/>
        <v>0</v>
      </c>
      <c r="AW25" s="18"/>
      <c r="AX25" s="17">
        <f t="shared" si="69"/>
        <v>16</v>
      </c>
      <c r="AY25" s="26" t="str">
        <f t="shared" si="43"/>
        <v>Minimum impôt sur les sociétés (MIS)</v>
      </c>
      <c r="AZ25" s="18">
        <f t="shared" ca="1" si="70"/>
        <v>0</v>
      </c>
      <c r="BA25" s="18">
        <f t="shared" ca="1" si="70"/>
        <v>0</v>
      </c>
      <c r="BB25" s="18">
        <f t="shared" ca="1" si="70"/>
        <v>0</v>
      </c>
      <c r="BC25" s="18">
        <f t="shared" ca="1" si="70"/>
        <v>0</v>
      </c>
      <c r="BD25" s="18">
        <f t="shared" ca="1" si="70"/>
        <v>0</v>
      </c>
      <c r="BE25" s="18">
        <f t="shared" ca="1" si="70"/>
        <v>0</v>
      </c>
      <c r="BF25" s="18">
        <f t="shared" ca="1" si="70"/>
        <v>0</v>
      </c>
      <c r="BG25" s="18">
        <f t="shared" ca="1" si="70"/>
        <v>0</v>
      </c>
      <c r="BH25" s="18">
        <f t="shared" ca="1" si="70"/>
        <v>0</v>
      </c>
      <c r="BI25" s="18">
        <f t="shared" ca="1" si="70"/>
        <v>0</v>
      </c>
      <c r="BJ25" s="18">
        <f t="shared" ca="1" si="70"/>
        <v>0</v>
      </c>
      <c r="BK25" s="18">
        <f t="shared" ca="1" si="70"/>
        <v>0</v>
      </c>
    </row>
    <row r="26" spans="1:63">
      <c r="A26" s="80">
        <f t="shared" si="29"/>
        <v>14</v>
      </c>
      <c r="B26" s="53">
        <f>+'Taxes RCA 2022'!A19</f>
        <v>14</v>
      </c>
      <c r="C26" s="18" t="str">
        <f>+'Taxes RCA 2022'!B19</f>
        <v xml:space="preserve">Taxe de reboisement  </v>
      </c>
      <c r="E26" s="114"/>
      <c r="F26" s="114">
        <f t="shared" si="55"/>
        <v>0</v>
      </c>
      <c r="G26" s="114">
        <f t="shared" si="56"/>
        <v>0</v>
      </c>
      <c r="H26" s="114"/>
      <c r="I26" s="114"/>
      <c r="J26" s="114">
        <f t="shared" ca="1" si="57"/>
        <v>0</v>
      </c>
      <c r="K26" s="114">
        <f t="shared" ca="1" si="58"/>
        <v>0</v>
      </c>
      <c r="L26" s="114"/>
      <c r="M26" s="114">
        <f t="shared" ca="1" si="59"/>
        <v>0</v>
      </c>
      <c r="N26" s="18"/>
      <c r="O26" s="38" t="str">
        <f t="shared" ca="1" si="49"/>
        <v/>
      </c>
      <c r="P26" s="39" t="str">
        <f t="shared" ca="1" si="50"/>
        <v/>
      </c>
      <c r="Q26" s="35"/>
      <c r="R26" s="21" t="str">
        <f>Lists!A81</f>
        <v>Montant doublement déclaré</v>
      </c>
      <c r="S26" s="18">
        <f t="shared" si="71"/>
        <v>0</v>
      </c>
      <c r="Y26" s="15">
        <f t="shared" si="63"/>
        <v>17</v>
      </c>
      <c r="Z26" s="25" t="str">
        <f t="shared" si="37"/>
        <v xml:space="preserve">Impôt minimum forfaitaire (IMF) </v>
      </c>
      <c r="AA26" s="16">
        <f t="shared" si="64"/>
        <v>0</v>
      </c>
      <c r="AB26" s="16">
        <f t="shared" si="64"/>
        <v>0</v>
      </c>
      <c r="AC26" s="16">
        <f t="shared" si="64"/>
        <v>0</v>
      </c>
      <c r="AD26" s="16">
        <f t="shared" si="64"/>
        <v>0</v>
      </c>
      <c r="AE26" s="16">
        <f t="shared" si="64"/>
        <v>0</v>
      </c>
      <c r="AF26" s="16">
        <f t="shared" si="64"/>
        <v>0</v>
      </c>
      <c r="AG26" s="16">
        <f t="shared" si="64"/>
        <v>0</v>
      </c>
      <c r="AH26" s="16">
        <f t="shared" si="64"/>
        <v>0</v>
      </c>
      <c r="AI26" s="16">
        <f t="shared" si="64"/>
        <v>0</v>
      </c>
      <c r="AJ26" s="16">
        <f t="shared" si="65"/>
        <v>0</v>
      </c>
      <c r="AL26" s="17">
        <f t="shared" si="66"/>
        <v>17</v>
      </c>
      <c r="AM26" s="26" t="str">
        <f t="shared" si="40"/>
        <v xml:space="preserve">Impôt minimum forfaitaire (IMF) </v>
      </c>
      <c r="AN26" s="18">
        <f t="shared" si="67"/>
        <v>0</v>
      </c>
      <c r="AO26" s="18">
        <f t="shared" si="67"/>
        <v>0</v>
      </c>
      <c r="AP26" s="18">
        <f t="shared" si="67"/>
        <v>0</v>
      </c>
      <c r="AQ26" s="18">
        <f t="shared" si="67"/>
        <v>0</v>
      </c>
      <c r="AR26" s="18">
        <f t="shared" si="67"/>
        <v>0</v>
      </c>
      <c r="AS26" s="18">
        <f t="shared" si="67"/>
        <v>0</v>
      </c>
      <c r="AT26" s="18">
        <f t="shared" si="67"/>
        <v>0</v>
      </c>
      <c r="AU26" s="18">
        <f t="shared" si="67"/>
        <v>0</v>
      </c>
      <c r="AV26" s="18">
        <f t="shared" si="68"/>
        <v>0</v>
      </c>
      <c r="AW26" s="18"/>
      <c r="AX26" s="17">
        <f t="shared" si="69"/>
        <v>17</v>
      </c>
      <c r="AY26" s="26" t="str">
        <f t="shared" si="43"/>
        <v xml:space="preserve">Impôt minimum forfaitaire (IMF) </v>
      </c>
      <c r="AZ26" s="18">
        <f t="shared" ca="1" si="70"/>
        <v>0</v>
      </c>
      <c r="BA26" s="18">
        <f t="shared" ca="1" si="70"/>
        <v>0</v>
      </c>
      <c r="BB26" s="18">
        <f t="shared" ca="1" si="70"/>
        <v>0</v>
      </c>
      <c r="BC26" s="18">
        <f t="shared" ca="1" si="70"/>
        <v>0</v>
      </c>
      <c r="BD26" s="18">
        <f t="shared" ca="1" si="70"/>
        <v>0</v>
      </c>
      <c r="BE26" s="18">
        <f t="shared" ca="1" si="70"/>
        <v>0</v>
      </c>
      <c r="BF26" s="18">
        <f t="shared" ca="1" si="70"/>
        <v>0</v>
      </c>
      <c r="BG26" s="18">
        <f t="shared" ca="1" si="70"/>
        <v>0</v>
      </c>
      <c r="BH26" s="18">
        <f t="shared" ca="1" si="70"/>
        <v>0</v>
      </c>
      <c r="BI26" s="18">
        <f t="shared" ca="1" si="70"/>
        <v>0</v>
      </c>
      <c r="BJ26" s="18">
        <f t="shared" ca="1" si="70"/>
        <v>0</v>
      </c>
      <c r="BK26" s="18">
        <f t="shared" ca="1" si="70"/>
        <v>0</v>
      </c>
    </row>
    <row r="27" spans="1:63">
      <c r="A27" s="80">
        <f t="shared" si="29"/>
        <v>15</v>
      </c>
      <c r="B27" s="64">
        <f>+'Taxes RCA 2022'!A20</f>
        <v>15</v>
      </c>
      <c r="C27" s="68" t="str">
        <f>+'Taxes RCA 2022'!B20</f>
        <v>Impôt sur les fonciers bâtis (IFB)</v>
      </c>
      <c r="E27" s="165"/>
      <c r="F27" s="165">
        <f t="shared" si="55"/>
        <v>0</v>
      </c>
      <c r="G27" s="165">
        <f t="shared" si="56"/>
        <v>0</v>
      </c>
      <c r="H27" s="114"/>
      <c r="I27" s="165"/>
      <c r="J27" s="165">
        <f t="shared" ca="1" si="57"/>
        <v>0</v>
      </c>
      <c r="K27" s="165">
        <f t="shared" ca="1" si="58"/>
        <v>0</v>
      </c>
      <c r="L27" s="114"/>
      <c r="M27" s="165">
        <f t="shared" ca="1" si="59"/>
        <v>0</v>
      </c>
      <c r="N27" s="68"/>
      <c r="O27" s="38" t="str">
        <f t="shared" ca="1" si="49"/>
        <v/>
      </c>
      <c r="P27" s="39" t="str">
        <f t="shared" ca="1" si="50"/>
        <v/>
      </c>
      <c r="Q27" s="35"/>
      <c r="R27" s="21" t="str">
        <f>Lists!A82</f>
        <v>Taxes perçues hors de la période de réconciliation</v>
      </c>
      <c r="S27" s="18">
        <f t="shared" si="71"/>
        <v>0</v>
      </c>
      <c r="Y27" s="15">
        <f t="shared" si="63"/>
        <v>18</v>
      </c>
      <c r="Z27" s="25" t="str">
        <f t="shared" si="37"/>
        <v>Précompte</v>
      </c>
      <c r="AA27" s="16">
        <f t="shared" si="64"/>
        <v>0</v>
      </c>
      <c r="AB27" s="16">
        <f t="shared" si="64"/>
        <v>0</v>
      </c>
      <c r="AC27" s="16">
        <f t="shared" si="64"/>
        <v>0</v>
      </c>
      <c r="AD27" s="16">
        <f t="shared" si="64"/>
        <v>0</v>
      </c>
      <c r="AE27" s="16">
        <f t="shared" si="64"/>
        <v>0</v>
      </c>
      <c r="AF27" s="16">
        <f t="shared" si="64"/>
        <v>0</v>
      </c>
      <c r="AG27" s="16">
        <f t="shared" si="64"/>
        <v>0</v>
      </c>
      <c r="AH27" s="16">
        <f t="shared" si="64"/>
        <v>0</v>
      </c>
      <c r="AI27" s="16">
        <f t="shared" si="64"/>
        <v>0</v>
      </c>
      <c r="AJ27" s="16">
        <f t="shared" si="65"/>
        <v>0</v>
      </c>
      <c r="AL27" s="17">
        <f t="shared" si="66"/>
        <v>18</v>
      </c>
      <c r="AM27" s="26" t="str">
        <f t="shared" si="40"/>
        <v>Précompte</v>
      </c>
      <c r="AN27" s="18">
        <f t="shared" si="67"/>
        <v>0</v>
      </c>
      <c r="AO27" s="18">
        <f t="shared" si="67"/>
        <v>0</v>
      </c>
      <c r="AP27" s="18">
        <f t="shared" si="67"/>
        <v>0</v>
      </c>
      <c r="AQ27" s="18">
        <f t="shared" si="67"/>
        <v>0</v>
      </c>
      <c r="AR27" s="18">
        <f t="shared" si="67"/>
        <v>0</v>
      </c>
      <c r="AS27" s="18">
        <f t="shared" si="67"/>
        <v>0</v>
      </c>
      <c r="AT27" s="18">
        <f t="shared" si="67"/>
        <v>0</v>
      </c>
      <c r="AU27" s="18">
        <f t="shared" si="67"/>
        <v>0</v>
      </c>
      <c r="AV27" s="18">
        <f t="shared" si="68"/>
        <v>0</v>
      </c>
      <c r="AW27" s="18"/>
      <c r="AX27" s="17">
        <f t="shared" si="69"/>
        <v>18</v>
      </c>
      <c r="AY27" s="26" t="str">
        <f t="shared" si="43"/>
        <v>Précompte</v>
      </c>
      <c r="AZ27" s="18">
        <f t="shared" ca="1" si="70"/>
        <v>0</v>
      </c>
      <c r="BA27" s="18">
        <f t="shared" ca="1" si="70"/>
        <v>0</v>
      </c>
      <c r="BB27" s="18">
        <f t="shared" ca="1" si="70"/>
        <v>0</v>
      </c>
      <c r="BC27" s="18">
        <f t="shared" ca="1" si="70"/>
        <v>0</v>
      </c>
      <c r="BD27" s="18">
        <f t="shared" ca="1" si="70"/>
        <v>0</v>
      </c>
      <c r="BE27" s="18">
        <f t="shared" ca="1" si="70"/>
        <v>0</v>
      </c>
      <c r="BF27" s="18">
        <f t="shared" ca="1" si="70"/>
        <v>0</v>
      </c>
      <c r="BG27" s="18">
        <f t="shared" ca="1" si="70"/>
        <v>0</v>
      </c>
      <c r="BH27" s="18">
        <f t="shared" ca="1" si="70"/>
        <v>0</v>
      </c>
      <c r="BI27" s="18">
        <f t="shared" ca="1" si="70"/>
        <v>0</v>
      </c>
      <c r="BJ27" s="18">
        <f t="shared" ca="1" si="70"/>
        <v>0</v>
      </c>
      <c r="BK27" s="18">
        <f t="shared" ca="1" si="70"/>
        <v>0</v>
      </c>
    </row>
    <row r="28" spans="1:63">
      <c r="A28" s="80">
        <f t="shared" si="29"/>
        <v>16</v>
      </c>
      <c r="B28" s="53">
        <f>+'Taxes RCA 2022'!A21</f>
        <v>16</v>
      </c>
      <c r="C28" s="18" t="str">
        <f>+'Taxes RCA 2022'!B21</f>
        <v>Minimum impôt sur les sociétés (MIS)</v>
      </c>
      <c r="E28" s="114"/>
      <c r="F28" s="114">
        <f t="shared" si="55"/>
        <v>0</v>
      </c>
      <c r="G28" s="114">
        <f t="shared" si="56"/>
        <v>0</v>
      </c>
      <c r="H28" s="114"/>
      <c r="I28" s="114"/>
      <c r="J28" s="114">
        <f t="shared" ca="1" si="57"/>
        <v>0</v>
      </c>
      <c r="K28" s="114">
        <f t="shared" ca="1" si="58"/>
        <v>0</v>
      </c>
      <c r="L28" s="114"/>
      <c r="M28" s="114">
        <f t="shared" ca="1" si="59"/>
        <v>0</v>
      </c>
      <c r="N28" s="18"/>
      <c r="O28" s="38" t="str">
        <f t="shared" ca="1" si="49"/>
        <v/>
      </c>
      <c r="P28" s="39" t="str">
        <f t="shared" ca="1" si="50"/>
        <v/>
      </c>
      <c r="Q28" s="35"/>
      <c r="R28" s="21" t="str">
        <f>Lists!A83</f>
        <v>Erreur de reporting (montant et détail)</v>
      </c>
      <c r="S28" s="18">
        <f t="shared" si="71"/>
        <v>0</v>
      </c>
      <c r="Y28" s="15">
        <f t="shared" si="63"/>
        <v>19</v>
      </c>
      <c r="Z28" s="25" t="str">
        <f t="shared" si="37"/>
        <v>Taxe sur la valeur ajoutée (TVA)</v>
      </c>
      <c r="AA28" s="16">
        <f t="shared" si="64"/>
        <v>0</v>
      </c>
      <c r="AB28" s="16">
        <f t="shared" si="64"/>
        <v>0</v>
      </c>
      <c r="AC28" s="16">
        <f t="shared" si="64"/>
        <v>0</v>
      </c>
      <c r="AD28" s="16">
        <f t="shared" si="64"/>
        <v>0</v>
      </c>
      <c r="AE28" s="16">
        <f t="shared" si="64"/>
        <v>0</v>
      </c>
      <c r="AF28" s="16">
        <f t="shared" si="64"/>
        <v>0</v>
      </c>
      <c r="AG28" s="16">
        <f t="shared" si="64"/>
        <v>0</v>
      </c>
      <c r="AH28" s="16">
        <f t="shared" si="64"/>
        <v>0</v>
      </c>
      <c r="AI28" s="16">
        <f t="shared" si="64"/>
        <v>0</v>
      </c>
      <c r="AJ28" s="16">
        <f t="shared" si="65"/>
        <v>0</v>
      </c>
      <c r="AL28" s="17">
        <f t="shared" si="66"/>
        <v>19</v>
      </c>
      <c r="AM28" s="26" t="str">
        <f t="shared" si="40"/>
        <v>Taxe sur la valeur ajoutée (TVA)</v>
      </c>
      <c r="AN28" s="18">
        <f t="shared" si="67"/>
        <v>0</v>
      </c>
      <c r="AO28" s="18">
        <f t="shared" si="67"/>
        <v>0</v>
      </c>
      <c r="AP28" s="18">
        <f t="shared" si="67"/>
        <v>0</v>
      </c>
      <c r="AQ28" s="18">
        <f t="shared" si="67"/>
        <v>0</v>
      </c>
      <c r="AR28" s="18">
        <f t="shared" si="67"/>
        <v>0</v>
      </c>
      <c r="AS28" s="18">
        <f t="shared" si="67"/>
        <v>0</v>
      </c>
      <c r="AT28" s="18">
        <f t="shared" si="67"/>
        <v>0</v>
      </c>
      <c r="AU28" s="18">
        <f t="shared" si="67"/>
        <v>0</v>
      </c>
      <c r="AV28" s="18">
        <f t="shared" si="68"/>
        <v>0</v>
      </c>
      <c r="AW28" s="18"/>
      <c r="AX28" s="17">
        <f t="shared" si="69"/>
        <v>19</v>
      </c>
      <c r="AY28" s="26" t="str">
        <f t="shared" si="43"/>
        <v>Taxe sur la valeur ajoutée (TVA)</v>
      </c>
      <c r="AZ28" s="18">
        <f t="shared" ca="1" si="70"/>
        <v>0</v>
      </c>
      <c r="BA28" s="18">
        <f t="shared" ca="1" si="70"/>
        <v>0</v>
      </c>
      <c r="BB28" s="18">
        <f t="shared" ca="1" si="70"/>
        <v>0</v>
      </c>
      <c r="BC28" s="18">
        <f t="shared" ca="1" si="70"/>
        <v>0</v>
      </c>
      <c r="BD28" s="18">
        <f t="shared" ca="1" si="70"/>
        <v>0</v>
      </c>
      <c r="BE28" s="18">
        <f t="shared" ca="1" si="70"/>
        <v>0</v>
      </c>
      <c r="BF28" s="18">
        <f t="shared" ca="1" si="70"/>
        <v>0</v>
      </c>
      <c r="BG28" s="18">
        <f t="shared" ca="1" si="70"/>
        <v>0</v>
      </c>
      <c r="BH28" s="18">
        <f t="shared" ca="1" si="70"/>
        <v>0</v>
      </c>
      <c r="BI28" s="18">
        <f t="shared" ca="1" si="70"/>
        <v>0</v>
      </c>
      <c r="BJ28" s="18">
        <f t="shared" ca="1" si="70"/>
        <v>0</v>
      </c>
      <c r="BK28" s="18">
        <f t="shared" ca="1" si="70"/>
        <v>0</v>
      </c>
    </row>
    <row r="29" spans="1:63">
      <c r="A29" s="80">
        <f t="shared" si="29"/>
        <v>17</v>
      </c>
      <c r="B29" s="64">
        <f>+'Taxes RCA 2022'!A22</f>
        <v>17</v>
      </c>
      <c r="C29" s="68" t="str">
        <f>+'Taxes RCA 2022'!B22</f>
        <v xml:space="preserve">Impôt minimum forfaitaire (IMF) </v>
      </c>
      <c r="E29" s="165"/>
      <c r="F29" s="165">
        <f t="shared" si="55"/>
        <v>0</v>
      </c>
      <c r="G29" s="165">
        <f t="shared" si="56"/>
        <v>0</v>
      </c>
      <c r="H29" s="114"/>
      <c r="I29" s="165"/>
      <c r="J29" s="165">
        <f t="shared" ca="1" si="57"/>
        <v>0</v>
      </c>
      <c r="K29" s="165">
        <f t="shared" ca="1" si="58"/>
        <v>0</v>
      </c>
      <c r="L29" s="114"/>
      <c r="M29" s="165">
        <f t="shared" ca="1" si="59"/>
        <v>0</v>
      </c>
      <c r="N29" s="68"/>
      <c r="O29" s="38" t="str">
        <f t="shared" ca="1" si="49"/>
        <v/>
      </c>
      <c r="P29" s="39" t="str">
        <f t="shared" ca="1" si="50"/>
        <v/>
      </c>
      <c r="Q29" s="35"/>
      <c r="R29" s="21" t="str">
        <f>Lists!A84</f>
        <v>Taxe reportée par l'Etat non réellement encaissée</v>
      </c>
      <c r="S29" s="18">
        <f t="shared" si="71"/>
        <v>0</v>
      </c>
      <c r="Y29" s="15">
        <f t="shared" si="63"/>
        <v>20</v>
      </c>
      <c r="Z29" s="25" t="str">
        <f t="shared" si="63"/>
        <v>Impôt sur les revenus des loyers (IRL)</v>
      </c>
      <c r="AA29" s="16">
        <f t="shared" si="64"/>
        <v>0</v>
      </c>
      <c r="AB29" s="16">
        <f t="shared" si="64"/>
        <v>0</v>
      </c>
      <c r="AC29" s="16">
        <f t="shared" si="64"/>
        <v>0</v>
      </c>
      <c r="AD29" s="16">
        <f t="shared" si="64"/>
        <v>0</v>
      </c>
      <c r="AE29" s="16">
        <f t="shared" si="64"/>
        <v>0</v>
      </c>
      <c r="AF29" s="16">
        <f t="shared" si="64"/>
        <v>0</v>
      </c>
      <c r="AG29" s="16">
        <f t="shared" si="64"/>
        <v>0</v>
      </c>
      <c r="AH29" s="16">
        <f t="shared" si="64"/>
        <v>0</v>
      </c>
      <c r="AI29" s="16">
        <f t="shared" si="64"/>
        <v>0</v>
      </c>
      <c r="AJ29" s="16">
        <f>SUM(AA29:AI29)</f>
        <v>0</v>
      </c>
      <c r="AL29" s="17">
        <f t="shared" si="66"/>
        <v>20</v>
      </c>
      <c r="AM29" s="26" t="str">
        <f t="shared" si="66"/>
        <v>Impôt sur les revenus des loyers (IRL)</v>
      </c>
      <c r="AN29" s="18">
        <f t="shared" si="67"/>
        <v>0</v>
      </c>
      <c r="AO29" s="18">
        <f t="shared" si="67"/>
        <v>0</v>
      </c>
      <c r="AP29" s="18">
        <f t="shared" si="67"/>
        <v>0</v>
      </c>
      <c r="AQ29" s="18">
        <f t="shared" si="67"/>
        <v>0</v>
      </c>
      <c r="AR29" s="18">
        <f t="shared" si="67"/>
        <v>0</v>
      </c>
      <c r="AS29" s="18">
        <f t="shared" si="67"/>
        <v>0</v>
      </c>
      <c r="AT29" s="18">
        <f t="shared" si="67"/>
        <v>0</v>
      </c>
      <c r="AU29" s="18">
        <f t="shared" si="67"/>
        <v>0</v>
      </c>
      <c r="AV29" s="18">
        <f>SUM(AN29:AU29)</f>
        <v>0</v>
      </c>
      <c r="AW29" s="18"/>
      <c r="AX29" s="17">
        <f t="shared" si="69"/>
        <v>20</v>
      </c>
      <c r="AY29" s="26" t="str">
        <f t="shared" si="69"/>
        <v>Impôt sur les revenus des loyers (IRL)</v>
      </c>
      <c r="AZ29" s="18">
        <f t="shared" ca="1" si="70"/>
        <v>0</v>
      </c>
      <c r="BA29" s="18">
        <f t="shared" ca="1" si="70"/>
        <v>0</v>
      </c>
      <c r="BB29" s="18">
        <f t="shared" ca="1" si="70"/>
        <v>0</v>
      </c>
      <c r="BC29" s="18">
        <f t="shared" ca="1" si="70"/>
        <v>0</v>
      </c>
      <c r="BD29" s="18">
        <f t="shared" ca="1" si="70"/>
        <v>0</v>
      </c>
      <c r="BE29" s="18">
        <f t="shared" ca="1" si="70"/>
        <v>0</v>
      </c>
      <c r="BF29" s="18">
        <f t="shared" ca="1" si="70"/>
        <v>0</v>
      </c>
      <c r="BG29" s="18">
        <f t="shared" ca="1" si="70"/>
        <v>0</v>
      </c>
      <c r="BH29" s="18">
        <f t="shared" ca="1" si="70"/>
        <v>0</v>
      </c>
      <c r="BI29" s="18">
        <f t="shared" ca="1" si="70"/>
        <v>0</v>
      </c>
      <c r="BJ29" s="18">
        <f t="shared" ca="1" si="70"/>
        <v>0</v>
      </c>
      <c r="BK29" s="18">
        <f t="shared" ca="1" si="70"/>
        <v>0</v>
      </c>
    </row>
    <row r="30" spans="1:63">
      <c r="A30" s="80">
        <f t="shared" si="29"/>
        <v>18</v>
      </c>
      <c r="B30" s="53">
        <f>+'Taxes RCA 2022'!A23</f>
        <v>18</v>
      </c>
      <c r="C30" s="18" t="str">
        <f>+'Taxes RCA 2022'!B23</f>
        <v>Précompte</v>
      </c>
      <c r="E30" s="114"/>
      <c r="F30" s="114">
        <f t="shared" si="55"/>
        <v>0</v>
      </c>
      <c r="G30" s="114">
        <f t="shared" si="56"/>
        <v>0</v>
      </c>
      <c r="H30" s="114"/>
      <c r="I30" s="114"/>
      <c r="J30" s="114">
        <f t="shared" ca="1" si="57"/>
        <v>0</v>
      </c>
      <c r="K30" s="114">
        <f t="shared" ca="1" si="58"/>
        <v>0</v>
      </c>
      <c r="L30" s="114"/>
      <c r="M30" s="114">
        <f t="shared" ca="1" si="59"/>
        <v>0</v>
      </c>
      <c r="N30" s="18"/>
      <c r="O30" s="38" t="str">
        <f t="shared" ca="1" si="49"/>
        <v/>
      </c>
      <c r="P30" s="39" t="str">
        <f t="shared" ca="1" si="50"/>
        <v/>
      </c>
      <c r="Q30" s="35"/>
      <c r="R30" s="21" t="str">
        <f>Lists!A85</f>
        <v>Erreur de classification</v>
      </c>
      <c r="S30" s="18">
        <f t="shared" si="71"/>
        <v>0</v>
      </c>
      <c r="Y30" s="15">
        <f t="shared" si="63"/>
        <v>21</v>
      </c>
      <c r="Z30" s="25" t="str">
        <f t="shared" si="63"/>
        <v>Droits fixes (sur l'octroi, renouvellement, transfert) (+)</v>
      </c>
      <c r="AA30" s="16">
        <f t="shared" si="64"/>
        <v>0</v>
      </c>
      <c r="AB30" s="16">
        <f t="shared" si="64"/>
        <v>0</v>
      </c>
      <c r="AC30" s="16">
        <f t="shared" si="64"/>
        <v>0</v>
      </c>
      <c r="AD30" s="16">
        <f t="shared" si="64"/>
        <v>0</v>
      </c>
      <c r="AE30" s="16">
        <f t="shared" si="64"/>
        <v>0</v>
      </c>
      <c r="AF30" s="16">
        <f t="shared" si="64"/>
        <v>0</v>
      </c>
      <c r="AG30" s="16">
        <f t="shared" si="64"/>
        <v>0</v>
      </c>
      <c r="AH30" s="16">
        <f t="shared" si="64"/>
        <v>0</v>
      </c>
      <c r="AI30" s="16">
        <f t="shared" si="64"/>
        <v>0</v>
      </c>
      <c r="AJ30" s="16">
        <f>SUM(AA30:AI30)</f>
        <v>0</v>
      </c>
      <c r="AL30" s="17">
        <f t="shared" si="66"/>
        <v>21</v>
      </c>
      <c r="AM30" s="26" t="str">
        <f t="shared" si="66"/>
        <v>Droits fixes (sur l'octroi, renouvellement, transfert) (+)</v>
      </c>
      <c r="AN30" s="18">
        <f t="shared" si="67"/>
        <v>0</v>
      </c>
      <c r="AO30" s="18">
        <f t="shared" si="67"/>
        <v>0</v>
      </c>
      <c r="AP30" s="18">
        <f t="shared" si="67"/>
        <v>0</v>
      </c>
      <c r="AQ30" s="18">
        <f t="shared" si="67"/>
        <v>0</v>
      </c>
      <c r="AR30" s="18">
        <f t="shared" si="67"/>
        <v>0</v>
      </c>
      <c r="AS30" s="18">
        <f t="shared" si="67"/>
        <v>0</v>
      </c>
      <c r="AT30" s="18">
        <f t="shared" si="67"/>
        <v>0</v>
      </c>
      <c r="AU30" s="18">
        <f t="shared" si="67"/>
        <v>0</v>
      </c>
      <c r="AV30" s="18">
        <f>SUM(AN30:AU30)</f>
        <v>0</v>
      </c>
      <c r="AW30" s="18"/>
      <c r="AX30" s="17">
        <f t="shared" si="69"/>
        <v>21</v>
      </c>
      <c r="AY30" s="26" t="str">
        <f t="shared" si="69"/>
        <v>Droits fixes (sur l'octroi, renouvellement, transfert) (+)</v>
      </c>
      <c r="AZ30" s="18">
        <f t="shared" ca="1" si="70"/>
        <v>0</v>
      </c>
      <c r="BA30" s="18">
        <f t="shared" ca="1" si="70"/>
        <v>0</v>
      </c>
      <c r="BB30" s="18">
        <f t="shared" ca="1" si="70"/>
        <v>0</v>
      </c>
      <c r="BC30" s="18">
        <f t="shared" ca="1" si="70"/>
        <v>0</v>
      </c>
      <c r="BD30" s="18">
        <f t="shared" ca="1" si="70"/>
        <v>0</v>
      </c>
      <c r="BE30" s="18">
        <f t="shared" ca="1" si="70"/>
        <v>0</v>
      </c>
      <c r="BF30" s="18">
        <f t="shared" ca="1" si="70"/>
        <v>0</v>
      </c>
      <c r="BG30" s="18">
        <f t="shared" ca="1" si="70"/>
        <v>0</v>
      </c>
      <c r="BH30" s="18">
        <f t="shared" ca="1" si="70"/>
        <v>0</v>
      </c>
      <c r="BI30" s="18">
        <f t="shared" ca="1" si="70"/>
        <v>0</v>
      </c>
      <c r="BJ30" s="18">
        <f t="shared" ca="1" si="70"/>
        <v>0</v>
      </c>
      <c r="BK30" s="18">
        <f t="shared" ca="1" si="70"/>
        <v>0</v>
      </c>
    </row>
    <row r="31" spans="1:63">
      <c r="A31" s="80">
        <f t="shared" si="29"/>
        <v>19</v>
      </c>
      <c r="B31" s="64">
        <f>+'Taxes RCA 2022'!A24</f>
        <v>19</v>
      </c>
      <c r="C31" s="68" t="str">
        <f>+'Taxes RCA 2022'!B24</f>
        <v>Taxe sur la valeur ajoutée (TVA)</v>
      </c>
      <c r="E31" s="165"/>
      <c r="F31" s="165">
        <f t="shared" si="55"/>
        <v>0</v>
      </c>
      <c r="G31" s="165">
        <f t="shared" si="56"/>
        <v>0</v>
      </c>
      <c r="H31" s="114"/>
      <c r="I31" s="165"/>
      <c r="J31" s="165">
        <f t="shared" ca="1" si="57"/>
        <v>0</v>
      </c>
      <c r="K31" s="165">
        <f t="shared" ca="1" si="58"/>
        <v>0</v>
      </c>
      <c r="L31" s="114"/>
      <c r="M31" s="165">
        <f t="shared" ca="1" si="59"/>
        <v>0</v>
      </c>
      <c r="N31" s="68"/>
      <c r="O31" s="38" t="str">
        <f t="shared" ca="1" si="49"/>
        <v/>
      </c>
      <c r="P31" s="39" t="str">
        <f t="shared" ca="1" si="50"/>
        <v/>
      </c>
      <c r="Q31" s="35"/>
      <c r="R31" s="21" t="str">
        <f>Lists!A86</f>
        <v>Taxes payées par la Ste sur un autre NINEA non reporté par l'Etat</v>
      </c>
      <c r="S31" s="18">
        <f t="shared" si="71"/>
        <v>0</v>
      </c>
      <c r="Y31" s="15">
        <f t="shared" si="63"/>
        <v>22</v>
      </c>
      <c r="Z31" s="25" t="str">
        <f t="shared" si="63"/>
        <v>Les redevances proportionnelles ou royalties sur les autorisations d'exploitation de carrière et les exploitations des mines (+)</v>
      </c>
      <c r="AA31" s="16">
        <f t="shared" si="64"/>
        <v>0</v>
      </c>
      <c r="AB31" s="16">
        <f t="shared" si="64"/>
        <v>0</v>
      </c>
      <c r="AC31" s="16">
        <f t="shared" si="64"/>
        <v>0</v>
      </c>
      <c r="AD31" s="16">
        <f t="shared" si="64"/>
        <v>0</v>
      </c>
      <c r="AE31" s="16">
        <f t="shared" si="64"/>
        <v>0</v>
      </c>
      <c r="AF31" s="16">
        <f t="shared" si="64"/>
        <v>0</v>
      </c>
      <c r="AG31" s="16">
        <f t="shared" si="64"/>
        <v>0</v>
      </c>
      <c r="AH31" s="16">
        <f t="shared" si="64"/>
        <v>0</v>
      </c>
      <c r="AI31" s="16">
        <f t="shared" si="64"/>
        <v>0</v>
      </c>
      <c r="AJ31" s="16">
        <f>SUM(AA31:AI31)</f>
        <v>0</v>
      </c>
      <c r="AL31" s="17">
        <f t="shared" si="66"/>
        <v>22</v>
      </c>
      <c r="AM31" s="26" t="str">
        <f t="shared" si="66"/>
        <v>Les redevances proportionnelles ou royalties sur les autorisations d'exploitation de carrière et les exploitations des mines (+)</v>
      </c>
      <c r="AN31" s="18">
        <f t="shared" si="67"/>
        <v>0</v>
      </c>
      <c r="AO31" s="18">
        <f t="shared" si="67"/>
        <v>0</v>
      </c>
      <c r="AP31" s="18">
        <f t="shared" si="67"/>
        <v>0</v>
      </c>
      <c r="AQ31" s="18">
        <f t="shared" si="67"/>
        <v>0</v>
      </c>
      <c r="AR31" s="18">
        <f t="shared" si="67"/>
        <v>0</v>
      </c>
      <c r="AS31" s="18">
        <f t="shared" si="67"/>
        <v>0</v>
      </c>
      <c r="AT31" s="18">
        <f t="shared" si="67"/>
        <v>0</v>
      </c>
      <c r="AU31" s="18">
        <f t="shared" si="67"/>
        <v>0</v>
      </c>
      <c r="AV31" s="18">
        <f>SUM(AN31:AU31)</f>
        <v>0</v>
      </c>
      <c r="AW31" s="18"/>
      <c r="AX31" s="17">
        <f t="shared" si="69"/>
        <v>22</v>
      </c>
      <c r="AY31" s="26" t="str">
        <f t="shared" si="69"/>
        <v>Les redevances proportionnelles ou royalties sur les autorisations d'exploitation de carrière et les exploitations des mines (+)</v>
      </c>
      <c r="AZ31" s="18">
        <f t="shared" ca="1" si="70"/>
        <v>0</v>
      </c>
      <c r="BA31" s="18">
        <f t="shared" ca="1" si="70"/>
        <v>0</v>
      </c>
      <c r="BB31" s="18">
        <f t="shared" ca="1" si="70"/>
        <v>0</v>
      </c>
      <c r="BC31" s="18">
        <f t="shared" ca="1" si="70"/>
        <v>0</v>
      </c>
      <c r="BD31" s="18">
        <f t="shared" ca="1" si="70"/>
        <v>0</v>
      </c>
      <c r="BE31" s="18">
        <f t="shared" ca="1" si="70"/>
        <v>0</v>
      </c>
      <c r="BF31" s="18">
        <f t="shared" ca="1" si="70"/>
        <v>0</v>
      </c>
      <c r="BG31" s="18">
        <f t="shared" ca="1" si="70"/>
        <v>0</v>
      </c>
      <c r="BH31" s="18">
        <f t="shared" ca="1" si="70"/>
        <v>0</v>
      </c>
      <c r="BI31" s="18">
        <f t="shared" ca="1" si="70"/>
        <v>0</v>
      </c>
      <c r="BJ31" s="18">
        <f t="shared" ca="1" si="70"/>
        <v>0</v>
      </c>
      <c r="BK31" s="18">
        <f t="shared" ca="1" si="70"/>
        <v>0</v>
      </c>
    </row>
    <row r="32" spans="1:63">
      <c r="A32" s="80">
        <f t="shared" si="29"/>
        <v>20</v>
      </c>
      <c r="B32" s="53">
        <f>+'Taxes RCA 2022'!A25</f>
        <v>20</v>
      </c>
      <c r="C32" s="18" t="str">
        <f>+'Taxes RCA 2022'!B25</f>
        <v>Impôt sur les revenus des loyers (IRL)</v>
      </c>
      <c r="E32" s="114"/>
      <c r="F32" s="114">
        <f t="shared" si="55"/>
        <v>0</v>
      </c>
      <c r="G32" s="114">
        <f t="shared" si="56"/>
        <v>0</v>
      </c>
      <c r="H32" s="114"/>
      <c r="I32" s="114"/>
      <c r="J32" s="114">
        <f t="shared" ca="1" si="57"/>
        <v>0</v>
      </c>
      <c r="K32" s="114">
        <f t="shared" ca="1" si="58"/>
        <v>0</v>
      </c>
      <c r="L32" s="114"/>
      <c r="M32" s="114">
        <f t="shared" ca="1" si="59"/>
        <v>0</v>
      </c>
      <c r="N32" s="18"/>
      <c r="O32" s="38" t="str">
        <f t="shared" ca="1" si="49"/>
        <v/>
      </c>
      <c r="P32" s="39" t="str">
        <f t="shared" ca="1" si="50"/>
        <v/>
      </c>
      <c r="Q32" s="35"/>
      <c r="R32" s="21" t="str">
        <f>Lists!A87</f>
        <v>Taxes hors périmètre de réconciliation</v>
      </c>
      <c r="S32" s="18">
        <f t="shared" si="71"/>
        <v>0</v>
      </c>
      <c r="Y32" s="15">
        <f t="shared" si="63"/>
        <v>23</v>
      </c>
      <c r="Z32" s="25" t="str">
        <f t="shared" si="63"/>
        <v>Impôt sur les revenus des capitaux mobiliers (RCM) (+)</v>
      </c>
      <c r="AA32" s="16">
        <f t="shared" si="64"/>
        <v>0</v>
      </c>
      <c r="AB32" s="16">
        <f t="shared" si="64"/>
        <v>0</v>
      </c>
      <c r="AC32" s="16">
        <f t="shared" si="64"/>
        <v>0</v>
      </c>
      <c r="AD32" s="16">
        <f t="shared" si="64"/>
        <v>0</v>
      </c>
      <c r="AE32" s="16">
        <f t="shared" si="64"/>
        <v>0</v>
      </c>
      <c r="AF32" s="16">
        <f t="shared" si="64"/>
        <v>0</v>
      </c>
      <c r="AG32" s="16">
        <f t="shared" si="64"/>
        <v>0</v>
      </c>
      <c r="AH32" s="16">
        <f t="shared" si="64"/>
        <v>0</v>
      </c>
      <c r="AI32" s="16">
        <f t="shared" si="64"/>
        <v>0</v>
      </c>
      <c r="AJ32" s="16">
        <f>SUM(AA32:AI32)</f>
        <v>0</v>
      </c>
      <c r="AL32" s="17">
        <f t="shared" si="66"/>
        <v>23</v>
      </c>
      <c r="AM32" s="26" t="str">
        <f t="shared" si="66"/>
        <v>Impôt sur les revenus des capitaux mobiliers (RCM) (+)</v>
      </c>
      <c r="AN32" s="18">
        <f t="shared" si="67"/>
        <v>0</v>
      </c>
      <c r="AO32" s="18">
        <f t="shared" si="67"/>
        <v>0</v>
      </c>
      <c r="AP32" s="18">
        <f t="shared" si="67"/>
        <v>0</v>
      </c>
      <c r="AQ32" s="18">
        <f t="shared" si="67"/>
        <v>0</v>
      </c>
      <c r="AR32" s="18">
        <f t="shared" si="67"/>
        <v>0</v>
      </c>
      <c r="AS32" s="18">
        <f t="shared" si="67"/>
        <v>0</v>
      </c>
      <c r="AT32" s="18">
        <f t="shared" si="67"/>
        <v>0</v>
      </c>
      <c r="AU32" s="18">
        <f t="shared" si="67"/>
        <v>0</v>
      </c>
      <c r="AV32" s="18">
        <f>SUM(AN32:AU32)</f>
        <v>0</v>
      </c>
      <c r="AW32" s="38"/>
      <c r="AX32" s="17">
        <f t="shared" si="69"/>
        <v>23</v>
      </c>
      <c r="AY32" s="26" t="str">
        <f t="shared" si="69"/>
        <v>Impôt sur les revenus des capitaux mobiliers (RCM) (+)</v>
      </c>
      <c r="AZ32" s="18">
        <f t="shared" ca="1" si="70"/>
        <v>0</v>
      </c>
      <c r="BA32" s="18">
        <f t="shared" ca="1" si="70"/>
        <v>0</v>
      </c>
      <c r="BB32" s="18">
        <f t="shared" ca="1" si="70"/>
        <v>0</v>
      </c>
      <c r="BC32" s="18">
        <f t="shared" ca="1" si="70"/>
        <v>0</v>
      </c>
      <c r="BD32" s="18">
        <f t="shared" ca="1" si="70"/>
        <v>0</v>
      </c>
      <c r="BE32" s="18">
        <f t="shared" ca="1" si="70"/>
        <v>0</v>
      </c>
      <c r="BF32" s="18">
        <f t="shared" ca="1" si="70"/>
        <v>0</v>
      </c>
      <c r="BG32" s="18">
        <f t="shared" ca="1" si="70"/>
        <v>0</v>
      </c>
      <c r="BH32" s="18">
        <f t="shared" ca="1" si="70"/>
        <v>0</v>
      </c>
      <c r="BI32" s="18">
        <f t="shared" ca="1" si="70"/>
        <v>0</v>
      </c>
      <c r="BJ32" s="18">
        <f t="shared" ca="1" si="70"/>
        <v>0</v>
      </c>
      <c r="BK32" s="18">
        <f t="shared" ca="1" si="70"/>
        <v>0</v>
      </c>
    </row>
    <row r="33" spans="1:63">
      <c r="A33" s="80">
        <f t="shared" si="29"/>
        <v>21</v>
      </c>
      <c r="B33" s="64">
        <f>+'Taxes RCA 2022'!A26</f>
        <v>21</v>
      </c>
      <c r="C33" s="68" t="str">
        <f>+'Taxes RCA 2022'!B26</f>
        <v>Droits fixes (sur l'octroi, renouvellement, transfert) (+)</v>
      </c>
      <c r="E33" s="165"/>
      <c r="F33" s="165">
        <f t="shared" si="55"/>
        <v>0</v>
      </c>
      <c r="G33" s="165">
        <f t="shared" si="56"/>
        <v>0</v>
      </c>
      <c r="H33" s="114"/>
      <c r="I33" s="165"/>
      <c r="J33" s="165">
        <f t="shared" ca="1" si="57"/>
        <v>0</v>
      </c>
      <c r="K33" s="165">
        <f t="shared" ca="1" si="58"/>
        <v>0</v>
      </c>
      <c r="L33" s="114"/>
      <c r="M33" s="165">
        <f t="shared" ca="1" si="59"/>
        <v>0</v>
      </c>
      <c r="N33" s="68"/>
      <c r="O33" s="38" t="str">
        <f t="shared" ca="1" si="49"/>
        <v/>
      </c>
      <c r="P33" s="39" t="str">
        <f t="shared" ca="1" si="50"/>
        <v/>
      </c>
      <c r="Q33" s="35"/>
      <c r="R33" s="40" t="s">
        <v>18</v>
      </c>
      <c r="S33" s="22">
        <f>SUM(S25:S32)</f>
        <v>0</v>
      </c>
      <c r="Y33" s="28"/>
      <c r="Z33" s="28" t="str">
        <f t="shared" si="63"/>
        <v>Taxe de Développement Artisanal (TDA) (+)</v>
      </c>
      <c r="AA33" s="29">
        <f t="shared" ref="AA33:AJ33" si="72">SUM(AA34:AA49)</f>
        <v>0</v>
      </c>
      <c r="AB33" s="29">
        <f t="shared" si="72"/>
        <v>0</v>
      </c>
      <c r="AC33" s="29">
        <f t="shared" si="72"/>
        <v>0</v>
      </c>
      <c r="AD33" s="29">
        <f t="shared" si="72"/>
        <v>0</v>
      </c>
      <c r="AE33" s="29">
        <f t="shared" si="72"/>
        <v>0</v>
      </c>
      <c r="AF33" s="29">
        <f t="shared" si="72"/>
        <v>0</v>
      </c>
      <c r="AG33" s="29">
        <f t="shared" si="72"/>
        <v>0</v>
      </c>
      <c r="AH33" s="29">
        <f t="shared" si="72"/>
        <v>0</v>
      </c>
      <c r="AI33" s="29">
        <f t="shared" si="72"/>
        <v>0</v>
      </c>
      <c r="AJ33" s="29">
        <f t="shared" si="72"/>
        <v>0</v>
      </c>
      <c r="AL33" s="28"/>
      <c r="AM33" s="28" t="str">
        <f t="shared" si="66"/>
        <v>Taxe de Développement Artisanal (TDA) (+)</v>
      </c>
      <c r="AN33" s="29">
        <f t="shared" ref="AN33:AV33" si="73">SUM(AN34:AN49)</f>
        <v>0</v>
      </c>
      <c r="AO33" s="29">
        <f t="shared" si="73"/>
        <v>0</v>
      </c>
      <c r="AP33" s="29">
        <f t="shared" si="73"/>
        <v>0</v>
      </c>
      <c r="AQ33" s="29">
        <f t="shared" si="73"/>
        <v>0</v>
      </c>
      <c r="AR33" s="29">
        <f t="shared" si="73"/>
        <v>0</v>
      </c>
      <c r="AS33" s="29">
        <f t="shared" si="73"/>
        <v>0</v>
      </c>
      <c r="AT33" s="29">
        <f t="shared" si="73"/>
        <v>0</v>
      </c>
      <c r="AU33" s="29">
        <f t="shared" si="73"/>
        <v>0</v>
      </c>
      <c r="AV33" s="29">
        <f t="shared" si="73"/>
        <v>0</v>
      </c>
      <c r="AW33" s="18"/>
      <c r="AX33" s="28"/>
      <c r="AY33" s="28" t="str">
        <f t="shared" si="69"/>
        <v>Taxe de Développement Artisanal (TDA) (+)</v>
      </c>
      <c r="AZ33" s="29">
        <f t="shared" ref="AZ33:BK33" ca="1" si="74">SUM(AZ34:AZ49)</f>
        <v>0</v>
      </c>
      <c r="BA33" s="29">
        <f t="shared" ca="1" si="74"/>
        <v>0</v>
      </c>
      <c r="BB33" s="29">
        <f t="shared" ca="1" si="74"/>
        <v>0</v>
      </c>
      <c r="BC33" s="29">
        <f t="shared" ca="1" si="74"/>
        <v>0</v>
      </c>
      <c r="BD33" s="29">
        <f t="shared" ca="1" si="74"/>
        <v>0</v>
      </c>
      <c r="BE33" s="29">
        <f t="shared" ca="1" si="74"/>
        <v>0</v>
      </c>
      <c r="BF33" s="29">
        <f t="shared" ca="1" si="74"/>
        <v>0</v>
      </c>
      <c r="BG33" s="29">
        <f t="shared" ca="1" si="74"/>
        <v>0</v>
      </c>
      <c r="BH33" s="29">
        <f t="shared" ca="1" si="74"/>
        <v>0</v>
      </c>
      <c r="BI33" s="29">
        <f t="shared" ca="1" si="74"/>
        <v>0</v>
      </c>
      <c r="BJ33" s="29">
        <f t="shared" ca="1" si="74"/>
        <v>0</v>
      </c>
      <c r="BK33" s="29">
        <f t="shared" ca="1" si="74"/>
        <v>0</v>
      </c>
    </row>
    <row r="34" spans="1:63" s="20" customFormat="1" ht="24">
      <c r="A34" s="80">
        <f t="shared" si="29"/>
        <v>22</v>
      </c>
      <c r="B34" s="53">
        <f>+'Taxes RCA 2022'!A27</f>
        <v>22</v>
      </c>
      <c r="C34" s="171" t="str">
        <f>+'Taxes RCA 2022'!B27</f>
        <v>Les redevances proportionnelles ou royalties sur les autorisations d'exploitation de carrière et les exploitations des mines (+)</v>
      </c>
      <c r="D34" s="21"/>
      <c r="E34" s="114"/>
      <c r="F34" s="114">
        <f t="shared" si="55"/>
        <v>0</v>
      </c>
      <c r="G34" s="114">
        <f t="shared" si="56"/>
        <v>0</v>
      </c>
      <c r="H34" s="114"/>
      <c r="I34" s="114"/>
      <c r="J34" s="114">
        <f t="shared" ca="1" si="57"/>
        <v>0</v>
      </c>
      <c r="K34" s="114">
        <f t="shared" ca="1" si="58"/>
        <v>0</v>
      </c>
      <c r="L34" s="114"/>
      <c r="M34" s="114">
        <f t="shared" ca="1" si="59"/>
        <v>0</v>
      </c>
      <c r="N34" s="18"/>
      <c r="O34" s="38" t="str">
        <f t="shared" ca="1" si="49"/>
        <v/>
      </c>
      <c r="P34" s="39" t="str">
        <f t="shared" ca="1" si="50"/>
        <v/>
      </c>
      <c r="Q34" s="35"/>
      <c r="R34" s="43"/>
      <c r="S34" s="27"/>
      <c r="Y34" s="15">
        <f t="shared" ref="Y34:Z49" si="75">B37</f>
        <v>25</v>
      </c>
      <c r="Z34" s="25" t="str">
        <f t="shared" si="63"/>
        <v>Amendes et pénalités payées à la DGID (+)</v>
      </c>
      <c r="AA34" s="16">
        <f t="shared" ref="AA34:AI46" si="76">SUMPRODUCT(($A$84:$A$751=$Y34&amp;"- "&amp;$Z34)*($C$84:$C$751=AA$1)*($G$84:$G$751))</f>
        <v>0</v>
      </c>
      <c r="AB34" s="16">
        <f t="shared" si="76"/>
        <v>0</v>
      </c>
      <c r="AC34" s="16">
        <f t="shared" si="76"/>
        <v>0</v>
      </c>
      <c r="AD34" s="16">
        <f t="shared" si="76"/>
        <v>0</v>
      </c>
      <c r="AE34" s="16">
        <f t="shared" si="76"/>
        <v>0</v>
      </c>
      <c r="AF34" s="16">
        <f t="shared" si="76"/>
        <v>0</v>
      </c>
      <c r="AG34" s="16">
        <f t="shared" si="76"/>
        <v>0</v>
      </c>
      <c r="AH34" s="16">
        <f t="shared" si="76"/>
        <v>0</v>
      </c>
      <c r="AI34" s="16">
        <f t="shared" si="76"/>
        <v>0</v>
      </c>
      <c r="AJ34" s="16">
        <f t="shared" ref="AJ34:AJ49" si="77">SUM(AA34:AI34)</f>
        <v>0</v>
      </c>
      <c r="AK34" s="21"/>
      <c r="AL34" s="17">
        <f t="shared" ref="AL34:AM49" si="78">+B37</f>
        <v>25</v>
      </c>
      <c r="AM34" s="26" t="str">
        <f t="shared" si="66"/>
        <v>Amendes et pénalités payées à la DGID (+)</v>
      </c>
      <c r="AN34" s="18">
        <f t="shared" ref="AN34:AU46" si="79">SUMPRODUCT(($J$84:$M$746=$AL34&amp;"- "&amp;$AM34)*($N$84:$N$746=AN$1)*($Q$84:$Q$746))</f>
        <v>0</v>
      </c>
      <c r="AO34" s="18">
        <f t="shared" si="79"/>
        <v>0</v>
      </c>
      <c r="AP34" s="18">
        <f t="shared" si="79"/>
        <v>0</v>
      </c>
      <c r="AQ34" s="18">
        <f t="shared" si="79"/>
        <v>0</v>
      </c>
      <c r="AR34" s="18">
        <f t="shared" si="79"/>
        <v>0</v>
      </c>
      <c r="AS34" s="18">
        <f t="shared" si="79"/>
        <v>0</v>
      </c>
      <c r="AT34" s="18">
        <f t="shared" si="79"/>
        <v>0</v>
      </c>
      <c r="AU34" s="18">
        <f t="shared" si="79"/>
        <v>0</v>
      </c>
      <c r="AV34" s="18">
        <f t="shared" ref="AV34:AV49" si="80">SUM(AN34:AU34)</f>
        <v>0</v>
      </c>
      <c r="AW34" s="18"/>
      <c r="AX34" s="17">
        <f t="shared" ref="AX34:AY49" si="81">B37</f>
        <v>25</v>
      </c>
      <c r="AY34" s="26" t="str">
        <f t="shared" si="69"/>
        <v>Amendes et pénalités payées à la DGID (+)</v>
      </c>
      <c r="AZ34" s="18">
        <f t="shared" ref="AZ34:BK46" ca="1" si="82">SUMPRODUCT(($C$10:$C$75=$AY34)*($N$10:$N$75=AZ$1)*($M$10:$M$75))</f>
        <v>0</v>
      </c>
      <c r="BA34" s="18">
        <f t="shared" ca="1" si="82"/>
        <v>0</v>
      </c>
      <c r="BB34" s="18">
        <f t="shared" ca="1" si="82"/>
        <v>0</v>
      </c>
      <c r="BC34" s="18">
        <f t="shared" ca="1" si="82"/>
        <v>0</v>
      </c>
      <c r="BD34" s="18">
        <f t="shared" ca="1" si="82"/>
        <v>0</v>
      </c>
      <c r="BE34" s="18">
        <f t="shared" ca="1" si="82"/>
        <v>0</v>
      </c>
      <c r="BF34" s="18">
        <f t="shared" ca="1" si="82"/>
        <v>0</v>
      </c>
      <c r="BG34" s="18">
        <f t="shared" ca="1" si="82"/>
        <v>0</v>
      </c>
      <c r="BH34" s="18">
        <f t="shared" ca="1" si="82"/>
        <v>0</v>
      </c>
      <c r="BI34" s="18">
        <f t="shared" ca="1" si="82"/>
        <v>0</v>
      </c>
      <c r="BJ34" s="18">
        <f t="shared" ca="1" si="82"/>
        <v>0</v>
      </c>
      <c r="BK34" s="18">
        <f t="shared" ca="1" si="82"/>
        <v>0</v>
      </c>
    </row>
    <row r="35" spans="1:63">
      <c r="A35" s="80">
        <f t="shared" si="29"/>
        <v>23</v>
      </c>
      <c r="B35" s="64">
        <f>+'Taxes RCA 2022'!A28</f>
        <v>23</v>
      </c>
      <c r="C35" s="68" t="str">
        <f>+'Taxes RCA 2022'!B28</f>
        <v>Impôt sur les revenus des capitaux mobiliers (RCM) (+)</v>
      </c>
      <c r="E35" s="165"/>
      <c r="F35" s="165">
        <f t="shared" si="55"/>
        <v>0</v>
      </c>
      <c r="G35" s="165">
        <f t="shared" si="56"/>
        <v>0</v>
      </c>
      <c r="H35" s="114"/>
      <c r="I35" s="165"/>
      <c r="J35" s="165">
        <f t="shared" ca="1" si="57"/>
        <v>0</v>
      </c>
      <c r="K35" s="165">
        <f t="shared" ca="1" si="58"/>
        <v>0</v>
      </c>
      <c r="L35" s="114"/>
      <c r="M35" s="165">
        <f t="shared" ca="1" si="59"/>
        <v>0</v>
      </c>
      <c r="N35" s="68"/>
      <c r="O35" s="71" t="str">
        <f t="shared" ca="1" si="49"/>
        <v/>
      </c>
      <c r="P35" s="72" t="str">
        <f t="shared" ca="1" si="50"/>
        <v/>
      </c>
      <c r="Q35" s="73"/>
      <c r="Y35" s="15">
        <f t="shared" si="75"/>
        <v>26</v>
      </c>
      <c r="Z35" s="25" t="str">
        <f t="shared" si="63"/>
        <v>Redevance de déboisement (+)</v>
      </c>
      <c r="AA35" s="16">
        <f t="shared" si="76"/>
        <v>0</v>
      </c>
      <c r="AB35" s="16">
        <f t="shared" si="76"/>
        <v>0</v>
      </c>
      <c r="AC35" s="16">
        <f t="shared" si="76"/>
        <v>0</v>
      </c>
      <c r="AD35" s="16">
        <f t="shared" si="76"/>
        <v>0</v>
      </c>
      <c r="AE35" s="16">
        <f t="shared" si="76"/>
        <v>0</v>
      </c>
      <c r="AF35" s="16">
        <f t="shared" si="76"/>
        <v>0</v>
      </c>
      <c r="AG35" s="16">
        <f t="shared" si="76"/>
        <v>0</v>
      </c>
      <c r="AH35" s="16">
        <f t="shared" si="76"/>
        <v>0</v>
      </c>
      <c r="AI35" s="16">
        <f t="shared" si="76"/>
        <v>0</v>
      </c>
      <c r="AJ35" s="16">
        <f t="shared" si="77"/>
        <v>0</v>
      </c>
      <c r="AK35" s="20"/>
      <c r="AL35" s="17">
        <f t="shared" si="78"/>
        <v>26</v>
      </c>
      <c r="AM35" s="26" t="str">
        <f t="shared" si="66"/>
        <v>Redevance de déboisement (+)</v>
      </c>
      <c r="AN35" s="18">
        <f t="shared" si="79"/>
        <v>0</v>
      </c>
      <c r="AO35" s="18">
        <f t="shared" si="79"/>
        <v>0</v>
      </c>
      <c r="AP35" s="18">
        <f t="shared" si="79"/>
        <v>0</v>
      </c>
      <c r="AQ35" s="18">
        <f t="shared" si="79"/>
        <v>0</v>
      </c>
      <c r="AR35" s="18">
        <f t="shared" si="79"/>
        <v>0</v>
      </c>
      <c r="AS35" s="18">
        <f t="shared" si="79"/>
        <v>0</v>
      </c>
      <c r="AT35" s="18">
        <f t="shared" si="79"/>
        <v>0</v>
      </c>
      <c r="AU35" s="18">
        <f t="shared" si="79"/>
        <v>0</v>
      </c>
      <c r="AV35" s="18">
        <f t="shared" si="80"/>
        <v>0</v>
      </c>
      <c r="AW35" s="18"/>
      <c r="AX35" s="17">
        <f t="shared" si="81"/>
        <v>26</v>
      </c>
      <c r="AY35" s="26" t="str">
        <f t="shared" si="69"/>
        <v>Redevance de déboisement (+)</v>
      </c>
      <c r="AZ35" s="18">
        <f t="shared" ca="1" si="82"/>
        <v>0</v>
      </c>
      <c r="BA35" s="18">
        <f t="shared" ca="1" si="82"/>
        <v>0</v>
      </c>
      <c r="BB35" s="18">
        <f t="shared" ca="1" si="82"/>
        <v>0</v>
      </c>
      <c r="BC35" s="18">
        <f t="shared" ca="1" si="82"/>
        <v>0</v>
      </c>
      <c r="BD35" s="18">
        <f t="shared" ca="1" si="82"/>
        <v>0</v>
      </c>
      <c r="BE35" s="18">
        <f t="shared" ca="1" si="82"/>
        <v>0</v>
      </c>
      <c r="BF35" s="18">
        <f t="shared" ca="1" si="82"/>
        <v>0</v>
      </c>
      <c r="BG35" s="18">
        <f t="shared" ca="1" si="82"/>
        <v>0</v>
      </c>
      <c r="BH35" s="18">
        <f t="shared" ca="1" si="82"/>
        <v>0</v>
      </c>
      <c r="BI35" s="18">
        <f t="shared" ca="1" si="82"/>
        <v>0</v>
      </c>
      <c r="BJ35" s="18">
        <f t="shared" ca="1" si="82"/>
        <v>0</v>
      </c>
      <c r="BK35" s="18">
        <f t="shared" ca="1" si="82"/>
        <v>0</v>
      </c>
    </row>
    <row r="36" spans="1:63">
      <c r="A36" s="80">
        <f t="shared" si="29"/>
        <v>24</v>
      </c>
      <c r="B36" s="53">
        <f>+'Taxes RCA 2022'!A29</f>
        <v>24</v>
      </c>
      <c r="C36" s="18" t="str">
        <f>+'Taxes RCA 2022'!B29</f>
        <v>Taxe de Développement Artisanal (TDA) (+)</v>
      </c>
      <c r="E36" s="114"/>
      <c r="F36" s="114">
        <f t="shared" si="55"/>
        <v>0</v>
      </c>
      <c r="G36" s="114">
        <f t="shared" si="56"/>
        <v>0</v>
      </c>
      <c r="H36" s="114"/>
      <c r="I36" s="114"/>
      <c r="J36" s="114">
        <f t="shared" ca="1" si="57"/>
        <v>0</v>
      </c>
      <c r="K36" s="114">
        <f t="shared" ca="1" si="58"/>
        <v>0</v>
      </c>
      <c r="L36" s="114"/>
      <c r="M36" s="114">
        <f t="shared" ca="1" si="59"/>
        <v>0</v>
      </c>
      <c r="N36" s="18"/>
      <c r="O36" s="38"/>
      <c r="P36" s="39"/>
      <c r="Q36" s="35"/>
      <c r="S36" s="18"/>
      <c r="Y36" s="15">
        <f t="shared" si="75"/>
        <v>27</v>
      </c>
      <c r="Z36" s="25" t="str">
        <f t="shared" si="63"/>
        <v>Redevance de pré reconnaissance (+)</v>
      </c>
      <c r="AA36" s="16">
        <f t="shared" si="76"/>
        <v>0</v>
      </c>
      <c r="AB36" s="16">
        <f t="shared" si="76"/>
        <v>0</v>
      </c>
      <c r="AC36" s="16">
        <f t="shared" si="76"/>
        <v>0</v>
      </c>
      <c r="AD36" s="16">
        <f t="shared" si="76"/>
        <v>0</v>
      </c>
      <c r="AE36" s="16">
        <f t="shared" si="76"/>
        <v>0</v>
      </c>
      <c r="AF36" s="16">
        <f t="shared" si="76"/>
        <v>0</v>
      </c>
      <c r="AG36" s="16">
        <f t="shared" si="76"/>
        <v>0</v>
      </c>
      <c r="AH36" s="16">
        <f t="shared" si="76"/>
        <v>0</v>
      </c>
      <c r="AI36" s="16">
        <f t="shared" si="76"/>
        <v>0</v>
      </c>
      <c r="AJ36" s="16">
        <f t="shared" si="77"/>
        <v>0</v>
      </c>
      <c r="AL36" s="17">
        <f t="shared" si="78"/>
        <v>27</v>
      </c>
      <c r="AM36" s="26" t="str">
        <f t="shared" si="66"/>
        <v>Redevance de pré reconnaissance (+)</v>
      </c>
      <c r="AN36" s="18">
        <f t="shared" si="79"/>
        <v>0</v>
      </c>
      <c r="AO36" s="18">
        <f t="shared" si="79"/>
        <v>0</v>
      </c>
      <c r="AP36" s="18">
        <f t="shared" si="79"/>
        <v>0</v>
      </c>
      <c r="AQ36" s="18">
        <f t="shared" si="79"/>
        <v>0</v>
      </c>
      <c r="AR36" s="18">
        <f t="shared" si="79"/>
        <v>0</v>
      </c>
      <c r="AS36" s="18">
        <f t="shared" si="79"/>
        <v>0</v>
      </c>
      <c r="AT36" s="18">
        <f t="shared" si="79"/>
        <v>0</v>
      </c>
      <c r="AU36" s="18">
        <f t="shared" si="79"/>
        <v>0</v>
      </c>
      <c r="AV36" s="18">
        <f t="shared" si="80"/>
        <v>0</v>
      </c>
      <c r="AW36" s="18"/>
      <c r="AX36" s="17">
        <f t="shared" si="81"/>
        <v>27</v>
      </c>
      <c r="AY36" s="26" t="str">
        <f t="shared" si="69"/>
        <v>Redevance de pré reconnaissance (+)</v>
      </c>
      <c r="AZ36" s="18">
        <f t="shared" ca="1" si="82"/>
        <v>0</v>
      </c>
      <c r="BA36" s="18">
        <f t="shared" ca="1" si="82"/>
        <v>0</v>
      </c>
      <c r="BB36" s="18">
        <f t="shared" ca="1" si="82"/>
        <v>0</v>
      </c>
      <c r="BC36" s="18">
        <f t="shared" ca="1" si="82"/>
        <v>0</v>
      </c>
      <c r="BD36" s="18">
        <f t="shared" ca="1" si="82"/>
        <v>0</v>
      </c>
      <c r="BE36" s="18">
        <f t="shared" ca="1" si="82"/>
        <v>0</v>
      </c>
      <c r="BF36" s="18">
        <f t="shared" ca="1" si="82"/>
        <v>0</v>
      </c>
      <c r="BG36" s="18">
        <f t="shared" ca="1" si="82"/>
        <v>0</v>
      </c>
      <c r="BH36" s="18">
        <f t="shared" ca="1" si="82"/>
        <v>0</v>
      </c>
      <c r="BI36" s="18">
        <f t="shared" ca="1" si="82"/>
        <v>0</v>
      </c>
      <c r="BJ36" s="18">
        <f t="shared" ca="1" si="82"/>
        <v>0</v>
      </c>
      <c r="BK36" s="18">
        <f t="shared" ca="1" si="82"/>
        <v>0</v>
      </c>
    </row>
    <row r="37" spans="1:63">
      <c r="A37" s="80">
        <f t="shared" si="29"/>
        <v>25</v>
      </c>
      <c r="B37" s="64">
        <f>+'Taxes RCA 2022'!A30</f>
        <v>25</v>
      </c>
      <c r="C37" s="68" t="str">
        <f>+'Taxes RCA 2022'!B30</f>
        <v>Amendes et pénalités payées à la DGID (+)</v>
      </c>
      <c r="E37" s="165"/>
      <c r="F37" s="165">
        <f t="shared" si="55"/>
        <v>0</v>
      </c>
      <c r="G37" s="165">
        <f t="shared" si="56"/>
        <v>0</v>
      </c>
      <c r="H37" s="114"/>
      <c r="I37" s="165"/>
      <c r="J37" s="165">
        <f t="shared" ca="1" si="57"/>
        <v>0</v>
      </c>
      <c r="K37" s="165">
        <f t="shared" ca="1" si="58"/>
        <v>0</v>
      </c>
      <c r="L37" s="114"/>
      <c r="M37" s="165">
        <f t="shared" ca="1" si="59"/>
        <v>0</v>
      </c>
      <c r="N37" s="68"/>
      <c r="O37" s="38" t="str">
        <f t="shared" ca="1" si="49"/>
        <v/>
      </c>
      <c r="P37" s="39" t="str">
        <f t="shared" ref="P37:P52" ca="1" si="83">IF(O37="ERROR","Please insert comment","")</f>
        <v/>
      </c>
      <c r="Q37" s="35"/>
      <c r="Y37" s="15">
        <f t="shared" si="75"/>
        <v>0</v>
      </c>
      <c r="Z37" s="25" t="str">
        <f t="shared" si="63"/>
        <v>DGTCP (MMG)</v>
      </c>
      <c r="AA37" s="16">
        <f t="shared" si="76"/>
        <v>0</v>
      </c>
      <c r="AB37" s="16">
        <f t="shared" si="76"/>
        <v>0</v>
      </c>
      <c r="AC37" s="16">
        <f t="shared" si="76"/>
        <v>0</v>
      </c>
      <c r="AD37" s="16">
        <f t="shared" si="76"/>
        <v>0</v>
      </c>
      <c r="AE37" s="16">
        <f t="shared" si="76"/>
        <v>0</v>
      </c>
      <c r="AF37" s="16">
        <f t="shared" si="76"/>
        <v>0</v>
      </c>
      <c r="AG37" s="16">
        <f t="shared" si="76"/>
        <v>0</v>
      </c>
      <c r="AH37" s="16">
        <f t="shared" si="76"/>
        <v>0</v>
      </c>
      <c r="AI37" s="16">
        <f t="shared" si="76"/>
        <v>0</v>
      </c>
      <c r="AJ37" s="16">
        <f t="shared" si="77"/>
        <v>0</v>
      </c>
      <c r="AL37" s="17">
        <f t="shared" si="78"/>
        <v>0</v>
      </c>
      <c r="AM37" s="26" t="str">
        <f t="shared" si="66"/>
        <v>DGTCP (MMG)</v>
      </c>
      <c r="AN37" s="18">
        <f t="shared" si="79"/>
        <v>0</v>
      </c>
      <c r="AO37" s="18">
        <f t="shared" si="79"/>
        <v>0</v>
      </c>
      <c r="AP37" s="18">
        <f t="shared" si="79"/>
        <v>0</v>
      </c>
      <c r="AQ37" s="18">
        <f t="shared" si="79"/>
        <v>0</v>
      </c>
      <c r="AR37" s="18">
        <f t="shared" si="79"/>
        <v>0</v>
      </c>
      <c r="AS37" s="18">
        <f t="shared" si="79"/>
        <v>0</v>
      </c>
      <c r="AT37" s="18">
        <f t="shared" si="79"/>
        <v>0</v>
      </c>
      <c r="AU37" s="18">
        <f t="shared" si="79"/>
        <v>0</v>
      </c>
      <c r="AV37" s="18">
        <f t="shared" si="80"/>
        <v>0</v>
      </c>
      <c r="AW37" s="18"/>
      <c r="AX37" s="17">
        <f t="shared" si="81"/>
        <v>0</v>
      </c>
      <c r="AY37" s="26" t="str">
        <f t="shared" si="69"/>
        <v>DGTCP (MMG)</v>
      </c>
      <c r="AZ37" s="18">
        <f t="shared" ca="1" si="82"/>
        <v>0</v>
      </c>
      <c r="BA37" s="18">
        <f t="shared" ca="1" si="82"/>
        <v>0</v>
      </c>
      <c r="BB37" s="18">
        <f t="shared" ca="1" si="82"/>
        <v>0</v>
      </c>
      <c r="BC37" s="18">
        <f t="shared" ca="1" si="82"/>
        <v>0</v>
      </c>
      <c r="BD37" s="18">
        <f t="shared" ca="1" si="82"/>
        <v>0</v>
      </c>
      <c r="BE37" s="18">
        <f t="shared" ca="1" si="82"/>
        <v>0</v>
      </c>
      <c r="BF37" s="18">
        <f t="shared" ca="1" si="82"/>
        <v>0</v>
      </c>
      <c r="BG37" s="18">
        <f t="shared" ca="1" si="82"/>
        <v>0</v>
      </c>
      <c r="BH37" s="18">
        <f t="shared" ca="1" si="82"/>
        <v>0</v>
      </c>
      <c r="BI37" s="18">
        <f t="shared" ca="1" si="82"/>
        <v>0</v>
      </c>
      <c r="BJ37" s="18">
        <f t="shared" ca="1" si="82"/>
        <v>0</v>
      </c>
      <c r="BK37" s="18">
        <f t="shared" ca="1" si="82"/>
        <v>0</v>
      </c>
    </row>
    <row r="38" spans="1:63">
      <c r="A38" s="80">
        <f t="shared" si="29"/>
        <v>26</v>
      </c>
      <c r="B38" s="53">
        <f>+'Taxes RCA 2022'!A31</f>
        <v>26</v>
      </c>
      <c r="C38" s="18" t="str">
        <f>+'Taxes RCA 2022'!B31</f>
        <v>Redevance de déboisement (+)</v>
      </c>
      <c r="E38" s="114"/>
      <c r="F38" s="114">
        <f t="shared" si="55"/>
        <v>0</v>
      </c>
      <c r="G38" s="114">
        <f t="shared" si="56"/>
        <v>0</v>
      </c>
      <c r="H38" s="114"/>
      <c r="I38" s="114"/>
      <c r="J38" s="114">
        <f t="shared" ca="1" si="57"/>
        <v>0</v>
      </c>
      <c r="K38" s="114">
        <f t="shared" ca="1" si="58"/>
        <v>0</v>
      </c>
      <c r="L38" s="114"/>
      <c r="M38" s="114">
        <f t="shared" ca="1" si="59"/>
        <v>0</v>
      </c>
      <c r="N38" s="18"/>
      <c r="O38" s="38" t="str">
        <f t="shared" ca="1" si="49"/>
        <v/>
      </c>
      <c r="P38" s="39" t="str">
        <f t="shared" ca="1" si="83"/>
        <v/>
      </c>
      <c r="Q38" s="35"/>
      <c r="Y38" s="15">
        <f t="shared" si="75"/>
        <v>28</v>
      </c>
      <c r="Z38" s="25" t="str">
        <f t="shared" si="63"/>
        <v>Contribution à la formation professionnelle et à la formation des cadres de l'Administration des Mines (+)</v>
      </c>
      <c r="AA38" s="16">
        <f t="shared" si="76"/>
        <v>0</v>
      </c>
      <c r="AB38" s="16">
        <f t="shared" si="76"/>
        <v>0</v>
      </c>
      <c r="AC38" s="16">
        <f t="shared" si="76"/>
        <v>0</v>
      </c>
      <c r="AD38" s="16">
        <f t="shared" si="76"/>
        <v>0</v>
      </c>
      <c r="AE38" s="16">
        <f t="shared" si="76"/>
        <v>0</v>
      </c>
      <c r="AF38" s="16">
        <f t="shared" si="76"/>
        <v>0</v>
      </c>
      <c r="AG38" s="16">
        <f t="shared" si="76"/>
        <v>0</v>
      </c>
      <c r="AH38" s="16">
        <f t="shared" si="76"/>
        <v>0</v>
      </c>
      <c r="AI38" s="16">
        <f t="shared" si="76"/>
        <v>0</v>
      </c>
      <c r="AJ38" s="16">
        <f t="shared" si="77"/>
        <v>0</v>
      </c>
      <c r="AL38" s="17">
        <f t="shared" si="78"/>
        <v>28</v>
      </c>
      <c r="AM38" s="26" t="str">
        <f t="shared" si="66"/>
        <v>Contribution à la formation professionnelle et à la formation des cadres de l'Administration des Mines (+)</v>
      </c>
      <c r="AN38" s="18">
        <f t="shared" si="79"/>
        <v>0</v>
      </c>
      <c r="AO38" s="18">
        <f t="shared" si="79"/>
        <v>0</v>
      </c>
      <c r="AP38" s="18">
        <f t="shared" si="79"/>
        <v>0</v>
      </c>
      <c r="AQ38" s="18">
        <f t="shared" si="79"/>
        <v>0</v>
      </c>
      <c r="AR38" s="18">
        <f t="shared" si="79"/>
        <v>0</v>
      </c>
      <c r="AS38" s="18">
        <f t="shared" si="79"/>
        <v>0</v>
      </c>
      <c r="AT38" s="18">
        <f t="shared" si="79"/>
        <v>0</v>
      </c>
      <c r="AU38" s="18">
        <f t="shared" si="79"/>
        <v>0</v>
      </c>
      <c r="AV38" s="18">
        <f t="shared" si="80"/>
        <v>0</v>
      </c>
      <c r="AW38" s="18"/>
      <c r="AX38" s="17">
        <f t="shared" si="81"/>
        <v>28</v>
      </c>
      <c r="AY38" s="26" t="str">
        <f t="shared" si="69"/>
        <v>Contribution à la formation professionnelle et à la formation des cadres de l'Administration des Mines (+)</v>
      </c>
      <c r="AZ38" s="18">
        <f t="shared" ca="1" si="82"/>
        <v>0</v>
      </c>
      <c r="BA38" s="18">
        <f t="shared" ca="1" si="82"/>
        <v>0</v>
      </c>
      <c r="BB38" s="18">
        <f t="shared" ca="1" si="82"/>
        <v>0</v>
      </c>
      <c r="BC38" s="18">
        <f t="shared" ca="1" si="82"/>
        <v>0</v>
      </c>
      <c r="BD38" s="18">
        <f t="shared" ca="1" si="82"/>
        <v>0</v>
      </c>
      <c r="BE38" s="18">
        <f t="shared" ca="1" si="82"/>
        <v>0</v>
      </c>
      <c r="BF38" s="18">
        <f t="shared" ca="1" si="82"/>
        <v>0</v>
      </c>
      <c r="BG38" s="18">
        <f t="shared" ca="1" si="82"/>
        <v>0</v>
      </c>
      <c r="BH38" s="18">
        <f t="shared" ca="1" si="82"/>
        <v>0</v>
      </c>
      <c r="BI38" s="18">
        <f t="shared" ca="1" si="82"/>
        <v>0</v>
      </c>
      <c r="BJ38" s="18">
        <f t="shared" ca="1" si="82"/>
        <v>0</v>
      </c>
      <c r="BK38" s="18">
        <f t="shared" ca="1" si="82"/>
        <v>0</v>
      </c>
    </row>
    <row r="39" spans="1:63">
      <c r="A39" s="80">
        <f t="shared" si="29"/>
        <v>27</v>
      </c>
      <c r="B39" s="64">
        <f>+'Taxes RCA 2022'!A32</f>
        <v>27</v>
      </c>
      <c r="C39" s="68" t="str">
        <f>+'Taxes RCA 2022'!B32</f>
        <v>Redevance de pré reconnaissance (+)</v>
      </c>
      <c r="E39" s="165"/>
      <c r="F39" s="165">
        <f t="shared" si="55"/>
        <v>0</v>
      </c>
      <c r="G39" s="165">
        <f t="shared" si="56"/>
        <v>0</v>
      </c>
      <c r="H39" s="114"/>
      <c r="I39" s="165"/>
      <c r="J39" s="165">
        <f t="shared" ca="1" si="57"/>
        <v>0</v>
      </c>
      <c r="K39" s="165">
        <f t="shared" ca="1" si="58"/>
        <v>0</v>
      </c>
      <c r="L39" s="114"/>
      <c r="M39" s="165">
        <f t="shared" ca="1" si="59"/>
        <v>0</v>
      </c>
      <c r="N39" s="68"/>
      <c r="O39" s="38" t="str">
        <f t="shared" ca="1" si="49"/>
        <v/>
      </c>
      <c r="P39" s="39" t="str">
        <f t="shared" ca="1" si="83"/>
        <v/>
      </c>
      <c r="Q39" s="35"/>
      <c r="Y39" s="15">
        <f t="shared" si="75"/>
        <v>29</v>
      </c>
      <c r="Z39" s="25" t="str">
        <f t="shared" si="75"/>
        <v>Droits d'attributions</v>
      </c>
      <c r="AA39" s="16">
        <f t="shared" si="76"/>
        <v>0</v>
      </c>
      <c r="AB39" s="16">
        <f t="shared" si="76"/>
        <v>0</v>
      </c>
      <c r="AC39" s="16">
        <f t="shared" si="76"/>
        <v>0</v>
      </c>
      <c r="AD39" s="16">
        <f t="shared" si="76"/>
        <v>0</v>
      </c>
      <c r="AE39" s="16">
        <f t="shared" si="76"/>
        <v>0</v>
      </c>
      <c r="AF39" s="16">
        <f t="shared" si="76"/>
        <v>0</v>
      </c>
      <c r="AG39" s="16">
        <f t="shared" si="76"/>
        <v>0</v>
      </c>
      <c r="AH39" s="16">
        <f t="shared" si="76"/>
        <v>0</v>
      </c>
      <c r="AI39" s="16">
        <f t="shared" si="76"/>
        <v>0</v>
      </c>
      <c r="AJ39" s="16">
        <f t="shared" si="77"/>
        <v>0</v>
      </c>
      <c r="AL39" s="17">
        <f t="shared" si="78"/>
        <v>29</v>
      </c>
      <c r="AM39" s="26" t="str">
        <f t="shared" si="78"/>
        <v>Droits d'attributions</v>
      </c>
      <c r="AN39" s="18">
        <f t="shared" si="79"/>
        <v>0</v>
      </c>
      <c r="AO39" s="18">
        <f t="shared" si="79"/>
        <v>0</v>
      </c>
      <c r="AP39" s="18">
        <f t="shared" si="79"/>
        <v>0</v>
      </c>
      <c r="AQ39" s="18">
        <f t="shared" si="79"/>
        <v>0</v>
      </c>
      <c r="AR39" s="18">
        <f t="shared" si="79"/>
        <v>0</v>
      </c>
      <c r="AS39" s="18">
        <f t="shared" si="79"/>
        <v>0</v>
      </c>
      <c r="AT39" s="18">
        <f t="shared" si="79"/>
        <v>0</v>
      </c>
      <c r="AU39" s="18">
        <f t="shared" si="79"/>
        <v>0</v>
      </c>
      <c r="AV39" s="18">
        <f t="shared" si="80"/>
        <v>0</v>
      </c>
      <c r="AW39" s="18"/>
      <c r="AX39" s="17">
        <f t="shared" si="81"/>
        <v>29</v>
      </c>
      <c r="AY39" s="26" t="str">
        <f t="shared" si="81"/>
        <v>Droits d'attributions</v>
      </c>
      <c r="AZ39" s="18">
        <f t="shared" ca="1" si="82"/>
        <v>0</v>
      </c>
      <c r="BA39" s="18">
        <f t="shared" ca="1" si="82"/>
        <v>0</v>
      </c>
      <c r="BB39" s="18">
        <f t="shared" ca="1" si="82"/>
        <v>0</v>
      </c>
      <c r="BC39" s="18">
        <f t="shared" ca="1" si="82"/>
        <v>0</v>
      </c>
      <c r="BD39" s="18">
        <f t="shared" ca="1" si="82"/>
        <v>0</v>
      </c>
      <c r="BE39" s="18">
        <f t="shared" ca="1" si="82"/>
        <v>0</v>
      </c>
      <c r="BF39" s="18">
        <f t="shared" ca="1" si="82"/>
        <v>0</v>
      </c>
      <c r="BG39" s="18">
        <f t="shared" ca="1" si="82"/>
        <v>0</v>
      </c>
      <c r="BH39" s="18">
        <f t="shared" ca="1" si="82"/>
        <v>0</v>
      </c>
      <c r="BI39" s="18">
        <f t="shared" ca="1" si="82"/>
        <v>0</v>
      </c>
      <c r="BJ39" s="18">
        <f t="shared" ca="1" si="82"/>
        <v>0</v>
      </c>
      <c r="BK39" s="18">
        <f t="shared" ca="1" si="82"/>
        <v>0</v>
      </c>
    </row>
    <row r="40" spans="1:63">
      <c r="A40" s="80">
        <f t="shared" si="29"/>
        <v>0</v>
      </c>
      <c r="B40" s="163"/>
      <c r="C40" s="58" t="str">
        <f>+'Taxes RCA 2022'!B33</f>
        <v>DGTCP (MMG)</v>
      </c>
      <c r="E40" s="166">
        <f>SUM(E41:E44)</f>
        <v>0</v>
      </c>
      <c r="F40" s="166">
        <f>SUM(F41:F44)</f>
        <v>0</v>
      </c>
      <c r="G40" s="166">
        <f>SUM(G41:G44)</f>
        <v>0</v>
      </c>
      <c r="H40" s="114"/>
      <c r="I40" s="166">
        <f>SUM(I41:I44)</f>
        <v>49479519</v>
      </c>
      <c r="J40" s="166">
        <f ca="1">SUM(J41:J44)</f>
        <v>0</v>
      </c>
      <c r="K40" s="166">
        <f ca="1">SUM(K41:K44)</f>
        <v>49479519</v>
      </c>
      <c r="L40" s="114"/>
      <c r="M40" s="166">
        <f ca="1">SUM(M41:M44)</f>
        <v>-49479519</v>
      </c>
      <c r="N40" s="58"/>
      <c r="O40" s="38" t="str">
        <f t="shared" ca="1" si="49"/>
        <v>ERROR</v>
      </c>
      <c r="P40" s="39" t="str">
        <f t="shared" ca="1" si="83"/>
        <v>Please insert comment</v>
      </c>
      <c r="Q40" s="35"/>
      <c r="Y40" s="15">
        <f>B78</f>
        <v>56</v>
      </c>
      <c r="Z40" s="25" t="str">
        <f>C78</f>
        <v xml:space="preserve">Secrétariat permanent du processus de Kimberley (SPPK)  </v>
      </c>
      <c r="AA40" s="16">
        <f t="shared" si="76"/>
        <v>0</v>
      </c>
      <c r="AB40" s="16">
        <f t="shared" si="76"/>
        <v>0</v>
      </c>
      <c r="AC40" s="16">
        <f t="shared" si="76"/>
        <v>0</v>
      </c>
      <c r="AD40" s="16">
        <f t="shared" si="76"/>
        <v>0</v>
      </c>
      <c r="AE40" s="16">
        <f t="shared" si="76"/>
        <v>0</v>
      </c>
      <c r="AF40" s="16">
        <f t="shared" si="76"/>
        <v>0</v>
      </c>
      <c r="AG40" s="16">
        <f t="shared" si="76"/>
        <v>0</v>
      </c>
      <c r="AH40" s="16">
        <f t="shared" si="76"/>
        <v>0</v>
      </c>
      <c r="AI40" s="16">
        <f t="shared" si="76"/>
        <v>0</v>
      </c>
      <c r="AJ40" s="16">
        <f t="shared" si="77"/>
        <v>0</v>
      </c>
      <c r="AL40" s="17">
        <f>+B78</f>
        <v>56</v>
      </c>
      <c r="AM40" s="26" t="str">
        <f>+C78</f>
        <v xml:space="preserve">Secrétariat permanent du processus de Kimberley (SPPK)  </v>
      </c>
      <c r="AN40" s="18">
        <f t="shared" si="79"/>
        <v>0</v>
      </c>
      <c r="AO40" s="18">
        <f t="shared" si="79"/>
        <v>0</v>
      </c>
      <c r="AP40" s="18">
        <f t="shared" si="79"/>
        <v>0</v>
      </c>
      <c r="AQ40" s="18">
        <f t="shared" si="79"/>
        <v>0</v>
      </c>
      <c r="AR40" s="18">
        <f t="shared" si="79"/>
        <v>0</v>
      </c>
      <c r="AS40" s="18">
        <f t="shared" si="79"/>
        <v>0</v>
      </c>
      <c r="AT40" s="18">
        <f t="shared" si="79"/>
        <v>0</v>
      </c>
      <c r="AU40" s="18">
        <f t="shared" si="79"/>
        <v>0</v>
      </c>
      <c r="AV40" s="18">
        <f t="shared" si="80"/>
        <v>0</v>
      </c>
      <c r="AW40" s="18"/>
      <c r="AX40" s="17">
        <f>B78</f>
        <v>56</v>
      </c>
      <c r="AY40" s="26" t="str">
        <f>C78</f>
        <v xml:space="preserve">Secrétariat permanent du processus de Kimberley (SPPK)  </v>
      </c>
      <c r="AZ40" s="18">
        <f t="shared" ca="1" si="82"/>
        <v>0</v>
      </c>
      <c r="BA40" s="18">
        <f t="shared" ca="1" si="82"/>
        <v>0</v>
      </c>
      <c r="BB40" s="18">
        <f t="shared" ca="1" si="82"/>
        <v>0</v>
      </c>
      <c r="BC40" s="18">
        <f t="shared" ca="1" si="82"/>
        <v>0</v>
      </c>
      <c r="BD40" s="18">
        <f t="shared" ca="1" si="82"/>
        <v>0</v>
      </c>
      <c r="BE40" s="18">
        <f t="shared" ca="1" si="82"/>
        <v>0</v>
      </c>
      <c r="BF40" s="18">
        <f t="shared" ca="1" si="82"/>
        <v>0</v>
      </c>
      <c r="BG40" s="18">
        <f t="shared" ca="1" si="82"/>
        <v>0</v>
      </c>
      <c r="BH40" s="18">
        <f t="shared" ca="1" si="82"/>
        <v>0</v>
      </c>
      <c r="BI40" s="18">
        <f t="shared" ca="1" si="82"/>
        <v>0</v>
      </c>
      <c r="BJ40" s="18">
        <f t="shared" ca="1" si="82"/>
        <v>0</v>
      </c>
      <c r="BK40" s="18">
        <f t="shared" ca="1" si="82"/>
        <v>0</v>
      </c>
    </row>
    <row r="41" spans="1:63">
      <c r="A41" s="80">
        <f t="shared" si="29"/>
        <v>28</v>
      </c>
      <c r="B41" s="53">
        <f>+'Taxes RCA 2022'!A34</f>
        <v>28</v>
      </c>
      <c r="C41" s="18" t="str">
        <f>+'Taxes RCA 2022'!B34</f>
        <v>Contribution à la formation professionnelle et à la formation des cadres de l'Administration des Mines (+)</v>
      </c>
      <c r="E41" s="114"/>
      <c r="F41" s="114">
        <f>SUMIF($A$84:$A$751,B41&amp;"- "&amp;C41,$G$84:$G$751)</f>
        <v>0</v>
      </c>
      <c r="G41" s="114">
        <f>E41+F41</f>
        <v>0</v>
      </c>
      <c r="H41" s="114"/>
      <c r="I41" s="114"/>
      <c r="J41" s="114">
        <f ca="1">SUMIF($J$84:$M$747,B41&amp;"- "&amp;C41,$Q$84:$Q$747)</f>
        <v>0</v>
      </c>
      <c r="K41" s="114">
        <f ca="1">I41+J41</f>
        <v>0</v>
      </c>
      <c r="L41" s="114"/>
      <c r="M41" s="114">
        <f ca="1">+G41-K41</f>
        <v>0</v>
      </c>
      <c r="N41" s="18"/>
      <c r="O41" s="38" t="str">
        <f t="shared" ca="1" si="49"/>
        <v/>
      </c>
      <c r="P41" s="39" t="str">
        <f t="shared" ca="1" si="83"/>
        <v/>
      </c>
      <c r="Q41" s="35"/>
      <c r="Y41" s="15">
        <f>B43</f>
        <v>30</v>
      </c>
      <c r="Z41" s="25" t="str">
        <f>C43</f>
        <v xml:space="preserve">Redevance superficiaire   </v>
      </c>
      <c r="AA41" s="16">
        <f t="shared" si="76"/>
        <v>0</v>
      </c>
      <c r="AB41" s="16">
        <f t="shared" si="76"/>
        <v>0</v>
      </c>
      <c r="AC41" s="16">
        <f t="shared" si="76"/>
        <v>0</v>
      </c>
      <c r="AD41" s="16">
        <f t="shared" si="76"/>
        <v>0</v>
      </c>
      <c r="AE41" s="16">
        <f t="shared" si="76"/>
        <v>0</v>
      </c>
      <c r="AF41" s="16">
        <f t="shared" si="76"/>
        <v>0</v>
      </c>
      <c r="AG41" s="16">
        <f t="shared" si="76"/>
        <v>0</v>
      </c>
      <c r="AH41" s="16">
        <f t="shared" si="76"/>
        <v>0</v>
      </c>
      <c r="AI41" s="16">
        <f t="shared" si="76"/>
        <v>0</v>
      </c>
      <c r="AJ41" s="16">
        <f t="shared" si="77"/>
        <v>0</v>
      </c>
      <c r="AL41" s="17">
        <f>+B43</f>
        <v>30</v>
      </c>
      <c r="AM41" s="26" t="str">
        <f>+C43</f>
        <v xml:space="preserve">Redevance superficiaire   </v>
      </c>
      <c r="AN41" s="18">
        <f t="shared" si="79"/>
        <v>0</v>
      </c>
      <c r="AO41" s="18">
        <f t="shared" si="79"/>
        <v>0</v>
      </c>
      <c r="AP41" s="18">
        <f t="shared" si="79"/>
        <v>0</v>
      </c>
      <c r="AQ41" s="18">
        <f t="shared" si="79"/>
        <v>0</v>
      </c>
      <c r="AR41" s="18">
        <f t="shared" si="79"/>
        <v>0</v>
      </c>
      <c r="AS41" s="18">
        <f t="shared" si="79"/>
        <v>0</v>
      </c>
      <c r="AT41" s="18">
        <f t="shared" si="79"/>
        <v>0</v>
      </c>
      <c r="AU41" s="18">
        <f t="shared" si="79"/>
        <v>0</v>
      </c>
      <c r="AV41" s="18">
        <f t="shared" si="80"/>
        <v>0</v>
      </c>
      <c r="AW41" s="18"/>
      <c r="AX41" s="17">
        <f>B43</f>
        <v>30</v>
      </c>
      <c r="AY41" s="26" t="str">
        <f>C43</f>
        <v xml:space="preserve">Redevance superficiaire   </v>
      </c>
      <c r="AZ41" s="18">
        <f t="shared" ca="1" si="82"/>
        <v>0</v>
      </c>
      <c r="BA41" s="18">
        <f t="shared" ca="1" si="82"/>
        <v>0</v>
      </c>
      <c r="BB41" s="18">
        <f t="shared" ca="1" si="82"/>
        <v>0</v>
      </c>
      <c r="BC41" s="18">
        <f t="shared" ca="1" si="82"/>
        <v>0</v>
      </c>
      <c r="BD41" s="18">
        <f t="shared" ca="1" si="82"/>
        <v>0</v>
      </c>
      <c r="BE41" s="18">
        <f t="shared" ca="1" si="82"/>
        <v>0</v>
      </c>
      <c r="BF41" s="18">
        <f t="shared" ca="1" si="82"/>
        <v>0</v>
      </c>
      <c r="BG41" s="18">
        <f t="shared" ca="1" si="82"/>
        <v>0</v>
      </c>
      <c r="BH41" s="18">
        <f t="shared" ca="1" si="82"/>
        <v>0</v>
      </c>
      <c r="BI41" s="18">
        <f t="shared" ca="1" si="82"/>
        <v>0</v>
      </c>
      <c r="BJ41" s="18">
        <f t="shared" ca="1" si="82"/>
        <v>0</v>
      </c>
      <c r="BK41" s="18">
        <f t="shared" ca="1" si="82"/>
        <v>0</v>
      </c>
    </row>
    <row r="42" spans="1:63">
      <c r="A42" s="80">
        <f t="shared" si="29"/>
        <v>29</v>
      </c>
      <c r="B42" s="64">
        <f>+'Taxes RCA 2022'!A35</f>
        <v>29</v>
      </c>
      <c r="C42" s="68" t="str">
        <f>+'Taxes RCA 2022'!B35</f>
        <v>Droits d'attributions</v>
      </c>
      <c r="E42" s="165"/>
      <c r="F42" s="165">
        <f>SUMIF($A$84:$A$751,B42&amp;"- "&amp;C42,$G$84:$G$751)</f>
        <v>0</v>
      </c>
      <c r="G42" s="165">
        <f>E42+F42</f>
        <v>0</v>
      </c>
      <c r="H42" s="114"/>
      <c r="I42" s="165"/>
      <c r="J42" s="165">
        <f ca="1">SUMIF($J$84:$M$747,B42&amp;"- "&amp;C42,$Q$84:$Q$747)</f>
        <v>0</v>
      </c>
      <c r="K42" s="165">
        <f ca="1">I42+J42</f>
        <v>0</v>
      </c>
      <c r="L42" s="114"/>
      <c r="M42" s="165">
        <f ca="1">+G42-K42</f>
        <v>0</v>
      </c>
      <c r="N42" s="68"/>
      <c r="O42" s="38" t="str">
        <f t="shared" ca="1" si="49"/>
        <v/>
      </c>
      <c r="P42" s="39" t="str">
        <f t="shared" ca="1" si="83"/>
        <v/>
      </c>
      <c r="Q42" s="35"/>
      <c r="T42" s="41" t="str">
        <f ca="1">IF(J8=S33,"","ERROR")</f>
        <v/>
      </c>
      <c r="Y42" s="15">
        <f>B44</f>
        <v>31</v>
      </c>
      <c r="Z42" s="25" t="str">
        <f>C44</f>
        <v>Projet de développement du secteur minier (PDSM)</v>
      </c>
      <c r="AA42" s="16">
        <f t="shared" si="76"/>
        <v>0</v>
      </c>
      <c r="AB42" s="16">
        <f t="shared" si="76"/>
        <v>0</v>
      </c>
      <c r="AC42" s="16">
        <f t="shared" si="76"/>
        <v>0</v>
      </c>
      <c r="AD42" s="16">
        <f t="shared" si="76"/>
        <v>0</v>
      </c>
      <c r="AE42" s="16">
        <f t="shared" si="76"/>
        <v>0</v>
      </c>
      <c r="AF42" s="16">
        <f t="shared" si="76"/>
        <v>0</v>
      </c>
      <c r="AG42" s="16">
        <f t="shared" si="76"/>
        <v>0</v>
      </c>
      <c r="AH42" s="16">
        <f t="shared" si="76"/>
        <v>0</v>
      </c>
      <c r="AI42" s="16">
        <f t="shared" si="76"/>
        <v>0</v>
      </c>
      <c r="AJ42" s="16">
        <f t="shared" si="77"/>
        <v>0</v>
      </c>
      <c r="AL42" s="17">
        <f>+B44</f>
        <v>31</v>
      </c>
      <c r="AM42" s="26" t="str">
        <f>+C44</f>
        <v>Projet de développement du secteur minier (PDSM)</v>
      </c>
      <c r="AN42" s="18">
        <f t="shared" si="79"/>
        <v>0</v>
      </c>
      <c r="AO42" s="18">
        <f t="shared" si="79"/>
        <v>0</v>
      </c>
      <c r="AP42" s="18">
        <f t="shared" si="79"/>
        <v>0</v>
      </c>
      <c r="AQ42" s="18">
        <f t="shared" si="79"/>
        <v>0</v>
      </c>
      <c r="AR42" s="18">
        <f t="shared" si="79"/>
        <v>0</v>
      </c>
      <c r="AS42" s="18">
        <f t="shared" si="79"/>
        <v>0</v>
      </c>
      <c r="AT42" s="18">
        <f t="shared" si="79"/>
        <v>0</v>
      </c>
      <c r="AU42" s="18">
        <f t="shared" si="79"/>
        <v>0</v>
      </c>
      <c r="AV42" s="18">
        <f t="shared" si="80"/>
        <v>0</v>
      </c>
      <c r="AW42" s="18"/>
      <c r="AX42" s="17">
        <f>B44</f>
        <v>31</v>
      </c>
      <c r="AY42" s="26" t="str">
        <f>C44</f>
        <v>Projet de développement du secteur minier (PDSM)</v>
      </c>
      <c r="AZ42" s="18">
        <f t="shared" ca="1" si="82"/>
        <v>0</v>
      </c>
      <c r="BA42" s="18">
        <f t="shared" ca="1" si="82"/>
        <v>0</v>
      </c>
      <c r="BB42" s="18">
        <f t="shared" ca="1" si="82"/>
        <v>0</v>
      </c>
      <c r="BC42" s="18">
        <f t="shared" ca="1" si="82"/>
        <v>0</v>
      </c>
      <c r="BD42" s="18">
        <f t="shared" ca="1" si="82"/>
        <v>0</v>
      </c>
      <c r="BE42" s="18">
        <f t="shared" ca="1" si="82"/>
        <v>0</v>
      </c>
      <c r="BF42" s="18">
        <f t="shared" ca="1" si="82"/>
        <v>0</v>
      </c>
      <c r="BG42" s="18">
        <f t="shared" ca="1" si="82"/>
        <v>0</v>
      </c>
      <c r="BH42" s="18">
        <f t="shared" ca="1" si="82"/>
        <v>0</v>
      </c>
      <c r="BI42" s="18">
        <f t="shared" ca="1" si="82"/>
        <v>0</v>
      </c>
      <c r="BJ42" s="18">
        <f t="shared" ca="1" si="82"/>
        <v>0</v>
      </c>
      <c r="BK42" s="18">
        <f t="shared" ca="1" si="82"/>
        <v>0</v>
      </c>
    </row>
    <row r="43" spans="1:63">
      <c r="A43" s="80">
        <f t="shared" si="29"/>
        <v>30</v>
      </c>
      <c r="B43" s="53">
        <f>+'Taxes RCA 2022'!A36</f>
        <v>30</v>
      </c>
      <c r="C43" s="18" t="str">
        <f>+'Taxes RCA 2022'!B36</f>
        <v xml:space="preserve">Redevance superficiaire   </v>
      </c>
      <c r="E43" s="114"/>
      <c r="F43" s="114">
        <f>SUMIF($A$84:$A$751,B43&amp;"- "&amp;C43,$G$84:$G$751)</f>
        <v>0</v>
      </c>
      <c r="G43" s="114">
        <f>E43+F43</f>
        <v>0</v>
      </c>
      <c r="H43" s="114"/>
      <c r="I43" s="114">
        <v>49479519</v>
      </c>
      <c r="J43" s="114">
        <f ca="1">SUMIF($J$84:$M$747,B43&amp;"- "&amp;C43,$Q$84:$Q$747)</f>
        <v>0</v>
      </c>
      <c r="K43" s="114">
        <f ca="1">I43+J43</f>
        <v>49479519</v>
      </c>
      <c r="L43" s="114"/>
      <c r="M43" s="114">
        <f ca="1">+G43-K43</f>
        <v>-49479519</v>
      </c>
      <c r="N43" s="18"/>
      <c r="O43" s="38" t="str">
        <f t="shared" ca="1" si="49"/>
        <v>ERROR</v>
      </c>
      <c r="P43" s="39" t="str">
        <f t="shared" ca="1" si="83"/>
        <v>Please insert comment</v>
      </c>
      <c r="Q43" s="35"/>
      <c r="Y43" s="15">
        <f t="shared" si="75"/>
        <v>32</v>
      </c>
      <c r="Z43" s="25" t="str">
        <f t="shared" si="75"/>
        <v>Taxes superficiaires (+)</v>
      </c>
      <c r="AA43" s="16">
        <f t="shared" si="76"/>
        <v>0</v>
      </c>
      <c r="AB43" s="16">
        <f t="shared" si="76"/>
        <v>0</v>
      </c>
      <c r="AC43" s="16">
        <f t="shared" si="76"/>
        <v>0</v>
      </c>
      <c r="AD43" s="16">
        <f t="shared" si="76"/>
        <v>0</v>
      </c>
      <c r="AE43" s="16">
        <f t="shared" si="76"/>
        <v>0</v>
      </c>
      <c r="AF43" s="16">
        <f t="shared" si="76"/>
        <v>0</v>
      </c>
      <c r="AG43" s="16">
        <f t="shared" si="76"/>
        <v>0</v>
      </c>
      <c r="AH43" s="16">
        <f t="shared" si="76"/>
        <v>0</v>
      </c>
      <c r="AI43" s="16">
        <f t="shared" si="76"/>
        <v>0</v>
      </c>
      <c r="AJ43" s="16">
        <f t="shared" si="77"/>
        <v>0</v>
      </c>
      <c r="AL43" s="17">
        <f t="shared" si="78"/>
        <v>32</v>
      </c>
      <c r="AM43" s="26" t="str">
        <f t="shared" si="78"/>
        <v>Taxes superficiaires (+)</v>
      </c>
      <c r="AN43" s="18">
        <f t="shared" si="79"/>
        <v>0</v>
      </c>
      <c r="AO43" s="18">
        <f t="shared" si="79"/>
        <v>0</v>
      </c>
      <c r="AP43" s="18">
        <f t="shared" si="79"/>
        <v>0</v>
      </c>
      <c r="AQ43" s="18">
        <f t="shared" si="79"/>
        <v>0</v>
      </c>
      <c r="AR43" s="18">
        <f t="shared" si="79"/>
        <v>0</v>
      </c>
      <c r="AS43" s="18">
        <f t="shared" si="79"/>
        <v>0</v>
      </c>
      <c r="AT43" s="18">
        <f t="shared" si="79"/>
        <v>0</v>
      </c>
      <c r="AU43" s="18">
        <f t="shared" si="79"/>
        <v>0</v>
      </c>
      <c r="AV43" s="18">
        <f t="shared" si="80"/>
        <v>0</v>
      </c>
      <c r="AW43" s="18"/>
      <c r="AX43" s="17">
        <f t="shared" si="81"/>
        <v>32</v>
      </c>
      <c r="AY43" s="26" t="str">
        <f t="shared" si="81"/>
        <v>Taxes superficiaires (+)</v>
      </c>
      <c r="AZ43" s="18">
        <f t="shared" ca="1" si="82"/>
        <v>0</v>
      </c>
      <c r="BA43" s="18">
        <f t="shared" ca="1" si="82"/>
        <v>0</v>
      </c>
      <c r="BB43" s="18">
        <f t="shared" ca="1" si="82"/>
        <v>0</v>
      </c>
      <c r="BC43" s="18">
        <f t="shared" ca="1" si="82"/>
        <v>0</v>
      </c>
      <c r="BD43" s="18">
        <f t="shared" ca="1" si="82"/>
        <v>0</v>
      </c>
      <c r="BE43" s="18">
        <f t="shared" ca="1" si="82"/>
        <v>0</v>
      </c>
      <c r="BF43" s="18">
        <f t="shared" ca="1" si="82"/>
        <v>0</v>
      </c>
      <c r="BG43" s="18">
        <f t="shared" ca="1" si="82"/>
        <v>0</v>
      </c>
      <c r="BH43" s="18">
        <f t="shared" ca="1" si="82"/>
        <v>0</v>
      </c>
      <c r="BI43" s="18">
        <f t="shared" ca="1" si="82"/>
        <v>0</v>
      </c>
      <c r="BJ43" s="18">
        <f t="shared" ca="1" si="82"/>
        <v>0</v>
      </c>
      <c r="BK43" s="18">
        <f t="shared" ca="1" si="82"/>
        <v>0</v>
      </c>
    </row>
    <row r="44" spans="1:63">
      <c r="A44" s="80">
        <f t="shared" si="29"/>
        <v>31</v>
      </c>
      <c r="B44" s="64">
        <f>+'Taxes RCA 2022'!A37</f>
        <v>31</v>
      </c>
      <c r="C44" s="68" t="str">
        <f>+'Taxes RCA 2022'!B37</f>
        <v>Projet de développement du secteur minier (PDSM)</v>
      </c>
      <c r="E44" s="165"/>
      <c r="F44" s="165">
        <f>SUMIF($A$84:$A$751,B44&amp;"- "&amp;C44,$G$84:$G$751)</f>
        <v>0</v>
      </c>
      <c r="G44" s="165">
        <f>E44+F44</f>
        <v>0</v>
      </c>
      <c r="H44" s="114"/>
      <c r="I44" s="165"/>
      <c r="J44" s="165">
        <f ca="1">SUMIF($J$84:$M$747,B44&amp;"- "&amp;C44,$Q$84:$Q$747)</f>
        <v>0</v>
      </c>
      <c r="K44" s="165">
        <f ca="1">I44+J44</f>
        <v>0</v>
      </c>
      <c r="L44" s="114"/>
      <c r="M44" s="165">
        <f ca="1">+G44-K44</f>
        <v>0</v>
      </c>
      <c r="N44" s="68"/>
      <c r="O44" s="38" t="str">
        <f t="shared" ca="1" si="49"/>
        <v/>
      </c>
      <c r="P44" s="39" t="str">
        <f t="shared" ca="1" si="83"/>
        <v/>
      </c>
      <c r="Y44" s="15">
        <f t="shared" ref="Y44:Z46" si="84">B48</f>
        <v>33</v>
      </c>
      <c r="Z44" s="25" t="str">
        <f t="shared" si="84"/>
        <v>Taxe d’abattage  (+)</v>
      </c>
      <c r="AA44" s="16">
        <f t="shared" si="76"/>
        <v>0</v>
      </c>
      <c r="AB44" s="16">
        <f t="shared" si="76"/>
        <v>0</v>
      </c>
      <c r="AC44" s="16">
        <f t="shared" si="76"/>
        <v>0</v>
      </c>
      <c r="AD44" s="16">
        <f t="shared" si="76"/>
        <v>0</v>
      </c>
      <c r="AE44" s="16">
        <f t="shared" si="76"/>
        <v>0</v>
      </c>
      <c r="AF44" s="16">
        <f t="shared" si="76"/>
        <v>0</v>
      </c>
      <c r="AG44" s="16">
        <f t="shared" si="76"/>
        <v>0</v>
      </c>
      <c r="AH44" s="16">
        <f t="shared" si="76"/>
        <v>0</v>
      </c>
      <c r="AI44" s="16">
        <f t="shared" si="76"/>
        <v>0</v>
      </c>
      <c r="AJ44" s="16">
        <f t="shared" si="77"/>
        <v>0</v>
      </c>
      <c r="AL44" s="17">
        <f t="shared" ref="AL44:AM46" si="85">+B48</f>
        <v>33</v>
      </c>
      <c r="AM44" s="26" t="str">
        <f t="shared" si="85"/>
        <v>Taxe d’abattage  (+)</v>
      </c>
      <c r="AN44" s="18">
        <f t="shared" si="79"/>
        <v>0</v>
      </c>
      <c r="AO44" s="18">
        <f t="shared" si="79"/>
        <v>0</v>
      </c>
      <c r="AP44" s="18">
        <f t="shared" si="79"/>
        <v>0</v>
      </c>
      <c r="AQ44" s="18">
        <f t="shared" si="79"/>
        <v>0</v>
      </c>
      <c r="AR44" s="18">
        <f t="shared" si="79"/>
        <v>0</v>
      </c>
      <c r="AS44" s="18">
        <f t="shared" si="79"/>
        <v>0</v>
      </c>
      <c r="AT44" s="18">
        <f t="shared" si="79"/>
        <v>0</v>
      </c>
      <c r="AU44" s="18">
        <f t="shared" si="79"/>
        <v>0</v>
      </c>
      <c r="AV44" s="18">
        <f t="shared" si="80"/>
        <v>0</v>
      </c>
      <c r="AW44" s="18"/>
      <c r="AX44" s="17">
        <f t="shared" ref="AX44:AY46" si="86">B48</f>
        <v>33</v>
      </c>
      <c r="AY44" s="26" t="str">
        <f t="shared" si="86"/>
        <v>Taxe d’abattage  (+)</v>
      </c>
      <c r="AZ44" s="18">
        <f t="shared" ca="1" si="82"/>
        <v>0</v>
      </c>
      <c r="BA44" s="18">
        <f t="shared" ca="1" si="82"/>
        <v>0</v>
      </c>
      <c r="BB44" s="18">
        <f t="shared" ca="1" si="82"/>
        <v>0</v>
      </c>
      <c r="BC44" s="18">
        <f t="shared" ca="1" si="82"/>
        <v>0</v>
      </c>
      <c r="BD44" s="18">
        <f t="shared" ca="1" si="82"/>
        <v>0</v>
      </c>
      <c r="BE44" s="18">
        <f t="shared" ca="1" si="82"/>
        <v>0</v>
      </c>
      <c r="BF44" s="18">
        <f t="shared" ca="1" si="82"/>
        <v>0</v>
      </c>
      <c r="BG44" s="18">
        <f t="shared" ca="1" si="82"/>
        <v>0</v>
      </c>
      <c r="BH44" s="18">
        <f t="shared" ca="1" si="82"/>
        <v>0</v>
      </c>
      <c r="BI44" s="18">
        <f t="shared" ca="1" si="82"/>
        <v>0</v>
      </c>
      <c r="BJ44" s="18">
        <f t="shared" ca="1" si="82"/>
        <v>0</v>
      </c>
      <c r="BK44" s="18">
        <f t="shared" ca="1" si="82"/>
        <v>0</v>
      </c>
    </row>
    <row r="45" spans="1:63">
      <c r="A45" s="80">
        <f t="shared" si="29"/>
        <v>0</v>
      </c>
      <c r="B45" s="163"/>
      <c r="C45" s="58" t="str">
        <f>+'Taxes RCA 2022'!B38</f>
        <v xml:space="preserve">Paiements infranationaux au profit des communes </v>
      </c>
      <c r="E45" s="166">
        <f>+E46</f>
        <v>0</v>
      </c>
      <c r="F45" s="166">
        <f>+F46</f>
        <v>0</v>
      </c>
      <c r="G45" s="166">
        <f>+G46</f>
        <v>0</v>
      </c>
      <c r="H45" s="114"/>
      <c r="I45" s="166">
        <f>+I46</f>
        <v>0</v>
      </c>
      <c r="J45" s="166">
        <f ca="1">+J46</f>
        <v>0</v>
      </c>
      <c r="K45" s="166">
        <f ca="1">+K46</f>
        <v>0</v>
      </c>
      <c r="L45" s="114"/>
      <c r="M45" s="166">
        <f ca="1">+M46</f>
        <v>0</v>
      </c>
      <c r="N45" s="58"/>
      <c r="O45" s="38" t="str">
        <f t="shared" ca="1" si="49"/>
        <v/>
      </c>
      <c r="P45" s="39" t="str">
        <f t="shared" ca="1" si="83"/>
        <v/>
      </c>
      <c r="Y45" s="15">
        <f t="shared" si="84"/>
        <v>34</v>
      </c>
      <c r="Z45" s="25" t="str">
        <f t="shared" si="84"/>
        <v>Taxe de reboisement (+)</v>
      </c>
      <c r="AA45" s="16">
        <f t="shared" si="76"/>
        <v>0</v>
      </c>
      <c r="AB45" s="16">
        <f t="shared" si="76"/>
        <v>0</v>
      </c>
      <c r="AC45" s="16">
        <f t="shared" si="76"/>
        <v>0</v>
      </c>
      <c r="AD45" s="16">
        <f t="shared" si="76"/>
        <v>0</v>
      </c>
      <c r="AE45" s="16">
        <f t="shared" si="76"/>
        <v>0</v>
      </c>
      <c r="AF45" s="16">
        <f t="shared" si="76"/>
        <v>0</v>
      </c>
      <c r="AG45" s="16">
        <f t="shared" si="76"/>
        <v>0</v>
      </c>
      <c r="AH45" s="16">
        <f t="shared" si="76"/>
        <v>0</v>
      </c>
      <c r="AI45" s="16">
        <f t="shared" si="76"/>
        <v>0</v>
      </c>
      <c r="AJ45" s="16">
        <f t="shared" si="77"/>
        <v>0</v>
      </c>
      <c r="AL45" s="17">
        <f t="shared" si="85"/>
        <v>34</v>
      </c>
      <c r="AM45" s="26" t="str">
        <f t="shared" si="85"/>
        <v>Taxe de reboisement (+)</v>
      </c>
      <c r="AN45" s="18">
        <f t="shared" si="79"/>
        <v>0</v>
      </c>
      <c r="AO45" s="18">
        <f t="shared" si="79"/>
        <v>0</v>
      </c>
      <c r="AP45" s="18">
        <f t="shared" si="79"/>
        <v>0</v>
      </c>
      <c r="AQ45" s="18">
        <f t="shared" si="79"/>
        <v>0</v>
      </c>
      <c r="AR45" s="18">
        <f t="shared" si="79"/>
        <v>0</v>
      </c>
      <c r="AS45" s="18">
        <f t="shared" si="79"/>
        <v>0</v>
      </c>
      <c r="AT45" s="18">
        <f t="shared" si="79"/>
        <v>0</v>
      </c>
      <c r="AU45" s="18">
        <f t="shared" si="79"/>
        <v>0</v>
      </c>
      <c r="AV45" s="18">
        <f t="shared" si="80"/>
        <v>0</v>
      </c>
      <c r="AW45" s="18"/>
      <c r="AX45" s="17">
        <f t="shared" si="86"/>
        <v>34</v>
      </c>
      <c r="AY45" s="26" t="str">
        <f t="shared" si="86"/>
        <v>Taxe de reboisement (+)</v>
      </c>
      <c r="AZ45" s="18">
        <f t="shared" ca="1" si="82"/>
        <v>0</v>
      </c>
      <c r="BA45" s="18">
        <f t="shared" ca="1" si="82"/>
        <v>0</v>
      </c>
      <c r="BB45" s="18">
        <f t="shared" ca="1" si="82"/>
        <v>0</v>
      </c>
      <c r="BC45" s="18">
        <f t="shared" ca="1" si="82"/>
        <v>0</v>
      </c>
      <c r="BD45" s="18">
        <f t="shared" ca="1" si="82"/>
        <v>0</v>
      </c>
      <c r="BE45" s="18">
        <f t="shared" ca="1" si="82"/>
        <v>0</v>
      </c>
      <c r="BF45" s="18">
        <f t="shared" ca="1" si="82"/>
        <v>0</v>
      </c>
      <c r="BG45" s="18">
        <f t="shared" ca="1" si="82"/>
        <v>0</v>
      </c>
      <c r="BH45" s="18">
        <f t="shared" ca="1" si="82"/>
        <v>0</v>
      </c>
      <c r="BI45" s="18">
        <f t="shared" ca="1" si="82"/>
        <v>0</v>
      </c>
      <c r="BJ45" s="18">
        <f t="shared" ca="1" si="82"/>
        <v>0</v>
      </c>
      <c r="BK45" s="18">
        <f t="shared" ca="1" si="82"/>
        <v>0</v>
      </c>
    </row>
    <row r="46" spans="1:63">
      <c r="A46" s="80">
        <f t="shared" si="29"/>
        <v>32</v>
      </c>
      <c r="B46" s="64">
        <f>+'Taxes RCA 2022'!A39</f>
        <v>32</v>
      </c>
      <c r="C46" s="68" t="str">
        <f>+'Taxes RCA 2022'!B39</f>
        <v>Taxes superficiaires (+)</v>
      </c>
      <c r="E46" s="165"/>
      <c r="F46" s="165">
        <f>SUMIF($A$84:$A$751,B46&amp;"- "&amp;C46,$G$84:$G$751)</f>
        <v>0</v>
      </c>
      <c r="G46" s="165">
        <f>E46+F46</f>
        <v>0</v>
      </c>
      <c r="H46" s="114"/>
      <c r="I46" s="165"/>
      <c r="J46" s="165">
        <f ca="1">SUMIF($J$84:$M$747,B46&amp;"- "&amp;C46,$Q$84:$Q$747)</f>
        <v>0</v>
      </c>
      <c r="K46" s="165">
        <f ca="1">I46+J46</f>
        <v>0</v>
      </c>
      <c r="L46" s="114"/>
      <c r="M46" s="165">
        <f ca="1">+G46-K46</f>
        <v>0</v>
      </c>
      <c r="N46" s="68"/>
      <c r="O46" s="38" t="str">
        <f t="shared" ca="1" si="49"/>
        <v/>
      </c>
      <c r="P46" s="39" t="str">
        <f t="shared" ca="1" si="83"/>
        <v/>
      </c>
      <c r="Y46" s="15">
        <f t="shared" si="84"/>
        <v>35</v>
      </c>
      <c r="Z46" s="25" t="str">
        <f t="shared" si="84"/>
        <v>Droit de sortie (DS)/Taxe Export (+)</v>
      </c>
      <c r="AA46" s="16">
        <f t="shared" si="76"/>
        <v>0</v>
      </c>
      <c r="AB46" s="16">
        <f t="shared" si="76"/>
        <v>0</v>
      </c>
      <c r="AC46" s="16">
        <f t="shared" si="76"/>
        <v>0</v>
      </c>
      <c r="AD46" s="16">
        <f t="shared" si="76"/>
        <v>0</v>
      </c>
      <c r="AE46" s="16">
        <f t="shared" si="76"/>
        <v>0</v>
      </c>
      <c r="AF46" s="16">
        <f t="shared" si="76"/>
        <v>0</v>
      </c>
      <c r="AG46" s="16">
        <f t="shared" si="76"/>
        <v>0</v>
      </c>
      <c r="AH46" s="16">
        <f t="shared" si="76"/>
        <v>0</v>
      </c>
      <c r="AI46" s="16">
        <f t="shared" si="76"/>
        <v>0</v>
      </c>
      <c r="AJ46" s="16">
        <f t="shared" si="77"/>
        <v>0</v>
      </c>
      <c r="AL46" s="17">
        <f t="shared" si="85"/>
        <v>35</v>
      </c>
      <c r="AM46" s="26" t="str">
        <f t="shared" si="85"/>
        <v>Droit de sortie (DS)/Taxe Export (+)</v>
      </c>
      <c r="AN46" s="18">
        <f t="shared" si="79"/>
        <v>0</v>
      </c>
      <c r="AO46" s="18">
        <f t="shared" si="79"/>
        <v>0</v>
      </c>
      <c r="AP46" s="18">
        <f t="shared" si="79"/>
        <v>0</v>
      </c>
      <c r="AQ46" s="18">
        <f t="shared" si="79"/>
        <v>0</v>
      </c>
      <c r="AR46" s="18">
        <f t="shared" si="79"/>
        <v>0</v>
      </c>
      <c r="AS46" s="18">
        <f t="shared" si="79"/>
        <v>0</v>
      </c>
      <c r="AT46" s="18">
        <f t="shared" si="79"/>
        <v>0</v>
      </c>
      <c r="AU46" s="18">
        <f t="shared" si="79"/>
        <v>0</v>
      </c>
      <c r="AV46" s="18">
        <f t="shared" si="80"/>
        <v>0</v>
      </c>
      <c r="AW46" s="18"/>
      <c r="AX46" s="17">
        <f t="shared" si="86"/>
        <v>35</v>
      </c>
      <c r="AY46" s="26" t="str">
        <f t="shared" si="86"/>
        <v>Droit de sortie (DS)/Taxe Export (+)</v>
      </c>
      <c r="AZ46" s="18">
        <f t="shared" ca="1" si="82"/>
        <v>0</v>
      </c>
      <c r="BA46" s="18">
        <f t="shared" ca="1" si="82"/>
        <v>0</v>
      </c>
      <c r="BB46" s="18">
        <f t="shared" ca="1" si="82"/>
        <v>0</v>
      </c>
      <c r="BC46" s="18">
        <f t="shared" ca="1" si="82"/>
        <v>0</v>
      </c>
      <c r="BD46" s="18">
        <f t="shared" ca="1" si="82"/>
        <v>0</v>
      </c>
      <c r="BE46" s="18">
        <f t="shared" ca="1" si="82"/>
        <v>0</v>
      </c>
      <c r="BF46" s="18">
        <f t="shared" ca="1" si="82"/>
        <v>0</v>
      </c>
      <c r="BG46" s="18">
        <f t="shared" ca="1" si="82"/>
        <v>0</v>
      </c>
      <c r="BH46" s="18">
        <f t="shared" ca="1" si="82"/>
        <v>0</v>
      </c>
      <c r="BI46" s="18">
        <f t="shared" ca="1" si="82"/>
        <v>0</v>
      </c>
      <c r="BJ46" s="18">
        <f t="shared" ca="1" si="82"/>
        <v>0</v>
      </c>
      <c r="BK46" s="18">
        <f t="shared" ca="1" si="82"/>
        <v>0</v>
      </c>
    </row>
    <row r="47" spans="1:63">
      <c r="A47" s="80"/>
      <c r="B47" s="163"/>
      <c r="C47" s="58" t="s">
        <v>518</v>
      </c>
      <c r="E47" s="166">
        <f>SUM(E48:E51)</f>
        <v>0</v>
      </c>
      <c r="F47" s="166">
        <f>SUM(F48:F51)</f>
        <v>0</v>
      </c>
      <c r="G47" s="166">
        <f>SUM(G48:G51)</f>
        <v>0</v>
      </c>
      <c r="H47" s="114"/>
      <c r="I47" s="166">
        <f>SUM(I48:I51)</f>
        <v>0</v>
      </c>
      <c r="J47" s="166">
        <f ca="1">SUM(J48:J51)</f>
        <v>0</v>
      </c>
      <c r="K47" s="166">
        <f ca="1">SUM(K48:K51)</f>
        <v>0</v>
      </c>
      <c r="L47" s="114"/>
      <c r="M47" s="166">
        <f ca="1">SUM(M48:M51)</f>
        <v>0</v>
      </c>
      <c r="N47" s="58"/>
      <c r="O47" s="38"/>
      <c r="P47" s="39"/>
      <c r="Y47" s="15"/>
      <c r="Z47" s="25"/>
      <c r="AA47" s="16"/>
      <c r="AB47" s="16"/>
      <c r="AC47" s="16"/>
      <c r="AD47" s="16"/>
      <c r="AE47" s="16"/>
      <c r="AF47" s="16"/>
      <c r="AG47" s="16"/>
      <c r="AH47" s="16"/>
      <c r="AI47" s="16"/>
      <c r="AJ47" s="16"/>
      <c r="AL47" s="17"/>
      <c r="AM47" s="26"/>
      <c r="AN47" s="18"/>
      <c r="AO47" s="18"/>
      <c r="AP47" s="18"/>
      <c r="AQ47" s="18"/>
      <c r="AR47" s="18"/>
      <c r="AS47" s="18"/>
      <c r="AT47" s="18"/>
      <c r="AU47" s="18"/>
      <c r="AV47" s="18"/>
      <c r="AW47" s="18"/>
      <c r="AX47" s="17"/>
      <c r="AY47" s="26"/>
      <c r="AZ47" s="18"/>
      <c r="BA47" s="18"/>
      <c r="BB47" s="18"/>
      <c r="BC47" s="18"/>
      <c r="BD47" s="18"/>
      <c r="BE47" s="18"/>
      <c r="BF47" s="18"/>
      <c r="BG47" s="18"/>
      <c r="BH47" s="18"/>
      <c r="BI47" s="18"/>
      <c r="BJ47" s="18"/>
      <c r="BK47" s="18"/>
    </row>
    <row r="48" spans="1:63">
      <c r="A48" s="80">
        <f t="shared" si="29"/>
        <v>33</v>
      </c>
      <c r="B48" s="53">
        <f>+'Taxes RCA 2022'!A41</f>
        <v>33</v>
      </c>
      <c r="C48" s="18" t="str">
        <f>+'Taxes RCA 2022'!B41</f>
        <v>Taxe d’abattage  (+)</v>
      </c>
      <c r="E48" s="114"/>
      <c r="F48" s="114">
        <f>SUMIF($A$84:$A$751,B48&amp;"- "&amp;C48,$G$84:$G$751)</f>
        <v>0</v>
      </c>
      <c r="G48" s="114">
        <f>E48+F48</f>
        <v>0</v>
      </c>
      <c r="H48" s="114"/>
      <c r="I48" s="114"/>
      <c r="J48" s="114">
        <f ca="1">SUMIF($J$84:$M$747,B48&amp;"- "&amp;C48,$Q$84:$Q$747)</f>
        <v>0</v>
      </c>
      <c r="K48" s="114">
        <f ca="1">I48+J48</f>
        <v>0</v>
      </c>
      <c r="L48" s="114"/>
      <c r="M48" s="114">
        <f ca="1">+G48-K48</f>
        <v>0</v>
      </c>
      <c r="N48" s="18"/>
      <c r="O48" s="38"/>
      <c r="P48" s="39" t="str">
        <f t="shared" si="83"/>
        <v/>
      </c>
      <c r="Y48" s="15">
        <f t="shared" si="75"/>
        <v>36</v>
      </c>
      <c r="Z48" s="25" t="str">
        <f t="shared" si="75"/>
        <v>Taxes environnementales sur les Stes forestières et Minières (+)</v>
      </c>
      <c r="AA48" s="16">
        <f t="shared" ref="AA48:AI49" si="87">SUMPRODUCT(($A$84:$A$751=$Y48&amp;"- "&amp;$Z48)*($C$84:$C$751=AA$1)*($G$84:$G$751))</f>
        <v>0</v>
      </c>
      <c r="AB48" s="16">
        <f t="shared" si="87"/>
        <v>0</v>
      </c>
      <c r="AC48" s="16">
        <f t="shared" si="87"/>
        <v>0</v>
      </c>
      <c r="AD48" s="16">
        <f t="shared" si="87"/>
        <v>0</v>
      </c>
      <c r="AE48" s="16">
        <f t="shared" si="87"/>
        <v>0</v>
      </c>
      <c r="AF48" s="16">
        <f t="shared" si="87"/>
        <v>0</v>
      </c>
      <c r="AG48" s="16">
        <f t="shared" si="87"/>
        <v>0</v>
      </c>
      <c r="AH48" s="16">
        <f t="shared" si="87"/>
        <v>0</v>
      </c>
      <c r="AI48" s="16">
        <f t="shared" si="87"/>
        <v>0</v>
      </c>
      <c r="AJ48" s="16">
        <f t="shared" si="77"/>
        <v>0</v>
      </c>
      <c r="AL48" s="17">
        <f t="shared" si="78"/>
        <v>36</v>
      </c>
      <c r="AM48" s="26" t="str">
        <f t="shared" si="78"/>
        <v>Taxes environnementales sur les Stes forestières et Minières (+)</v>
      </c>
      <c r="AN48" s="18">
        <f t="shared" ref="AN48:AU49" si="88">SUMPRODUCT(($J$84:$M$746=$AL48&amp;"- "&amp;$AM48)*($N$84:$N$746=AN$1)*($Q$84:$Q$746))</f>
        <v>0</v>
      </c>
      <c r="AO48" s="18">
        <f t="shared" si="88"/>
        <v>0</v>
      </c>
      <c r="AP48" s="18">
        <f t="shared" si="88"/>
        <v>0</v>
      </c>
      <c r="AQ48" s="18">
        <f t="shared" si="88"/>
        <v>0</v>
      </c>
      <c r="AR48" s="18">
        <f t="shared" si="88"/>
        <v>0</v>
      </c>
      <c r="AS48" s="18">
        <f t="shared" si="88"/>
        <v>0</v>
      </c>
      <c r="AT48" s="18">
        <f t="shared" si="88"/>
        <v>0</v>
      </c>
      <c r="AU48" s="18">
        <f t="shared" si="88"/>
        <v>0</v>
      </c>
      <c r="AV48" s="18">
        <f t="shared" si="80"/>
        <v>0</v>
      </c>
      <c r="AW48" s="38"/>
      <c r="AX48" s="17">
        <f t="shared" si="81"/>
        <v>36</v>
      </c>
      <c r="AY48" s="26" t="str">
        <f t="shared" si="81"/>
        <v>Taxes environnementales sur les Stes forestières et Minières (+)</v>
      </c>
      <c r="AZ48" s="18">
        <f t="shared" ref="AZ48:BK49" ca="1" si="89">SUMPRODUCT(($C$10:$C$75=$AY48)*($N$10:$N$75=AZ$1)*($M$10:$M$75))</f>
        <v>0</v>
      </c>
      <c r="BA48" s="18">
        <f t="shared" ca="1" si="89"/>
        <v>0</v>
      </c>
      <c r="BB48" s="18">
        <f t="shared" ca="1" si="89"/>
        <v>0</v>
      </c>
      <c r="BC48" s="18">
        <f t="shared" ca="1" si="89"/>
        <v>0</v>
      </c>
      <c r="BD48" s="18">
        <f t="shared" ca="1" si="89"/>
        <v>0</v>
      </c>
      <c r="BE48" s="18">
        <f t="shared" ca="1" si="89"/>
        <v>0</v>
      </c>
      <c r="BF48" s="18">
        <f t="shared" ca="1" si="89"/>
        <v>0</v>
      </c>
      <c r="BG48" s="18">
        <f t="shared" ca="1" si="89"/>
        <v>0</v>
      </c>
      <c r="BH48" s="18">
        <f t="shared" ca="1" si="89"/>
        <v>0</v>
      </c>
      <c r="BI48" s="18">
        <f t="shared" ca="1" si="89"/>
        <v>0</v>
      </c>
      <c r="BJ48" s="18">
        <f t="shared" ca="1" si="89"/>
        <v>0</v>
      </c>
      <c r="BK48" s="18">
        <f t="shared" ca="1" si="89"/>
        <v>0</v>
      </c>
    </row>
    <row r="49" spans="1:63">
      <c r="A49" s="80">
        <f t="shared" si="29"/>
        <v>34</v>
      </c>
      <c r="B49" s="64">
        <f>+'Taxes RCA 2022'!A42</f>
        <v>34</v>
      </c>
      <c r="C49" s="68" t="str">
        <f>+'Taxes RCA 2022'!B42</f>
        <v>Taxe de reboisement (+)</v>
      </c>
      <c r="E49" s="165"/>
      <c r="F49" s="165">
        <f>SUMIF($A$84:$A$751,B49&amp;"- "&amp;C49,$G$84:$G$751)</f>
        <v>0</v>
      </c>
      <c r="G49" s="165">
        <f>E49+F49</f>
        <v>0</v>
      </c>
      <c r="H49" s="114"/>
      <c r="I49" s="165"/>
      <c r="J49" s="165">
        <f ca="1">SUMIF($J$84:$M$747,B49&amp;"- "&amp;C49,$Q$84:$Q$747)</f>
        <v>0</v>
      </c>
      <c r="K49" s="165">
        <f ca="1">I49+J49</f>
        <v>0</v>
      </c>
      <c r="L49" s="114"/>
      <c r="M49" s="165">
        <f ca="1">+G49-K49</f>
        <v>0</v>
      </c>
      <c r="N49" s="68"/>
      <c r="O49" s="38" t="str">
        <f t="shared" ca="1" si="49"/>
        <v/>
      </c>
      <c r="P49" s="39" t="str">
        <f t="shared" ca="1" si="83"/>
        <v/>
      </c>
      <c r="Y49" s="15">
        <f t="shared" si="75"/>
        <v>0</v>
      </c>
      <c r="Z49" s="25" t="str">
        <f t="shared" si="75"/>
        <v>Affectations spéciales</v>
      </c>
      <c r="AA49" s="16">
        <f t="shared" si="87"/>
        <v>0</v>
      </c>
      <c r="AB49" s="16">
        <f t="shared" si="87"/>
        <v>0</v>
      </c>
      <c r="AC49" s="16">
        <f t="shared" si="87"/>
        <v>0</v>
      </c>
      <c r="AD49" s="16">
        <f t="shared" si="87"/>
        <v>0</v>
      </c>
      <c r="AE49" s="16">
        <f t="shared" si="87"/>
        <v>0</v>
      </c>
      <c r="AF49" s="16">
        <f t="shared" si="87"/>
        <v>0</v>
      </c>
      <c r="AG49" s="16">
        <f t="shared" si="87"/>
        <v>0</v>
      </c>
      <c r="AH49" s="16">
        <f t="shared" si="87"/>
        <v>0</v>
      </c>
      <c r="AI49" s="16">
        <f t="shared" si="87"/>
        <v>0</v>
      </c>
      <c r="AJ49" s="16">
        <f t="shared" si="77"/>
        <v>0</v>
      </c>
      <c r="AL49" s="17">
        <f t="shared" si="78"/>
        <v>0</v>
      </c>
      <c r="AM49" s="26" t="str">
        <f t="shared" si="78"/>
        <v>Affectations spéciales</v>
      </c>
      <c r="AN49" s="18">
        <f t="shared" si="88"/>
        <v>0</v>
      </c>
      <c r="AO49" s="18">
        <f t="shared" si="88"/>
        <v>0</v>
      </c>
      <c r="AP49" s="18">
        <f t="shared" si="88"/>
        <v>0</v>
      </c>
      <c r="AQ49" s="18">
        <f t="shared" si="88"/>
        <v>0</v>
      </c>
      <c r="AR49" s="18">
        <f t="shared" si="88"/>
        <v>0</v>
      </c>
      <c r="AS49" s="18">
        <f t="shared" si="88"/>
        <v>0</v>
      </c>
      <c r="AT49" s="18">
        <f t="shared" si="88"/>
        <v>0</v>
      </c>
      <c r="AU49" s="18">
        <f t="shared" si="88"/>
        <v>0</v>
      </c>
      <c r="AV49" s="18">
        <f t="shared" si="80"/>
        <v>0</v>
      </c>
      <c r="AW49" s="38"/>
      <c r="AX49" s="17">
        <f t="shared" si="81"/>
        <v>0</v>
      </c>
      <c r="AY49" s="26" t="str">
        <f t="shared" si="81"/>
        <v>Affectations spéciales</v>
      </c>
      <c r="AZ49" s="18">
        <f t="shared" ca="1" si="89"/>
        <v>0</v>
      </c>
      <c r="BA49" s="18">
        <f t="shared" ca="1" si="89"/>
        <v>0</v>
      </c>
      <c r="BB49" s="18">
        <f t="shared" ca="1" si="89"/>
        <v>0</v>
      </c>
      <c r="BC49" s="18">
        <f t="shared" ca="1" si="89"/>
        <v>0</v>
      </c>
      <c r="BD49" s="18">
        <f t="shared" ca="1" si="89"/>
        <v>0</v>
      </c>
      <c r="BE49" s="18">
        <f t="shared" ca="1" si="89"/>
        <v>0</v>
      </c>
      <c r="BF49" s="18">
        <f t="shared" ca="1" si="89"/>
        <v>0</v>
      </c>
      <c r="BG49" s="18">
        <f t="shared" ca="1" si="89"/>
        <v>0</v>
      </c>
      <c r="BH49" s="18">
        <f t="shared" ca="1" si="89"/>
        <v>0</v>
      </c>
      <c r="BI49" s="18">
        <f t="shared" ca="1" si="89"/>
        <v>0</v>
      </c>
      <c r="BJ49" s="18">
        <f t="shared" ca="1" si="89"/>
        <v>0</v>
      </c>
      <c r="BK49" s="18">
        <f t="shared" ca="1" si="89"/>
        <v>0</v>
      </c>
    </row>
    <row r="50" spans="1:63">
      <c r="A50" s="80">
        <f t="shared" si="29"/>
        <v>35</v>
      </c>
      <c r="B50" s="53">
        <f>+'Taxes RCA 2022'!A43</f>
        <v>35</v>
      </c>
      <c r="C50" s="18" t="str">
        <f>+'Taxes RCA 2022'!B43</f>
        <v>Droit de sortie (DS)/Taxe Export (+)</v>
      </c>
      <c r="E50" s="114"/>
      <c r="F50" s="114">
        <f>SUMIF($A$84:$A$751,B50&amp;"- "&amp;C50,$G$84:$G$751)</f>
        <v>0</v>
      </c>
      <c r="G50" s="114">
        <f>E50+F50</f>
        <v>0</v>
      </c>
      <c r="H50" s="114"/>
      <c r="I50" s="114"/>
      <c r="J50" s="114">
        <f ca="1">SUMIF($J$84:$M$747,B50&amp;"- "&amp;C50,$Q$84:$Q$747)</f>
        <v>0</v>
      </c>
      <c r="K50" s="114">
        <f ca="1">I50+J50</f>
        <v>0</v>
      </c>
      <c r="L50" s="114"/>
      <c r="M50" s="114">
        <f ca="1">+G50-K50</f>
        <v>0</v>
      </c>
      <c r="N50" s="18"/>
      <c r="O50" s="38" t="str">
        <f t="shared" ca="1" si="49"/>
        <v/>
      </c>
      <c r="P50" s="39" t="str">
        <f t="shared" ca="1" si="83"/>
        <v/>
      </c>
      <c r="Y50" s="28"/>
      <c r="Z50" s="28" t="str">
        <f t="shared" ref="Z50:Z58" si="90">C53</f>
        <v>Affectation au titre la taxe de reboisement (+)</v>
      </c>
      <c r="AA50" s="29">
        <f t="shared" ref="AA50:AJ50" si="91">SUM(AA51:AA59)</f>
        <v>0</v>
      </c>
      <c r="AB50" s="29">
        <f t="shared" si="91"/>
        <v>0</v>
      </c>
      <c r="AC50" s="29">
        <f t="shared" si="91"/>
        <v>0</v>
      </c>
      <c r="AD50" s="29">
        <f t="shared" si="91"/>
        <v>0</v>
      </c>
      <c r="AE50" s="29">
        <f t="shared" si="91"/>
        <v>0</v>
      </c>
      <c r="AF50" s="29">
        <f t="shared" si="91"/>
        <v>0</v>
      </c>
      <c r="AG50" s="29">
        <f t="shared" si="91"/>
        <v>0</v>
      </c>
      <c r="AH50" s="29">
        <f t="shared" si="91"/>
        <v>0</v>
      </c>
      <c r="AI50" s="29">
        <f t="shared" si="91"/>
        <v>0</v>
      </c>
      <c r="AJ50" s="29">
        <f t="shared" si="91"/>
        <v>0</v>
      </c>
      <c r="AL50" s="28"/>
      <c r="AM50" s="28" t="str">
        <f t="shared" ref="AM50:AM57" si="92">+C53</f>
        <v>Affectation au titre la taxe de reboisement (+)</v>
      </c>
      <c r="AN50" s="29">
        <f t="shared" ref="AN50:AV50" si="93">SUM(AN51:AN59)</f>
        <v>0</v>
      </c>
      <c r="AO50" s="29">
        <f t="shared" si="93"/>
        <v>0</v>
      </c>
      <c r="AP50" s="29">
        <f t="shared" si="93"/>
        <v>0</v>
      </c>
      <c r="AQ50" s="29">
        <f t="shared" si="93"/>
        <v>0</v>
      </c>
      <c r="AR50" s="29">
        <f t="shared" si="93"/>
        <v>0</v>
      </c>
      <c r="AS50" s="29">
        <f t="shared" si="93"/>
        <v>0</v>
      </c>
      <c r="AT50" s="29">
        <f t="shared" si="93"/>
        <v>0</v>
      </c>
      <c r="AU50" s="29">
        <f t="shared" si="93"/>
        <v>0</v>
      </c>
      <c r="AV50" s="29">
        <f t="shared" si="93"/>
        <v>0</v>
      </c>
      <c r="AW50" s="18"/>
      <c r="AX50" s="28"/>
      <c r="AY50" s="28" t="str">
        <f t="shared" ref="AY50:AY57" si="94">C53</f>
        <v>Affectation au titre la taxe de reboisement (+)</v>
      </c>
      <c r="AZ50" s="29">
        <f t="shared" ref="AZ50:BK50" ca="1" si="95">SUM(AZ51:AZ59)</f>
        <v>0</v>
      </c>
      <c r="BA50" s="29">
        <f t="shared" ca="1" si="95"/>
        <v>0</v>
      </c>
      <c r="BB50" s="29">
        <f t="shared" ca="1" si="95"/>
        <v>0</v>
      </c>
      <c r="BC50" s="29">
        <f t="shared" ca="1" si="95"/>
        <v>0</v>
      </c>
      <c r="BD50" s="29">
        <f t="shared" ca="1" si="95"/>
        <v>0</v>
      </c>
      <c r="BE50" s="29">
        <f t="shared" ca="1" si="95"/>
        <v>0</v>
      </c>
      <c r="BF50" s="29">
        <f t="shared" ca="1" si="95"/>
        <v>0</v>
      </c>
      <c r="BG50" s="29">
        <f t="shared" ca="1" si="95"/>
        <v>0</v>
      </c>
      <c r="BH50" s="29">
        <f t="shared" ca="1" si="95"/>
        <v>0</v>
      </c>
      <c r="BI50" s="29">
        <f t="shared" ca="1" si="95"/>
        <v>0</v>
      </c>
      <c r="BJ50" s="29">
        <f t="shared" ca="1" si="95"/>
        <v>0</v>
      </c>
      <c r="BK50" s="29">
        <f t="shared" ca="1" si="95"/>
        <v>0</v>
      </c>
    </row>
    <row r="51" spans="1:63">
      <c r="A51" s="80">
        <f t="shared" si="29"/>
        <v>36</v>
      </c>
      <c r="B51" s="64">
        <f>+'Taxes RCA 2022'!A44</f>
        <v>36</v>
      </c>
      <c r="C51" s="68" t="str">
        <f>+'Taxes RCA 2022'!B44</f>
        <v>Taxes environnementales sur les Stes forestières et Minières (+)</v>
      </c>
      <c r="E51" s="165"/>
      <c r="F51" s="165">
        <f>SUMIF($A$84:$A$751,B51&amp;"- "&amp;C51,$G$84:$G$751)</f>
        <v>0</v>
      </c>
      <c r="G51" s="165">
        <f>E51+F51</f>
        <v>0</v>
      </c>
      <c r="H51" s="114"/>
      <c r="I51" s="165"/>
      <c r="J51" s="165">
        <f ca="1">SUMIF($J$84:$M$747,B51&amp;"- "&amp;C51,$Q$84:$Q$747)</f>
        <v>0</v>
      </c>
      <c r="K51" s="165">
        <f ca="1">I51+J51</f>
        <v>0</v>
      </c>
      <c r="L51" s="114"/>
      <c r="M51" s="165">
        <f ca="1">+G51-K51</f>
        <v>0</v>
      </c>
      <c r="N51" s="68"/>
      <c r="O51" s="38" t="str">
        <f t="shared" ca="1" si="49"/>
        <v/>
      </c>
      <c r="P51" s="39" t="str">
        <f t="shared" ca="1" si="83"/>
        <v/>
      </c>
      <c r="Y51" s="15">
        <f t="shared" ref="Y51:Y58" si="96">B54</f>
        <v>38</v>
      </c>
      <c r="Z51" s="25" t="str">
        <f t="shared" si="90"/>
        <v>Affectation au titre de taxe d’abattage (+)</v>
      </c>
      <c r="AA51" s="16">
        <f t="shared" ref="AA51:AI59" si="97">SUMPRODUCT(($A$84:$A$751=$Y51&amp;"- "&amp;$Z51)*($C$84:$C$751=AA$1)*($G$84:$G$751))</f>
        <v>0</v>
      </c>
      <c r="AB51" s="16">
        <f t="shared" si="97"/>
        <v>0</v>
      </c>
      <c r="AC51" s="16">
        <f t="shared" si="97"/>
        <v>0</v>
      </c>
      <c r="AD51" s="16">
        <f t="shared" si="97"/>
        <v>0</v>
      </c>
      <c r="AE51" s="16">
        <f t="shared" si="97"/>
        <v>0</v>
      </c>
      <c r="AF51" s="16">
        <f t="shared" si="97"/>
        <v>0</v>
      </c>
      <c r="AG51" s="16">
        <f t="shared" si="97"/>
        <v>0</v>
      </c>
      <c r="AH51" s="16">
        <f t="shared" si="97"/>
        <v>0</v>
      </c>
      <c r="AI51" s="16">
        <f t="shared" si="97"/>
        <v>0</v>
      </c>
      <c r="AJ51" s="16">
        <f t="shared" ref="AJ51:AJ59" si="98">SUM(AA51:AI51)</f>
        <v>0</v>
      </c>
      <c r="AL51" s="17">
        <f t="shared" ref="AL51:AL57" si="99">+B54</f>
        <v>38</v>
      </c>
      <c r="AM51" s="26" t="str">
        <f t="shared" si="92"/>
        <v>Affectation au titre de taxe d’abattage (+)</v>
      </c>
      <c r="AN51" s="18">
        <f t="shared" ref="AN51:AU59" si="100">SUMPRODUCT(($J$84:$M$746=$AL51&amp;"- "&amp;$AM51)*($N$84:$N$746=AN$1)*($Q$84:$Q$746))</f>
        <v>0</v>
      </c>
      <c r="AO51" s="18">
        <f t="shared" si="100"/>
        <v>0</v>
      </c>
      <c r="AP51" s="18">
        <f t="shared" si="100"/>
        <v>0</v>
      </c>
      <c r="AQ51" s="18">
        <f t="shared" si="100"/>
        <v>0</v>
      </c>
      <c r="AR51" s="18">
        <f t="shared" si="100"/>
        <v>0</v>
      </c>
      <c r="AS51" s="18">
        <f t="shared" si="100"/>
        <v>0</v>
      </c>
      <c r="AT51" s="18">
        <f t="shared" si="100"/>
        <v>0</v>
      </c>
      <c r="AU51" s="18">
        <f t="shared" si="100"/>
        <v>0</v>
      </c>
      <c r="AV51" s="18">
        <f t="shared" ref="AV51:AV59" si="101">SUM(AN51:AU51)</f>
        <v>0</v>
      </c>
      <c r="AW51" s="18"/>
      <c r="AX51" s="17">
        <f t="shared" ref="AX51:AX57" si="102">B54</f>
        <v>38</v>
      </c>
      <c r="AY51" s="26" t="str">
        <f t="shared" si="94"/>
        <v>Affectation au titre de taxe d’abattage (+)</v>
      </c>
      <c r="AZ51" s="18">
        <f t="shared" ref="AZ51:BK59" ca="1" si="103">SUMPRODUCT(($C$10:$C$75=$AY51)*($N$10:$N$75=AZ$1)*($M$10:$M$75))</f>
        <v>0</v>
      </c>
      <c r="BA51" s="18">
        <f t="shared" ca="1" si="103"/>
        <v>0</v>
      </c>
      <c r="BB51" s="18">
        <f t="shared" ca="1" si="103"/>
        <v>0</v>
      </c>
      <c r="BC51" s="18">
        <f t="shared" ca="1" si="103"/>
        <v>0</v>
      </c>
      <c r="BD51" s="18">
        <f t="shared" ca="1" si="103"/>
        <v>0</v>
      </c>
      <c r="BE51" s="18">
        <f t="shared" ca="1" si="103"/>
        <v>0</v>
      </c>
      <c r="BF51" s="18">
        <f t="shared" ca="1" si="103"/>
        <v>0</v>
      </c>
      <c r="BG51" s="18">
        <f t="shared" ca="1" si="103"/>
        <v>0</v>
      </c>
      <c r="BH51" s="18">
        <f t="shared" ca="1" si="103"/>
        <v>0</v>
      </c>
      <c r="BI51" s="18">
        <f t="shared" ca="1" si="103"/>
        <v>0</v>
      </c>
      <c r="BJ51" s="18">
        <f t="shared" ca="1" si="103"/>
        <v>0</v>
      </c>
      <c r="BK51" s="18">
        <f t="shared" ca="1" si="103"/>
        <v>0</v>
      </c>
    </row>
    <row r="52" spans="1:63">
      <c r="A52" s="80"/>
      <c r="B52" s="163"/>
      <c r="C52" s="58" t="str">
        <f>+'Taxes RCA 2022'!B45</f>
        <v>Affectations spéciales</v>
      </c>
      <c r="E52" s="166">
        <f>+E53+E54</f>
        <v>0</v>
      </c>
      <c r="F52" s="166">
        <f t="shared" ref="F52:G52" si="104">+F53+F54</f>
        <v>0</v>
      </c>
      <c r="G52" s="166">
        <f t="shared" si="104"/>
        <v>0</v>
      </c>
      <c r="H52" s="114"/>
      <c r="I52" s="166">
        <f>+I53+I54</f>
        <v>0</v>
      </c>
      <c r="J52" s="166">
        <f t="shared" ref="J52" ca="1" si="105">+J53+J54</f>
        <v>0</v>
      </c>
      <c r="K52" s="166">
        <f t="shared" ref="K52" ca="1" si="106">+K53+K54</f>
        <v>0</v>
      </c>
      <c r="L52" s="114"/>
      <c r="M52" s="166">
        <f t="shared" ref="M52" ca="1" si="107">+M53+M54</f>
        <v>0</v>
      </c>
      <c r="N52" s="58"/>
      <c r="O52" s="38" t="str">
        <f t="shared" ca="1" si="49"/>
        <v/>
      </c>
      <c r="P52" s="39" t="str">
        <f t="shared" ca="1" si="83"/>
        <v/>
      </c>
      <c r="Y52" s="15">
        <f t="shared" si="96"/>
        <v>0</v>
      </c>
      <c r="Z52" s="25" t="str">
        <f t="shared" si="90"/>
        <v xml:space="preserve">Transferts du Trésor aux communes </v>
      </c>
      <c r="AA52" s="16">
        <f t="shared" si="97"/>
        <v>0</v>
      </c>
      <c r="AB52" s="16">
        <f t="shared" si="97"/>
        <v>0</v>
      </c>
      <c r="AC52" s="16">
        <f t="shared" si="97"/>
        <v>0</v>
      </c>
      <c r="AD52" s="16">
        <f t="shared" si="97"/>
        <v>0</v>
      </c>
      <c r="AE52" s="16">
        <f t="shared" si="97"/>
        <v>0</v>
      </c>
      <c r="AF52" s="16">
        <f t="shared" si="97"/>
        <v>0</v>
      </c>
      <c r="AG52" s="16">
        <f t="shared" si="97"/>
        <v>0</v>
      </c>
      <c r="AH52" s="16">
        <f t="shared" si="97"/>
        <v>0</v>
      </c>
      <c r="AI52" s="16">
        <f t="shared" si="97"/>
        <v>0</v>
      </c>
      <c r="AJ52" s="16">
        <f t="shared" si="98"/>
        <v>0</v>
      </c>
      <c r="AL52" s="17">
        <f t="shared" si="99"/>
        <v>0</v>
      </c>
      <c r="AM52" s="26" t="str">
        <f t="shared" si="92"/>
        <v xml:space="preserve">Transferts du Trésor aux communes </v>
      </c>
      <c r="AN52" s="18">
        <f t="shared" si="100"/>
        <v>0</v>
      </c>
      <c r="AO52" s="18">
        <f t="shared" si="100"/>
        <v>0</v>
      </c>
      <c r="AP52" s="18">
        <f t="shared" si="100"/>
        <v>0</v>
      </c>
      <c r="AQ52" s="18">
        <f t="shared" si="100"/>
        <v>0</v>
      </c>
      <c r="AR52" s="18">
        <f t="shared" si="100"/>
        <v>0</v>
      </c>
      <c r="AS52" s="18">
        <f t="shared" si="100"/>
        <v>0</v>
      </c>
      <c r="AT52" s="18">
        <f t="shared" si="100"/>
        <v>0</v>
      </c>
      <c r="AU52" s="18">
        <f t="shared" si="100"/>
        <v>0</v>
      </c>
      <c r="AV52" s="18">
        <f t="shared" si="101"/>
        <v>0</v>
      </c>
      <c r="AW52" s="38"/>
      <c r="AX52" s="17">
        <f t="shared" si="102"/>
        <v>0</v>
      </c>
      <c r="AY52" s="26" t="str">
        <f t="shared" si="94"/>
        <v xml:space="preserve">Transferts du Trésor aux communes </v>
      </c>
      <c r="AZ52" s="18">
        <f t="shared" ca="1" si="103"/>
        <v>0</v>
      </c>
      <c r="BA52" s="18">
        <f t="shared" ca="1" si="103"/>
        <v>0</v>
      </c>
      <c r="BB52" s="18">
        <f t="shared" ca="1" si="103"/>
        <v>0</v>
      </c>
      <c r="BC52" s="18">
        <f t="shared" ca="1" si="103"/>
        <v>0</v>
      </c>
      <c r="BD52" s="18">
        <f t="shared" ca="1" si="103"/>
        <v>0</v>
      </c>
      <c r="BE52" s="18">
        <f t="shared" ca="1" si="103"/>
        <v>0</v>
      </c>
      <c r="BF52" s="18">
        <f t="shared" ca="1" si="103"/>
        <v>0</v>
      </c>
      <c r="BG52" s="18">
        <f t="shared" ca="1" si="103"/>
        <v>0</v>
      </c>
      <c r="BH52" s="18">
        <f t="shared" ca="1" si="103"/>
        <v>0</v>
      </c>
      <c r="BI52" s="18">
        <f t="shared" ca="1" si="103"/>
        <v>0</v>
      </c>
      <c r="BJ52" s="18">
        <f t="shared" ca="1" si="103"/>
        <v>0</v>
      </c>
      <c r="BK52" s="18">
        <f t="shared" ca="1" si="103"/>
        <v>0</v>
      </c>
    </row>
    <row r="53" spans="1:63">
      <c r="A53" s="80">
        <f t="shared" si="29"/>
        <v>37</v>
      </c>
      <c r="B53" s="53">
        <f>+'Taxes RCA 2022'!A46</f>
        <v>37</v>
      </c>
      <c r="C53" s="18" t="str">
        <f>+'Taxes RCA 2022'!B46</f>
        <v>Affectation au titre la taxe de reboisement (+)</v>
      </c>
      <c r="E53" s="114"/>
      <c r="F53" s="114">
        <f>SUMIF($A$84:$A$751,B53&amp;"- "&amp;C53,$G$84:$G$751)</f>
        <v>0</v>
      </c>
      <c r="G53" s="114">
        <f>E53+F53</f>
        <v>0</v>
      </c>
      <c r="H53" s="114"/>
      <c r="I53" s="114"/>
      <c r="J53" s="114">
        <f ca="1">SUMIF($J$84:$M$747,B53&amp;"- "&amp;C53,$Q$84:$Q$747)</f>
        <v>0</v>
      </c>
      <c r="K53" s="114">
        <f ca="1">I53+J53</f>
        <v>0</v>
      </c>
      <c r="L53" s="114"/>
      <c r="M53" s="114">
        <f ca="1">+G53-K53</f>
        <v>0</v>
      </c>
      <c r="N53" s="18"/>
      <c r="O53" s="38" t="str">
        <f t="shared" ca="1" si="49"/>
        <v/>
      </c>
      <c r="P53" s="39" t="str">
        <f ca="1">IF(O53="ERROR","Please insert comment","")</f>
        <v/>
      </c>
      <c r="Y53" s="15">
        <f t="shared" si="96"/>
        <v>0</v>
      </c>
      <c r="Z53" s="25" t="str">
        <f t="shared" si="90"/>
        <v>Transfert du trésor aux communes</v>
      </c>
      <c r="AA53" s="16">
        <f t="shared" si="97"/>
        <v>0</v>
      </c>
      <c r="AB53" s="16">
        <f t="shared" si="97"/>
        <v>0</v>
      </c>
      <c r="AC53" s="16">
        <f t="shared" si="97"/>
        <v>0</v>
      </c>
      <c r="AD53" s="16">
        <f t="shared" si="97"/>
        <v>0</v>
      </c>
      <c r="AE53" s="16">
        <f t="shared" si="97"/>
        <v>0</v>
      </c>
      <c r="AF53" s="16">
        <f t="shared" si="97"/>
        <v>0</v>
      </c>
      <c r="AG53" s="16">
        <f t="shared" si="97"/>
        <v>0</v>
      </c>
      <c r="AH53" s="16">
        <f t="shared" si="97"/>
        <v>0</v>
      </c>
      <c r="AI53" s="16">
        <f t="shared" si="97"/>
        <v>0</v>
      </c>
      <c r="AJ53" s="16">
        <f t="shared" si="98"/>
        <v>0</v>
      </c>
      <c r="AL53" s="17">
        <f t="shared" si="99"/>
        <v>0</v>
      </c>
      <c r="AM53" s="26" t="str">
        <f t="shared" si="92"/>
        <v>Transfert du trésor aux communes</v>
      </c>
      <c r="AN53" s="18">
        <f t="shared" si="100"/>
        <v>0</v>
      </c>
      <c r="AO53" s="18">
        <f t="shared" si="100"/>
        <v>0</v>
      </c>
      <c r="AP53" s="18">
        <f t="shared" si="100"/>
        <v>0</v>
      </c>
      <c r="AQ53" s="18">
        <f t="shared" si="100"/>
        <v>0</v>
      </c>
      <c r="AR53" s="18">
        <f t="shared" si="100"/>
        <v>0</v>
      </c>
      <c r="AS53" s="18">
        <f t="shared" si="100"/>
        <v>0</v>
      </c>
      <c r="AT53" s="18">
        <f t="shared" si="100"/>
        <v>0</v>
      </c>
      <c r="AU53" s="18">
        <f t="shared" si="100"/>
        <v>0</v>
      </c>
      <c r="AV53" s="18">
        <f t="shared" si="101"/>
        <v>0</v>
      </c>
      <c r="AW53" s="18"/>
      <c r="AX53" s="17">
        <f t="shared" si="102"/>
        <v>0</v>
      </c>
      <c r="AY53" s="26" t="str">
        <f t="shared" si="94"/>
        <v>Transfert du trésor aux communes</v>
      </c>
      <c r="AZ53" s="18">
        <f t="shared" ca="1" si="103"/>
        <v>0</v>
      </c>
      <c r="BA53" s="18">
        <f t="shared" ca="1" si="103"/>
        <v>0</v>
      </c>
      <c r="BB53" s="18">
        <f t="shared" ca="1" si="103"/>
        <v>0</v>
      </c>
      <c r="BC53" s="18">
        <f t="shared" ca="1" si="103"/>
        <v>0</v>
      </c>
      <c r="BD53" s="18">
        <f t="shared" ca="1" si="103"/>
        <v>0</v>
      </c>
      <c r="BE53" s="18">
        <f t="shared" ca="1" si="103"/>
        <v>0</v>
      </c>
      <c r="BF53" s="18">
        <f t="shared" ca="1" si="103"/>
        <v>0</v>
      </c>
      <c r="BG53" s="18">
        <f t="shared" ca="1" si="103"/>
        <v>0</v>
      </c>
      <c r="BH53" s="18">
        <f t="shared" ca="1" si="103"/>
        <v>0</v>
      </c>
      <c r="BI53" s="18">
        <f t="shared" ca="1" si="103"/>
        <v>0</v>
      </c>
      <c r="BJ53" s="18">
        <f t="shared" ca="1" si="103"/>
        <v>0</v>
      </c>
      <c r="BK53" s="18">
        <f t="shared" ca="1" si="103"/>
        <v>0</v>
      </c>
    </row>
    <row r="54" spans="1:63">
      <c r="A54" s="80">
        <f t="shared" si="29"/>
        <v>38</v>
      </c>
      <c r="B54" s="64">
        <f>+'Taxes RCA 2022'!A47</f>
        <v>38</v>
      </c>
      <c r="C54" s="68" t="str">
        <f>+'Taxes RCA 2022'!B47</f>
        <v>Affectation au titre de taxe d’abattage (+)</v>
      </c>
      <c r="E54" s="165"/>
      <c r="F54" s="165">
        <f>SUMIF($A$84:$A$751,B54&amp;"- "&amp;C54,$G$84:$G$751)</f>
        <v>0</v>
      </c>
      <c r="G54" s="165">
        <f>E54+F54</f>
        <v>0</v>
      </c>
      <c r="H54" s="114"/>
      <c r="I54" s="165"/>
      <c r="J54" s="165">
        <f ca="1">SUMIF($J$84:$M$747,B54&amp;"- "&amp;C54,$Q$84:$Q$747)</f>
        <v>0</v>
      </c>
      <c r="K54" s="165">
        <f ca="1">I54+J54</f>
        <v>0</v>
      </c>
      <c r="L54" s="114"/>
      <c r="M54" s="165">
        <f ca="1">+G54-K54</f>
        <v>0</v>
      </c>
      <c r="N54" s="68"/>
      <c r="O54" s="38" t="str">
        <f t="shared" ca="1" si="49"/>
        <v/>
      </c>
      <c r="P54" s="39" t="str">
        <f ca="1">IF(O54="ERROR","Please insert comment","")</f>
        <v/>
      </c>
      <c r="Y54" s="15">
        <f t="shared" si="96"/>
        <v>39</v>
      </c>
      <c r="Z54" s="25" t="str">
        <f t="shared" si="90"/>
        <v>Transfert infranational au titre de la taxe d'abattage (+)</v>
      </c>
      <c r="AA54" s="16">
        <f t="shared" si="97"/>
        <v>0</v>
      </c>
      <c r="AB54" s="16">
        <f t="shared" si="97"/>
        <v>0</v>
      </c>
      <c r="AC54" s="16">
        <f t="shared" si="97"/>
        <v>0</v>
      </c>
      <c r="AD54" s="16">
        <f t="shared" si="97"/>
        <v>0</v>
      </c>
      <c r="AE54" s="16">
        <f t="shared" si="97"/>
        <v>0</v>
      </c>
      <c r="AF54" s="16">
        <f t="shared" si="97"/>
        <v>0</v>
      </c>
      <c r="AG54" s="16">
        <f t="shared" si="97"/>
        <v>0</v>
      </c>
      <c r="AH54" s="16">
        <f t="shared" si="97"/>
        <v>0</v>
      </c>
      <c r="AI54" s="16">
        <f t="shared" si="97"/>
        <v>0</v>
      </c>
      <c r="AJ54" s="16">
        <f t="shared" si="98"/>
        <v>0</v>
      </c>
      <c r="AL54" s="17">
        <f t="shared" si="99"/>
        <v>39</v>
      </c>
      <c r="AM54" s="26" t="str">
        <f t="shared" si="92"/>
        <v>Transfert infranational au titre de la taxe d'abattage (+)</v>
      </c>
      <c r="AN54" s="18">
        <f t="shared" si="100"/>
        <v>0</v>
      </c>
      <c r="AO54" s="18">
        <f t="shared" si="100"/>
        <v>0</v>
      </c>
      <c r="AP54" s="18">
        <f t="shared" si="100"/>
        <v>0</v>
      </c>
      <c r="AQ54" s="18">
        <f t="shared" si="100"/>
        <v>0</v>
      </c>
      <c r="AR54" s="18">
        <f t="shared" si="100"/>
        <v>0</v>
      </c>
      <c r="AS54" s="18">
        <f t="shared" si="100"/>
        <v>0</v>
      </c>
      <c r="AT54" s="18">
        <f t="shared" si="100"/>
        <v>0</v>
      </c>
      <c r="AU54" s="18">
        <f t="shared" si="100"/>
        <v>0</v>
      </c>
      <c r="AV54" s="18">
        <f t="shared" si="101"/>
        <v>0</v>
      </c>
      <c r="AW54" s="18"/>
      <c r="AX54" s="17">
        <f t="shared" si="102"/>
        <v>39</v>
      </c>
      <c r="AY54" s="26" t="str">
        <f t="shared" si="94"/>
        <v>Transfert infranational au titre de la taxe d'abattage (+)</v>
      </c>
      <c r="AZ54" s="18">
        <f t="shared" ca="1" si="103"/>
        <v>0</v>
      </c>
      <c r="BA54" s="18">
        <f t="shared" ca="1" si="103"/>
        <v>0</v>
      </c>
      <c r="BB54" s="18">
        <f t="shared" ca="1" si="103"/>
        <v>0</v>
      </c>
      <c r="BC54" s="18">
        <f t="shared" ca="1" si="103"/>
        <v>0</v>
      </c>
      <c r="BD54" s="18">
        <f t="shared" ca="1" si="103"/>
        <v>0</v>
      </c>
      <c r="BE54" s="18">
        <f t="shared" ca="1" si="103"/>
        <v>0</v>
      </c>
      <c r="BF54" s="18">
        <f t="shared" ca="1" si="103"/>
        <v>0</v>
      </c>
      <c r="BG54" s="18">
        <f t="shared" ca="1" si="103"/>
        <v>0</v>
      </c>
      <c r="BH54" s="18">
        <f t="shared" ca="1" si="103"/>
        <v>0</v>
      </c>
      <c r="BI54" s="18">
        <f t="shared" ca="1" si="103"/>
        <v>0</v>
      </c>
      <c r="BJ54" s="18">
        <f t="shared" ca="1" si="103"/>
        <v>0</v>
      </c>
      <c r="BK54" s="18">
        <f t="shared" ca="1" si="103"/>
        <v>0</v>
      </c>
    </row>
    <row r="55" spans="1:63">
      <c r="A55" s="80">
        <f t="shared" si="29"/>
        <v>0</v>
      </c>
      <c r="B55" s="163"/>
      <c r="C55" s="58" t="str">
        <f>+'Taxes RCA 2022'!B48</f>
        <v xml:space="preserve">Transferts du Trésor aux communes </v>
      </c>
      <c r="E55" s="166">
        <f>SUM(E56:E61)</f>
        <v>0</v>
      </c>
      <c r="F55" s="166">
        <f t="shared" ref="F55:G55" si="108">SUM(F56:F61)</f>
        <v>0</v>
      </c>
      <c r="G55" s="166">
        <f t="shared" si="108"/>
        <v>0</v>
      </c>
      <c r="H55" s="114"/>
      <c r="I55" s="166">
        <f>SUM(I56:I61)</f>
        <v>0</v>
      </c>
      <c r="J55" s="166">
        <f t="shared" ref="J55" ca="1" si="109">SUM(J56:J61)</f>
        <v>0</v>
      </c>
      <c r="K55" s="166">
        <f t="shared" ref="K55" ca="1" si="110">SUM(K56:K61)</f>
        <v>0</v>
      </c>
      <c r="L55" s="114"/>
      <c r="M55" s="166">
        <f t="shared" ref="M55" ca="1" si="111">SUM(M56:M61)</f>
        <v>0</v>
      </c>
      <c r="N55" s="58"/>
      <c r="O55" s="38" t="str">
        <f t="shared" ca="1" si="49"/>
        <v/>
      </c>
      <c r="P55" s="39" t="str">
        <f ca="1">IF(O55="ERROR","Please insert comment","")</f>
        <v/>
      </c>
      <c r="Y55" s="15">
        <f t="shared" si="96"/>
        <v>40</v>
      </c>
      <c r="Z55" s="25" t="str">
        <f t="shared" si="90"/>
        <v>Transfert infranational au titre de la taxe reboisement (+)</v>
      </c>
      <c r="AA55" s="16">
        <f t="shared" si="97"/>
        <v>0</v>
      </c>
      <c r="AB55" s="16">
        <f t="shared" si="97"/>
        <v>0</v>
      </c>
      <c r="AC55" s="16">
        <f t="shared" si="97"/>
        <v>0</v>
      </c>
      <c r="AD55" s="16">
        <f t="shared" si="97"/>
        <v>0</v>
      </c>
      <c r="AE55" s="16">
        <f t="shared" si="97"/>
        <v>0</v>
      </c>
      <c r="AF55" s="16">
        <f t="shared" si="97"/>
        <v>0</v>
      </c>
      <c r="AG55" s="16">
        <f t="shared" si="97"/>
        <v>0</v>
      </c>
      <c r="AH55" s="16">
        <f t="shared" si="97"/>
        <v>0</v>
      </c>
      <c r="AI55" s="16">
        <f t="shared" si="97"/>
        <v>0</v>
      </c>
      <c r="AJ55" s="16">
        <f t="shared" si="98"/>
        <v>0</v>
      </c>
      <c r="AL55" s="17">
        <f t="shared" si="99"/>
        <v>40</v>
      </c>
      <c r="AM55" s="26" t="str">
        <f t="shared" si="92"/>
        <v>Transfert infranational au titre de la taxe reboisement (+)</v>
      </c>
      <c r="AN55" s="18">
        <f t="shared" si="100"/>
        <v>0</v>
      </c>
      <c r="AO55" s="18">
        <f t="shared" si="100"/>
        <v>0</v>
      </c>
      <c r="AP55" s="18">
        <f t="shared" si="100"/>
        <v>0</v>
      </c>
      <c r="AQ55" s="18">
        <f t="shared" si="100"/>
        <v>0</v>
      </c>
      <c r="AR55" s="18">
        <f t="shared" si="100"/>
        <v>0</v>
      </c>
      <c r="AS55" s="18">
        <f t="shared" si="100"/>
        <v>0</v>
      </c>
      <c r="AT55" s="18">
        <f t="shared" si="100"/>
        <v>0</v>
      </c>
      <c r="AU55" s="18">
        <f t="shared" si="100"/>
        <v>0</v>
      </c>
      <c r="AV55" s="18">
        <f t="shared" si="101"/>
        <v>0</v>
      </c>
      <c r="AW55" s="18"/>
      <c r="AX55" s="17">
        <f t="shared" si="102"/>
        <v>40</v>
      </c>
      <c r="AY55" s="26" t="str">
        <f t="shared" si="94"/>
        <v>Transfert infranational au titre de la taxe reboisement (+)</v>
      </c>
      <c r="AZ55" s="18">
        <f t="shared" ca="1" si="103"/>
        <v>0</v>
      </c>
      <c r="BA55" s="18">
        <f t="shared" ca="1" si="103"/>
        <v>0</v>
      </c>
      <c r="BB55" s="18">
        <f t="shared" ca="1" si="103"/>
        <v>0</v>
      </c>
      <c r="BC55" s="18">
        <f t="shared" ca="1" si="103"/>
        <v>0</v>
      </c>
      <c r="BD55" s="18">
        <f t="shared" ca="1" si="103"/>
        <v>0</v>
      </c>
      <c r="BE55" s="18">
        <f t="shared" ca="1" si="103"/>
        <v>0</v>
      </c>
      <c r="BF55" s="18">
        <f t="shared" ca="1" si="103"/>
        <v>0</v>
      </c>
      <c r="BG55" s="18">
        <f t="shared" ca="1" si="103"/>
        <v>0</v>
      </c>
      <c r="BH55" s="18">
        <f t="shared" ca="1" si="103"/>
        <v>0</v>
      </c>
      <c r="BI55" s="18">
        <f t="shared" ca="1" si="103"/>
        <v>0</v>
      </c>
      <c r="BJ55" s="18">
        <f t="shared" ca="1" si="103"/>
        <v>0</v>
      </c>
      <c r="BK55" s="18">
        <f t="shared" ca="1" si="103"/>
        <v>0</v>
      </c>
    </row>
    <row r="56" spans="1:63">
      <c r="A56" s="80"/>
      <c r="B56" s="53">
        <f>+'Taxes RCA 2022'!A49</f>
        <v>0</v>
      </c>
      <c r="C56" s="18" t="str">
        <f>+'Taxes RCA 2022'!B49</f>
        <v>Transfert du trésor aux communes</v>
      </c>
      <c r="E56" s="114"/>
      <c r="F56" s="114">
        <f t="shared" ref="F56:F61" si="112">SUMIF($A$84:$A$751,B56&amp;"- "&amp;C56,$G$84:$G$751)</f>
        <v>0</v>
      </c>
      <c r="G56" s="114">
        <f t="shared" ref="G56:G61" si="113">E56+F56</f>
        <v>0</v>
      </c>
      <c r="H56" s="114"/>
      <c r="I56" s="114"/>
      <c r="J56" s="114">
        <f t="shared" ref="J56:J61" ca="1" si="114">SUMIF($J$84:$M$747,B56&amp;"- "&amp;C56,$Q$84:$Q$747)</f>
        <v>0</v>
      </c>
      <c r="K56" s="114">
        <f t="shared" ref="K56:K61" ca="1" si="115">I56+J56</f>
        <v>0</v>
      </c>
      <c r="L56" s="114"/>
      <c r="M56" s="114">
        <f t="shared" ref="M56:M61" ca="1" si="116">+G56-K56</f>
        <v>0</v>
      </c>
      <c r="N56" s="18"/>
      <c r="O56" s="38"/>
      <c r="P56" s="39"/>
      <c r="Y56" s="15">
        <f t="shared" si="96"/>
        <v>41</v>
      </c>
      <c r="Z56" s="25" t="str">
        <f t="shared" si="90"/>
        <v>Transfert infranational au titre de la taxe environnementale (+)</v>
      </c>
      <c r="AA56" s="16">
        <f t="shared" si="97"/>
        <v>0</v>
      </c>
      <c r="AB56" s="16">
        <f t="shared" si="97"/>
        <v>0</v>
      </c>
      <c r="AC56" s="16">
        <f t="shared" si="97"/>
        <v>0</v>
      </c>
      <c r="AD56" s="16">
        <f t="shared" si="97"/>
        <v>0</v>
      </c>
      <c r="AE56" s="16">
        <f t="shared" si="97"/>
        <v>0</v>
      </c>
      <c r="AF56" s="16">
        <f t="shared" si="97"/>
        <v>0</v>
      </c>
      <c r="AG56" s="16">
        <f t="shared" si="97"/>
        <v>0</v>
      </c>
      <c r="AH56" s="16">
        <f t="shared" si="97"/>
        <v>0</v>
      </c>
      <c r="AI56" s="16">
        <f t="shared" si="97"/>
        <v>0</v>
      </c>
      <c r="AJ56" s="16">
        <f t="shared" si="98"/>
        <v>0</v>
      </c>
      <c r="AL56" s="17">
        <f t="shared" si="99"/>
        <v>41</v>
      </c>
      <c r="AM56" s="26" t="str">
        <f t="shared" si="92"/>
        <v>Transfert infranational au titre de la taxe environnementale (+)</v>
      </c>
      <c r="AN56" s="18">
        <f t="shared" si="100"/>
        <v>0</v>
      </c>
      <c r="AO56" s="18">
        <f t="shared" si="100"/>
        <v>0</v>
      </c>
      <c r="AP56" s="18">
        <f t="shared" si="100"/>
        <v>0</v>
      </c>
      <c r="AQ56" s="18">
        <f t="shared" si="100"/>
        <v>0</v>
      </c>
      <c r="AR56" s="18">
        <f t="shared" si="100"/>
        <v>0</v>
      </c>
      <c r="AS56" s="18">
        <f t="shared" si="100"/>
        <v>0</v>
      </c>
      <c r="AT56" s="18">
        <f t="shared" si="100"/>
        <v>0</v>
      </c>
      <c r="AU56" s="18">
        <f t="shared" si="100"/>
        <v>0</v>
      </c>
      <c r="AV56" s="18">
        <f t="shared" si="101"/>
        <v>0</v>
      </c>
      <c r="AW56" s="18"/>
      <c r="AX56" s="17">
        <f t="shared" si="102"/>
        <v>41</v>
      </c>
      <c r="AY56" s="26" t="str">
        <f t="shared" si="94"/>
        <v>Transfert infranational au titre de la taxe environnementale (+)</v>
      </c>
      <c r="AZ56" s="18">
        <f t="shared" ca="1" si="103"/>
        <v>0</v>
      </c>
      <c r="BA56" s="18">
        <f t="shared" ca="1" si="103"/>
        <v>0</v>
      </c>
      <c r="BB56" s="18">
        <f t="shared" ca="1" si="103"/>
        <v>0</v>
      </c>
      <c r="BC56" s="18">
        <f t="shared" ca="1" si="103"/>
        <v>0</v>
      </c>
      <c r="BD56" s="18">
        <f t="shared" ca="1" si="103"/>
        <v>0</v>
      </c>
      <c r="BE56" s="18">
        <f t="shared" ca="1" si="103"/>
        <v>0</v>
      </c>
      <c r="BF56" s="18">
        <f t="shared" ca="1" si="103"/>
        <v>0</v>
      </c>
      <c r="BG56" s="18">
        <f t="shared" ca="1" si="103"/>
        <v>0</v>
      </c>
      <c r="BH56" s="18">
        <f t="shared" ca="1" si="103"/>
        <v>0</v>
      </c>
      <c r="BI56" s="18">
        <f t="shared" ca="1" si="103"/>
        <v>0</v>
      </c>
      <c r="BJ56" s="18">
        <f t="shared" ca="1" si="103"/>
        <v>0</v>
      </c>
      <c r="BK56" s="18">
        <f t="shared" ca="1" si="103"/>
        <v>0</v>
      </c>
    </row>
    <row r="57" spans="1:63">
      <c r="A57" s="80"/>
      <c r="B57" s="64">
        <f>+'Taxes RCA 2022'!A50</f>
        <v>39</v>
      </c>
      <c r="C57" s="68" t="str">
        <f>+'Taxes RCA 2022'!B50</f>
        <v>Transfert infranational au titre de la taxe d'abattage (+)</v>
      </c>
      <c r="E57" s="165"/>
      <c r="F57" s="165">
        <f t="shared" si="112"/>
        <v>0</v>
      </c>
      <c r="G57" s="165">
        <f t="shared" si="113"/>
        <v>0</v>
      </c>
      <c r="H57" s="114"/>
      <c r="I57" s="165"/>
      <c r="J57" s="165">
        <f t="shared" ca="1" si="114"/>
        <v>0</v>
      </c>
      <c r="K57" s="165">
        <f t="shared" ca="1" si="115"/>
        <v>0</v>
      </c>
      <c r="L57" s="114"/>
      <c r="M57" s="165">
        <f t="shared" ca="1" si="116"/>
        <v>0</v>
      </c>
      <c r="N57" s="68"/>
      <c r="O57" s="38"/>
      <c r="P57" s="39"/>
      <c r="Y57" s="15">
        <f t="shared" si="96"/>
        <v>42</v>
      </c>
      <c r="Z57" s="25" t="str">
        <f t="shared" si="90"/>
        <v>Droit de sortie (DS)/Taxe Export (+)</v>
      </c>
      <c r="AA57" s="16">
        <f t="shared" si="97"/>
        <v>0</v>
      </c>
      <c r="AB57" s="16">
        <f t="shared" si="97"/>
        <v>0</v>
      </c>
      <c r="AC57" s="16">
        <f t="shared" si="97"/>
        <v>0</v>
      </c>
      <c r="AD57" s="16">
        <f t="shared" si="97"/>
        <v>0</v>
      </c>
      <c r="AE57" s="16">
        <f t="shared" si="97"/>
        <v>0</v>
      </c>
      <c r="AF57" s="16">
        <f t="shared" si="97"/>
        <v>0</v>
      </c>
      <c r="AG57" s="16">
        <f t="shared" si="97"/>
        <v>0</v>
      </c>
      <c r="AH57" s="16">
        <f t="shared" si="97"/>
        <v>0</v>
      </c>
      <c r="AI57" s="16">
        <f t="shared" si="97"/>
        <v>0</v>
      </c>
      <c r="AJ57" s="16">
        <f t="shared" si="98"/>
        <v>0</v>
      </c>
      <c r="AL57" s="17">
        <f t="shared" si="99"/>
        <v>42</v>
      </c>
      <c r="AM57" s="26" t="str">
        <f t="shared" si="92"/>
        <v>Droit de sortie (DS)/Taxe Export (+)</v>
      </c>
      <c r="AN57" s="18">
        <f t="shared" si="100"/>
        <v>0</v>
      </c>
      <c r="AO57" s="18">
        <f t="shared" si="100"/>
        <v>0</v>
      </c>
      <c r="AP57" s="18">
        <f t="shared" si="100"/>
        <v>0</v>
      </c>
      <c r="AQ57" s="18">
        <f t="shared" si="100"/>
        <v>0</v>
      </c>
      <c r="AR57" s="18">
        <f t="shared" si="100"/>
        <v>0</v>
      </c>
      <c r="AS57" s="18">
        <f t="shared" si="100"/>
        <v>0</v>
      </c>
      <c r="AT57" s="18">
        <f t="shared" si="100"/>
        <v>0</v>
      </c>
      <c r="AU57" s="18">
        <f t="shared" si="100"/>
        <v>0</v>
      </c>
      <c r="AV57" s="18">
        <f t="shared" si="101"/>
        <v>0</v>
      </c>
      <c r="AW57" s="18"/>
      <c r="AX57" s="17">
        <f t="shared" si="102"/>
        <v>42</v>
      </c>
      <c r="AY57" s="26" t="str">
        <f t="shared" si="94"/>
        <v>Droit de sortie (DS)/Taxe Export (+)</v>
      </c>
      <c r="AZ57" s="18">
        <f t="shared" ca="1" si="103"/>
        <v>0</v>
      </c>
      <c r="BA57" s="18">
        <f t="shared" ca="1" si="103"/>
        <v>0</v>
      </c>
      <c r="BB57" s="18">
        <f t="shared" ca="1" si="103"/>
        <v>0</v>
      </c>
      <c r="BC57" s="18">
        <f t="shared" ca="1" si="103"/>
        <v>0</v>
      </c>
      <c r="BD57" s="18">
        <f t="shared" ca="1" si="103"/>
        <v>0</v>
      </c>
      <c r="BE57" s="18">
        <f t="shared" ca="1" si="103"/>
        <v>0</v>
      </c>
      <c r="BF57" s="18">
        <f t="shared" ca="1" si="103"/>
        <v>0</v>
      </c>
      <c r="BG57" s="18">
        <f t="shared" ca="1" si="103"/>
        <v>0</v>
      </c>
      <c r="BH57" s="18">
        <f t="shared" ca="1" si="103"/>
        <v>0</v>
      </c>
      <c r="BI57" s="18">
        <f t="shared" ca="1" si="103"/>
        <v>0</v>
      </c>
      <c r="BJ57" s="18">
        <f t="shared" ca="1" si="103"/>
        <v>0</v>
      </c>
      <c r="BK57" s="18">
        <f t="shared" ca="1" si="103"/>
        <v>0</v>
      </c>
    </row>
    <row r="58" spans="1:63">
      <c r="A58" s="80"/>
      <c r="B58" s="53">
        <f>+'Taxes RCA 2022'!A51</f>
        <v>40</v>
      </c>
      <c r="C58" s="18" t="str">
        <f>+'Taxes RCA 2022'!B51</f>
        <v>Transfert infranational au titre de la taxe reboisement (+)</v>
      </c>
      <c r="E58" s="114"/>
      <c r="F58" s="114">
        <f t="shared" si="112"/>
        <v>0</v>
      </c>
      <c r="G58" s="114">
        <f t="shared" si="113"/>
        <v>0</v>
      </c>
      <c r="H58" s="114"/>
      <c r="I58" s="114"/>
      <c r="J58" s="114">
        <f t="shared" ca="1" si="114"/>
        <v>0</v>
      </c>
      <c r="K58" s="114">
        <f t="shared" ca="1" si="115"/>
        <v>0</v>
      </c>
      <c r="L58" s="114"/>
      <c r="M58" s="114">
        <f t="shared" ca="1" si="116"/>
        <v>0</v>
      </c>
      <c r="N58" s="18"/>
      <c r="O58" s="38"/>
      <c r="P58" s="39"/>
      <c r="Y58" s="15">
        <f t="shared" si="96"/>
        <v>43</v>
      </c>
      <c r="Z58" s="25" t="str">
        <f t="shared" si="90"/>
        <v xml:space="preserve">Autres transferts au profit des communes </v>
      </c>
      <c r="AA58" s="16">
        <f t="shared" si="97"/>
        <v>0</v>
      </c>
      <c r="AB58" s="16">
        <f t="shared" si="97"/>
        <v>0</v>
      </c>
      <c r="AC58" s="16">
        <f t="shared" si="97"/>
        <v>0</v>
      </c>
      <c r="AD58" s="16">
        <f t="shared" si="97"/>
        <v>0</v>
      </c>
      <c r="AE58" s="16">
        <f t="shared" si="97"/>
        <v>0</v>
      </c>
      <c r="AF58" s="16">
        <f t="shared" si="97"/>
        <v>0</v>
      </c>
      <c r="AG58" s="16">
        <f t="shared" si="97"/>
        <v>0</v>
      </c>
      <c r="AH58" s="16">
        <f t="shared" si="97"/>
        <v>0</v>
      </c>
      <c r="AI58" s="16">
        <f t="shared" si="97"/>
        <v>0</v>
      </c>
      <c r="AJ58" s="16">
        <f t="shared" si="98"/>
        <v>0</v>
      </c>
      <c r="AL58" s="17">
        <f>+B61</f>
        <v>43</v>
      </c>
      <c r="AM58" s="26" t="str">
        <f>+C61</f>
        <v xml:space="preserve">Autres transferts au profit des communes </v>
      </c>
      <c r="AN58" s="18">
        <f t="shared" si="100"/>
        <v>0</v>
      </c>
      <c r="AO58" s="18">
        <f t="shared" si="100"/>
        <v>0</v>
      </c>
      <c r="AP58" s="18">
        <f t="shared" si="100"/>
        <v>0</v>
      </c>
      <c r="AQ58" s="18">
        <f t="shared" si="100"/>
        <v>0</v>
      </c>
      <c r="AR58" s="18">
        <f t="shared" si="100"/>
        <v>0</v>
      </c>
      <c r="AS58" s="18">
        <f t="shared" si="100"/>
        <v>0</v>
      </c>
      <c r="AT58" s="18">
        <f t="shared" si="100"/>
        <v>0</v>
      </c>
      <c r="AU58" s="18">
        <f t="shared" si="100"/>
        <v>0</v>
      </c>
      <c r="AV58" s="18">
        <f t="shared" si="101"/>
        <v>0</v>
      </c>
      <c r="AW58" s="18"/>
      <c r="AX58" s="17">
        <f>B61</f>
        <v>43</v>
      </c>
      <c r="AY58" s="26" t="str">
        <f>C61</f>
        <v xml:space="preserve">Autres transferts au profit des communes </v>
      </c>
      <c r="AZ58" s="18">
        <f t="shared" ca="1" si="103"/>
        <v>0</v>
      </c>
      <c r="BA58" s="18">
        <f t="shared" ca="1" si="103"/>
        <v>0</v>
      </c>
      <c r="BB58" s="18">
        <f t="shared" ca="1" si="103"/>
        <v>0</v>
      </c>
      <c r="BC58" s="18">
        <f t="shared" ca="1" si="103"/>
        <v>0</v>
      </c>
      <c r="BD58" s="18">
        <f t="shared" ca="1" si="103"/>
        <v>0</v>
      </c>
      <c r="BE58" s="18">
        <f t="shared" ca="1" si="103"/>
        <v>0</v>
      </c>
      <c r="BF58" s="18">
        <f t="shared" ca="1" si="103"/>
        <v>0</v>
      </c>
      <c r="BG58" s="18">
        <f t="shared" ca="1" si="103"/>
        <v>0</v>
      </c>
      <c r="BH58" s="18">
        <f t="shared" ca="1" si="103"/>
        <v>0</v>
      </c>
      <c r="BI58" s="18">
        <f t="shared" ca="1" si="103"/>
        <v>0</v>
      </c>
      <c r="BJ58" s="18">
        <f t="shared" ca="1" si="103"/>
        <v>0</v>
      </c>
      <c r="BK58" s="18">
        <f t="shared" ca="1" si="103"/>
        <v>0</v>
      </c>
    </row>
    <row r="59" spans="1:63">
      <c r="A59" s="80"/>
      <c r="B59" s="64">
        <f>+'Taxes RCA 2022'!A52</f>
        <v>41</v>
      </c>
      <c r="C59" s="68" t="str">
        <f>+'Taxes RCA 2022'!B52</f>
        <v>Transfert infranational au titre de la taxe environnementale (+)</v>
      </c>
      <c r="E59" s="165"/>
      <c r="F59" s="165">
        <f t="shared" si="112"/>
        <v>0</v>
      </c>
      <c r="G59" s="165">
        <f t="shared" si="113"/>
        <v>0</v>
      </c>
      <c r="H59" s="114"/>
      <c r="I59" s="165"/>
      <c r="J59" s="165">
        <f t="shared" ca="1" si="114"/>
        <v>0</v>
      </c>
      <c r="K59" s="165">
        <f t="shared" ca="1" si="115"/>
        <v>0</v>
      </c>
      <c r="L59" s="114"/>
      <c r="M59" s="165">
        <f t="shared" ca="1" si="116"/>
        <v>0</v>
      </c>
      <c r="N59" s="68"/>
      <c r="O59" s="38"/>
      <c r="P59" s="39"/>
      <c r="Y59" s="15">
        <f>B62</f>
        <v>0</v>
      </c>
      <c r="Z59" s="25" t="str">
        <f>C62</f>
        <v>DGTCP (DGP)</v>
      </c>
      <c r="AA59" s="16">
        <f t="shared" si="97"/>
        <v>0</v>
      </c>
      <c r="AB59" s="16">
        <f t="shared" si="97"/>
        <v>0</v>
      </c>
      <c r="AC59" s="16">
        <f t="shared" si="97"/>
        <v>0</v>
      </c>
      <c r="AD59" s="16">
        <f t="shared" si="97"/>
        <v>0</v>
      </c>
      <c r="AE59" s="16">
        <f t="shared" si="97"/>
        <v>0</v>
      </c>
      <c r="AF59" s="16">
        <f t="shared" si="97"/>
        <v>0</v>
      </c>
      <c r="AG59" s="16">
        <f t="shared" si="97"/>
        <v>0</v>
      </c>
      <c r="AH59" s="16">
        <f t="shared" si="97"/>
        <v>0</v>
      </c>
      <c r="AI59" s="16">
        <f t="shared" si="97"/>
        <v>0</v>
      </c>
      <c r="AJ59" s="16">
        <f t="shared" si="98"/>
        <v>0</v>
      </c>
      <c r="AL59" s="17">
        <f>+B62</f>
        <v>0</v>
      </c>
      <c r="AM59" s="26" t="str">
        <f>+C62</f>
        <v>DGTCP (DGP)</v>
      </c>
      <c r="AN59" s="18">
        <f t="shared" si="100"/>
        <v>0</v>
      </c>
      <c r="AO59" s="18">
        <f t="shared" si="100"/>
        <v>0</v>
      </c>
      <c r="AP59" s="18">
        <f t="shared" si="100"/>
        <v>0</v>
      </c>
      <c r="AQ59" s="18">
        <f t="shared" si="100"/>
        <v>0</v>
      </c>
      <c r="AR59" s="18">
        <f t="shared" si="100"/>
        <v>0</v>
      </c>
      <c r="AS59" s="18">
        <f t="shared" si="100"/>
        <v>0</v>
      </c>
      <c r="AT59" s="18">
        <f t="shared" si="100"/>
        <v>0</v>
      </c>
      <c r="AU59" s="18">
        <f t="shared" si="100"/>
        <v>0</v>
      </c>
      <c r="AV59" s="18">
        <f t="shared" si="101"/>
        <v>0</v>
      </c>
      <c r="AW59" s="18"/>
      <c r="AX59" s="17">
        <f>B62</f>
        <v>0</v>
      </c>
      <c r="AY59" s="26" t="str">
        <f>C62</f>
        <v>DGTCP (DGP)</v>
      </c>
      <c r="AZ59" s="18">
        <f t="shared" ca="1" si="103"/>
        <v>0</v>
      </c>
      <c r="BA59" s="18">
        <f t="shared" ca="1" si="103"/>
        <v>0</v>
      </c>
      <c r="BB59" s="18">
        <f t="shared" ca="1" si="103"/>
        <v>0</v>
      </c>
      <c r="BC59" s="18">
        <f t="shared" ca="1" si="103"/>
        <v>0</v>
      </c>
      <c r="BD59" s="18">
        <f t="shared" ca="1" si="103"/>
        <v>0</v>
      </c>
      <c r="BE59" s="18">
        <f t="shared" ca="1" si="103"/>
        <v>0</v>
      </c>
      <c r="BF59" s="18">
        <f t="shared" ca="1" si="103"/>
        <v>0</v>
      </c>
      <c r="BG59" s="18">
        <f t="shared" ca="1" si="103"/>
        <v>0</v>
      </c>
      <c r="BH59" s="18">
        <f t="shared" ca="1" si="103"/>
        <v>0</v>
      </c>
      <c r="BI59" s="18">
        <f t="shared" ca="1" si="103"/>
        <v>0</v>
      </c>
      <c r="BJ59" s="18">
        <f t="shared" ca="1" si="103"/>
        <v>0</v>
      </c>
      <c r="BK59" s="18">
        <f t="shared" ca="1" si="103"/>
        <v>0</v>
      </c>
    </row>
    <row r="60" spans="1:63">
      <c r="A60" s="80"/>
      <c r="B60" s="53">
        <f>+'Taxes RCA 2022'!A53</f>
        <v>42</v>
      </c>
      <c r="C60" s="18" t="str">
        <f>+'Taxes RCA 2022'!B53</f>
        <v>Droit de sortie (DS)/Taxe Export (+)</v>
      </c>
      <c r="E60" s="114"/>
      <c r="F60" s="114">
        <f t="shared" si="112"/>
        <v>0</v>
      </c>
      <c r="G60" s="114">
        <f t="shared" si="113"/>
        <v>0</v>
      </c>
      <c r="H60" s="114"/>
      <c r="I60" s="114"/>
      <c r="J60" s="114">
        <f t="shared" ca="1" si="114"/>
        <v>0</v>
      </c>
      <c r="K60" s="114">
        <f t="shared" ca="1" si="115"/>
        <v>0</v>
      </c>
      <c r="L60" s="114"/>
      <c r="M60" s="114">
        <f t="shared" ca="1" si="116"/>
        <v>0</v>
      </c>
      <c r="N60" s="18"/>
      <c r="O60" s="38"/>
      <c r="P60" s="39"/>
      <c r="Y60" s="15"/>
      <c r="Z60" s="25" t="str">
        <f>C63</f>
        <v xml:space="preserve">Fonds du soutien à la Promotion Pétrolière </v>
      </c>
      <c r="AA60" s="16">
        <f>SUM(AA61:AA64)</f>
        <v>0</v>
      </c>
      <c r="AB60" s="16">
        <f t="shared" ref="AB60:AJ60" si="117">SUM(AB61:AB64)</f>
        <v>0</v>
      </c>
      <c r="AC60" s="16">
        <f t="shared" si="117"/>
        <v>0</v>
      </c>
      <c r="AD60" s="16">
        <f t="shared" si="117"/>
        <v>0</v>
      </c>
      <c r="AE60" s="16">
        <f t="shared" si="117"/>
        <v>0</v>
      </c>
      <c r="AF60" s="16">
        <f t="shared" si="117"/>
        <v>0</v>
      </c>
      <c r="AG60" s="16">
        <f t="shared" si="117"/>
        <v>0</v>
      </c>
      <c r="AH60" s="16">
        <f t="shared" si="117"/>
        <v>0</v>
      </c>
      <c r="AI60" s="16">
        <f t="shared" si="117"/>
        <v>0</v>
      </c>
      <c r="AJ60" s="16">
        <f t="shared" si="117"/>
        <v>0</v>
      </c>
      <c r="AL60" s="17"/>
      <c r="AM60" s="26" t="str">
        <f>+C63</f>
        <v xml:space="preserve">Fonds du soutien à la Promotion Pétrolière </v>
      </c>
      <c r="AN60" s="18">
        <f t="shared" ref="AN60:AV60" si="118">SUM(AN61:AN64)</f>
        <v>0</v>
      </c>
      <c r="AO60" s="18">
        <f t="shared" si="118"/>
        <v>0</v>
      </c>
      <c r="AP60" s="18">
        <f t="shared" si="118"/>
        <v>0</v>
      </c>
      <c r="AQ60" s="18">
        <f t="shared" si="118"/>
        <v>0</v>
      </c>
      <c r="AR60" s="18">
        <f t="shared" si="118"/>
        <v>0</v>
      </c>
      <c r="AS60" s="18">
        <f t="shared" si="118"/>
        <v>0</v>
      </c>
      <c r="AT60" s="18">
        <f t="shared" si="118"/>
        <v>0</v>
      </c>
      <c r="AU60" s="18">
        <f t="shared" si="118"/>
        <v>0</v>
      </c>
      <c r="AV60" s="18">
        <f t="shared" si="118"/>
        <v>0</v>
      </c>
      <c r="AW60" s="18"/>
      <c r="AX60" s="17"/>
      <c r="AY60" s="26" t="str">
        <f>C63</f>
        <v xml:space="preserve">Fonds du soutien à la Promotion Pétrolière </v>
      </c>
      <c r="AZ60" s="18">
        <f t="shared" ref="AZ60:BK60" ca="1" si="119">SUM(AZ61:AZ64)</f>
        <v>0</v>
      </c>
      <c r="BA60" s="18">
        <f t="shared" ca="1" si="119"/>
        <v>0</v>
      </c>
      <c r="BB60" s="18">
        <f t="shared" ca="1" si="119"/>
        <v>0</v>
      </c>
      <c r="BC60" s="18">
        <f t="shared" ca="1" si="119"/>
        <v>0</v>
      </c>
      <c r="BD60" s="18">
        <f t="shared" ca="1" si="119"/>
        <v>0</v>
      </c>
      <c r="BE60" s="18">
        <f t="shared" ca="1" si="119"/>
        <v>0</v>
      </c>
      <c r="BF60" s="18">
        <f t="shared" ca="1" si="119"/>
        <v>0</v>
      </c>
      <c r="BG60" s="18">
        <f t="shared" ca="1" si="119"/>
        <v>0</v>
      </c>
      <c r="BH60" s="18">
        <f t="shared" ca="1" si="119"/>
        <v>0</v>
      </c>
      <c r="BI60" s="18">
        <f t="shared" ca="1" si="119"/>
        <v>0</v>
      </c>
      <c r="BJ60" s="18">
        <f t="shared" ca="1" si="119"/>
        <v>0</v>
      </c>
      <c r="BK60" s="18">
        <f t="shared" ca="1" si="119"/>
        <v>0</v>
      </c>
    </row>
    <row r="61" spans="1:63">
      <c r="A61" s="80"/>
      <c r="B61" s="64">
        <f>+'Taxes RCA 2022'!A54</f>
        <v>43</v>
      </c>
      <c r="C61" s="68" t="str">
        <f>+'Taxes RCA 2022'!B54</f>
        <v xml:space="preserve">Autres transferts au profit des communes </v>
      </c>
      <c r="E61" s="165"/>
      <c r="F61" s="165">
        <f t="shared" si="112"/>
        <v>0</v>
      </c>
      <c r="G61" s="165">
        <f t="shared" si="113"/>
        <v>0</v>
      </c>
      <c r="H61" s="114"/>
      <c r="I61" s="165"/>
      <c r="J61" s="165">
        <f t="shared" ca="1" si="114"/>
        <v>0</v>
      </c>
      <c r="K61" s="165">
        <f t="shared" ca="1" si="115"/>
        <v>0</v>
      </c>
      <c r="L61" s="114"/>
      <c r="M61" s="165">
        <f t="shared" ca="1" si="116"/>
        <v>0</v>
      </c>
      <c r="N61" s="68"/>
      <c r="O61" s="38"/>
      <c r="P61" s="39"/>
      <c r="Y61" s="15">
        <f>B64</f>
        <v>45</v>
      </c>
      <c r="Z61" s="25" t="str">
        <f>C64</f>
        <v>Fonds de Soutien aux projets de Développement Communautaire</v>
      </c>
      <c r="AA61" s="16">
        <f t="shared" ref="AA61:AI61" si="120">SUMPRODUCT(($A$84:$A$751=$Y61&amp;"- "&amp;$Z61)*($C$84:$C$751=AA$1)*($G$84:$G$751))</f>
        <v>0</v>
      </c>
      <c r="AB61" s="16">
        <f t="shared" si="120"/>
        <v>0</v>
      </c>
      <c r="AC61" s="16">
        <f t="shared" si="120"/>
        <v>0</v>
      </c>
      <c r="AD61" s="16">
        <f t="shared" si="120"/>
        <v>0</v>
      </c>
      <c r="AE61" s="16">
        <f t="shared" si="120"/>
        <v>0</v>
      </c>
      <c r="AF61" s="16">
        <f t="shared" si="120"/>
        <v>0</v>
      </c>
      <c r="AG61" s="16">
        <f t="shared" si="120"/>
        <v>0</v>
      </c>
      <c r="AH61" s="16">
        <f t="shared" si="120"/>
        <v>0</v>
      </c>
      <c r="AI61" s="16">
        <f t="shared" si="120"/>
        <v>0</v>
      </c>
      <c r="AJ61" s="16">
        <f>SUM(AA61:AI61)</f>
        <v>0</v>
      </c>
      <c r="AL61" s="17">
        <f>+B64</f>
        <v>45</v>
      </c>
      <c r="AM61" s="26" t="str">
        <f>+C64</f>
        <v>Fonds de Soutien aux projets de Développement Communautaire</v>
      </c>
      <c r="AN61" s="18">
        <f t="shared" ref="AN61:AU61" si="121">SUMPRODUCT(($J$84:$M$746=$AL61&amp;"- "&amp;$AM61)*($N$84:$N$746=AN$1)*($Q$84:$Q$746))</f>
        <v>0</v>
      </c>
      <c r="AO61" s="18">
        <f t="shared" si="121"/>
        <v>0</v>
      </c>
      <c r="AP61" s="18">
        <f t="shared" si="121"/>
        <v>0</v>
      </c>
      <c r="AQ61" s="18">
        <f t="shared" si="121"/>
        <v>0</v>
      </c>
      <c r="AR61" s="18">
        <f t="shared" si="121"/>
        <v>0</v>
      </c>
      <c r="AS61" s="18">
        <f t="shared" si="121"/>
        <v>0</v>
      </c>
      <c r="AT61" s="18">
        <f t="shared" si="121"/>
        <v>0</v>
      </c>
      <c r="AU61" s="18">
        <f t="shared" si="121"/>
        <v>0</v>
      </c>
      <c r="AV61" s="18">
        <f>SUM(AN61:AU61)</f>
        <v>0</v>
      </c>
      <c r="AW61" s="18"/>
      <c r="AX61" s="17">
        <f>B64</f>
        <v>45</v>
      </c>
      <c r="AY61" s="26" t="str">
        <f>C64</f>
        <v>Fonds de Soutien aux projets de Développement Communautaire</v>
      </c>
      <c r="AZ61" s="18">
        <f t="shared" ref="AZ61:BK61" ca="1" si="122">SUMPRODUCT(($C$10:$C$75=$AY61)*($N$10:$N$75=AZ$1)*($M$10:$M$75))</f>
        <v>0</v>
      </c>
      <c r="BA61" s="18">
        <f t="shared" ca="1" si="122"/>
        <v>0</v>
      </c>
      <c r="BB61" s="18">
        <f t="shared" ca="1" si="122"/>
        <v>0</v>
      </c>
      <c r="BC61" s="18">
        <f t="shared" ca="1" si="122"/>
        <v>0</v>
      </c>
      <c r="BD61" s="18">
        <f t="shared" ca="1" si="122"/>
        <v>0</v>
      </c>
      <c r="BE61" s="18">
        <f t="shared" ca="1" si="122"/>
        <v>0</v>
      </c>
      <c r="BF61" s="18">
        <f t="shared" ca="1" si="122"/>
        <v>0</v>
      </c>
      <c r="BG61" s="18">
        <f t="shared" ca="1" si="122"/>
        <v>0</v>
      </c>
      <c r="BH61" s="18">
        <f t="shared" ca="1" si="122"/>
        <v>0</v>
      </c>
      <c r="BI61" s="18">
        <f t="shared" ca="1" si="122"/>
        <v>0</v>
      </c>
      <c r="BJ61" s="18">
        <f t="shared" ca="1" si="122"/>
        <v>0</v>
      </c>
      <c r="BK61" s="18">
        <f t="shared" ca="1" si="122"/>
        <v>0</v>
      </c>
    </row>
    <row r="62" spans="1:63">
      <c r="A62" s="80"/>
      <c r="B62" s="163"/>
      <c r="C62" s="58" t="str">
        <f>+'Taxes RCA 2022'!B55</f>
        <v>DGTCP (DGP)</v>
      </c>
      <c r="E62" s="166">
        <f>+E64+E63</f>
        <v>0</v>
      </c>
      <c r="F62" s="166">
        <f t="shared" ref="F62:G62" si="123">+F64+F63</f>
        <v>0</v>
      </c>
      <c r="G62" s="166">
        <f t="shared" si="123"/>
        <v>0</v>
      </c>
      <c r="H62" s="114"/>
      <c r="I62" s="166">
        <f>+I64+I63</f>
        <v>0</v>
      </c>
      <c r="J62" s="166">
        <f t="shared" ref="J62" si="124">+J64+J63</f>
        <v>0</v>
      </c>
      <c r="K62" s="166">
        <f t="shared" ref="K62" si="125">+K64+K63</f>
        <v>0</v>
      </c>
      <c r="L62" s="114"/>
      <c r="M62" s="166">
        <f t="shared" ref="M62" si="126">+M64+M63</f>
        <v>0</v>
      </c>
      <c r="N62" s="58"/>
      <c r="O62" s="38"/>
      <c r="P62" s="39"/>
      <c r="Y62" s="15"/>
      <c r="Z62" s="25"/>
      <c r="AA62" s="16"/>
      <c r="AB62" s="16"/>
      <c r="AC62" s="16"/>
      <c r="AD62" s="16"/>
      <c r="AE62" s="16"/>
      <c r="AF62" s="16"/>
      <c r="AG62" s="16"/>
      <c r="AH62" s="16"/>
      <c r="AI62" s="16"/>
      <c r="AJ62" s="16"/>
      <c r="AL62" s="17"/>
      <c r="AM62" s="26"/>
      <c r="AN62" s="18"/>
      <c r="AO62" s="18"/>
      <c r="AP62" s="18"/>
      <c r="AQ62" s="18"/>
      <c r="AR62" s="18"/>
      <c r="AS62" s="18"/>
      <c r="AT62" s="18"/>
      <c r="AU62" s="18"/>
      <c r="AV62" s="18"/>
      <c r="AW62" s="18"/>
      <c r="AX62" s="17"/>
      <c r="AY62" s="26"/>
      <c r="AZ62" s="18"/>
      <c r="BA62" s="18"/>
      <c r="BB62" s="18"/>
      <c r="BC62" s="18"/>
      <c r="BD62" s="18"/>
      <c r="BE62" s="18"/>
      <c r="BF62" s="18"/>
      <c r="BG62" s="18"/>
      <c r="BH62" s="18"/>
      <c r="BI62" s="18"/>
      <c r="BJ62" s="18"/>
      <c r="BK62" s="18"/>
    </row>
    <row r="63" spans="1:63">
      <c r="A63" s="80">
        <f t="shared" si="29"/>
        <v>44</v>
      </c>
      <c r="B63" s="53">
        <f>+'Taxes RCA 2022'!A56</f>
        <v>44</v>
      </c>
      <c r="C63" s="18" t="str">
        <f>+'Taxes RCA 2022'!B56</f>
        <v xml:space="preserve">Fonds du soutien à la Promotion Pétrolière </v>
      </c>
      <c r="E63" s="114"/>
      <c r="F63" s="114">
        <f>SUMIF($A$84:$A$751,B63&amp;"- "&amp;C63,$G$84:$G$751)</f>
        <v>0</v>
      </c>
      <c r="G63" s="114">
        <f>E63+F63</f>
        <v>0</v>
      </c>
      <c r="H63" s="114"/>
      <c r="I63" s="114"/>
      <c r="J63" s="114">
        <f>SUMIF($J$84:$J$97,C63,$Q$84:$Q$97)</f>
        <v>0</v>
      </c>
      <c r="K63" s="114">
        <f>I63+J63</f>
        <v>0</v>
      </c>
      <c r="L63" s="114"/>
      <c r="M63" s="114">
        <f>+G63-K63</f>
        <v>0</v>
      </c>
      <c r="N63" s="18"/>
      <c r="O63" s="38" t="str">
        <f t="shared" si="49"/>
        <v/>
      </c>
      <c r="P63" s="39"/>
      <c r="Q63" s="23"/>
      <c r="Y63" s="15">
        <f>B65</f>
        <v>0</v>
      </c>
      <c r="Z63" s="25" t="str">
        <f>C65</f>
        <v xml:space="preserve">Paiements Sociaux </v>
      </c>
      <c r="AA63" s="16">
        <f t="shared" ref="AA63:AI64" si="127">SUMPRODUCT(($A$84:$A$751=$Y63&amp;"- "&amp;$Z63)*($C$84:$C$751=AA$1)*($G$84:$G$751))</f>
        <v>0</v>
      </c>
      <c r="AB63" s="16">
        <f t="shared" si="127"/>
        <v>0</v>
      </c>
      <c r="AC63" s="16">
        <f t="shared" si="127"/>
        <v>0</v>
      </c>
      <c r="AD63" s="16">
        <f t="shared" si="127"/>
        <v>0</v>
      </c>
      <c r="AE63" s="16">
        <f t="shared" si="127"/>
        <v>0</v>
      </c>
      <c r="AF63" s="16">
        <f t="shared" si="127"/>
        <v>0</v>
      </c>
      <c r="AG63" s="16">
        <f t="shared" si="127"/>
        <v>0</v>
      </c>
      <c r="AH63" s="16">
        <f t="shared" si="127"/>
        <v>0</v>
      </c>
      <c r="AI63" s="16">
        <f t="shared" si="127"/>
        <v>0</v>
      </c>
      <c r="AJ63" s="16">
        <f>SUM(AA63:AI63)</f>
        <v>0</v>
      </c>
      <c r="AL63" s="17">
        <f>+B65</f>
        <v>0</v>
      </c>
      <c r="AM63" s="26" t="str">
        <f>+C65</f>
        <v xml:space="preserve">Paiements Sociaux </v>
      </c>
      <c r="AN63" s="18">
        <f t="shared" ref="AN63:AU64" si="128">SUMPRODUCT(($J$84:$M$746=$AL63&amp;"- "&amp;$AM63)*($N$84:$N$746=AN$1)*($Q$84:$Q$746))</f>
        <v>0</v>
      </c>
      <c r="AO63" s="18">
        <f t="shared" si="128"/>
        <v>0</v>
      </c>
      <c r="AP63" s="18">
        <f t="shared" si="128"/>
        <v>0</v>
      </c>
      <c r="AQ63" s="18">
        <f t="shared" si="128"/>
        <v>0</v>
      </c>
      <c r="AR63" s="18">
        <f t="shared" si="128"/>
        <v>0</v>
      </c>
      <c r="AS63" s="18">
        <f t="shared" si="128"/>
        <v>0</v>
      </c>
      <c r="AT63" s="18">
        <f t="shared" si="128"/>
        <v>0</v>
      </c>
      <c r="AU63" s="18">
        <f t="shared" si="128"/>
        <v>0</v>
      </c>
      <c r="AV63" s="18">
        <f>SUM(AN63:AU63)</f>
        <v>0</v>
      </c>
      <c r="AW63" s="18"/>
      <c r="AX63" s="17">
        <f>B65</f>
        <v>0</v>
      </c>
      <c r="AY63" s="26" t="str">
        <f>C65</f>
        <v xml:space="preserve">Paiements Sociaux </v>
      </c>
      <c r="AZ63" s="18">
        <f t="shared" ref="AZ63:BK64" ca="1" si="129">SUMPRODUCT(($C$10:$C$75=$AY63)*($N$10:$N$75=AZ$1)*($M$10:$M$75))</f>
        <v>0</v>
      </c>
      <c r="BA63" s="18">
        <f t="shared" ca="1" si="129"/>
        <v>0</v>
      </c>
      <c r="BB63" s="18">
        <f t="shared" ca="1" si="129"/>
        <v>0</v>
      </c>
      <c r="BC63" s="18">
        <f t="shared" ca="1" si="129"/>
        <v>0</v>
      </c>
      <c r="BD63" s="18">
        <f t="shared" ca="1" si="129"/>
        <v>0</v>
      </c>
      <c r="BE63" s="18">
        <f t="shared" ca="1" si="129"/>
        <v>0</v>
      </c>
      <c r="BF63" s="18">
        <f t="shared" ca="1" si="129"/>
        <v>0</v>
      </c>
      <c r="BG63" s="18">
        <f t="shared" ca="1" si="129"/>
        <v>0</v>
      </c>
      <c r="BH63" s="18">
        <f t="shared" ca="1" si="129"/>
        <v>0</v>
      </c>
      <c r="BI63" s="18">
        <f t="shared" ca="1" si="129"/>
        <v>0</v>
      </c>
      <c r="BJ63" s="18">
        <f t="shared" ca="1" si="129"/>
        <v>0</v>
      </c>
      <c r="BK63" s="18">
        <f t="shared" ca="1" si="129"/>
        <v>0</v>
      </c>
    </row>
    <row r="64" spans="1:63">
      <c r="A64" s="80">
        <f t="shared" si="29"/>
        <v>45</v>
      </c>
      <c r="B64" s="64">
        <f>+'Taxes RCA 2022'!A57</f>
        <v>45</v>
      </c>
      <c r="C64" s="68" t="str">
        <f>+'Taxes RCA 2022'!B57</f>
        <v>Fonds de Soutien aux projets de Développement Communautaire</v>
      </c>
      <c r="E64" s="165"/>
      <c r="F64" s="165">
        <f>SUMIF($A$84:$A$751,B64&amp;"- "&amp;C64,$G$84:$G$751)</f>
        <v>0</v>
      </c>
      <c r="G64" s="165">
        <f>E64+F64</f>
        <v>0</v>
      </c>
      <c r="H64" s="114"/>
      <c r="I64" s="165"/>
      <c r="J64" s="165">
        <f>SUMIF($J$84:$J$97,C64,$Q$84:$Q$97)</f>
        <v>0</v>
      </c>
      <c r="K64" s="165">
        <f>I64+J64</f>
        <v>0</v>
      </c>
      <c r="L64" s="114"/>
      <c r="M64" s="165">
        <f>+G64-K64</f>
        <v>0</v>
      </c>
      <c r="N64" s="68"/>
      <c r="O64" s="38" t="str">
        <f t="shared" si="49"/>
        <v/>
      </c>
      <c r="P64" s="39" t="str">
        <f>IF(O64="ERROR","Please insert comment","")</f>
        <v/>
      </c>
      <c r="Y64" s="15">
        <f>B66</f>
        <v>46</v>
      </c>
      <c r="Z64" s="25" t="str">
        <f>C66</f>
        <v>Paiements sociaux obligatoires</v>
      </c>
      <c r="AA64" s="16">
        <f t="shared" si="127"/>
        <v>0</v>
      </c>
      <c r="AB64" s="16">
        <f t="shared" si="127"/>
        <v>0</v>
      </c>
      <c r="AC64" s="16">
        <f t="shared" si="127"/>
        <v>0</v>
      </c>
      <c r="AD64" s="16">
        <f t="shared" si="127"/>
        <v>0</v>
      </c>
      <c r="AE64" s="16">
        <f t="shared" si="127"/>
        <v>0</v>
      </c>
      <c r="AF64" s="16">
        <f t="shared" si="127"/>
        <v>0</v>
      </c>
      <c r="AG64" s="16">
        <f t="shared" si="127"/>
        <v>0</v>
      </c>
      <c r="AH64" s="16">
        <f t="shared" si="127"/>
        <v>0</v>
      </c>
      <c r="AI64" s="16">
        <f t="shared" si="127"/>
        <v>0</v>
      </c>
      <c r="AJ64" s="16">
        <f>SUM(AA64:AI64)</f>
        <v>0</v>
      </c>
      <c r="AL64" s="17">
        <f>+B66</f>
        <v>46</v>
      </c>
      <c r="AM64" s="26" t="str">
        <f>+C66</f>
        <v>Paiements sociaux obligatoires</v>
      </c>
      <c r="AN64" s="18">
        <f t="shared" si="128"/>
        <v>0</v>
      </c>
      <c r="AO64" s="18">
        <f t="shared" si="128"/>
        <v>0</v>
      </c>
      <c r="AP64" s="18">
        <f t="shared" si="128"/>
        <v>0</v>
      </c>
      <c r="AQ64" s="18">
        <f t="shared" si="128"/>
        <v>0</v>
      </c>
      <c r="AR64" s="18">
        <f t="shared" si="128"/>
        <v>0</v>
      </c>
      <c r="AS64" s="18">
        <f t="shared" si="128"/>
        <v>0</v>
      </c>
      <c r="AT64" s="18">
        <f t="shared" si="128"/>
        <v>0</v>
      </c>
      <c r="AU64" s="18">
        <f t="shared" si="128"/>
        <v>0</v>
      </c>
      <c r="AV64" s="18">
        <f>SUM(AN64:AU64)</f>
        <v>0</v>
      </c>
      <c r="AW64" s="38"/>
      <c r="AX64" s="17">
        <f>B66</f>
        <v>46</v>
      </c>
      <c r="AY64" s="26" t="str">
        <f>C66</f>
        <v>Paiements sociaux obligatoires</v>
      </c>
      <c r="AZ64" s="18">
        <f t="shared" ca="1" si="129"/>
        <v>0</v>
      </c>
      <c r="BA64" s="18">
        <f t="shared" ca="1" si="129"/>
        <v>0</v>
      </c>
      <c r="BB64" s="18">
        <f t="shared" ca="1" si="129"/>
        <v>0</v>
      </c>
      <c r="BC64" s="18">
        <f t="shared" ca="1" si="129"/>
        <v>0</v>
      </c>
      <c r="BD64" s="18">
        <f t="shared" ca="1" si="129"/>
        <v>0</v>
      </c>
      <c r="BE64" s="18">
        <f t="shared" ca="1" si="129"/>
        <v>0</v>
      </c>
      <c r="BF64" s="18">
        <f t="shared" ca="1" si="129"/>
        <v>0</v>
      </c>
      <c r="BG64" s="18">
        <f t="shared" ca="1" si="129"/>
        <v>0</v>
      </c>
      <c r="BH64" s="18">
        <f t="shared" ca="1" si="129"/>
        <v>0</v>
      </c>
      <c r="BI64" s="18">
        <f t="shared" ca="1" si="129"/>
        <v>0</v>
      </c>
      <c r="BJ64" s="18">
        <f t="shared" ca="1" si="129"/>
        <v>0</v>
      </c>
      <c r="BK64" s="18">
        <f t="shared" ca="1" si="129"/>
        <v>0</v>
      </c>
    </row>
    <row r="65" spans="1:64">
      <c r="A65" s="80">
        <f t="shared" si="29"/>
        <v>0</v>
      </c>
      <c r="B65" s="163"/>
      <c r="C65" s="58" t="str">
        <f>+'Taxes RCA 2022'!B58</f>
        <v xml:space="preserve">Paiements Sociaux </v>
      </c>
      <c r="E65" s="166">
        <f>+E67+E66</f>
        <v>0</v>
      </c>
      <c r="F65" s="166">
        <f t="shared" ref="F65:G65" si="130">+F67+F66</f>
        <v>0</v>
      </c>
      <c r="G65" s="166">
        <f t="shared" si="130"/>
        <v>0</v>
      </c>
      <c r="H65" s="114"/>
      <c r="I65" s="166">
        <f>+I67+I66</f>
        <v>0</v>
      </c>
      <c r="J65" s="166">
        <f t="shared" ref="J65" ca="1" si="131">+J67+J66</f>
        <v>0</v>
      </c>
      <c r="K65" s="166">
        <f t="shared" ref="K65" ca="1" si="132">+K67+K66</f>
        <v>0</v>
      </c>
      <c r="L65" s="114"/>
      <c r="M65" s="166">
        <f t="shared" ref="M65" ca="1" si="133">+M67+M66</f>
        <v>0</v>
      </c>
      <c r="N65" s="58"/>
      <c r="O65" s="38" t="str">
        <f t="shared" ca="1" si="49"/>
        <v/>
      </c>
      <c r="P65" s="39" t="str">
        <f ca="1">IF(O65="ERROR","Please insert comment","")</f>
        <v/>
      </c>
      <c r="Y65" s="15"/>
      <c r="Z65" s="25" t="str">
        <f t="shared" ref="Z65:Z73" si="134">C67</f>
        <v>Paiements sociaux volontaires</v>
      </c>
      <c r="AA65" s="16">
        <f>SUM(AA66:AA67)</f>
        <v>0</v>
      </c>
      <c r="AB65" s="16">
        <f t="shared" ref="AB65:AJ65" si="135">SUM(AB66:AB67)</f>
        <v>0</v>
      </c>
      <c r="AC65" s="16">
        <f t="shared" si="135"/>
        <v>0</v>
      </c>
      <c r="AD65" s="16">
        <f t="shared" si="135"/>
        <v>0</v>
      </c>
      <c r="AE65" s="16">
        <f t="shared" si="135"/>
        <v>0</v>
      </c>
      <c r="AF65" s="16">
        <f t="shared" si="135"/>
        <v>0</v>
      </c>
      <c r="AG65" s="16">
        <f t="shared" si="135"/>
        <v>0</v>
      </c>
      <c r="AH65" s="16">
        <f t="shared" si="135"/>
        <v>0</v>
      </c>
      <c r="AI65" s="16">
        <f t="shared" si="135"/>
        <v>0</v>
      </c>
      <c r="AJ65" s="16">
        <f t="shared" si="135"/>
        <v>0</v>
      </c>
      <c r="AL65" s="17"/>
      <c r="AM65" s="26" t="str">
        <f t="shared" ref="AM65:AM73" si="136">+C67</f>
        <v>Paiements sociaux volontaires</v>
      </c>
      <c r="AN65" s="18">
        <f>SUM(AN66:AN67)</f>
        <v>0</v>
      </c>
      <c r="AO65" s="18">
        <f t="shared" ref="AO65:AV65" si="137">SUM(AO66:AO67)</f>
        <v>0</v>
      </c>
      <c r="AP65" s="18">
        <f t="shared" si="137"/>
        <v>0</v>
      </c>
      <c r="AQ65" s="18">
        <f t="shared" si="137"/>
        <v>0</v>
      </c>
      <c r="AR65" s="18">
        <f t="shared" si="137"/>
        <v>0</v>
      </c>
      <c r="AS65" s="18">
        <f t="shared" si="137"/>
        <v>0</v>
      </c>
      <c r="AT65" s="18">
        <f t="shared" si="137"/>
        <v>0</v>
      </c>
      <c r="AU65" s="18">
        <f t="shared" si="137"/>
        <v>0</v>
      </c>
      <c r="AV65" s="18">
        <f t="shared" si="137"/>
        <v>0</v>
      </c>
      <c r="AW65" s="18"/>
      <c r="AX65" s="17"/>
      <c r="AY65" s="26" t="str">
        <f t="shared" ref="AY65:AY73" si="138">C67</f>
        <v>Paiements sociaux volontaires</v>
      </c>
      <c r="AZ65" s="18">
        <f ca="1">SUM(AZ66:AZ67)</f>
        <v>0</v>
      </c>
      <c r="BA65" s="18">
        <f t="shared" ref="BA65:BK65" ca="1" si="139">SUM(BA66:BA67)</f>
        <v>0</v>
      </c>
      <c r="BB65" s="18">
        <f t="shared" ca="1" si="139"/>
        <v>0</v>
      </c>
      <c r="BC65" s="18">
        <f t="shared" ca="1" si="139"/>
        <v>0</v>
      </c>
      <c r="BD65" s="18">
        <f t="shared" ca="1" si="139"/>
        <v>0</v>
      </c>
      <c r="BE65" s="18">
        <f t="shared" ca="1" si="139"/>
        <v>0</v>
      </c>
      <c r="BF65" s="18">
        <f t="shared" ca="1" si="139"/>
        <v>0</v>
      </c>
      <c r="BG65" s="18">
        <f t="shared" ca="1" si="139"/>
        <v>0</v>
      </c>
      <c r="BH65" s="18">
        <f t="shared" ca="1" si="139"/>
        <v>0</v>
      </c>
      <c r="BI65" s="18">
        <f t="shared" ca="1" si="139"/>
        <v>0</v>
      </c>
      <c r="BJ65" s="18">
        <f t="shared" ca="1" si="139"/>
        <v>0</v>
      </c>
      <c r="BK65" s="18">
        <f t="shared" ca="1" si="139"/>
        <v>0</v>
      </c>
    </row>
    <row r="66" spans="1:64">
      <c r="A66" s="80">
        <f t="shared" si="29"/>
        <v>46</v>
      </c>
      <c r="B66" s="53">
        <f>+'Taxes RCA 2022'!A59</f>
        <v>46</v>
      </c>
      <c r="C66" s="18" t="str">
        <f>+'Taxes RCA 2022'!B59</f>
        <v>Paiements sociaux obligatoires</v>
      </c>
      <c r="E66" s="114"/>
      <c r="F66" s="114">
        <f>SUMIF($A$84:$A$751,B66&amp;"- "&amp;C66,$G$84:$G$751)</f>
        <v>0</v>
      </c>
      <c r="G66" s="114">
        <f>E66+F66</f>
        <v>0</v>
      </c>
      <c r="H66" s="114"/>
      <c r="I66" s="114"/>
      <c r="J66" s="114">
        <f ca="1">SUMIF($J$84:$M$747,B66&amp;"- "&amp;C66,$Q$84:$Q$747)</f>
        <v>0</v>
      </c>
      <c r="K66" s="114">
        <f ca="1">I66+J66</f>
        <v>0</v>
      </c>
      <c r="L66" s="114"/>
      <c r="M66" s="114">
        <f ca="1">+G66-K66</f>
        <v>0</v>
      </c>
      <c r="N66" s="18"/>
      <c r="O66" s="38" t="str">
        <f t="shared" ca="1" si="49"/>
        <v/>
      </c>
      <c r="P66" s="39" t="str">
        <f ca="1">IF(O66="ERROR","Please insert comment","")</f>
        <v/>
      </c>
      <c r="Y66" s="15">
        <f>B68</f>
        <v>0</v>
      </c>
      <c r="Z66" s="25" t="str">
        <f t="shared" si="134"/>
        <v>Paiements environnementaux - DGTCP (FNE)</v>
      </c>
      <c r="AA66" s="16">
        <f t="shared" ref="AA66:AI67" si="140">SUMPRODUCT(($A$84:$A$751=$Y66&amp;"- "&amp;$Z66)*($C$84:$C$751=AA$1)*($G$84:$G$751))</f>
        <v>0</v>
      </c>
      <c r="AB66" s="16">
        <f t="shared" si="140"/>
        <v>0</v>
      </c>
      <c r="AC66" s="16">
        <f t="shared" si="140"/>
        <v>0</v>
      </c>
      <c r="AD66" s="16">
        <f t="shared" si="140"/>
        <v>0</v>
      </c>
      <c r="AE66" s="16">
        <f t="shared" si="140"/>
        <v>0</v>
      </c>
      <c r="AF66" s="16">
        <f t="shared" si="140"/>
        <v>0</v>
      </c>
      <c r="AG66" s="16">
        <f t="shared" si="140"/>
        <v>0</v>
      </c>
      <c r="AH66" s="16">
        <f t="shared" si="140"/>
        <v>0</v>
      </c>
      <c r="AI66" s="16">
        <f t="shared" si="140"/>
        <v>0</v>
      </c>
      <c r="AJ66" s="16">
        <f>SUM(AA66:AI66)</f>
        <v>0</v>
      </c>
      <c r="AL66" s="17">
        <f>+B68</f>
        <v>0</v>
      </c>
      <c r="AM66" s="26" t="str">
        <f t="shared" si="136"/>
        <v>Paiements environnementaux - DGTCP (FNE)</v>
      </c>
      <c r="AN66" s="18">
        <f t="shared" ref="AN66:AU67" si="141">SUMPRODUCT(($J$84:$M$746=$AL66&amp;"- "&amp;$AM66)*($N$84:$N$746=AN$1)*($Q$84:$Q$746))</f>
        <v>0</v>
      </c>
      <c r="AO66" s="18">
        <f t="shared" si="141"/>
        <v>0</v>
      </c>
      <c r="AP66" s="18">
        <f t="shared" si="141"/>
        <v>0</v>
      </c>
      <c r="AQ66" s="18">
        <f t="shared" si="141"/>
        <v>0</v>
      </c>
      <c r="AR66" s="18">
        <f t="shared" si="141"/>
        <v>0</v>
      </c>
      <c r="AS66" s="18">
        <f t="shared" si="141"/>
        <v>0</v>
      </c>
      <c r="AT66" s="18">
        <f t="shared" si="141"/>
        <v>0</v>
      </c>
      <c r="AU66" s="18">
        <f t="shared" si="141"/>
        <v>0</v>
      </c>
      <c r="AV66" s="18">
        <f>SUM(AN66:AU66)</f>
        <v>0</v>
      </c>
      <c r="AW66" s="18"/>
      <c r="AX66" s="17">
        <f>B68</f>
        <v>0</v>
      </c>
      <c r="AY66" s="26" t="str">
        <f t="shared" si="138"/>
        <v>Paiements environnementaux - DGTCP (FNE)</v>
      </c>
      <c r="AZ66" s="18">
        <f t="shared" ref="AZ66:BK67" ca="1" si="142">SUMPRODUCT(($C$10:$C$75=$AY66)*($N$10:$N$75=AZ$1)*($M$10:$M$75))</f>
        <v>0</v>
      </c>
      <c r="BA66" s="18">
        <f t="shared" ca="1" si="142"/>
        <v>0</v>
      </c>
      <c r="BB66" s="18">
        <f t="shared" ca="1" si="142"/>
        <v>0</v>
      </c>
      <c r="BC66" s="18">
        <f t="shared" ca="1" si="142"/>
        <v>0</v>
      </c>
      <c r="BD66" s="18">
        <f t="shared" ca="1" si="142"/>
        <v>0</v>
      </c>
      <c r="BE66" s="18">
        <f t="shared" ca="1" si="142"/>
        <v>0</v>
      </c>
      <c r="BF66" s="18">
        <f t="shared" ca="1" si="142"/>
        <v>0</v>
      </c>
      <c r="BG66" s="18">
        <f t="shared" ca="1" si="142"/>
        <v>0</v>
      </c>
      <c r="BH66" s="18">
        <f t="shared" ca="1" si="142"/>
        <v>0</v>
      </c>
      <c r="BI66" s="18">
        <f t="shared" ca="1" si="142"/>
        <v>0</v>
      </c>
      <c r="BJ66" s="18">
        <f t="shared" ca="1" si="142"/>
        <v>0</v>
      </c>
      <c r="BK66" s="18">
        <f t="shared" ca="1" si="142"/>
        <v>0</v>
      </c>
    </row>
    <row r="67" spans="1:64">
      <c r="A67" s="80"/>
      <c r="B67" s="64">
        <f>+'Taxes RCA 2022'!A60</f>
        <v>47</v>
      </c>
      <c r="C67" s="68" t="str">
        <f>+'Taxes RCA 2022'!B60</f>
        <v>Paiements sociaux volontaires</v>
      </c>
      <c r="E67" s="165"/>
      <c r="F67" s="165">
        <f>SUMIF($A$84:$A$751,B67&amp;"- "&amp;C67,$G$84:$G$751)</f>
        <v>0</v>
      </c>
      <c r="G67" s="165">
        <f>E67+F67</f>
        <v>0</v>
      </c>
      <c r="H67" s="114"/>
      <c r="I67" s="165"/>
      <c r="J67" s="165">
        <f ca="1">SUMIF($J$84:$M$747,B67&amp;"- "&amp;C67,$Q$84:$Q$747)</f>
        <v>0</v>
      </c>
      <c r="K67" s="165">
        <f ca="1">I67+J67</f>
        <v>0</v>
      </c>
      <c r="L67" s="114"/>
      <c r="M67" s="165">
        <f ca="1">+G67-K67</f>
        <v>0</v>
      </c>
      <c r="N67" s="68"/>
      <c r="O67" s="38"/>
      <c r="P67" s="39"/>
      <c r="Y67" s="15">
        <f>B69</f>
        <v>48</v>
      </c>
      <c r="Z67" s="25" t="str">
        <f t="shared" si="134"/>
        <v>Taxes sur les appareils à pression de vapeur et de gaz (+)</v>
      </c>
      <c r="AA67" s="16">
        <f t="shared" si="140"/>
        <v>0</v>
      </c>
      <c r="AB67" s="16">
        <f t="shared" si="140"/>
        <v>0</v>
      </c>
      <c r="AC67" s="16">
        <f t="shared" si="140"/>
        <v>0</v>
      </c>
      <c r="AD67" s="16">
        <f t="shared" si="140"/>
        <v>0</v>
      </c>
      <c r="AE67" s="16">
        <f t="shared" si="140"/>
        <v>0</v>
      </c>
      <c r="AF67" s="16">
        <f t="shared" si="140"/>
        <v>0</v>
      </c>
      <c r="AG67" s="16">
        <f t="shared" si="140"/>
        <v>0</v>
      </c>
      <c r="AH67" s="16">
        <f t="shared" si="140"/>
        <v>0</v>
      </c>
      <c r="AI67" s="16">
        <f t="shared" si="140"/>
        <v>0</v>
      </c>
      <c r="AJ67" s="16">
        <f>SUM(AA67:AI67)</f>
        <v>0</v>
      </c>
      <c r="AL67" s="17">
        <f>+B69</f>
        <v>48</v>
      </c>
      <c r="AM67" s="26" t="str">
        <f t="shared" si="136"/>
        <v>Taxes sur les appareils à pression de vapeur et de gaz (+)</v>
      </c>
      <c r="AN67" s="18">
        <f t="shared" si="141"/>
        <v>0</v>
      </c>
      <c r="AO67" s="18">
        <f t="shared" si="141"/>
        <v>0</v>
      </c>
      <c r="AP67" s="18">
        <f t="shared" si="141"/>
        <v>0</v>
      </c>
      <c r="AQ67" s="18">
        <f t="shared" si="141"/>
        <v>0</v>
      </c>
      <c r="AR67" s="18">
        <f t="shared" si="141"/>
        <v>0</v>
      </c>
      <c r="AS67" s="18">
        <f t="shared" si="141"/>
        <v>0</v>
      </c>
      <c r="AT67" s="18">
        <f t="shared" si="141"/>
        <v>0</v>
      </c>
      <c r="AU67" s="18">
        <f t="shared" si="141"/>
        <v>0</v>
      </c>
      <c r="AV67" s="18">
        <f>SUM(AN67:AU67)</f>
        <v>0</v>
      </c>
      <c r="AW67" s="18"/>
      <c r="AX67" s="17">
        <f>B69</f>
        <v>48</v>
      </c>
      <c r="AY67" s="26" t="str">
        <f t="shared" si="138"/>
        <v>Taxes sur les appareils à pression de vapeur et de gaz (+)</v>
      </c>
      <c r="AZ67" s="18">
        <f t="shared" ca="1" si="142"/>
        <v>0</v>
      </c>
      <c r="BA67" s="18">
        <f t="shared" ca="1" si="142"/>
        <v>0</v>
      </c>
      <c r="BB67" s="18">
        <f t="shared" ca="1" si="142"/>
        <v>0</v>
      </c>
      <c r="BC67" s="18">
        <f t="shared" ca="1" si="142"/>
        <v>0</v>
      </c>
      <c r="BD67" s="18">
        <f t="shared" ca="1" si="142"/>
        <v>0</v>
      </c>
      <c r="BE67" s="18">
        <f t="shared" ca="1" si="142"/>
        <v>0</v>
      </c>
      <c r="BF67" s="18">
        <f t="shared" ca="1" si="142"/>
        <v>0</v>
      </c>
      <c r="BG67" s="18">
        <f t="shared" ca="1" si="142"/>
        <v>0</v>
      </c>
      <c r="BH67" s="18">
        <f t="shared" ca="1" si="142"/>
        <v>0</v>
      </c>
      <c r="BI67" s="18">
        <f t="shared" ca="1" si="142"/>
        <v>0</v>
      </c>
      <c r="BJ67" s="18">
        <f t="shared" ca="1" si="142"/>
        <v>0</v>
      </c>
      <c r="BK67" s="18">
        <f t="shared" ca="1" si="142"/>
        <v>0</v>
      </c>
    </row>
    <row r="68" spans="1:64">
      <c r="A68" s="80"/>
      <c r="B68" s="163"/>
      <c r="C68" s="58" t="str">
        <f>+'Taxes RCA 2022'!B61</f>
        <v>Paiements environnementaux - DGTCP (FNE)</v>
      </c>
      <c r="E68" s="166">
        <f>SUM(E69:E76)</f>
        <v>0</v>
      </c>
      <c r="F68" s="166">
        <f t="shared" ref="F68:G68" si="143">SUM(F69:F76)</f>
        <v>0</v>
      </c>
      <c r="G68" s="166">
        <f t="shared" si="143"/>
        <v>0</v>
      </c>
      <c r="H68" s="114"/>
      <c r="I68" s="166">
        <f>SUM(I69:I76)</f>
        <v>0</v>
      </c>
      <c r="J68" s="166">
        <f t="shared" ref="J68" ca="1" si="144">SUM(J69:J76)</f>
        <v>0</v>
      </c>
      <c r="K68" s="166">
        <f t="shared" ref="K68" ca="1" si="145">SUM(K69:K76)</f>
        <v>0</v>
      </c>
      <c r="L68" s="114"/>
      <c r="M68" s="166">
        <f t="shared" ref="M68" ca="1" si="146">SUM(M69:M76)</f>
        <v>0</v>
      </c>
      <c r="N68" s="58"/>
      <c r="O68" s="38"/>
      <c r="P68" s="39"/>
      <c r="Y68" s="28"/>
      <c r="Z68" s="28" t="str">
        <f t="shared" si="134"/>
        <v>Taxes à la pollution (+)</v>
      </c>
      <c r="AA68" s="29">
        <f>SUM(AA69:AA69)</f>
        <v>0</v>
      </c>
      <c r="AB68" s="29">
        <f t="shared" ref="AB68:AJ68" si="147">SUM(AB69:AB69)</f>
        <v>0</v>
      </c>
      <c r="AC68" s="29">
        <f t="shared" si="147"/>
        <v>0</v>
      </c>
      <c r="AD68" s="29">
        <f t="shared" si="147"/>
        <v>0</v>
      </c>
      <c r="AE68" s="29">
        <f t="shared" si="147"/>
        <v>0</v>
      </c>
      <c r="AF68" s="29">
        <f t="shared" si="147"/>
        <v>0</v>
      </c>
      <c r="AG68" s="29">
        <f t="shared" si="147"/>
        <v>0</v>
      </c>
      <c r="AH68" s="29">
        <f t="shared" si="147"/>
        <v>0</v>
      </c>
      <c r="AI68" s="29">
        <f t="shared" si="147"/>
        <v>0</v>
      </c>
      <c r="AJ68" s="29">
        <f t="shared" si="147"/>
        <v>0</v>
      </c>
      <c r="AL68" s="28"/>
      <c r="AM68" s="28" t="str">
        <f t="shared" si="136"/>
        <v>Taxes à la pollution (+)</v>
      </c>
      <c r="AN68" s="29">
        <f t="shared" ref="AN68:AV68" si="148">SUM(AN69:AN70)</f>
        <v>0</v>
      </c>
      <c r="AO68" s="29">
        <f t="shared" si="148"/>
        <v>0</v>
      </c>
      <c r="AP68" s="29">
        <f t="shared" si="148"/>
        <v>0</v>
      </c>
      <c r="AQ68" s="29">
        <f t="shared" si="148"/>
        <v>0</v>
      </c>
      <c r="AR68" s="29">
        <f t="shared" si="148"/>
        <v>0</v>
      </c>
      <c r="AS68" s="29">
        <f t="shared" si="148"/>
        <v>0</v>
      </c>
      <c r="AT68" s="29">
        <f t="shared" si="148"/>
        <v>0</v>
      </c>
      <c r="AU68" s="29">
        <f t="shared" si="148"/>
        <v>0</v>
      </c>
      <c r="AV68" s="29">
        <f t="shared" si="148"/>
        <v>0</v>
      </c>
      <c r="AW68" s="38"/>
      <c r="AX68" s="28"/>
      <c r="AY68" s="28" t="str">
        <f t="shared" si="138"/>
        <v>Taxes à la pollution (+)</v>
      </c>
      <c r="AZ68" s="29">
        <f t="shared" ref="AZ68:BK68" ca="1" si="149">SUM(AZ69:AZ70)</f>
        <v>0</v>
      </c>
      <c r="BA68" s="29">
        <f t="shared" ca="1" si="149"/>
        <v>0</v>
      </c>
      <c r="BB68" s="29">
        <f t="shared" ca="1" si="149"/>
        <v>0</v>
      </c>
      <c r="BC68" s="29">
        <f t="shared" ca="1" si="149"/>
        <v>0</v>
      </c>
      <c r="BD68" s="29">
        <f t="shared" ca="1" si="149"/>
        <v>0</v>
      </c>
      <c r="BE68" s="29">
        <f t="shared" ca="1" si="149"/>
        <v>0</v>
      </c>
      <c r="BF68" s="29">
        <f t="shared" ca="1" si="149"/>
        <v>0</v>
      </c>
      <c r="BG68" s="29">
        <f t="shared" ca="1" si="149"/>
        <v>0</v>
      </c>
      <c r="BH68" s="29">
        <f t="shared" ca="1" si="149"/>
        <v>0</v>
      </c>
      <c r="BI68" s="29">
        <f t="shared" ca="1" si="149"/>
        <v>0</v>
      </c>
      <c r="BJ68" s="29">
        <f t="shared" ca="1" si="149"/>
        <v>0</v>
      </c>
      <c r="BK68" s="29">
        <f t="shared" ca="1" si="149"/>
        <v>0</v>
      </c>
    </row>
    <row r="69" spans="1:64">
      <c r="A69" s="80"/>
      <c r="B69" s="53">
        <f>+'Taxes RCA 2022'!A62</f>
        <v>48</v>
      </c>
      <c r="C69" s="18" t="str">
        <f>+'Taxes RCA 2022'!B62</f>
        <v>Taxes sur les appareils à pression de vapeur et de gaz (+)</v>
      </c>
      <c r="E69" s="114"/>
      <c r="F69" s="114">
        <f t="shared" ref="F69:F76" si="150">SUMIF($A$84:$A$751,B69&amp;"- "&amp;C69,$G$84:$G$751)</f>
        <v>0</v>
      </c>
      <c r="G69" s="114">
        <f t="shared" ref="G69:G76" si="151">E69+F69</f>
        <v>0</v>
      </c>
      <c r="H69" s="114"/>
      <c r="I69" s="114"/>
      <c r="J69" s="114">
        <f t="shared" ref="J69:J76" ca="1" si="152">SUMIF($J$84:$M$747,B69&amp;"- "&amp;C69,$Q$84:$Q$747)</f>
        <v>0</v>
      </c>
      <c r="K69" s="114">
        <f t="shared" ref="K69:K76" ca="1" si="153">I69+J69</f>
        <v>0</v>
      </c>
      <c r="L69" s="114"/>
      <c r="M69" s="114">
        <f t="shared" ref="M69:M76" ca="1" si="154">+G69-K69</f>
        <v>0</v>
      </c>
      <c r="N69" s="18"/>
      <c r="O69" s="38"/>
      <c r="P69" s="39"/>
      <c r="Y69" s="15">
        <f>B71</f>
        <v>50</v>
      </c>
      <c r="Z69" s="25" t="str">
        <f t="shared" si="134"/>
        <v>Redevances annuelles résultant des inspections et contrôle des installations classées (+)</v>
      </c>
      <c r="AA69" s="16">
        <f t="shared" ref="AA69:AI69" si="155">SUMPRODUCT(($A$84:$A$751=$Y69&amp;"- "&amp;$Z69)*($C$84:$C$751=AA$1)*($G$84:$G$751))</f>
        <v>0</v>
      </c>
      <c r="AB69" s="16">
        <f t="shared" si="155"/>
        <v>0</v>
      </c>
      <c r="AC69" s="16">
        <f t="shared" si="155"/>
        <v>0</v>
      </c>
      <c r="AD69" s="16">
        <f t="shared" si="155"/>
        <v>0</v>
      </c>
      <c r="AE69" s="16">
        <f t="shared" si="155"/>
        <v>0</v>
      </c>
      <c r="AF69" s="16">
        <f t="shared" si="155"/>
        <v>0</v>
      </c>
      <c r="AG69" s="16">
        <f t="shared" si="155"/>
        <v>0</v>
      </c>
      <c r="AH69" s="16">
        <f t="shared" si="155"/>
        <v>0</v>
      </c>
      <c r="AI69" s="16">
        <f t="shared" si="155"/>
        <v>0</v>
      </c>
      <c r="AJ69" s="16">
        <f>SUM(AA69:AI69)</f>
        <v>0</v>
      </c>
      <c r="AL69" s="17">
        <f>+B71</f>
        <v>50</v>
      </c>
      <c r="AM69" s="26" t="str">
        <f t="shared" si="136"/>
        <v>Redevances annuelles résultant des inspections et contrôle des installations classées (+)</v>
      </c>
      <c r="AN69" s="18">
        <f t="shared" ref="AN69:AU69" si="156">SUMPRODUCT(($J$84:$M$746=$AL69&amp;"- "&amp;$AM69)*($N$84:$N$746=AN$1)*($Q$84:$Q$746))</f>
        <v>0</v>
      </c>
      <c r="AO69" s="18">
        <f t="shared" si="156"/>
        <v>0</v>
      </c>
      <c r="AP69" s="18">
        <f t="shared" si="156"/>
        <v>0</v>
      </c>
      <c r="AQ69" s="18">
        <f t="shared" si="156"/>
        <v>0</v>
      </c>
      <c r="AR69" s="18">
        <f t="shared" si="156"/>
        <v>0</v>
      </c>
      <c r="AS69" s="18">
        <f t="shared" si="156"/>
        <v>0</v>
      </c>
      <c r="AT69" s="18">
        <f t="shared" si="156"/>
        <v>0</v>
      </c>
      <c r="AU69" s="18">
        <f t="shared" si="156"/>
        <v>0</v>
      </c>
      <c r="AV69" s="18">
        <f>SUM(AN69:AU69)</f>
        <v>0</v>
      </c>
      <c r="AW69" s="18"/>
      <c r="AX69" s="17">
        <f>B71</f>
        <v>50</v>
      </c>
      <c r="AY69" s="26" t="str">
        <f t="shared" si="138"/>
        <v>Redevances annuelles résultant des inspections et contrôle des installations classées (+)</v>
      </c>
      <c r="AZ69" s="18">
        <f t="shared" ref="AZ69:BK69" ca="1" si="157">SUMPRODUCT(($C$10:$C$75=$AY69)*($N$10:$N$75=AZ$1)*($M$10:$M$75))</f>
        <v>0</v>
      </c>
      <c r="BA69" s="18">
        <f t="shared" ca="1" si="157"/>
        <v>0</v>
      </c>
      <c r="BB69" s="18">
        <f t="shared" ca="1" si="157"/>
        <v>0</v>
      </c>
      <c r="BC69" s="18">
        <f t="shared" ca="1" si="157"/>
        <v>0</v>
      </c>
      <c r="BD69" s="18">
        <f t="shared" ca="1" si="157"/>
        <v>0</v>
      </c>
      <c r="BE69" s="18">
        <f t="shared" ca="1" si="157"/>
        <v>0</v>
      </c>
      <c r="BF69" s="18">
        <f t="shared" ca="1" si="157"/>
        <v>0</v>
      </c>
      <c r="BG69" s="18">
        <f t="shared" ca="1" si="157"/>
        <v>0</v>
      </c>
      <c r="BH69" s="18">
        <f t="shared" ca="1" si="157"/>
        <v>0</v>
      </c>
      <c r="BI69" s="18">
        <f t="shared" ca="1" si="157"/>
        <v>0</v>
      </c>
      <c r="BJ69" s="18">
        <f t="shared" ca="1" si="157"/>
        <v>0</v>
      </c>
      <c r="BK69" s="18">
        <f t="shared" ca="1" si="157"/>
        <v>0</v>
      </c>
    </row>
    <row r="70" spans="1:64">
      <c r="A70" s="80">
        <f t="shared" si="29"/>
        <v>49</v>
      </c>
      <c r="B70" s="64">
        <f>+'Taxes RCA 2022'!A63</f>
        <v>49</v>
      </c>
      <c r="C70" s="68" t="str">
        <f>+'Taxes RCA 2022'!B63</f>
        <v>Taxes à la pollution (+)</v>
      </c>
      <c r="E70" s="165"/>
      <c r="F70" s="165">
        <f t="shared" si="150"/>
        <v>0</v>
      </c>
      <c r="G70" s="165">
        <f t="shared" si="151"/>
        <v>0</v>
      </c>
      <c r="H70" s="114"/>
      <c r="I70" s="165"/>
      <c r="J70" s="165">
        <f t="shared" ca="1" si="152"/>
        <v>0</v>
      </c>
      <c r="K70" s="165">
        <f t="shared" ca="1" si="153"/>
        <v>0</v>
      </c>
      <c r="L70" s="114"/>
      <c r="M70" s="165">
        <f t="shared" ca="1" si="154"/>
        <v>0</v>
      </c>
      <c r="N70" s="68"/>
      <c r="O70" s="38"/>
      <c r="P70" s="39"/>
      <c r="Y70" s="15"/>
      <c r="Z70" s="25" t="str">
        <f t="shared" si="134"/>
        <v>Taxes superficiaires encaissées par le FNE (+)</v>
      </c>
      <c r="AA70" s="16">
        <f t="shared" ref="AA70:AJ70" si="158">SUM(AA71:AA71)</f>
        <v>0</v>
      </c>
      <c r="AB70" s="16">
        <f t="shared" si="158"/>
        <v>0</v>
      </c>
      <c r="AC70" s="16">
        <f t="shared" si="158"/>
        <v>0</v>
      </c>
      <c r="AD70" s="16">
        <f t="shared" si="158"/>
        <v>0</v>
      </c>
      <c r="AE70" s="16">
        <f t="shared" si="158"/>
        <v>0</v>
      </c>
      <c r="AF70" s="16">
        <f t="shared" si="158"/>
        <v>0</v>
      </c>
      <c r="AG70" s="16">
        <f t="shared" si="158"/>
        <v>0</v>
      </c>
      <c r="AH70" s="16">
        <f t="shared" si="158"/>
        <v>0</v>
      </c>
      <c r="AI70" s="16">
        <f t="shared" si="158"/>
        <v>0</v>
      </c>
      <c r="AJ70" s="16">
        <f t="shared" si="158"/>
        <v>0</v>
      </c>
      <c r="AL70" s="17"/>
      <c r="AM70" s="26" t="str">
        <f t="shared" si="136"/>
        <v>Taxes superficiaires encaissées par le FNE (+)</v>
      </c>
      <c r="AN70" s="18">
        <f t="shared" ref="AN70:AU70" si="159">SUM(AN71:AN71)</f>
        <v>0</v>
      </c>
      <c r="AO70" s="18">
        <f t="shared" si="159"/>
        <v>0</v>
      </c>
      <c r="AP70" s="18">
        <f t="shared" si="159"/>
        <v>0</v>
      </c>
      <c r="AQ70" s="18">
        <f t="shared" si="159"/>
        <v>0</v>
      </c>
      <c r="AR70" s="18">
        <f t="shared" si="159"/>
        <v>0</v>
      </c>
      <c r="AS70" s="18">
        <f t="shared" si="159"/>
        <v>0</v>
      </c>
      <c r="AT70" s="18">
        <f t="shared" si="159"/>
        <v>0</v>
      </c>
      <c r="AU70" s="18">
        <f t="shared" si="159"/>
        <v>0</v>
      </c>
      <c r="AV70" s="18">
        <f>SUM(AV71:AV71)</f>
        <v>0</v>
      </c>
      <c r="AW70" s="18"/>
      <c r="AX70" s="17"/>
      <c r="AY70" s="26" t="str">
        <f t="shared" si="138"/>
        <v>Taxes superficiaires encaissées par le FNE (+)</v>
      </c>
      <c r="AZ70" s="18">
        <f t="shared" ref="AZ70:BK70" ca="1" si="160">SUM(AZ71:AZ71)</f>
        <v>0</v>
      </c>
      <c r="BA70" s="18">
        <f t="shared" ca="1" si="160"/>
        <v>0</v>
      </c>
      <c r="BB70" s="18">
        <f t="shared" ca="1" si="160"/>
        <v>0</v>
      </c>
      <c r="BC70" s="18">
        <f t="shared" ca="1" si="160"/>
        <v>0</v>
      </c>
      <c r="BD70" s="18">
        <f t="shared" ca="1" si="160"/>
        <v>0</v>
      </c>
      <c r="BE70" s="18">
        <f t="shared" ca="1" si="160"/>
        <v>0</v>
      </c>
      <c r="BF70" s="18">
        <f t="shared" ca="1" si="160"/>
        <v>0</v>
      </c>
      <c r="BG70" s="18">
        <f t="shared" ca="1" si="160"/>
        <v>0</v>
      </c>
      <c r="BH70" s="18">
        <f t="shared" ca="1" si="160"/>
        <v>0</v>
      </c>
      <c r="BI70" s="18">
        <f t="shared" ca="1" si="160"/>
        <v>0</v>
      </c>
      <c r="BJ70" s="18">
        <f t="shared" ca="1" si="160"/>
        <v>0</v>
      </c>
      <c r="BK70" s="18">
        <f t="shared" ca="1" si="160"/>
        <v>0</v>
      </c>
      <c r="BL70" s="23"/>
    </row>
    <row r="71" spans="1:64" ht="24">
      <c r="A71" s="80">
        <f t="shared" si="29"/>
        <v>50</v>
      </c>
      <c r="B71" s="53">
        <f>+'Taxes RCA 2022'!A64</f>
        <v>50</v>
      </c>
      <c r="C71" s="171" t="str">
        <f>+'Taxes RCA 2022'!B64</f>
        <v>Redevances annuelles résultant des inspections et contrôle des installations classées (+)</v>
      </c>
      <c r="E71" s="114"/>
      <c r="F71" s="114">
        <f t="shared" si="150"/>
        <v>0</v>
      </c>
      <c r="G71" s="114">
        <f t="shared" si="151"/>
        <v>0</v>
      </c>
      <c r="H71" s="114"/>
      <c r="I71" s="114"/>
      <c r="J71" s="114">
        <f t="shared" ca="1" si="152"/>
        <v>0</v>
      </c>
      <c r="K71" s="114">
        <f t="shared" ca="1" si="153"/>
        <v>0</v>
      </c>
      <c r="L71" s="114"/>
      <c r="M71" s="114">
        <f t="shared" ca="1" si="154"/>
        <v>0</v>
      </c>
      <c r="N71" s="18"/>
      <c r="O71" s="38" t="str">
        <f t="shared" ca="1" si="49"/>
        <v/>
      </c>
      <c r="P71" s="39" t="str">
        <f ca="1">IF(O71="ERROR","Please insert comment","")</f>
        <v/>
      </c>
      <c r="Y71" s="15">
        <f>B73</f>
        <v>52</v>
      </c>
      <c r="Z71" s="25" t="str">
        <f t="shared" si="134"/>
        <v>Taxes de remise en état (+)</v>
      </c>
      <c r="AA71" s="16">
        <f t="shared" ref="AA71:AI73" si="161">SUMPRODUCT(($A$84:$A$751=$Y71&amp;"- "&amp;$Z71)*($C$84:$C$751=AA$1)*($G$84:$G$751))</f>
        <v>0</v>
      </c>
      <c r="AB71" s="16">
        <f t="shared" si="161"/>
        <v>0</v>
      </c>
      <c r="AC71" s="16">
        <f t="shared" si="161"/>
        <v>0</v>
      </c>
      <c r="AD71" s="16">
        <f t="shared" si="161"/>
        <v>0</v>
      </c>
      <c r="AE71" s="16">
        <f t="shared" si="161"/>
        <v>0</v>
      </c>
      <c r="AF71" s="16">
        <f t="shared" si="161"/>
        <v>0</v>
      </c>
      <c r="AG71" s="16">
        <f t="shared" si="161"/>
        <v>0</v>
      </c>
      <c r="AH71" s="16">
        <f t="shared" si="161"/>
        <v>0</v>
      </c>
      <c r="AI71" s="16">
        <f t="shared" si="161"/>
        <v>0</v>
      </c>
      <c r="AJ71" s="16">
        <f>SUM(AA71:AI71)</f>
        <v>0</v>
      </c>
      <c r="AL71" s="17">
        <f>+B73</f>
        <v>52</v>
      </c>
      <c r="AM71" s="26" t="str">
        <f t="shared" si="136"/>
        <v>Taxes de remise en état (+)</v>
      </c>
      <c r="AN71" s="18">
        <f t="shared" ref="AN71:AU71" si="162">SUMPRODUCT(($J$84:$M$746=$AL71&amp;"- "&amp;$AM71)*($N$84:$N$746=AN$1)*($Q$84:$Q$746))</f>
        <v>0</v>
      </c>
      <c r="AO71" s="18">
        <f t="shared" si="162"/>
        <v>0</v>
      </c>
      <c r="AP71" s="18">
        <f t="shared" si="162"/>
        <v>0</v>
      </c>
      <c r="AQ71" s="18">
        <f t="shared" si="162"/>
        <v>0</v>
      </c>
      <c r="AR71" s="18">
        <f t="shared" si="162"/>
        <v>0</v>
      </c>
      <c r="AS71" s="18">
        <f t="shared" si="162"/>
        <v>0</v>
      </c>
      <c r="AT71" s="18">
        <f t="shared" si="162"/>
        <v>0</v>
      </c>
      <c r="AU71" s="18">
        <f t="shared" si="162"/>
        <v>0</v>
      </c>
      <c r="AV71" s="18">
        <f>SUM(AN71:AU71)</f>
        <v>0</v>
      </c>
      <c r="AW71" s="18"/>
      <c r="AX71" s="17">
        <f>B73</f>
        <v>52</v>
      </c>
      <c r="AY71" s="26" t="str">
        <f t="shared" si="138"/>
        <v>Taxes de remise en état (+)</v>
      </c>
      <c r="AZ71" s="18">
        <f t="shared" ref="AZ71:BK71" ca="1" si="163">SUMPRODUCT(($C$10:$C$75=$AY71)*($N$10:$N$75=AZ$1)*($M$10:$M$75))</f>
        <v>0</v>
      </c>
      <c r="BA71" s="18">
        <f t="shared" ca="1" si="163"/>
        <v>0</v>
      </c>
      <c r="BB71" s="18">
        <f t="shared" ca="1" si="163"/>
        <v>0</v>
      </c>
      <c r="BC71" s="18">
        <f t="shared" ca="1" si="163"/>
        <v>0</v>
      </c>
      <c r="BD71" s="18">
        <f t="shared" ca="1" si="163"/>
        <v>0</v>
      </c>
      <c r="BE71" s="18">
        <f t="shared" ca="1" si="163"/>
        <v>0</v>
      </c>
      <c r="BF71" s="18">
        <f t="shared" ca="1" si="163"/>
        <v>0</v>
      </c>
      <c r="BG71" s="18">
        <f t="shared" ca="1" si="163"/>
        <v>0</v>
      </c>
      <c r="BH71" s="18">
        <f t="shared" ca="1" si="163"/>
        <v>0</v>
      </c>
      <c r="BI71" s="18">
        <f t="shared" ca="1" si="163"/>
        <v>0</v>
      </c>
      <c r="BJ71" s="18">
        <f t="shared" ca="1" si="163"/>
        <v>0</v>
      </c>
      <c r="BK71" s="18">
        <f t="shared" ca="1" si="163"/>
        <v>0</v>
      </c>
    </row>
    <row r="72" spans="1:64">
      <c r="A72" s="80">
        <f t="shared" si="29"/>
        <v>51</v>
      </c>
      <c r="B72" s="64">
        <f>+'Taxes RCA 2022'!A65</f>
        <v>51</v>
      </c>
      <c r="C72" s="68" t="str">
        <f>+'Taxes RCA 2022'!B65</f>
        <v>Taxes superficiaires encaissées par le FNE (+)</v>
      </c>
      <c r="E72" s="165"/>
      <c r="F72" s="165">
        <f t="shared" si="150"/>
        <v>0</v>
      </c>
      <c r="G72" s="165">
        <f t="shared" si="151"/>
        <v>0</v>
      </c>
      <c r="H72" s="114"/>
      <c r="I72" s="165"/>
      <c r="J72" s="165">
        <f t="shared" ca="1" si="152"/>
        <v>0</v>
      </c>
      <c r="K72" s="165">
        <f t="shared" ca="1" si="153"/>
        <v>0</v>
      </c>
      <c r="L72" s="114"/>
      <c r="M72" s="165">
        <f t="shared" ca="1" si="154"/>
        <v>0</v>
      </c>
      <c r="N72" s="68"/>
      <c r="Y72" s="15"/>
      <c r="Z72" s="25" t="str">
        <f t="shared" si="134"/>
        <v>Taxes environnementales sur les Stes forestières et Minières (+)</v>
      </c>
      <c r="AA72" s="16">
        <f t="shared" si="161"/>
        <v>0</v>
      </c>
      <c r="AB72" s="16">
        <f t="shared" si="161"/>
        <v>0</v>
      </c>
      <c r="AC72" s="16">
        <f t="shared" si="161"/>
        <v>0</v>
      </c>
      <c r="AD72" s="16">
        <f t="shared" si="161"/>
        <v>0</v>
      </c>
      <c r="AE72" s="16">
        <f t="shared" si="161"/>
        <v>0</v>
      </c>
      <c r="AF72" s="16">
        <f t="shared" si="161"/>
        <v>0</v>
      </c>
      <c r="AG72" s="16">
        <f t="shared" si="161"/>
        <v>0</v>
      </c>
      <c r="AH72" s="16">
        <f t="shared" si="161"/>
        <v>0</v>
      </c>
      <c r="AI72" s="16">
        <f t="shared" si="161"/>
        <v>0</v>
      </c>
      <c r="AJ72" s="16">
        <f>SUM(AA72:AI72)</f>
        <v>0</v>
      </c>
      <c r="AL72" s="17"/>
      <c r="AM72" s="26" t="str">
        <f t="shared" si="136"/>
        <v>Taxes environnementales sur les Stes forestières et Minières (+)</v>
      </c>
      <c r="AN72" s="18">
        <f t="shared" ref="AN72:AV72" si="164">SUM(AN73:AN73)</f>
        <v>0</v>
      </c>
      <c r="AO72" s="18">
        <f t="shared" si="164"/>
        <v>0</v>
      </c>
      <c r="AP72" s="18">
        <f t="shared" si="164"/>
        <v>0</v>
      </c>
      <c r="AQ72" s="18">
        <f t="shared" si="164"/>
        <v>0</v>
      </c>
      <c r="AR72" s="18">
        <f t="shared" si="164"/>
        <v>0</v>
      </c>
      <c r="AS72" s="18">
        <f t="shared" si="164"/>
        <v>0</v>
      </c>
      <c r="AT72" s="18">
        <f t="shared" si="164"/>
        <v>0</v>
      </c>
      <c r="AU72" s="18">
        <f t="shared" si="164"/>
        <v>0</v>
      </c>
      <c r="AV72" s="18">
        <f t="shared" si="164"/>
        <v>0</v>
      </c>
      <c r="AW72" s="18"/>
      <c r="AX72" s="17"/>
      <c r="AY72" s="26" t="str">
        <f t="shared" si="138"/>
        <v>Taxes environnementales sur les Stes forestières et Minières (+)</v>
      </c>
      <c r="AZ72" s="18">
        <f t="shared" ref="AZ72:BK72" ca="1" si="165">SUM(AZ73:AZ73)</f>
        <v>0</v>
      </c>
      <c r="BA72" s="18">
        <f t="shared" ca="1" si="165"/>
        <v>0</v>
      </c>
      <c r="BB72" s="18">
        <f t="shared" ca="1" si="165"/>
        <v>0</v>
      </c>
      <c r="BC72" s="18">
        <f t="shared" ca="1" si="165"/>
        <v>0</v>
      </c>
      <c r="BD72" s="18">
        <f t="shared" ca="1" si="165"/>
        <v>0</v>
      </c>
      <c r="BE72" s="18">
        <f t="shared" ca="1" si="165"/>
        <v>0</v>
      </c>
      <c r="BF72" s="18">
        <f t="shared" ca="1" si="165"/>
        <v>0</v>
      </c>
      <c r="BG72" s="18">
        <f t="shared" ca="1" si="165"/>
        <v>0</v>
      </c>
      <c r="BH72" s="18">
        <f t="shared" ca="1" si="165"/>
        <v>0</v>
      </c>
      <c r="BI72" s="18">
        <f t="shared" ca="1" si="165"/>
        <v>0</v>
      </c>
      <c r="BJ72" s="18">
        <f t="shared" ca="1" si="165"/>
        <v>0</v>
      </c>
      <c r="BK72" s="18">
        <f t="shared" ca="1" si="165"/>
        <v>0</v>
      </c>
      <c r="BL72" s="41"/>
    </row>
    <row r="73" spans="1:64">
      <c r="A73" s="80">
        <f t="shared" si="29"/>
        <v>52</v>
      </c>
      <c r="B73" s="53">
        <f>+'Taxes RCA 2022'!A66</f>
        <v>52</v>
      </c>
      <c r="C73" s="18" t="str">
        <f>+'Taxes RCA 2022'!B66</f>
        <v>Taxes de remise en état (+)</v>
      </c>
      <c r="E73" s="114"/>
      <c r="F73" s="114">
        <f t="shared" si="150"/>
        <v>0</v>
      </c>
      <c r="G73" s="114">
        <f t="shared" si="151"/>
        <v>0</v>
      </c>
      <c r="H73" s="114"/>
      <c r="I73" s="114"/>
      <c r="J73" s="114">
        <f t="shared" ca="1" si="152"/>
        <v>0</v>
      </c>
      <c r="K73" s="114">
        <f t="shared" ca="1" si="153"/>
        <v>0</v>
      </c>
      <c r="L73" s="114"/>
      <c r="M73" s="114">
        <f t="shared" ca="1" si="154"/>
        <v>0</v>
      </c>
      <c r="N73" s="18"/>
      <c r="O73" s="38" t="str">
        <f ca="1">IF(M73=0,"",IF(N73=0,"ERROR",""))</f>
        <v/>
      </c>
      <c r="P73" s="39" t="str">
        <f ca="1">IF(O73="ERROR","Please insert comment","")</f>
        <v/>
      </c>
      <c r="Y73" s="15">
        <v>58</v>
      </c>
      <c r="Z73" s="25" t="str">
        <f t="shared" si="134"/>
        <v xml:space="preserve">Amendes environnementales </v>
      </c>
      <c r="AA73" s="16">
        <f t="shared" si="161"/>
        <v>0</v>
      </c>
      <c r="AB73" s="16">
        <f t="shared" si="161"/>
        <v>0</v>
      </c>
      <c r="AC73" s="16">
        <f t="shared" si="161"/>
        <v>0</v>
      </c>
      <c r="AD73" s="16">
        <f t="shared" si="161"/>
        <v>0</v>
      </c>
      <c r="AE73" s="16">
        <f t="shared" si="161"/>
        <v>0</v>
      </c>
      <c r="AF73" s="16">
        <f t="shared" si="161"/>
        <v>0</v>
      </c>
      <c r="AG73" s="16">
        <f t="shared" si="161"/>
        <v>0</v>
      </c>
      <c r="AH73" s="16">
        <f t="shared" si="161"/>
        <v>0</v>
      </c>
      <c r="AI73" s="16">
        <f t="shared" si="161"/>
        <v>0</v>
      </c>
      <c r="AJ73" s="16">
        <f>SUM(AA73:AI73)</f>
        <v>0</v>
      </c>
      <c r="AL73" s="17">
        <f>+B75</f>
        <v>54</v>
      </c>
      <c r="AM73" s="26" t="str">
        <f t="shared" si="136"/>
        <v xml:space="preserve">Amendes environnementales </v>
      </c>
      <c r="AN73" s="18">
        <f t="shared" ref="AN73:AU73" si="166">SUMPRODUCT(($J$84:$M$746=$AL73&amp;"- "&amp;$AM73)*($N$84:$N$746=AN$1)*($Q$84:$Q$746))</f>
        <v>0</v>
      </c>
      <c r="AO73" s="18">
        <f t="shared" si="166"/>
        <v>0</v>
      </c>
      <c r="AP73" s="18">
        <f t="shared" si="166"/>
        <v>0</v>
      </c>
      <c r="AQ73" s="18">
        <f t="shared" si="166"/>
        <v>0</v>
      </c>
      <c r="AR73" s="18">
        <f t="shared" si="166"/>
        <v>0</v>
      </c>
      <c r="AS73" s="18">
        <f t="shared" si="166"/>
        <v>0</v>
      </c>
      <c r="AT73" s="18">
        <f t="shared" si="166"/>
        <v>0</v>
      </c>
      <c r="AU73" s="18">
        <f t="shared" si="166"/>
        <v>0</v>
      </c>
      <c r="AV73" s="18">
        <f>SUM(AN73:AU73)</f>
        <v>0</v>
      </c>
      <c r="AW73" s="18"/>
      <c r="AX73" s="17">
        <f>B75</f>
        <v>54</v>
      </c>
      <c r="AY73" s="26" t="str">
        <f t="shared" si="138"/>
        <v xml:space="preserve">Amendes environnementales </v>
      </c>
      <c r="AZ73" s="18">
        <f t="shared" ref="AZ73:BK73" ca="1" si="167">SUMPRODUCT(($C$10:$C$75=$AY73)*($N$10:$N$75=AZ$1)*($M$10:$M$75))</f>
        <v>0</v>
      </c>
      <c r="BA73" s="18">
        <f t="shared" ca="1" si="167"/>
        <v>0</v>
      </c>
      <c r="BB73" s="18">
        <f t="shared" ca="1" si="167"/>
        <v>0</v>
      </c>
      <c r="BC73" s="18">
        <f t="shared" ca="1" si="167"/>
        <v>0</v>
      </c>
      <c r="BD73" s="18">
        <f t="shared" ca="1" si="167"/>
        <v>0</v>
      </c>
      <c r="BE73" s="18">
        <f t="shared" ca="1" si="167"/>
        <v>0</v>
      </c>
      <c r="BF73" s="18">
        <f t="shared" ca="1" si="167"/>
        <v>0</v>
      </c>
      <c r="BG73" s="18">
        <f t="shared" ca="1" si="167"/>
        <v>0</v>
      </c>
      <c r="BH73" s="18">
        <f t="shared" ca="1" si="167"/>
        <v>0</v>
      </c>
      <c r="BI73" s="18">
        <f t="shared" ca="1" si="167"/>
        <v>0</v>
      </c>
      <c r="BJ73" s="18">
        <f t="shared" ca="1" si="167"/>
        <v>0</v>
      </c>
      <c r="BK73" s="18">
        <f t="shared" ca="1" si="167"/>
        <v>0</v>
      </c>
    </row>
    <row r="74" spans="1:64">
      <c r="A74" s="80"/>
      <c r="B74" s="64">
        <f>+'Taxes RCA 2022'!A67</f>
        <v>53</v>
      </c>
      <c r="C74" s="68" t="str">
        <f>+'Taxes RCA 2022'!B67</f>
        <v>Taxes environnementales sur les Stes forestières et Minières (+)</v>
      </c>
      <c r="E74" s="165"/>
      <c r="F74" s="165">
        <f t="shared" si="150"/>
        <v>0</v>
      </c>
      <c r="G74" s="165">
        <f t="shared" si="151"/>
        <v>0</v>
      </c>
      <c r="H74" s="167">
        <v>808920</v>
      </c>
      <c r="I74" s="165"/>
      <c r="J74" s="165">
        <f t="shared" ca="1" si="152"/>
        <v>0</v>
      </c>
      <c r="K74" s="165">
        <f t="shared" ca="1" si="153"/>
        <v>0</v>
      </c>
      <c r="L74" s="114"/>
      <c r="M74" s="165">
        <f t="shared" ca="1" si="154"/>
        <v>0</v>
      </c>
      <c r="N74" s="68"/>
      <c r="O74" s="38"/>
      <c r="P74" s="39"/>
      <c r="AL74" s="17"/>
      <c r="AM74" s="26"/>
      <c r="AN74" s="18"/>
      <c r="AO74" s="18"/>
      <c r="AP74" s="18"/>
      <c r="AQ74" s="18"/>
      <c r="AR74" s="18"/>
      <c r="AS74" s="18"/>
      <c r="AT74" s="18"/>
      <c r="AU74" s="18"/>
      <c r="AV74" s="18"/>
      <c r="AX74" s="17"/>
      <c r="AY74" s="26"/>
      <c r="AZ74" s="18"/>
      <c r="BA74" s="18"/>
      <c r="BB74" s="18"/>
      <c r="BC74" s="18"/>
      <c r="BD74" s="18"/>
      <c r="BE74" s="18"/>
      <c r="BF74" s="18"/>
      <c r="BG74" s="18"/>
      <c r="BH74" s="18"/>
      <c r="BI74" s="18"/>
      <c r="BJ74" s="18"/>
      <c r="BK74" s="18"/>
    </row>
    <row r="75" spans="1:64">
      <c r="A75" s="80"/>
      <c r="B75" s="53">
        <f>+'Taxes RCA 2022'!A68</f>
        <v>54</v>
      </c>
      <c r="C75" s="18" t="str">
        <f>+'Taxes RCA 2022'!B68</f>
        <v xml:space="preserve">Amendes environnementales </v>
      </c>
      <c r="E75" s="114"/>
      <c r="F75" s="114">
        <f t="shared" si="150"/>
        <v>0</v>
      </c>
      <c r="G75" s="114">
        <f t="shared" si="151"/>
        <v>0</v>
      </c>
      <c r="H75" s="114"/>
      <c r="I75" s="114"/>
      <c r="J75" s="114">
        <f t="shared" ca="1" si="152"/>
        <v>0</v>
      </c>
      <c r="K75" s="114">
        <f t="shared" ca="1" si="153"/>
        <v>0</v>
      </c>
      <c r="L75" s="114"/>
      <c r="M75" s="114">
        <f t="shared" ca="1" si="154"/>
        <v>0</v>
      </c>
      <c r="N75" s="18"/>
      <c r="O75" s="38"/>
      <c r="P75" s="39"/>
      <c r="Y75" s="15"/>
      <c r="Z75" s="25"/>
      <c r="AA75" s="16"/>
      <c r="AB75" s="16"/>
      <c r="AC75" s="16"/>
      <c r="AD75" s="16"/>
      <c r="AE75" s="16"/>
      <c r="AF75" s="16"/>
      <c r="AG75" s="16"/>
      <c r="AH75" s="16"/>
      <c r="AI75" s="16"/>
      <c r="AJ75" s="16"/>
      <c r="AL75" s="17"/>
      <c r="AM75" s="26"/>
      <c r="AN75" s="18"/>
      <c r="AO75" s="18"/>
      <c r="AP75" s="18"/>
      <c r="AQ75" s="18"/>
      <c r="AR75" s="18"/>
      <c r="AS75" s="18"/>
      <c r="AT75" s="18"/>
      <c r="AU75" s="18"/>
      <c r="AV75" s="18"/>
      <c r="AW75" s="18"/>
      <c r="AX75" s="17"/>
      <c r="AY75" s="26"/>
      <c r="AZ75" s="18"/>
      <c r="BA75" s="18"/>
      <c r="BB75" s="18"/>
      <c r="BC75" s="18"/>
      <c r="BD75" s="18"/>
      <c r="BE75" s="18"/>
      <c r="BF75" s="18"/>
      <c r="BG75" s="18"/>
      <c r="BH75" s="18"/>
      <c r="BI75" s="18"/>
      <c r="BJ75" s="18"/>
      <c r="BK75" s="18"/>
    </row>
    <row r="76" spans="1:64">
      <c r="A76" s="80">
        <f t="shared" si="29"/>
        <v>55</v>
      </c>
      <c r="B76" s="64">
        <f>+'Taxes RCA 2022'!A69</f>
        <v>55</v>
      </c>
      <c r="C76" s="68" t="str">
        <f>+'Taxes RCA 2022'!B69</f>
        <v>Dépenses environnementales volontaires (+)</v>
      </c>
      <c r="D76" s="33"/>
      <c r="E76" s="165"/>
      <c r="F76" s="165">
        <f t="shared" si="150"/>
        <v>0</v>
      </c>
      <c r="G76" s="165">
        <f t="shared" si="151"/>
        <v>0</v>
      </c>
      <c r="H76" s="168"/>
      <c r="I76" s="165"/>
      <c r="J76" s="165">
        <f t="shared" ca="1" si="152"/>
        <v>0</v>
      </c>
      <c r="K76" s="165">
        <f t="shared" ca="1" si="153"/>
        <v>0</v>
      </c>
      <c r="L76" s="168"/>
      <c r="M76" s="165">
        <f t="shared" ca="1" si="154"/>
        <v>0</v>
      </c>
      <c r="N76" s="68"/>
      <c r="O76" s="38"/>
      <c r="P76" s="39"/>
      <c r="Y76" s="21"/>
      <c r="Z76" s="21"/>
      <c r="AA76" s="21"/>
      <c r="AB76" s="21"/>
      <c r="AC76" s="21"/>
      <c r="AD76" s="21"/>
      <c r="AE76" s="21"/>
      <c r="AF76" s="21"/>
      <c r="AG76" s="21"/>
      <c r="AH76" s="21"/>
      <c r="AI76" s="21"/>
      <c r="AJ76" s="21"/>
      <c r="AL76" s="17"/>
      <c r="AM76" s="26"/>
      <c r="AN76" s="18"/>
      <c r="AO76" s="18"/>
      <c r="AP76" s="18"/>
      <c r="AQ76" s="18"/>
      <c r="AR76" s="18"/>
      <c r="AS76" s="18"/>
      <c r="AT76" s="18"/>
      <c r="AU76" s="18"/>
      <c r="AV76" s="18"/>
      <c r="AX76" s="17"/>
      <c r="AY76" s="26"/>
      <c r="AZ76" s="18"/>
      <c r="BA76" s="18"/>
      <c r="BB76" s="18"/>
      <c r="BC76" s="18"/>
      <c r="BD76" s="18"/>
      <c r="BE76" s="18"/>
      <c r="BF76" s="18"/>
      <c r="BG76" s="18"/>
      <c r="BH76" s="18"/>
      <c r="BI76" s="18"/>
      <c r="BJ76" s="18"/>
      <c r="BK76" s="18"/>
    </row>
    <row r="77" spans="1:64">
      <c r="A77" s="80">
        <f t="shared" si="29"/>
        <v>0</v>
      </c>
      <c r="B77" s="163"/>
      <c r="C77" s="58" t="str">
        <f>+'Taxes RCA 2022'!B70</f>
        <v>Tous</v>
      </c>
      <c r="E77" s="166">
        <f>+E78+E79</f>
        <v>0</v>
      </c>
      <c r="F77" s="166">
        <f t="shared" ref="F77:G77" si="168">+F78+F79</f>
        <v>0</v>
      </c>
      <c r="G77" s="166">
        <f t="shared" si="168"/>
        <v>0</v>
      </c>
      <c r="H77" s="169"/>
      <c r="I77" s="166">
        <f t="shared" ref="I77:K77" si="169">+I78+I79</f>
        <v>0</v>
      </c>
      <c r="J77" s="166">
        <f t="shared" ca="1" si="169"/>
        <v>0</v>
      </c>
      <c r="K77" s="166">
        <f t="shared" ca="1" si="169"/>
        <v>0</v>
      </c>
      <c r="L77" s="169"/>
      <c r="M77" s="166">
        <f ca="1">+M78+M79</f>
        <v>0</v>
      </c>
      <c r="N77" s="58"/>
      <c r="O77" s="38"/>
      <c r="P77" s="39"/>
      <c r="Y77" s="21"/>
      <c r="Z77" s="21"/>
      <c r="AA77" s="21"/>
      <c r="AB77" s="21"/>
      <c r="AC77" s="21"/>
      <c r="AD77" s="21"/>
      <c r="AE77" s="21"/>
      <c r="AF77" s="21"/>
      <c r="AG77" s="21"/>
      <c r="AH77" s="21"/>
      <c r="AI77" s="21"/>
      <c r="AJ77" s="21"/>
      <c r="AL77" s="21"/>
      <c r="AM77" s="21"/>
      <c r="AN77" s="21"/>
      <c r="AO77" s="21"/>
      <c r="AP77" s="21"/>
      <c r="AQ77" s="21"/>
      <c r="AR77" s="21"/>
      <c r="AS77" s="21"/>
      <c r="AT77" s="21"/>
      <c r="AU77" s="21"/>
      <c r="AV77" s="21"/>
    </row>
    <row r="78" spans="1:64">
      <c r="A78" s="80">
        <f>B78</f>
        <v>56</v>
      </c>
      <c r="B78" s="53">
        <f>+'Taxes RCA 2022'!A71</f>
        <v>56</v>
      </c>
      <c r="C78" s="18" t="str">
        <f>+'Taxes RCA 2022'!B71</f>
        <v xml:space="preserve">Secrétariat permanent du processus de Kimberley (SPPK)  </v>
      </c>
      <c r="E78" s="114"/>
      <c r="F78" s="114">
        <f>SUMIF($A$84:$A$751,B78&amp;"- "&amp;C78,$G$84:$G$751)</f>
        <v>0</v>
      </c>
      <c r="G78" s="114">
        <f>E78+F78</f>
        <v>0</v>
      </c>
      <c r="H78" s="114"/>
      <c r="I78" s="114"/>
      <c r="J78" s="114">
        <f ca="1">SUMIF($J$84:$M$747,B78&amp;"- "&amp;C78,$Q$84:$Q$747)</f>
        <v>0</v>
      </c>
      <c r="K78" s="114">
        <f ca="1">I78+J78</f>
        <v>0</v>
      </c>
      <c r="L78" s="114"/>
      <c r="M78" s="114">
        <f ca="1">+G78-K78</f>
        <v>0</v>
      </c>
      <c r="N78" s="18"/>
      <c r="O78" s="38" t="str">
        <f ca="1">IF(M78=0,"",IF(N78=0,"ERROR",""))</f>
        <v/>
      </c>
      <c r="P78" s="39" t="str">
        <f ca="1">IF(O78="ERROR","Please insert comment","")</f>
        <v/>
      </c>
      <c r="Q78" s="35"/>
      <c r="Y78" s="15">
        <f>B45</f>
        <v>0</v>
      </c>
      <c r="Z78" s="25" t="str">
        <f>C45</f>
        <v xml:space="preserve">Paiements infranationaux au profit des communes </v>
      </c>
      <c r="AA78" s="16">
        <f t="shared" ref="AA78:AI78" si="170">SUMPRODUCT(($A$84:$A$751=$Y78&amp;"- "&amp;$Z78)*($C$84:$C$751=AA$1)*($G$84:$G$751))</f>
        <v>0</v>
      </c>
      <c r="AB78" s="16">
        <f t="shared" si="170"/>
        <v>0</v>
      </c>
      <c r="AC78" s="16">
        <f t="shared" si="170"/>
        <v>0</v>
      </c>
      <c r="AD78" s="16">
        <f t="shared" si="170"/>
        <v>0</v>
      </c>
      <c r="AE78" s="16">
        <f t="shared" si="170"/>
        <v>0</v>
      </c>
      <c r="AF78" s="16">
        <f t="shared" si="170"/>
        <v>0</v>
      </c>
      <c r="AG78" s="16">
        <f t="shared" si="170"/>
        <v>0</v>
      </c>
      <c r="AH78" s="16">
        <f t="shared" si="170"/>
        <v>0</v>
      </c>
      <c r="AI78" s="16">
        <f t="shared" si="170"/>
        <v>0</v>
      </c>
      <c r="AJ78" s="16">
        <f>SUM(AA78:AI78)</f>
        <v>0</v>
      </c>
      <c r="AL78" s="17">
        <f>+B45</f>
        <v>0</v>
      </c>
      <c r="AM78" s="26" t="str">
        <f>+C45</f>
        <v xml:space="preserve">Paiements infranationaux au profit des communes </v>
      </c>
      <c r="AN78" s="18">
        <f t="shared" ref="AN78:AU78" si="171">SUMPRODUCT(($J$84:$M$746=$AL78&amp;"- "&amp;$AM78)*($N$84:$N$746=AN$1)*($Q$84:$Q$746))</f>
        <v>0</v>
      </c>
      <c r="AO78" s="18">
        <f t="shared" si="171"/>
        <v>0</v>
      </c>
      <c r="AP78" s="18">
        <f t="shared" si="171"/>
        <v>0</v>
      </c>
      <c r="AQ78" s="18">
        <f t="shared" si="171"/>
        <v>0</v>
      </c>
      <c r="AR78" s="18">
        <f t="shared" si="171"/>
        <v>0</v>
      </c>
      <c r="AS78" s="18">
        <f t="shared" si="171"/>
        <v>0</v>
      </c>
      <c r="AT78" s="18">
        <f t="shared" si="171"/>
        <v>0</v>
      </c>
      <c r="AU78" s="18">
        <f t="shared" si="171"/>
        <v>0</v>
      </c>
      <c r="AV78" s="18">
        <f>SUM(AN78:AU78)</f>
        <v>0</v>
      </c>
      <c r="AW78" s="18"/>
      <c r="AX78" s="17">
        <f>B45</f>
        <v>0</v>
      </c>
      <c r="AY78" s="26" t="str">
        <f>C45</f>
        <v xml:space="preserve">Paiements infranationaux au profit des communes </v>
      </c>
      <c r="AZ78" s="18">
        <f t="shared" ref="AZ78:BK78" ca="1" si="172">SUMPRODUCT(($C$10:$C$75=$AY78)*($N$10:$N$75=AZ$1)*($M$10:$M$75))</f>
        <v>0</v>
      </c>
      <c r="BA78" s="18">
        <f t="shared" ca="1" si="172"/>
        <v>0</v>
      </c>
      <c r="BB78" s="18">
        <f t="shared" ca="1" si="172"/>
        <v>0</v>
      </c>
      <c r="BC78" s="18">
        <f t="shared" ca="1" si="172"/>
        <v>0</v>
      </c>
      <c r="BD78" s="18">
        <f t="shared" ca="1" si="172"/>
        <v>0</v>
      </c>
      <c r="BE78" s="18">
        <f t="shared" ca="1" si="172"/>
        <v>0</v>
      </c>
      <c r="BF78" s="18">
        <f t="shared" ca="1" si="172"/>
        <v>0</v>
      </c>
      <c r="BG78" s="18">
        <f t="shared" ca="1" si="172"/>
        <v>0</v>
      </c>
      <c r="BH78" s="18">
        <f t="shared" ca="1" si="172"/>
        <v>0</v>
      </c>
      <c r="BI78" s="18">
        <f t="shared" ca="1" si="172"/>
        <v>0</v>
      </c>
      <c r="BJ78" s="18">
        <f t="shared" ca="1" si="172"/>
        <v>0</v>
      </c>
      <c r="BK78" s="18">
        <f t="shared" ca="1" si="172"/>
        <v>0</v>
      </c>
    </row>
    <row r="79" spans="1:64">
      <c r="A79" s="80">
        <f t="shared" si="29"/>
        <v>57</v>
      </c>
      <c r="B79" s="64">
        <f>+'Taxes RCA 2022'!A72</f>
        <v>57</v>
      </c>
      <c r="C79" s="68" t="str">
        <f>+'Taxes RCA 2022'!B72</f>
        <v>Autres paiements significatifs versés aux entités gouvernementales (&gt;10 millions FCFA)</v>
      </c>
      <c r="E79" s="165"/>
      <c r="F79" s="165">
        <f>SUMIF($A$84:$A$751,B79&amp;"- "&amp;C79,$G$84:$G$751)</f>
        <v>0</v>
      </c>
      <c r="G79" s="165">
        <f>+E79+F79</f>
        <v>0</v>
      </c>
      <c r="H79" s="114"/>
      <c r="I79" s="165"/>
      <c r="J79" s="165">
        <f ca="1">SUMIF($J$84:$M$747,B79&amp;"- "&amp;C79,$Q$84:$Q$747)</f>
        <v>0</v>
      </c>
      <c r="K79" s="165">
        <f ca="1">+I79+J79</f>
        <v>0</v>
      </c>
      <c r="L79" s="114"/>
      <c r="M79" s="165">
        <f ca="1">+G79-K79</f>
        <v>0</v>
      </c>
      <c r="N79" s="68"/>
      <c r="O79" s="38"/>
      <c r="P79" s="39"/>
      <c r="Y79" s="21"/>
      <c r="Z79" s="21"/>
      <c r="AA79" s="21"/>
      <c r="AB79" s="21"/>
      <c r="AC79" s="21"/>
      <c r="AD79" s="21"/>
      <c r="AE79" s="21"/>
      <c r="AF79" s="21"/>
      <c r="AG79" s="21"/>
      <c r="AH79" s="21"/>
      <c r="AI79" s="21"/>
      <c r="AJ79" s="21"/>
      <c r="AL79" s="21"/>
      <c r="AM79" s="21"/>
      <c r="AN79" s="21"/>
      <c r="AO79" s="21"/>
      <c r="AP79" s="21"/>
      <c r="AQ79" s="21"/>
      <c r="AR79" s="21"/>
      <c r="AS79" s="21"/>
      <c r="AT79" s="21"/>
      <c r="AU79" s="21"/>
      <c r="AV79" s="21"/>
    </row>
    <row r="80" spans="1:64">
      <c r="B80" s="381"/>
      <c r="C80" s="16"/>
      <c r="D80" s="20"/>
      <c r="E80" s="382"/>
      <c r="F80" s="382" t="str">
        <f>IF(F8=G753,"","ERROR")</f>
        <v/>
      </c>
      <c r="G80" s="382"/>
      <c r="H80" s="382"/>
      <c r="I80" s="382"/>
      <c r="J80" s="382" t="str">
        <f ca="1">IF(J8=Q749,"","ERROR")</f>
        <v/>
      </c>
      <c r="K80" s="382"/>
      <c r="L80" s="382"/>
      <c r="M80" s="382"/>
      <c r="N80" s="16"/>
    </row>
    <row r="81" spans="1:48">
      <c r="B81" s="381"/>
      <c r="C81" s="16"/>
      <c r="D81" s="20"/>
      <c r="E81" s="382"/>
      <c r="F81" s="382"/>
      <c r="G81" s="382"/>
      <c r="H81" s="382"/>
      <c r="I81" s="382"/>
      <c r="J81" s="382"/>
      <c r="K81" s="382"/>
      <c r="L81" s="382"/>
      <c r="M81" s="382"/>
      <c r="N81" s="16"/>
    </row>
    <row r="82" spans="1:48">
      <c r="A82" s="812" t="s">
        <v>12</v>
      </c>
      <c r="B82" s="812"/>
      <c r="C82" s="812"/>
      <c r="D82" s="812"/>
      <c r="E82" s="812"/>
      <c r="F82" s="812"/>
      <c r="G82" s="812"/>
      <c r="J82" s="812" t="s">
        <v>13</v>
      </c>
      <c r="K82" s="812"/>
      <c r="L82" s="812"/>
      <c r="M82" s="812"/>
      <c r="N82" s="812"/>
      <c r="O82" s="812"/>
      <c r="P82" s="812"/>
      <c r="Q82" s="812"/>
    </row>
    <row r="83" spans="1:48" ht="24">
      <c r="A83" s="45" t="s">
        <v>2</v>
      </c>
      <c r="B83" s="44" t="s">
        <v>63</v>
      </c>
      <c r="C83" s="44" t="s">
        <v>14</v>
      </c>
      <c r="E83" s="45" t="s">
        <v>5</v>
      </c>
      <c r="F83" s="45" t="s">
        <v>0</v>
      </c>
      <c r="G83" s="45" t="s">
        <v>4</v>
      </c>
      <c r="J83" s="46" t="s">
        <v>2</v>
      </c>
      <c r="K83" s="46"/>
      <c r="L83" s="46"/>
      <c r="M83" s="46"/>
      <c r="N83" s="44" t="s">
        <v>15</v>
      </c>
      <c r="O83" s="45" t="s">
        <v>5</v>
      </c>
      <c r="P83" s="45" t="s">
        <v>0</v>
      </c>
      <c r="Q83" s="45" t="s">
        <v>4</v>
      </c>
    </row>
    <row r="84" spans="1:48" s="61" customFormat="1">
      <c r="C84" s="60"/>
      <c r="E84" s="125"/>
      <c r="F84" s="122"/>
      <c r="G84" s="146"/>
      <c r="J84" s="61" t="s">
        <v>205</v>
      </c>
      <c r="N84" s="97"/>
      <c r="O84" s="126"/>
      <c r="P84" s="118"/>
      <c r="Q84" s="144"/>
      <c r="Y84" s="101"/>
      <c r="Z84" s="101"/>
      <c r="AA84" s="101"/>
      <c r="AB84" s="101"/>
      <c r="AC84" s="101"/>
      <c r="AD84" s="101"/>
      <c r="AE84" s="101"/>
      <c r="AF84" s="101"/>
      <c r="AG84" s="101"/>
      <c r="AH84" s="101"/>
      <c r="AI84" s="101"/>
      <c r="AJ84" s="101"/>
      <c r="AL84" s="101"/>
      <c r="AM84" s="101"/>
      <c r="AN84" s="101"/>
      <c r="AO84" s="101"/>
      <c r="AP84" s="101"/>
      <c r="AQ84" s="101"/>
      <c r="AR84" s="101"/>
      <c r="AS84" s="101"/>
      <c r="AT84" s="101"/>
      <c r="AU84" s="101"/>
      <c r="AV84" s="101"/>
    </row>
    <row r="85" spans="1:48" s="61" customFormat="1">
      <c r="C85" s="60"/>
      <c r="E85" s="125"/>
      <c r="F85" s="122"/>
      <c r="G85" s="146"/>
      <c r="J85" s="61" t="s">
        <v>207</v>
      </c>
      <c r="N85" s="97"/>
      <c r="O85" s="126"/>
      <c r="P85" s="118"/>
      <c r="Q85" s="144"/>
      <c r="Y85" s="101"/>
      <c r="Z85" s="101"/>
      <c r="AA85" s="101"/>
      <c r="AB85" s="101"/>
      <c r="AC85" s="101"/>
      <c r="AD85" s="101"/>
      <c r="AE85" s="101"/>
      <c r="AF85" s="101"/>
      <c r="AG85" s="101"/>
      <c r="AH85" s="101"/>
      <c r="AI85" s="101"/>
      <c r="AJ85" s="101"/>
      <c r="AL85" s="101"/>
      <c r="AM85" s="101"/>
      <c r="AN85" s="101"/>
      <c r="AO85" s="101"/>
      <c r="AP85" s="101"/>
      <c r="AQ85" s="101"/>
      <c r="AR85" s="101"/>
      <c r="AS85" s="101"/>
      <c r="AT85" s="101"/>
      <c r="AU85" s="101"/>
      <c r="AV85" s="101"/>
    </row>
    <row r="86" spans="1:48" s="61" customFormat="1">
      <c r="C86" s="60"/>
      <c r="E86" s="125"/>
      <c r="F86" s="122"/>
      <c r="G86" s="146"/>
      <c r="N86" s="97"/>
      <c r="O86" s="126"/>
      <c r="P86" s="118"/>
      <c r="Q86" s="144"/>
      <c r="Y86" s="101"/>
      <c r="Z86" s="101"/>
      <c r="AA86" s="101"/>
      <c r="AB86" s="101"/>
      <c r="AC86" s="101"/>
      <c r="AD86" s="101"/>
      <c r="AE86" s="101"/>
      <c r="AF86" s="101"/>
      <c r="AG86" s="101"/>
      <c r="AH86" s="101"/>
      <c r="AI86" s="101"/>
      <c r="AJ86" s="101"/>
      <c r="AL86" s="101"/>
      <c r="AM86" s="101"/>
      <c r="AN86" s="101"/>
      <c r="AO86" s="101"/>
      <c r="AP86" s="101"/>
      <c r="AQ86" s="101"/>
      <c r="AR86" s="101"/>
      <c r="AS86" s="101"/>
      <c r="AT86" s="101"/>
      <c r="AU86" s="101"/>
      <c r="AV86" s="101"/>
    </row>
    <row r="87" spans="1:48" s="61" customFormat="1">
      <c r="C87" s="60"/>
      <c r="E87" s="125"/>
      <c r="F87" s="122"/>
      <c r="G87" s="146"/>
      <c r="N87" s="97"/>
      <c r="O87" s="126"/>
      <c r="P87" s="118"/>
      <c r="Q87" s="144"/>
      <c r="Y87" s="101"/>
      <c r="Z87" s="101"/>
      <c r="AA87" s="101"/>
      <c r="AB87" s="101"/>
      <c r="AC87" s="101"/>
      <c r="AD87" s="101"/>
      <c r="AE87" s="101"/>
      <c r="AF87" s="101"/>
      <c r="AG87" s="101"/>
      <c r="AH87" s="101"/>
      <c r="AI87" s="101"/>
      <c r="AJ87" s="101"/>
      <c r="AL87" s="101"/>
      <c r="AM87" s="101"/>
      <c r="AN87" s="101"/>
      <c r="AO87" s="101"/>
      <c r="AP87" s="101"/>
      <c r="AQ87" s="101"/>
      <c r="AR87" s="101"/>
      <c r="AS87" s="101"/>
      <c r="AT87" s="101"/>
      <c r="AU87" s="101"/>
      <c r="AV87" s="101"/>
    </row>
    <row r="88" spans="1:48" s="61" customFormat="1">
      <c r="C88" s="60"/>
      <c r="E88" s="125"/>
      <c r="F88" s="122"/>
      <c r="G88" s="146"/>
      <c r="N88" s="97"/>
      <c r="O88" s="126"/>
      <c r="P88" s="118"/>
      <c r="Q88" s="144"/>
      <c r="Y88" s="101"/>
      <c r="Z88" s="101"/>
      <c r="AA88" s="101"/>
      <c r="AB88" s="101"/>
      <c r="AC88" s="101"/>
      <c r="AD88" s="101"/>
      <c r="AE88" s="101"/>
      <c r="AF88" s="101"/>
      <c r="AG88" s="101"/>
      <c r="AH88" s="101"/>
      <c r="AI88" s="101"/>
      <c r="AJ88" s="101"/>
      <c r="AL88" s="101"/>
      <c r="AM88" s="101"/>
      <c r="AN88" s="101"/>
      <c r="AO88" s="101"/>
      <c r="AP88" s="101"/>
      <c r="AQ88" s="101"/>
      <c r="AR88" s="101"/>
      <c r="AS88" s="101"/>
      <c r="AT88" s="101"/>
      <c r="AU88" s="101"/>
      <c r="AV88" s="101"/>
    </row>
    <row r="89" spans="1:48" s="61" customFormat="1">
      <c r="C89" s="60"/>
      <c r="E89" s="125"/>
      <c r="F89" s="122"/>
      <c r="G89" s="146"/>
      <c r="J89" s="61" t="s">
        <v>165</v>
      </c>
      <c r="N89" s="97"/>
      <c r="O89" s="126"/>
      <c r="P89" s="118"/>
      <c r="Q89" s="144"/>
      <c r="Y89" s="101"/>
      <c r="Z89" s="101"/>
      <c r="AA89" s="101"/>
      <c r="AB89" s="101"/>
      <c r="AC89" s="101"/>
      <c r="AD89" s="101"/>
      <c r="AE89" s="101"/>
      <c r="AF89" s="101"/>
      <c r="AG89" s="101"/>
      <c r="AH89" s="101"/>
      <c r="AI89" s="101"/>
      <c r="AJ89" s="101"/>
      <c r="AL89" s="101"/>
      <c r="AM89" s="101"/>
      <c r="AN89" s="101"/>
      <c r="AO89" s="101"/>
      <c r="AP89" s="101"/>
      <c r="AQ89" s="101"/>
      <c r="AR89" s="101"/>
      <c r="AS89" s="101"/>
      <c r="AT89" s="101"/>
      <c r="AU89" s="101"/>
      <c r="AV89" s="101"/>
    </row>
    <row r="90" spans="1:48" s="61" customFormat="1">
      <c r="C90" s="60"/>
      <c r="E90" s="125"/>
      <c r="F90" s="122"/>
      <c r="G90" s="146"/>
      <c r="J90" s="61" t="s">
        <v>167</v>
      </c>
      <c r="N90" s="97"/>
      <c r="O90" s="126"/>
      <c r="P90" s="118"/>
      <c r="Q90" s="144"/>
      <c r="Y90" s="101"/>
      <c r="Z90" s="101"/>
      <c r="AA90" s="101"/>
      <c r="AB90" s="101"/>
      <c r="AC90" s="101"/>
      <c r="AD90" s="101"/>
      <c r="AE90" s="101"/>
      <c r="AF90" s="101"/>
      <c r="AG90" s="101"/>
      <c r="AH90" s="101"/>
      <c r="AI90" s="101"/>
      <c r="AJ90" s="101"/>
      <c r="AL90" s="101"/>
      <c r="AM90" s="101"/>
      <c r="AN90" s="101"/>
      <c r="AO90" s="101"/>
      <c r="AP90" s="101"/>
      <c r="AQ90" s="101"/>
      <c r="AR90" s="101"/>
      <c r="AS90" s="101"/>
      <c r="AT90" s="101"/>
      <c r="AU90" s="101"/>
      <c r="AV90" s="101"/>
    </row>
    <row r="91" spans="1:48" s="61" customFormat="1">
      <c r="C91" s="60"/>
      <c r="E91" s="125"/>
      <c r="F91" s="122"/>
      <c r="G91" s="146"/>
      <c r="N91" s="97"/>
      <c r="O91" s="126"/>
      <c r="P91" s="118"/>
      <c r="Q91" s="144"/>
      <c r="Y91" s="101"/>
      <c r="Z91" s="101"/>
      <c r="AA91" s="101"/>
      <c r="AB91" s="101"/>
      <c r="AC91" s="101"/>
      <c r="AD91" s="101"/>
      <c r="AE91" s="101"/>
      <c r="AF91" s="101"/>
      <c r="AG91" s="101"/>
      <c r="AH91" s="101"/>
      <c r="AI91" s="101"/>
      <c r="AJ91" s="101"/>
      <c r="AL91" s="101"/>
      <c r="AM91" s="101"/>
      <c r="AN91" s="101"/>
      <c r="AO91" s="101"/>
      <c r="AP91" s="101"/>
      <c r="AQ91" s="101"/>
      <c r="AR91" s="101"/>
      <c r="AS91" s="101"/>
      <c r="AT91" s="101"/>
      <c r="AU91" s="101"/>
      <c r="AV91" s="101"/>
    </row>
    <row r="92" spans="1:48" s="61" customFormat="1">
      <c r="C92" s="60"/>
      <c r="E92" s="125"/>
      <c r="F92" s="122"/>
      <c r="G92" s="146"/>
      <c r="N92" s="97"/>
      <c r="O92" s="126"/>
      <c r="P92" s="118"/>
      <c r="Q92" s="144"/>
      <c r="Y92" s="101"/>
      <c r="Z92" s="101"/>
      <c r="AA92" s="101"/>
      <c r="AB92" s="101"/>
      <c r="AC92" s="101"/>
      <c r="AD92" s="101"/>
      <c r="AE92" s="101"/>
      <c r="AF92" s="101"/>
      <c r="AG92" s="101"/>
      <c r="AH92" s="101"/>
      <c r="AI92" s="101"/>
      <c r="AJ92" s="101"/>
      <c r="AL92" s="101"/>
      <c r="AM92" s="101"/>
      <c r="AN92" s="101"/>
      <c r="AO92" s="101"/>
      <c r="AP92" s="101"/>
      <c r="AQ92" s="101"/>
      <c r="AR92" s="101"/>
      <c r="AS92" s="101"/>
      <c r="AT92" s="101"/>
      <c r="AU92" s="101"/>
      <c r="AV92" s="101"/>
    </row>
    <row r="93" spans="1:48" s="61" customFormat="1">
      <c r="C93" s="60"/>
      <c r="E93" s="125"/>
      <c r="F93" s="122"/>
      <c r="G93" s="146"/>
      <c r="N93" s="97"/>
      <c r="O93" s="126"/>
      <c r="P93" s="118"/>
      <c r="Q93" s="144"/>
      <c r="Y93" s="101"/>
      <c r="Z93" s="101"/>
      <c r="AA93" s="101"/>
      <c r="AB93" s="101"/>
      <c r="AC93" s="101"/>
      <c r="AD93" s="101"/>
      <c r="AE93" s="101"/>
      <c r="AF93" s="101"/>
      <c r="AG93" s="101"/>
      <c r="AH93" s="101"/>
      <c r="AI93" s="101"/>
      <c r="AJ93" s="101"/>
      <c r="AL93" s="101"/>
      <c r="AM93" s="101"/>
      <c r="AN93" s="101"/>
      <c r="AO93" s="101"/>
      <c r="AP93" s="101"/>
      <c r="AQ93" s="101"/>
      <c r="AR93" s="101"/>
      <c r="AS93" s="101"/>
      <c r="AT93" s="101"/>
      <c r="AU93" s="101"/>
      <c r="AV93" s="101"/>
    </row>
    <row r="94" spans="1:48" s="61" customFormat="1">
      <c r="C94" s="60"/>
      <c r="E94" s="125"/>
      <c r="F94" s="122"/>
      <c r="G94" s="146"/>
      <c r="N94" s="97"/>
      <c r="O94" s="126"/>
      <c r="P94" s="118"/>
      <c r="Q94" s="144"/>
      <c r="Y94" s="101"/>
      <c r="Z94" s="101"/>
      <c r="AA94" s="101"/>
      <c r="AB94" s="101"/>
      <c r="AC94" s="101"/>
      <c r="AD94" s="101"/>
      <c r="AE94" s="101"/>
      <c r="AF94" s="101"/>
      <c r="AG94" s="101"/>
      <c r="AH94" s="101"/>
      <c r="AI94" s="101"/>
      <c r="AJ94" s="101"/>
      <c r="AL94" s="101"/>
      <c r="AM94" s="101"/>
      <c r="AN94" s="101"/>
      <c r="AO94" s="101"/>
      <c r="AP94" s="101"/>
      <c r="AQ94" s="101"/>
      <c r="AR94" s="101"/>
      <c r="AS94" s="101"/>
      <c r="AT94" s="101"/>
      <c r="AU94" s="101"/>
      <c r="AV94" s="101"/>
    </row>
    <row r="95" spans="1:48" s="61" customFormat="1">
      <c r="C95" s="60"/>
      <c r="E95" s="125"/>
      <c r="F95" s="122"/>
      <c r="G95" s="146"/>
      <c r="N95" s="97"/>
      <c r="O95" s="126"/>
      <c r="P95" s="118"/>
      <c r="Q95" s="144"/>
      <c r="Y95" s="101"/>
      <c r="Z95" s="101"/>
      <c r="AA95" s="101"/>
      <c r="AB95" s="101"/>
      <c r="AC95" s="101"/>
      <c r="AD95" s="101"/>
      <c r="AE95" s="101"/>
      <c r="AF95" s="101"/>
      <c r="AG95" s="101"/>
      <c r="AH95" s="101"/>
      <c r="AI95" s="101"/>
      <c r="AJ95" s="101"/>
      <c r="AL95" s="101"/>
      <c r="AM95" s="101"/>
      <c r="AN95" s="101"/>
      <c r="AO95" s="101"/>
      <c r="AP95" s="101"/>
      <c r="AQ95" s="101"/>
      <c r="AR95" s="101"/>
      <c r="AS95" s="101"/>
      <c r="AT95" s="101"/>
      <c r="AU95" s="101"/>
      <c r="AV95" s="101"/>
    </row>
    <row r="96" spans="1:48" s="61" customFormat="1">
      <c r="C96" s="60"/>
      <c r="E96" s="125"/>
      <c r="F96" s="122"/>
      <c r="G96" s="146"/>
      <c r="N96" s="97"/>
      <c r="O96" s="126"/>
      <c r="P96" s="118"/>
      <c r="Q96" s="144"/>
      <c r="Y96" s="101"/>
      <c r="Z96" s="101"/>
      <c r="AA96" s="101"/>
      <c r="AB96" s="101"/>
      <c r="AC96" s="101"/>
      <c r="AD96" s="101"/>
      <c r="AE96" s="101"/>
      <c r="AF96" s="101"/>
      <c r="AG96" s="101"/>
      <c r="AH96" s="101"/>
      <c r="AI96" s="101"/>
      <c r="AJ96" s="101"/>
      <c r="AL96" s="101"/>
      <c r="AM96" s="101"/>
      <c r="AN96" s="101"/>
      <c r="AO96" s="101"/>
      <c r="AP96" s="101"/>
      <c r="AQ96" s="101"/>
      <c r="AR96" s="101"/>
      <c r="AS96" s="101"/>
      <c r="AT96" s="101"/>
      <c r="AU96" s="101"/>
      <c r="AV96" s="101"/>
    </row>
    <row r="97" spans="3:48" s="61" customFormat="1">
      <c r="C97" s="60"/>
      <c r="E97" s="125"/>
      <c r="F97" s="122"/>
      <c r="G97" s="146"/>
      <c r="N97" s="97"/>
      <c r="O97" s="126"/>
      <c r="P97" s="118"/>
      <c r="Q97" s="144"/>
      <c r="Y97" s="101"/>
      <c r="Z97" s="101"/>
      <c r="AA97" s="101"/>
      <c r="AB97" s="101"/>
      <c r="AC97" s="101"/>
      <c r="AD97" s="101"/>
      <c r="AE97" s="101"/>
      <c r="AF97" s="101"/>
      <c r="AG97" s="101"/>
      <c r="AH97" s="101"/>
      <c r="AI97" s="101"/>
      <c r="AJ97" s="101"/>
      <c r="AL97" s="101"/>
      <c r="AM97" s="101"/>
      <c r="AN97" s="101"/>
      <c r="AO97" s="101"/>
      <c r="AP97" s="101"/>
      <c r="AQ97" s="101"/>
      <c r="AR97" s="101"/>
      <c r="AS97" s="101"/>
      <c r="AT97" s="101"/>
      <c r="AU97" s="101"/>
      <c r="AV97" s="101"/>
    </row>
    <row r="98" spans="3:48" s="61" customFormat="1">
      <c r="C98" s="60"/>
      <c r="E98" s="125"/>
      <c r="F98" s="122"/>
      <c r="G98" s="146"/>
      <c r="N98" s="97"/>
      <c r="O98" s="126"/>
      <c r="P98" s="118"/>
      <c r="Q98" s="144"/>
      <c r="Y98" s="101"/>
      <c r="Z98" s="101"/>
      <c r="AA98" s="101"/>
      <c r="AB98" s="101"/>
      <c r="AC98" s="101"/>
      <c r="AD98" s="101"/>
      <c r="AE98" s="101"/>
      <c r="AF98" s="101"/>
      <c r="AG98" s="101"/>
      <c r="AH98" s="101"/>
      <c r="AI98" s="101"/>
      <c r="AJ98" s="101"/>
      <c r="AL98" s="101"/>
      <c r="AM98" s="101"/>
      <c r="AN98" s="101"/>
      <c r="AO98" s="101"/>
      <c r="AP98" s="101"/>
      <c r="AQ98" s="101"/>
      <c r="AR98" s="101"/>
      <c r="AS98" s="101"/>
      <c r="AT98" s="101"/>
      <c r="AU98" s="101"/>
      <c r="AV98" s="101"/>
    </row>
    <row r="99" spans="3:48" s="61" customFormat="1">
      <c r="C99" s="60"/>
      <c r="E99" s="125"/>
      <c r="F99" s="122"/>
      <c r="G99" s="146"/>
      <c r="N99" s="97"/>
      <c r="O99" s="126"/>
      <c r="P99" s="118"/>
      <c r="Q99" s="144"/>
      <c r="Y99" s="101"/>
      <c r="Z99" s="101"/>
      <c r="AA99" s="101"/>
      <c r="AB99" s="101"/>
      <c r="AC99" s="101"/>
      <c r="AD99" s="101"/>
      <c r="AE99" s="101"/>
      <c r="AF99" s="101"/>
      <c r="AG99" s="101"/>
      <c r="AH99" s="101"/>
      <c r="AI99" s="101"/>
      <c r="AJ99" s="101"/>
      <c r="AL99" s="101"/>
      <c r="AM99" s="101"/>
      <c r="AN99" s="101"/>
      <c r="AO99" s="101"/>
      <c r="AP99" s="101"/>
      <c r="AQ99" s="101"/>
      <c r="AR99" s="101"/>
      <c r="AS99" s="101"/>
      <c r="AT99" s="101"/>
      <c r="AU99" s="101"/>
      <c r="AV99" s="101"/>
    </row>
    <row r="100" spans="3:48" s="61" customFormat="1">
      <c r="C100" s="60"/>
      <c r="E100" s="125"/>
      <c r="F100" s="122"/>
      <c r="G100" s="146"/>
      <c r="N100" s="97"/>
      <c r="O100" s="126"/>
      <c r="P100" s="118"/>
      <c r="Q100" s="144"/>
      <c r="Y100" s="101"/>
      <c r="Z100" s="101"/>
      <c r="AA100" s="101"/>
      <c r="AB100" s="101"/>
      <c r="AC100" s="101"/>
      <c r="AD100" s="101"/>
      <c r="AE100" s="101"/>
      <c r="AF100" s="101"/>
      <c r="AG100" s="101"/>
      <c r="AH100" s="101"/>
      <c r="AI100" s="101"/>
      <c r="AJ100" s="101"/>
      <c r="AL100" s="101"/>
      <c r="AM100" s="101"/>
      <c r="AN100" s="101"/>
      <c r="AO100" s="101"/>
      <c r="AP100" s="101"/>
      <c r="AQ100" s="101"/>
      <c r="AR100" s="101"/>
      <c r="AS100" s="101"/>
      <c r="AT100" s="101"/>
      <c r="AU100" s="101"/>
      <c r="AV100" s="101"/>
    </row>
    <row r="101" spans="3:48" s="61" customFormat="1">
      <c r="C101" s="60"/>
      <c r="E101" s="125"/>
      <c r="F101" s="122"/>
      <c r="G101" s="146"/>
      <c r="N101" s="97"/>
      <c r="O101" s="126"/>
      <c r="P101" s="118"/>
      <c r="Q101" s="144"/>
      <c r="Y101" s="101"/>
      <c r="Z101" s="101"/>
      <c r="AA101" s="101"/>
      <c r="AB101" s="101"/>
      <c r="AC101" s="101"/>
      <c r="AD101" s="101"/>
      <c r="AE101" s="101"/>
      <c r="AF101" s="101"/>
      <c r="AG101" s="101"/>
      <c r="AH101" s="101"/>
      <c r="AI101" s="101"/>
      <c r="AJ101" s="101"/>
      <c r="AL101" s="101"/>
      <c r="AM101" s="101"/>
      <c r="AN101" s="101"/>
      <c r="AO101" s="101"/>
      <c r="AP101" s="101"/>
      <c r="AQ101" s="101"/>
      <c r="AR101" s="101"/>
      <c r="AS101" s="101"/>
      <c r="AT101" s="101"/>
      <c r="AU101" s="101"/>
      <c r="AV101" s="101"/>
    </row>
    <row r="102" spans="3:48" s="61" customFormat="1">
      <c r="C102" s="60"/>
      <c r="E102" s="125"/>
      <c r="F102" s="122"/>
      <c r="G102" s="146"/>
      <c r="N102" s="97"/>
      <c r="O102" s="126"/>
      <c r="P102" s="118"/>
      <c r="Q102" s="144"/>
      <c r="Y102" s="101"/>
      <c r="Z102" s="101"/>
      <c r="AA102" s="101"/>
      <c r="AB102" s="101"/>
      <c r="AC102" s="101"/>
      <c r="AD102" s="101"/>
      <c r="AE102" s="101"/>
      <c r="AF102" s="101"/>
      <c r="AG102" s="101"/>
      <c r="AH102" s="101"/>
      <c r="AI102" s="101"/>
      <c r="AJ102" s="101"/>
      <c r="AL102" s="101"/>
      <c r="AM102" s="101"/>
      <c r="AN102" s="101"/>
      <c r="AO102" s="101"/>
      <c r="AP102" s="101"/>
      <c r="AQ102" s="101"/>
      <c r="AR102" s="101"/>
      <c r="AS102" s="101"/>
      <c r="AT102" s="101"/>
      <c r="AU102" s="101"/>
      <c r="AV102" s="101"/>
    </row>
    <row r="103" spans="3:48" s="61" customFormat="1">
      <c r="C103" s="60"/>
      <c r="E103" s="125"/>
      <c r="F103" s="122"/>
      <c r="G103" s="146"/>
      <c r="N103" s="97"/>
      <c r="O103" s="126"/>
      <c r="P103" s="118"/>
      <c r="Q103" s="144"/>
      <c r="Y103" s="101"/>
      <c r="Z103" s="101"/>
      <c r="AA103" s="101"/>
      <c r="AB103" s="101"/>
      <c r="AC103" s="101"/>
      <c r="AD103" s="101"/>
      <c r="AE103" s="101"/>
      <c r="AF103" s="101"/>
      <c r="AG103" s="101"/>
      <c r="AH103" s="101"/>
      <c r="AI103" s="101"/>
      <c r="AJ103" s="101"/>
      <c r="AL103" s="101"/>
      <c r="AM103" s="101"/>
      <c r="AN103" s="101"/>
      <c r="AO103" s="101"/>
      <c r="AP103" s="101"/>
      <c r="AQ103" s="101"/>
      <c r="AR103" s="101"/>
      <c r="AS103" s="101"/>
      <c r="AT103" s="101"/>
      <c r="AU103" s="101"/>
      <c r="AV103" s="101"/>
    </row>
    <row r="104" spans="3:48" s="61" customFormat="1">
      <c r="C104" s="60"/>
      <c r="E104" s="125"/>
      <c r="F104" s="122"/>
      <c r="G104" s="146"/>
      <c r="N104" s="97"/>
      <c r="O104" s="126"/>
      <c r="P104" s="118"/>
      <c r="Q104" s="144"/>
      <c r="Y104" s="101"/>
      <c r="Z104" s="101"/>
      <c r="AA104" s="101"/>
      <c r="AB104" s="101"/>
      <c r="AC104" s="101"/>
      <c r="AD104" s="101"/>
      <c r="AE104" s="101"/>
      <c r="AF104" s="101"/>
      <c r="AG104" s="101"/>
      <c r="AH104" s="101"/>
      <c r="AI104" s="101"/>
      <c r="AJ104" s="101"/>
      <c r="AL104" s="101"/>
      <c r="AM104" s="101"/>
      <c r="AN104" s="101"/>
      <c r="AO104" s="101"/>
      <c r="AP104" s="101"/>
      <c r="AQ104" s="101"/>
      <c r="AR104" s="101"/>
      <c r="AS104" s="101"/>
      <c r="AT104" s="101"/>
      <c r="AU104" s="101"/>
      <c r="AV104" s="101"/>
    </row>
    <row r="105" spans="3:48" s="61" customFormat="1">
      <c r="C105" s="60"/>
      <c r="E105" s="125"/>
      <c r="F105" s="122"/>
      <c r="G105" s="146"/>
      <c r="N105" s="97"/>
      <c r="O105" s="126"/>
      <c r="P105" s="118"/>
      <c r="Q105" s="144"/>
      <c r="Y105" s="101"/>
      <c r="Z105" s="101"/>
      <c r="AA105" s="101"/>
      <c r="AB105" s="101"/>
      <c r="AC105" s="101"/>
      <c r="AD105" s="101"/>
      <c r="AE105" s="101"/>
      <c r="AF105" s="101"/>
      <c r="AG105" s="101"/>
      <c r="AH105" s="101"/>
      <c r="AI105" s="101"/>
      <c r="AJ105" s="101"/>
      <c r="AL105" s="101"/>
      <c r="AM105" s="101"/>
      <c r="AN105" s="101"/>
      <c r="AO105" s="101"/>
      <c r="AP105" s="101"/>
      <c r="AQ105" s="101"/>
      <c r="AR105" s="101"/>
      <c r="AS105" s="101"/>
      <c r="AT105" s="101"/>
      <c r="AU105" s="101"/>
      <c r="AV105" s="101"/>
    </row>
    <row r="106" spans="3:48" s="61" customFormat="1">
      <c r="C106" s="60"/>
      <c r="E106" s="125"/>
      <c r="F106" s="122"/>
      <c r="G106" s="146"/>
      <c r="N106" s="97"/>
      <c r="O106" s="126"/>
      <c r="P106" s="118"/>
      <c r="Q106" s="144"/>
      <c r="Y106" s="101"/>
      <c r="Z106" s="101"/>
      <c r="AA106" s="101"/>
      <c r="AB106" s="101"/>
      <c r="AC106" s="101"/>
      <c r="AD106" s="101"/>
      <c r="AE106" s="101"/>
      <c r="AF106" s="101"/>
      <c r="AG106" s="101"/>
      <c r="AH106" s="101"/>
      <c r="AI106" s="101"/>
      <c r="AJ106" s="101"/>
      <c r="AL106" s="101"/>
      <c r="AM106" s="101"/>
      <c r="AN106" s="101"/>
      <c r="AO106" s="101"/>
      <c r="AP106" s="101"/>
      <c r="AQ106" s="101"/>
      <c r="AR106" s="101"/>
      <c r="AS106" s="101"/>
      <c r="AT106" s="101"/>
      <c r="AU106" s="101"/>
      <c r="AV106" s="101"/>
    </row>
    <row r="107" spans="3:48" s="61" customFormat="1">
      <c r="C107" s="60"/>
      <c r="E107" s="125"/>
      <c r="F107" s="122"/>
      <c r="G107" s="146"/>
      <c r="N107" s="97"/>
      <c r="O107" s="126"/>
      <c r="P107" s="118"/>
      <c r="Q107" s="144"/>
      <c r="Y107" s="101"/>
      <c r="Z107" s="101"/>
      <c r="AA107" s="101"/>
      <c r="AB107" s="101"/>
      <c r="AC107" s="101"/>
      <c r="AD107" s="101"/>
      <c r="AE107" s="101"/>
      <c r="AF107" s="101"/>
      <c r="AG107" s="101"/>
      <c r="AH107" s="101"/>
      <c r="AI107" s="101"/>
      <c r="AJ107" s="101"/>
      <c r="AL107" s="101"/>
      <c r="AM107" s="101"/>
      <c r="AN107" s="101"/>
      <c r="AO107" s="101"/>
      <c r="AP107" s="101"/>
      <c r="AQ107" s="101"/>
      <c r="AR107" s="101"/>
      <c r="AS107" s="101"/>
      <c r="AT107" s="101"/>
      <c r="AU107" s="101"/>
      <c r="AV107" s="101"/>
    </row>
    <row r="108" spans="3:48" s="61" customFormat="1">
      <c r="C108" s="60"/>
      <c r="E108" s="125"/>
      <c r="F108" s="122"/>
      <c r="G108" s="146"/>
      <c r="N108" s="97"/>
      <c r="O108" s="126"/>
      <c r="P108" s="118"/>
      <c r="Q108" s="144"/>
      <c r="Y108" s="101"/>
      <c r="Z108" s="101"/>
      <c r="AA108" s="101"/>
      <c r="AB108" s="101"/>
      <c r="AC108" s="101"/>
      <c r="AD108" s="101"/>
      <c r="AE108" s="101"/>
      <c r="AF108" s="101"/>
      <c r="AG108" s="101"/>
      <c r="AH108" s="101"/>
      <c r="AI108" s="101"/>
      <c r="AJ108" s="101"/>
      <c r="AL108" s="101"/>
      <c r="AM108" s="101"/>
      <c r="AN108" s="101"/>
      <c r="AO108" s="101"/>
      <c r="AP108" s="101"/>
      <c r="AQ108" s="101"/>
      <c r="AR108" s="101"/>
      <c r="AS108" s="101"/>
      <c r="AT108" s="101"/>
      <c r="AU108" s="101"/>
      <c r="AV108" s="101"/>
    </row>
    <row r="109" spans="3:48" s="61" customFormat="1">
      <c r="C109" s="60"/>
      <c r="E109" s="125"/>
      <c r="F109" s="122"/>
      <c r="G109" s="146"/>
      <c r="N109" s="97"/>
      <c r="O109" s="126"/>
      <c r="P109" s="118"/>
      <c r="Q109" s="144"/>
      <c r="Y109" s="101"/>
      <c r="Z109" s="101"/>
      <c r="AA109" s="101"/>
      <c r="AB109" s="101"/>
      <c r="AC109" s="101"/>
      <c r="AD109" s="101"/>
      <c r="AE109" s="101"/>
      <c r="AF109" s="101"/>
      <c r="AG109" s="101"/>
      <c r="AH109" s="101"/>
      <c r="AI109" s="101"/>
      <c r="AJ109" s="101"/>
      <c r="AL109" s="101"/>
      <c r="AM109" s="101"/>
      <c r="AN109" s="101"/>
      <c r="AO109" s="101"/>
      <c r="AP109" s="101"/>
      <c r="AQ109" s="101"/>
      <c r="AR109" s="101"/>
      <c r="AS109" s="101"/>
      <c r="AT109" s="101"/>
      <c r="AU109" s="101"/>
      <c r="AV109" s="101"/>
    </row>
    <row r="110" spans="3:48" s="61" customFormat="1">
      <c r="C110" s="60"/>
      <c r="E110" s="125"/>
      <c r="F110" s="122"/>
      <c r="G110" s="146"/>
      <c r="N110" s="97"/>
      <c r="O110" s="126"/>
      <c r="P110" s="118"/>
      <c r="Q110" s="144"/>
      <c r="Y110" s="101"/>
      <c r="Z110" s="101"/>
      <c r="AA110" s="101"/>
      <c r="AB110" s="101"/>
      <c r="AC110" s="101"/>
      <c r="AD110" s="101"/>
      <c r="AE110" s="101"/>
      <c r="AF110" s="101"/>
      <c r="AG110" s="101"/>
      <c r="AH110" s="101"/>
      <c r="AI110" s="101"/>
      <c r="AJ110" s="101"/>
      <c r="AL110" s="101"/>
      <c r="AM110" s="101"/>
      <c r="AN110" s="101"/>
      <c r="AO110" s="101"/>
      <c r="AP110" s="101"/>
      <c r="AQ110" s="101"/>
      <c r="AR110" s="101"/>
      <c r="AS110" s="101"/>
      <c r="AT110" s="101"/>
      <c r="AU110" s="101"/>
      <c r="AV110" s="101"/>
    </row>
    <row r="111" spans="3:48" s="61" customFormat="1">
      <c r="C111" s="60"/>
      <c r="E111" s="125"/>
      <c r="F111" s="122"/>
      <c r="G111" s="146"/>
      <c r="N111" s="97"/>
      <c r="O111" s="126"/>
      <c r="P111" s="118"/>
      <c r="Q111" s="144"/>
      <c r="Y111" s="101"/>
      <c r="Z111" s="101"/>
      <c r="AA111" s="101"/>
      <c r="AB111" s="101"/>
      <c r="AC111" s="101"/>
      <c r="AD111" s="101"/>
      <c r="AE111" s="101"/>
      <c r="AF111" s="101"/>
      <c r="AG111" s="101"/>
      <c r="AH111" s="101"/>
      <c r="AI111" s="101"/>
      <c r="AJ111" s="101"/>
      <c r="AL111" s="101"/>
      <c r="AM111" s="101"/>
      <c r="AN111" s="101"/>
      <c r="AO111" s="101"/>
      <c r="AP111" s="101"/>
      <c r="AQ111" s="101"/>
      <c r="AR111" s="101"/>
      <c r="AS111" s="101"/>
      <c r="AT111" s="101"/>
      <c r="AU111" s="101"/>
      <c r="AV111" s="101"/>
    </row>
    <row r="112" spans="3:48" s="61" customFormat="1">
      <c r="C112" s="60"/>
      <c r="E112" s="125"/>
      <c r="F112" s="122"/>
      <c r="G112" s="146"/>
      <c r="N112" s="97"/>
      <c r="O112" s="126"/>
      <c r="P112" s="118"/>
      <c r="Q112" s="144"/>
      <c r="Y112" s="101"/>
      <c r="Z112" s="101"/>
      <c r="AA112" s="101"/>
      <c r="AB112" s="101"/>
      <c r="AC112" s="101"/>
      <c r="AD112" s="101"/>
      <c r="AE112" s="101"/>
      <c r="AF112" s="101"/>
      <c r="AG112" s="101"/>
      <c r="AH112" s="101"/>
      <c r="AI112" s="101"/>
      <c r="AJ112" s="101"/>
      <c r="AL112" s="101"/>
      <c r="AM112" s="101"/>
      <c r="AN112" s="101"/>
      <c r="AO112" s="101"/>
      <c r="AP112" s="101"/>
      <c r="AQ112" s="101"/>
      <c r="AR112" s="101"/>
      <c r="AS112" s="101"/>
      <c r="AT112" s="101"/>
      <c r="AU112" s="101"/>
      <c r="AV112" s="101"/>
    </row>
    <row r="113" spans="3:48" s="61" customFormat="1">
      <c r="C113" s="60"/>
      <c r="E113" s="125"/>
      <c r="F113" s="122"/>
      <c r="G113" s="146"/>
      <c r="L113" s="60"/>
      <c r="N113" s="97"/>
      <c r="O113" s="126"/>
      <c r="P113" s="118"/>
      <c r="Q113" s="144"/>
      <c r="Y113" s="101"/>
      <c r="Z113" s="101"/>
      <c r="AA113" s="101"/>
      <c r="AB113" s="101"/>
      <c r="AC113" s="101"/>
      <c r="AD113" s="101"/>
      <c r="AE113" s="101"/>
      <c r="AF113" s="101"/>
      <c r="AG113" s="101"/>
      <c r="AH113" s="101"/>
      <c r="AI113" s="101"/>
      <c r="AJ113" s="101"/>
      <c r="AL113" s="101"/>
      <c r="AM113" s="101"/>
      <c r="AN113" s="101"/>
      <c r="AO113" s="101"/>
      <c r="AP113" s="101"/>
      <c r="AQ113" s="101"/>
      <c r="AR113" s="101"/>
      <c r="AS113" s="101"/>
      <c r="AT113" s="101"/>
      <c r="AU113" s="101"/>
      <c r="AV113" s="101"/>
    </row>
    <row r="114" spans="3:48" s="61" customFormat="1">
      <c r="C114" s="60"/>
      <c r="E114" s="125"/>
      <c r="F114" s="122"/>
      <c r="G114" s="146"/>
      <c r="L114" s="60"/>
      <c r="N114" s="97"/>
      <c r="O114" s="126"/>
      <c r="P114" s="118"/>
      <c r="Q114" s="144"/>
      <c r="Y114" s="101"/>
      <c r="Z114" s="101"/>
      <c r="AA114" s="101"/>
      <c r="AB114" s="101"/>
      <c r="AC114" s="101"/>
      <c r="AD114" s="101"/>
      <c r="AE114" s="101"/>
      <c r="AF114" s="101"/>
      <c r="AG114" s="101"/>
      <c r="AH114" s="101"/>
      <c r="AI114" s="101"/>
      <c r="AJ114" s="101"/>
      <c r="AL114" s="101"/>
      <c r="AM114" s="101"/>
      <c r="AN114" s="101"/>
      <c r="AO114" s="101"/>
      <c r="AP114" s="101"/>
      <c r="AQ114" s="101"/>
      <c r="AR114" s="101"/>
      <c r="AS114" s="101"/>
      <c r="AT114" s="101"/>
      <c r="AU114" s="101"/>
      <c r="AV114" s="101"/>
    </row>
    <row r="115" spans="3:48" s="61" customFormat="1">
      <c r="C115" s="60"/>
      <c r="E115" s="125"/>
      <c r="F115" s="122"/>
      <c r="G115" s="146"/>
      <c r="L115" s="60"/>
      <c r="N115" s="97"/>
      <c r="O115" s="126"/>
      <c r="P115" s="118"/>
      <c r="Q115" s="144"/>
      <c r="Y115" s="101"/>
      <c r="Z115" s="101"/>
      <c r="AA115" s="101"/>
      <c r="AB115" s="101"/>
      <c r="AC115" s="101"/>
      <c r="AD115" s="101"/>
      <c r="AE115" s="101"/>
      <c r="AF115" s="101"/>
      <c r="AG115" s="101"/>
      <c r="AH115" s="101"/>
      <c r="AI115" s="101"/>
      <c r="AJ115" s="101"/>
      <c r="AL115" s="101"/>
      <c r="AM115" s="101"/>
      <c r="AN115" s="101"/>
      <c r="AO115" s="101"/>
      <c r="AP115" s="101"/>
      <c r="AQ115" s="101"/>
      <c r="AR115" s="101"/>
      <c r="AS115" s="101"/>
      <c r="AT115" s="101"/>
      <c r="AU115" s="101"/>
      <c r="AV115" s="101"/>
    </row>
    <row r="116" spans="3:48" s="61" customFormat="1">
      <c r="C116" s="60"/>
      <c r="E116" s="125"/>
      <c r="F116" s="122"/>
      <c r="G116" s="146"/>
      <c r="L116" s="60"/>
      <c r="N116" s="97"/>
      <c r="O116" s="126"/>
      <c r="P116" s="118"/>
      <c r="Q116" s="144"/>
      <c r="Y116" s="101"/>
      <c r="Z116" s="101"/>
      <c r="AA116" s="101"/>
      <c r="AB116" s="101"/>
      <c r="AC116" s="101"/>
      <c r="AD116" s="101"/>
      <c r="AE116" s="101"/>
      <c r="AF116" s="101"/>
      <c r="AG116" s="101"/>
      <c r="AH116" s="101"/>
      <c r="AI116" s="101"/>
      <c r="AJ116" s="101"/>
      <c r="AL116" s="101"/>
      <c r="AM116" s="101"/>
      <c r="AN116" s="101"/>
      <c r="AO116" s="101"/>
      <c r="AP116" s="101"/>
      <c r="AQ116" s="101"/>
      <c r="AR116" s="101"/>
      <c r="AS116" s="101"/>
      <c r="AT116" s="101"/>
      <c r="AU116" s="101"/>
      <c r="AV116" s="101"/>
    </row>
    <row r="117" spans="3:48" s="61" customFormat="1">
      <c r="C117" s="60"/>
      <c r="E117" s="125"/>
      <c r="F117" s="122"/>
      <c r="G117" s="146"/>
      <c r="L117" s="60"/>
      <c r="N117" s="97"/>
      <c r="O117" s="126"/>
      <c r="P117" s="118"/>
      <c r="Q117" s="144"/>
      <c r="Y117" s="101"/>
      <c r="Z117" s="101"/>
      <c r="AA117" s="101"/>
      <c r="AB117" s="101"/>
      <c r="AC117" s="101"/>
      <c r="AD117" s="101"/>
      <c r="AE117" s="101"/>
      <c r="AF117" s="101"/>
      <c r="AG117" s="101"/>
      <c r="AH117" s="101"/>
      <c r="AI117" s="101"/>
      <c r="AJ117" s="101"/>
      <c r="AL117" s="101"/>
      <c r="AM117" s="101"/>
      <c r="AN117" s="101"/>
      <c r="AO117" s="101"/>
      <c r="AP117" s="101"/>
      <c r="AQ117" s="101"/>
      <c r="AR117" s="101"/>
      <c r="AS117" s="101"/>
      <c r="AT117" s="101"/>
      <c r="AU117" s="101"/>
      <c r="AV117" s="101"/>
    </row>
    <row r="118" spans="3:48" s="61" customFormat="1">
      <c r="C118" s="60"/>
      <c r="E118" s="125"/>
      <c r="F118" s="122"/>
      <c r="G118" s="146"/>
      <c r="L118" s="60"/>
      <c r="N118" s="97"/>
      <c r="O118" s="126"/>
      <c r="P118" s="118"/>
      <c r="Q118" s="144"/>
      <c r="Y118" s="101"/>
      <c r="Z118" s="101"/>
      <c r="AA118" s="101"/>
      <c r="AB118" s="101"/>
      <c r="AC118" s="101"/>
      <c r="AD118" s="101"/>
      <c r="AE118" s="101"/>
      <c r="AF118" s="101"/>
      <c r="AG118" s="101"/>
      <c r="AH118" s="101"/>
      <c r="AI118" s="101"/>
      <c r="AJ118" s="101"/>
      <c r="AL118" s="101"/>
      <c r="AM118" s="101"/>
      <c r="AN118" s="101"/>
      <c r="AO118" s="101"/>
      <c r="AP118" s="101"/>
      <c r="AQ118" s="101"/>
      <c r="AR118" s="101"/>
      <c r="AS118" s="101"/>
      <c r="AT118" s="101"/>
      <c r="AU118" s="101"/>
      <c r="AV118" s="101"/>
    </row>
    <row r="119" spans="3:48" s="61" customFormat="1">
      <c r="C119" s="60"/>
      <c r="E119" s="125"/>
      <c r="F119" s="122"/>
      <c r="G119" s="146"/>
      <c r="L119" s="60"/>
      <c r="N119" s="97"/>
      <c r="O119" s="126"/>
      <c r="P119" s="118"/>
      <c r="Q119" s="144"/>
      <c r="Y119" s="101"/>
      <c r="Z119" s="101"/>
      <c r="AA119" s="101"/>
      <c r="AB119" s="101"/>
      <c r="AC119" s="101"/>
      <c r="AD119" s="101"/>
      <c r="AE119" s="101"/>
      <c r="AF119" s="101"/>
      <c r="AG119" s="101"/>
      <c r="AH119" s="101"/>
      <c r="AI119" s="101"/>
      <c r="AJ119" s="101"/>
      <c r="AL119" s="101"/>
      <c r="AM119" s="101"/>
      <c r="AN119" s="101"/>
      <c r="AO119" s="101"/>
      <c r="AP119" s="101"/>
      <c r="AQ119" s="101"/>
      <c r="AR119" s="101"/>
      <c r="AS119" s="101"/>
      <c r="AT119" s="101"/>
      <c r="AU119" s="101"/>
      <c r="AV119" s="101"/>
    </row>
    <row r="120" spans="3:48" s="61" customFormat="1">
      <c r="C120" s="60"/>
      <c r="E120" s="125"/>
      <c r="F120" s="122"/>
      <c r="G120" s="146"/>
      <c r="L120" s="60"/>
      <c r="N120" s="97"/>
      <c r="O120" s="126"/>
      <c r="P120" s="118"/>
      <c r="Q120" s="144"/>
      <c r="Y120" s="101"/>
      <c r="Z120" s="101"/>
      <c r="AA120" s="101"/>
      <c r="AB120" s="101"/>
      <c r="AC120" s="101"/>
      <c r="AD120" s="101"/>
      <c r="AE120" s="101"/>
      <c r="AF120" s="101"/>
      <c r="AG120" s="101"/>
      <c r="AH120" s="101"/>
      <c r="AI120" s="101"/>
      <c r="AJ120" s="101"/>
      <c r="AL120" s="101"/>
      <c r="AM120" s="101"/>
      <c r="AN120" s="101"/>
      <c r="AO120" s="101"/>
      <c r="AP120" s="101"/>
      <c r="AQ120" s="101"/>
      <c r="AR120" s="101"/>
      <c r="AS120" s="101"/>
      <c r="AT120" s="101"/>
      <c r="AU120" s="101"/>
      <c r="AV120" s="101"/>
    </row>
    <row r="121" spans="3:48" s="61" customFormat="1">
      <c r="C121" s="60"/>
      <c r="E121" s="125"/>
      <c r="F121" s="122"/>
      <c r="G121" s="146"/>
      <c r="L121" s="60"/>
      <c r="N121" s="97"/>
      <c r="O121" s="126"/>
      <c r="P121" s="118"/>
      <c r="Q121" s="144"/>
      <c r="Y121" s="101"/>
      <c r="Z121" s="101"/>
      <c r="AA121" s="101"/>
      <c r="AB121" s="101"/>
      <c r="AC121" s="101"/>
      <c r="AD121" s="101"/>
      <c r="AE121" s="101"/>
      <c r="AF121" s="101"/>
      <c r="AG121" s="101"/>
      <c r="AH121" s="101"/>
      <c r="AI121" s="101"/>
      <c r="AJ121" s="101"/>
      <c r="AL121" s="101"/>
      <c r="AM121" s="101"/>
      <c r="AN121" s="101"/>
      <c r="AO121" s="101"/>
      <c r="AP121" s="101"/>
      <c r="AQ121" s="101"/>
      <c r="AR121" s="101"/>
      <c r="AS121" s="101"/>
      <c r="AT121" s="101"/>
      <c r="AU121" s="101"/>
      <c r="AV121" s="101"/>
    </row>
    <row r="122" spans="3:48" s="61" customFormat="1">
      <c r="C122" s="60"/>
      <c r="E122" s="125"/>
      <c r="F122" s="122"/>
      <c r="G122" s="146"/>
      <c r="L122" s="60"/>
      <c r="N122" s="97"/>
      <c r="O122" s="126"/>
      <c r="P122" s="118"/>
      <c r="Q122" s="144"/>
      <c r="Y122" s="101"/>
      <c r="Z122" s="101"/>
      <c r="AA122" s="101"/>
      <c r="AB122" s="101"/>
      <c r="AC122" s="101"/>
      <c r="AD122" s="101"/>
      <c r="AE122" s="101"/>
      <c r="AF122" s="101"/>
      <c r="AG122" s="101"/>
      <c r="AH122" s="101"/>
      <c r="AI122" s="101"/>
      <c r="AJ122" s="101"/>
      <c r="AL122" s="101"/>
      <c r="AM122" s="101"/>
      <c r="AN122" s="101"/>
      <c r="AO122" s="101"/>
      <c r="AP122" s="101"/>
      <c r="AQ122" s="101"/>
      <c r="AR122" s="101"/>
      <c r="AS122" s="101"/>
      <c r="AT122" s="101"/>
      <c r="AU122" s="101"/>
      <c r="AV122" s="101"/>
    </row>
    <row r="123" spans="3:48" s="61" customFormat="1">
      <c r="C123" s="60"/>
      <c r="E123" s="125"/>
      <c r="F123" s="122"/>
      <c r="G123" s="146"/>
      <c r="L123" s="60"/>
      <c r="N123" s="97"/>
      <c r="O123" s="126"/>
      <c r="P123" s="118"/>
      <c r="Q123" s="144"/>
      <c r="Y123" s="101"/>
      <c r="Z123" s="101"/>
      <c r="AA123" s="101"/>
      <c r="AB123" s="101"/>
      <c r="AC123" s="101"/>
      <c r="AD123" s="101"/>
      <c r="AE123" s="101"/>
      <c r="AF123" s="101"/>
      <c r="AG123" s="101"/>
      <c r="AH123" s="101"/>
      <c r="AI123" s="101"/>
      <c r="AJ123" s="101"/>
      <c r="AL123" s="101"/>
      <c r="AM123" s="101"/>
      <c r="AN123" s="101"/>
      <c r="AO123" s="101"/>
      <c r="AP123" s="101"/>
      <c r="AQ123" s="101"/>
      <c r="AR123" s="101"/>
      <c r="AS123" s="101"/>
      <c r="AT123" s="101"/>
      <c r="AU123" s="101"/>
      <c r="AV123" s="101"/>
    </row>
    <row r="124" spans="3:48" s="61" customFormat="1">
      <c r="C124" s="60"/>
      <c r="E124" s="125"/>
      <c r="F124" s="122"/>
      <c r="G124" s="146"/>
      <c r="L124" s="60"/>
      <c r="N124" s="97"/>
      <c r="O124" s="126"/>
      <c r="P124" s="118"/>
      <c r="Q124" s="144"/>
      <c r="Y124" s="101"/>
      <c r="Z124" s="101"/>
      <c r="AA124" s="101"/>
      <c r="AB124" s="101"/>
      <c r="AC124" s="101"/>
      <c r="AD124" s="101"/>
      <c r="AE124" s="101"/>
      <c r="AF124" s="101"/>
      <c r="AG124" s="101"/>
      <c r="AH124" s="101"/>
      <c r="AI124" s="101"/>
      <c r="AJ124" s="101"/>
      <c r="AL124" s="101"/>
      <c r="AM124" s="101"/>
      <c r="AN124" s="101"/>
      <c r="AO124" s="101"/>
      <c r="AP124" s="101"/>
      <c r="AQ124" s="101"/>
      <c r="AR124" s="101"/>
      <c r="AS124" s="101"/>
      <c r="AT124" s="101"/>
      <c r="AU124" s="101"/>
      <c r="AV124" s="101"/>
    </row>
    <row r="125" spans="3:48" s="61" customFormat="1">
      <c r="C125" s="60"/>
      <c r="E125" s="125"/>
      <c r="F125" s="122"/>
      <c r="G125" s="146"/>
      <c r="L125" s="60"/>
      <c r="N125" s="97"/>
      <c r="O125" s="121"/>
      <c r="P125" s="129"/>
      <c r="Q125" s="145"/>
      <c r="Y125" s="101"/>
      <c r="Z125" s="101"/>
      <c r="AA125" s="101"/>
      <c r="AB125" s="101"/>
      <c r="AC125" s="101"/>
      <c r="AD125" s="101"/>
      <c r="AE125" s="101"/>
      <c r="AF125" s="101"/>
      <c r="AG125" s="101"/>
      <c r="AH125" s="101"/>
      <c r="AI125" s="101"/>
      <c r="AJ125" s="101"/>
      <c r="AL125" s="101"/>
      <c r="AM125" s="101"/>
      <c r="AN125" s="101"/>
      <c r="AO125" s="101"/>
      <c r="AP125" s="101"/>
      <c r="AQ125" s="101"/>
      <c r="AR125" s="101"/>
      <c r="AS125" s="101"/>
      <c r="AT125" s="101"/>
      <c r="AU125" s="101"/>
      <c r="AV125" s="101"/>
    </row>
    <row r="126" spans="3:48" s="61" customFormat="1">
      <c r="C126" s="60"/>
      <c r="E126" s="125"/>
      <c r="F126" s="122"/>
      <c r="G126" s="146"/>
      <c r="L126" s="60"/>
      <c r="N126" s="97"/>
      <c r="O126" s="121"/>
      <c r="P126" s="129"/>
      <c r="Q126" s="145"/>
      <c r="Y126" s="101"/>
      <c r="Z126" s="101"/>
      <c r="AA126" s="101"/>
      <c r="AB126" s="101"/>
      <c r="AC126" s="101"/>
      <c r="AD126" s="101"/>
      <c r="AE126" s="101"/>
      <c r="AF126" s="101"/>
      <c r="AG126" s="101"/>
      <c r="AH126" s="101"/>
      <c r="AI126" s="101"/>
      <c r="AJ126" s="101"/>
      <c r="AL126" s="101"/>
      <c r="AM126" s="101"/>
      <c r="AN126" s="101"/>
      <c r="AO126" s="101"/>
      <c r="AP126" s="101"/>
      <c r="AQ126" s="101"/>
      <c r="AR126" s="101"/>
      <c r="AS126" s="101"/>
      <c r="AT126" s="101"/>
      <c r="AU126" s="101"/>
      <c r="AV126" s="101"/>
    </row>
    <row r="127" spans="3:48" s="61" customFormat="1">
      <c r="C127" s="60"/>
      <c r="E127" s="125"/>
      <c r="F127" s="122"/>
      <c r="G127" s="146"/>
      <c r="L127" s="60"/>
      <c r="N127" s="97"/>
      <c r="O127" s="121"/>
      <c r="P127" s="129"/>
      <c r="Q127" s="145"/>
      <c r="Y127" s="101"/>
      <c r="Z127" s="101"/>
      <c r="AA127" s="101"/>
      <c r="AB127" s="101"/>
      <c r="AC127" s="101"/>
      <c r="AD127" s="101"/>
      <c r="AE127" s="101"/>
      <c r="AF127" s="101"/>
      <c r="AG127" s="101"/>
      <c r="AH127" s="101"/>
      <c r="AI127" s="101"/>
      <c r="AJ127" s="101"/>
      <c r="AL127" s="101"/>
      <c r="AM127" s="101"/>
      <c r="AN127" s="101"/>
      <c r="AO127" s="101"/>
      <c r="AP127" s="101"/>
      <c r="AQ127" s="101"/>
      <c r="AR127" s="101"/>
      <c r="AS127" s="101"/>
      <c r="AT127" s="101"/>
      <c r="AU127" s="101"/>
      <c r="AV127" s="101"/>
    </row>
    <row r="128" spans="3:48" s="61" customFormat="1">
      <c r="C128" s="60"/>
      <c r="E128" s="125"/>
      <c r="F128" s="122"/>
      <c r="G128" s="146"/>
      <c r="L128" s="60"/>
      <c r="N128" s="97"/>
      <c r="O128" s="121"/>
      <c r="P128" s="129"/>
      <c r="Q128" s="145"/>
      <c r="Y128" s="101"/>
      <c r="Z128" s="101"/>
      <c r="AA128" s="101"/>
      <c r="AB128" s="101"/>
      <c r="AC128" s="101"/>
      <c r="AD128" s="101"/>
      <c r="AE128" s="101"/>
      <c r="AF128" s="101"/>
      <c r="AG128" s="101"/>
      <c r="AH128" s="101"/>
      <c r="AI128" s="101"/>
      <c r="AJ128" s="101"/>
      <c r="AL128" s="101"/>
      <c r="AM128" s="101"/>
      <c r="AN128" s="101"/>
      <c r="AO128" s="101"/>
      <c r="AP128" s="101"/>
      <c r="AQ128" s="101"/>
      <c r="AR128" s="101"/>
      <c r="AS128" s="101"/>
      <c r="AT128" s="101"/>
      <c r="AU128" s="101"/>
      <c r="AV128" s="101"/>
    </row>
    <row r="129" spans="3:48" s="61" customFormat="1">
      <c r="C129" s="60"/>
      <c r="E129" s="125"/>
      <c r="F129" s="122"/>
      <c r="G129" s="146"/>
      <c r="L129" s="60"/>
      <c r="N129" s="97"/>
      <c r="O129" s="121"/>
      <c r="P129" s="129"/>
      <c r="Q129" s="145"/>
      <c r="Y129" s="101"/>
      <c r="Z129" s="101"/>
      <c r="AA129" s="101"/>
      <c r="AB129" s="101"/>
      <c r="AC129" s="101"/>
      <c r="AD129" s="101"/>
      <c r="AE129" s="101"/>
      <c r="AF129" s="101"/>
      <c r="AG129" s="101"/>
      <c r="AH129" s="101"/>
      <c r="AI129" s="101"/>
      <c r="AJ129" s="101"/>
      <c r="AL129" s="101"/>
      <c r="AM129" s="101"/>
      <c r="AN129" s="101"/>
      <c r="AO129" s="101"/>
      <c r="AP129" s="101"/>
      <c r="AQ129" s="101"/>
      <c r="AR129" s="101"/>
      <c r="AS129" s="101"/>
      <c r="AT129" s="101"/>
      <c r="AU129" s="101"/>
      <c r="AV129" s="101"/>
    </row>
    <row r="130" spans="3:48" s="61" customFormat="1">
      <c r="C130" s="60"/>
      <c r="E130" s="125"/>
      <c r="F130" s="122"/>
      <c r="G130" s="146"/>
      <c r="L130" s="60"/>
      <c r="N130" s="97"/>
      <c r="O130" s="121"/>
      <c r="P130" s="129"/>
      <c r="Q130" s="145"/>
      <c r="Y130" s="101"/>
      <c r="Z130" s="101"/>
      <c r="AA130" s="101"/>
      <c r="AB130" s="101"/>
      <c r="AC130" s="101"/>
      <c r="AD130" s="101"/>
      <c r="AE130" s="101"/>
      <c r="AF130" s="101"/>
      <c r="AG130" s="101"/>
      <c r="AH130" s="101"/>
      <c r="AI130" s="101"/>
      <c r="AJ130" s="101"/>
      <c r="AL130" s="101"/>
      <c r="AM130" s="101"/>
      <c r="AN130" s="101"/>
      <c r="AO130" s="101"/>
      <c r="AP130" s="101"/>
      <c r="AQ130" s="101"/>
      <c r="AR130" s="101"/>
      <c r="AS130" s="101"/>
      <c r="AT130" s="101"/>
      <c r="AU130" s="101"/>
      <c r="AV130" s="101"/>
    </row>
    <row r="131" spans="3:48" s="61" customFormat="1">
      <c r="C131" s="60"/>
      <c r="E131" s="125"/>
      <c r="F131" s="122"/>
      <c r="G131" s="146"/>
      <c r="L131" s="60"/>
      <c r="N131" s="97"/>
      <c r="O131" s="121"/>
      <c r="P131" s="129"/>
      <c r="Q131" s="145"/>
      <c r="Y131" s="101"/>
      <c r="Z131" s="101"/>
      <c r="AA131" s="101"/>
      <c r="AB131" s="101"/>
      <c r="AC131" s="101"/>
      <c r="AD131" s="101"/>
      <c r="AE131" s="101"/>
      <c r="AF131" s="101"/>
      <c r="AG131" s="101"/>
      <c r="AH131" s="101"/>
      <c r="AI131" s="101"/>
      <c r="AJ131" s="101"/>
      <c r="AL131" s="101"/>
      <c r="AM131" s="101"/>
      <c r="AN131" s="101"/>
      <c r="AO131" s="101"/>
      <c r="AP131" s="101"/>
      <c r="AQ131" s="101"/>
      <c r="AR131" s="101"/>
      <c r="AS131" s="101"/>
      <c r="AT131" s="101"/>
      <c r="AU131" s="101"/>
      <c r="AV131" s="101"/>
    </row>
    <row r="132" spans="3:48" s="61" customFormat="1">
      <c r="C132" s="60"/>
      <c r="E132" s="125"/>
      <c r="F132" s="122"/>
      <c r="G132" s="146"/>
      <c r="L132" s="60"/>
      <c r="N132" s="97"/>
      <c r="O132" s="121"/>
      <c r="P132" s="129"/>
      <c r="Q132" s="145"/>
      <c r="Y132" s="101"/>
      <c r="Z132" s="101"/>
      <c r="AA132" s="101"/>
      <c r="AB132" s="101"/>
      <c r="AC132" s="101"/>
      <c r="AD132" s="101"/>
      <c r="AE132" s="101"/>
      <c r="AF132" s="101"/>
      <c r="AG132" s="101"/>
      <c r="AH132" s="101"/>
      <c r="AI132" s="101"/>
      <c r="AJ132" s="101"/>
      <c r="AL132" s="101"/>
      <c r="AM132" s="101"/>
      <c r="AN132" s="101"/>
      <c r="AO132" s="101"/>
      <c r="AP132" s="101"/>
      <c r="AQ132" s="101"/>
      <c r="AR132" s="101"/>
      <c r="AS132" s="101"/>
      <c r="AT132" s="101"/>
      <c r="AU132" s="101"/>
      <c r="AV132" s="101"/>
    </row>
    <row r="133" spans="3:48" s="61" customFormat="1">
      <c r="C133" s="60"/>
      <c r="E133" s="125"/>
      <c r="F133" s="122"/>
      <c r="G133" s="146"/>
      <c r="L133" s="60"/>
      <c r="N133" s="97"/>
      <c r="O133" s="121"/>
      <c r="P133" s="129"/>
      <c r="Q133" s="145"/>
      <c r="Y133" s="101"/>
      <c r="Z133" s="101"/>
      <c r="AA133" s="101"/>
      <c r="AB133" s="101"/>
      <c r="AC133" s="101"/>
      <c r="AD133" s="101"/>
      <c r="AE133" s="101"/>
      <c r="AF133" s="101"/>
      <c r="AG133" s="101"/>
      <c r="AH133" s="101"/>
      <c r="AI133" s="101"/>
      <c r="AJ133" s="101"/>
      <c r="AL133" s="101"/>
      <c r="AM133" s="101"/>
      <c r="AN133" s="101"/>
      <c r="AO133" s="101"/>
      <c r="AP133" s="101"/>
      <c r="AQ133" s="101"/>
      <c r="AR133" s="101"/>
      <c r="AS133" s="101"/>
      <c r="AT133" s="101"/>
      <c r="AU133" s="101"/>
      <c r="AV133" s="101"/>
    </row>
    <row r="134" spans="3:48" s="61" customFormat="1">
      <c r="C134" s="60"/>
      <c r="E134" s="125"/>
      <c r="F134" s="122"/>
      <c r="G134" s="146"/>
      <c r="L134" s="60"/>
      <c r="N134" s="97"/>
      <c r="O134" s="121"/>
      <c r="P134" s="129"/>
      <c r="Q134" s="145"/>
      <c r="Y134" s="101"/>
      <c r="Z134" s="101"/>
      <c r="AA134" s="101"/>
      <c r="AB134" s="101"/>
      <c r="AC134" s="101"/>
      <c r="AD134" s="101"/>
      <c r="AE134" s="101"/>
      <c r="AF134" s="101"/>
      <c r="AG134" s="101"/>
      <c r="AH134" s="101"/>
      <c r="AI134" s="101"/>
      <c r="AJ134" s="101"/>
      <c r="AL134" s="101"/>
      <c r="AM134" s="101"/>
      <c r="AN134" s="101"/>
      <c r="AO134" s="101"/>
      <c r="AP134" s="101"/>
      <c r="AQ134" s="101"/>
      <c r="AR134" s="101"/>
      <c r="AS134" s="101"/>
      <c r="AT134" s="101"/>
      <c r="AU134" s="101"/>
      <c r="AV134" s="101"/>
    </row>
    <row r="135" spans="3:48" s="61" customFormat="1">
      <c r="C135" s="60"/>
      <c r="E135" s="125"/>
      <c r="F135" s="122"/>
      <c r="G135" s="146"/>
      <c r="L135" s="60"/>
      <c r="N135" s="97"/>
      <c r="O135" s="121"/>
      <c r="P135" s="129"/>
      <c r="Q135" s="145"/>
      <c r="Y135" s="101"/>
      <c r="Z135" s="101"/>
      <c r="AA135" s="101"/>
      <c r="AB135" s="101"/>
      <c r="AC135" s="101"/>
      <c r="AD135" s="101"/>
      <c r="AE135" s="101"/>
      <c r="AF135" s="101"/>
      <c r="AG135" s="101"/>
      <c r="AH135" s="101"/>
      <c r="AI135" s="101"/>
      <c r="AJ135" s="101"/>
      <c r="AL135" s="101"/>
      <c r="AM135" s="101"/>
      <c r="AN135" s="101"/>
      <c r="AO135" s="101"/>
      <c r="AP135" s="101"/>
      <c r="AQ135" s="101"/>
      <c r="AR135" s="101"/>
      <c r="AS135" s="101"/>
      <c r="AT135" s="101"/>
      <c r="AU135" s="101"/>
      <c r="AV135" s="101"/>
    </row>
    <row r="136" spans="3:48" s="61" customFormat="1">
      <c r="C136" s="60"/>
      <c r="E136" s="125"/>
      <c r="F136" s="122"/>
      <c r="G136" s="146"/>
      <c r="L136" s="60"/>
      <c r="N136" s="97"/>
      <c r="O136" s="121"/>
      <c r="P136" s="129"/>
      <c r="Q136" s="145"/>
      <c r="Y136" s="101"/>
      <c r="Z136" s="101"/>
      <c r="AA136" s="101"/>
      <c r="AB136" s="101"/>
      <c r="AC136" s="101"/>
      <c r="AD136" s="101"/>
      <c r="AE136" s="101"/>
      <c r="AF136" s="101"/>
      <c r="AG136" s="101"/>
      <c r="AH136" s="101"/>
      <c r="AI136" s="101"/>
      <c r="AJ136" s="101"/>
      <c r="AL136" s="101"/>
      <c r="AM136" s="101"/>
      <c r="AN136" s="101"/>
      <c r="AO136" s="101"/>
      <c r="AP136" s="101"/>
      <c r="AQ136" s="101"/>
      <c r="AR136" s="101"/>
      <c r="AS136" s="101"/>
      <c r="AT136" s="101"/>
      <c r="AU136" s="101"/>
      <c r="AV136" s="101"/>
    </row>
    <row r="137" spans="3:48" s="61" customFormat="1">
      <c r="C137" s="60"/>
      <c r="E137" s="125"/>
      <c r="F137" s="122"/>
      <c r="G137" s="146"/>
      <c r="L137" s="60"/>
      <c r="N137" s="97"/>
      <c r="O137" s="121"/>
      <c r="P137" s="129"/>
      <c r="Q137" s="145"/>
      <c r="Y137" s="101"/>
      <c r="Z137" s="101"/>
      <c r="AA137" s="101"/>
      <c r="AB137" s="101"/>
      <c r="AC137" s="101"/>
      <c r="AD137" s="101"/>
      <c r="AE137" s="101"/>
      <c r="AF137" s="101"/>
      <c r="AG137" s="101"/>
      <c r="AH137" s="101"/>
      <c r="AI137" s="101"/>
      <c r="AJ137" s="101"/>
      <c r="AL137" s="101"/>
      <c r="AM137" s="101"/>
      <c r="AN137" s="101"/>
      <c r="AO137" s="101"/>
      <c r="AP137" s="101"/>
      <c r="AQ137" s="101"/>
      <c r="AR137" s="101"/>
      <c r="AS137" s="101"/>
      <c r="AT137" s="101"/>
      <c r="AU137" s="101"/>
      <c r="AV137" s="101"/>
    </row>
    <row r="138" spans="3:48" s="61" customFormat="1">
      <c r="C138" s="60"/>
      <c r="E138" s="125"/>
      <c r="F138" s="122"/>
      <c r="G138" s="146"/>
      <c r="L138" s="60"/>
      <c r="N138" s="97"/>
      <c r="O138" s="121"/>
      <c r="P138" s="129"/>
      <c r="Q138" s="145"/>
      <c r="Y138" s="101"/>
      <c r="Z138" s="101"/>
      <c r="AA138" s="101"/>
      <c r="AB138" s="101"/>
      <c r="AC138" s="101"/>
      <c r="AD138" s="101"/>
      <c r="AE138" s="101"/>
      <c r="AF138" s="101"/>
      <c r="AG138" s="101"/>
      <c r="AH138" s="101"/>
      <c r="AI138" s="101"/>
      <c r="AJ138" s="101"/>
      <c r="AL138" s="101"/>
      <c r="AM138" s="101"/>
      <c r="AN138" s="101"/>
      <c r="AO138" s="101"/>
      <c r="AP138" s="101"/>
      <c r="AQ138" s="101"/>
      <c r="AR138" s="101"/>
      <c r="AS138" s="101"/>
      <c r="AT138" s="101"/>
      <c r="AU138" s="101"/>
      <c r="AV138" s="101"/>
    </row>
    <row r="139" spans="3:48" s="61" customFormat="1">
      <c r="C139" s="60"/>
      <c r="E139" s="125"/>
      <c r="F139" s="122"/>
      <c r="G139" s="146"/>
      <c r="L139" s="60"/>
      <c r="N139" s="97"/>
      <c r="O139" s="121"/>
      <c r="P139" s="129"/>
      <c r="Q139" s="145"/>
      <c r="Y139" s="101"/>
      <c r="Z139" s="101"/>
      <c r="AA139" s="101"/>
      <c r="AB139" s="101"/>
      <c r="AC139" s="101"/>
      <c r="AD139" s="101"/>
      <c r="AE139" s="101"/>
      <c r="AF139" s="101"/>
      <c r="AG139" s="101"/>
      <c r="AH139" s="101"/>
      <c r="AI139" s="101"/>
      <c r="AJ139" s="101"/>
      <c r="AL139" s="101"/>
      <c r="AM139" s="101"/>
      <c r="AN139" s="101"/>
      <c r="AO139" s="101"/>
      <c r="AP139" s="101"/>
      <c r="AQ139" s="101"/>
      <c r="AR139" s="101"/>
      <c r="AS139" s="101"/>
      <c r="AT139" s="101"/>
      <c r="AU139" s="101"/>
      <c r="AV139" s="101"/>
    </row>
    <row r="140" spans="3:48" s="61" customFormat="1">
      <c r="C140" s="60"/>
      <c r="E140" s="125"/>
      <c r="F140" s="122"/>
      <c r="G140" s="146"/>
      <c r="L140" s="60"/>
      <c r="N140" s="97"/>
      <c r="O140" s="121"/>
      <c r="P140" s="129"/>
      <c r="Q140" s="145"/>
      <c r="Y140" s="101"/>
      <c r="Z140" s="101"/>
      <c r="AA140" s="101"/>
      <c r="AB140" s="101"/>
      <c r="AC140" s="101"/>
      <c r="AD140" s="101"/>
      <c r="AE140" s="101"/>
      <c r="AF140" s="101"/>
      <c r="AG140" s="101"/>
      <c r="AH140" s="101"/>
      <c r="AI140" s="101"/>
      <c r="AJ140" s="101"/>
      <c r="AL140" s="101"/>
      <c r="AM140" s="101"/>
      <c r="AN140" s="101"/>
      <c r="AO140" s="101"/>
      <c r="AP140" s="101"/>
      <c r="AQ140" s="101"/>
      <c r="AR140" s="101"/>
      <c r="AS140" s="101"/>
      <c r="AT140" s="101"/>
      <c r="AU140" s="101"/>
      <c r="AV140" s="101"/>
    </row>
    <row r="141" spans="3:48" s="61" customFormat="1">
      <c r="C141" s="60"/>
      <c r="E141" s="125"/>
      <c r="F141" s="122"/>
      <c r="G141" s="146"/>
      <c r="L141" s="60"/>
      <c r="N141" s="97"/>
      <c r="O141" s="121"/>
      <c r="P141" s="129"/>
      <c r="Q141" s="145"/>
      <c r="Y141" s="101"/>
      <c r="Z141" s="101"/>
      <c r="AA141" s="101"/>
      <c r="AB141" s="101"/>
      <c r="AC141" s="101"/>
      <c r="AD141" s="101"/>
      <c r="AE141" s="101"/>
      <c r="AF141" s="101"/>
      <c r="AG141" s="101"/>
      <c r="AH141" s="101"/>
      <c r="AI141" s="101"/>
      <c r="AJ141" s="101"/>
      <c r="AL141" s="101"/>
      <c r="AM141" s="101"/>
      <c r="AN141" s="101"/>
      <c r="AO141" s="101"/>
      <c r="AP141" s="101"/>
      <c r="AQ141" s="101"/>
      <c r="AR141" s="101"/>
      <c r="AS141" s="101"/>
      <c r="AT141" s="101"/>
      <c r="AU141" s="101"/>
      <c r="AV141" s="101"/>
    </row>
    <row r="142" spans="3:48" s="61" customFormat="1">
      <c r="C142" s="60"/>
      <c r="E142" s="125"/>
      <c r="F142" s="122"/>
      <c r="G142" s="146"/>
      <c r="L142" s="60"/>
      <c r="N142" s="97"/>
      <c r="O142" s="121"/>
      <c r="P142" s="129"/>
      <c r="Q142" s="145"/>
      <c r="Y142" s="101"/>
      <c r="Z142" s="101"/>
      <c r="AA142" s="101"/>
      <c r="AB142" s="101"/>
      <c r="AC142" s="101"/>
      <c r="AD142" s="101"/>
      <c r="AE142" s="101"/>
      <c r="AF142" s="101"/>
      <c r="AG142" s="101"/>
      <c r="AH142" s="101"/>
      <c r="AI142" s="101"/>
      <c r="AJ142" s="101"/>
      <c r="AL142" s="101"/>
      <c r="AM142" s="101"/>
      <c r="AN142" s="101"/>
      <c r="AO142" s="101"/>
      <c r="AP142" s="101"/>
      <c r="AQ142" s="101"/>
      <c r="AR142" s="101"/>
      <c r="AS142" s="101"/>
      <c r="AT142" s="101"/>
      <c r="AU142" s="101"/>
      <c r="AV142" s="101"/>
    </row>
    <row r="143" spans="3:48" s="61" customFormat="1">
      <c r="C143" s="60"/>
      <c r="E143" s="125"/>
      <c r="F143" s="122"/>
      <c r="G143" s="146"/>
      <c r="L143" s="60"/>
      <c r="N143" s="97"/>
      <c r="O143" s="121"/>
      <c r="P143" s="129"/>
      <c r="Q143" s="145"/>
      <c r="Y143" s="101"/>
      <c r="Z143" s="101"/>
      <c r="AA143" s="101"/>
      <c r="AB143" s="101"/>
      <c r="AC143" s="101"/>
      <c r="AD143" s="101"/>
      <c r="AE143" s="101"/>
      <c r="AF143" s="101"/>
      <c r="AG143" s="101"/>
      <c r="AH143" s="101"/>
      <c r="AI143" s="101"/>
      <c r="AJ143" s="101"/>
      <c r="AL143" s="101"/>
      <c r="AM143" s="101"/>
      <c r="AN143" s="101"/>
      <c r="AO143" s="101"/>
      <c r="AP143" s="101"/>
      <c r="AQ143" s="101"/>
      <c r="AR143" s="101"/>
      <c r="AS143" s="101"/>
      <c r="AT143" s="101"/>
      <c r="AU143" s="101"/>
      <c r="AV143" s="101"/>
    </row>
    <row r="144" spans="3:48" s="61" customFormat="1">
      <c r="C144" s="60"/>
      <c r="E144" s="125"/>
      <c r="F144" s="122"/>
      <c r="G144" s="146"/>
      <c r="L144" s="60"/>
      <c r="N144" s="97"/>
      <c r="O144" s="121"/>
      <c r="P144" s="129"/>
      <c r="Q144" s="145"/>
      <c r="Y144" s="101"/>
      <c r="Z144" s="101"/>
      <c r="AA144" s="101"/>
      <c r="AB144" s="101"/>
      <c r="AC144" s="101"/>
      <c r="AD144" s="101"/>
      <c r="AE144" s="101"/>
      <c r="AF144" s="101"/>
      <c r="AG144" s="101"/>
      <c r="AH144" s="101"/>
      <c r="AI144" s="101"/>
      <c r="AJ144" s="101"/>
      <c r="AL144" s="101"/>
      <c r="AM144" s="101"/>
      <c r="AN144" s="101"/>
      <c r="AO144" s="101"/>
      <c r="AP144" s="101"/>
      <c r="AQ144" s="101"/>
      <c r="AR144" s="101"/>
      <c r="AS144" s="101"/>
      <c r="AT144" s="101"/>
      <c r="AU144" s="101"/>
      <c r="AV144" s="101"/>
    </row>
    <row r="145" spans="3:48" s="61" customFormat="1">
      <c r="C145" s="60"/>
      <c r="E145" s="125"/>
      <c r="F145" s="122"/>
      <c r="G145" s="146"/>
      <c r="L145" s="60"/>
      <c r="N145" s="97"/>
      <c r="O145" s="121"/>
      <c r="P145" s="129"/>
      <c r="Q145" s="145"/>
      <c r="Y145" s="101"/>
      <c r="Z145" s="101"/>
      <c r="AA145" s="101"/>
      <c r="AB145" s="101"/>
      <c r="AC145" s="101"/>
      <c r="AD145" s="101"/>
      <c r="AE145" s="101"/>
      <c r="AF145" s="101"/>
      <c r="AG145" s="101"/>
      <c r="AH145" s="101"/>
      <c r="AI145" s="101"/>
      <c r="AJ145" s="101"/>
      <c r="AL145" s="101"/>
      <c r="AM145" s="101"/>
      <c r="AN145" s="101"/>
      <c r="AO145" s="101"/>
      <c r="AP145" s="101"/>
      <c r="AQ145" s="101"/>
      <c r="AR145" s="101"/>
      <c r="AS145" s="101"/>
      <c r="AT145" s="101"/>
      <c r="AU145" s="101"/>
      <c r="AV145" s="101"/>
    </row>
    <row r="146" spans="3:48" s="61" customFormat="1">
      <c r="C146" s="60"/>
      <c r="E146" s="125"/>
      <c r="F146" s="122"/>
      <c r="G146" s="146"/>
      <c r="L146" s="60"/>
      <c r="N146" s="97"/>
      <c r="O146" s="121"/>
      <c r="P146" s="129"/>
      <c r="Q146" s="145"/>
      <c r="Y146" s="101"/>
      <c r="Z146" s="101"/>
      <c r="AA146" s="101"/>
      <c r="AB146" s="101"/>
      <c r="AC146" s="101"/>
      <c r="AD146" s="101"/>
      <c r="AE146" s="101"/>
      <c r="AF146" s="101"/>
      <c r="AG146" s="101"/>
      <c r="AH146" s="101"/>
      <c r="AI146" s="101"/>
      <c r="AJ146" s="101"/>
      <c r="AL146" s="101"/>
      <c r="AM146" s="101"/>
      <c r="AN146" s="101"/>
      <c r="AO146" s="101"/>
      <c r="AP146" s="101"/>
      <c r="AQ146" s="101"/>
      <c r="AR146" s="101"/>
      <c r="AS146" s="101"/>
      <c r="AT146" s="101"/>
      <c r="AU146" s="101"/>
      <c r="AV146" s="101"/>
    </row>
    <row r="147" spans="3:48" s="61" customFormat="1">
      <c r="C147" s="60"/>
      <c r="E147" s="125"/>
      <c r="F147" s="122"/>
      <c r="G147" s="146"/>
      <c r="L147" s="60"/>
      <c r="N147" s="97"/>
      <c r="O147" s="121"/>
      <c r="P147" s="129"/>
      <c r="Q147" s="145"/>
      <c r="Y147" s="101"/>
      <c r="Z147" s="101"/>
      <c r="AA147" s="101"/>
      <c r="AB147" s="101"/>
      <c r="AC147" s="101"/>
      <c r="AD147" s="101"/>
      <c r="AE147" s="101"/>
      <c r="AF147" s="101"/>
      <c r="AG147" s="101"/>
      <c r="AH147" s="101"/>
      <c r="AI147" s="101"/>
      <c r="AJ147" s="101"/>
      <c r="AL147" s="101"/>
      <c r="AM147" s="101"/>
      <c r="AN147" s="101"/>
      <c r="AO147" s="101"/>
      <c r="AP147" s="101"/>
      <c r="AQ147" s="101"/>
      <c r="AR147" s="101"/>
      <c r="AS147" s="101"/>
      <c r="AT147" s="101"/>
      <c r="AU147" s="101"/>
      <c r="AV147" s="101"/>
    </row>
    <row r="148" spans="3:48" s="61" customFormat="1">
      <c r="C148" s="60"/>
      <c r="E148" s="125"/>
      <c r="F148" s="122"/>
      <c r="G148" s="146"/>
      <c r="L148" s="60"/>
      <c r="N148" s="97"/>
      <c r="O148" s="121"/>
      <c r="P148" s="129"/>
      <c r="Q148" s="145"/>
      <c r="Y148" s="101"/>
      <c r="Z148" s="101"/>
      <c r="AA148" s="101"/>
      <c r="AB148" s="101"/>
      <c r="AC148" s="101"/>
      <c r="AD148" s="101"/>
      <c r="AE148" s="101"/>
      <c r="AF148" s="101"/>
      <c r="AG148" s="101"/>
      <c r="AH148" s="101"/>
      <c r="AI148" s="101"/>
      <c r="AJ148" s="101"/>
      <c r="AL148" s="101"/>
      <c r="AM148" s="101"/>
      <c r="AN148" s="101"/>
      <c r="AO148" s="101"/>
      <c r="AP148" s="101"/>
      <c r="AQ148" s="101"/>
      <c r="AR148" s="101"/>
      <c r="AS148" s="101"/>
      <c r="AT148" s="101"/>
      <c r="AU148" s="101"/>
      <c r="AV148" s="101"/>
    </row>
    <row r="149" spans="3:48" s="61" customFormat="1">
      <c r="C149" s="60"/>
      <c r="E149" s="125"/>
      <c r="F149" s="122"/>
      <c r="G149" s="146"/>
      <c r="L149" s="60"/>
      <c r="N149" s="97"/>
      <c r="O149" s="121"/>
      <c r="P149" s="129"/>
      <c r="Q149" s="145"/>
      <c r="Y149" s="101"/>
      <c r="Z149" s="101"/>
      <c r="AA149" s="101"/>
      <c r="AB149" s="101"/>
      <c r="AC149" s="101"/>
      <c r="AD149" s="101"/>
      <c r="AE149" s="101"/>
      <c r="AF149" s="101"/>
      <c r="AG149" s="101"/>
      <c r="AH149" s="101"/>
      <c r="AI149" s="101"/>
      <c r="AJ149" s="101"/>
      <c r="AL149" s="101"/>
      <c r="AM149" s="101"/>
      <c r="AN149" s="101"/>
      <c r="AO149" s="101"/>
      <c r="AP149" s="101"/>
      <c r="AQ149" s="101"/>
      <c r="AR149" s="101"/>
      <c r="AS149" s="101"/>
      <c r="AT149" s="101"/>
      <c r="AU149" s="101"/>
      <c r="AV149" s="101"/>
    </row>
    <row r="150" spans="3:48" s="61" customFormat="1">
      <c r="C150" s="60"/>
      <c r="E150" s="125"/>
      <c r="F150" s="122"/>
      <c r="G150" s="146"/>
      <c r="L150" s="60"/>
      <c r="N150" s="97"/>
      <c r="O150" s="121"/>
      <c r="P150" s="129"/>
      <c r="Q150" s="145"/>
      <c r="Y150" s="101"/>
      <c r="Z150" s="101"/>
      <c r="AA150" s="101"/>
      <c r="AB150" s="101"/>
      <c r="AC150" s="101"/>
      <c r="AD150" s="101"/>
      <c r="AE150" s="101"/>
      <c r="AF150" s="101"/>
      <c r="AG150" s="101"/>
      <c r="AH150" s="101"/>
      <c r="AI150" s="101"/>
      <c r="AJ150" s="101"/>
      <c r="AL150" s="101"/>
      <c r="AM150" s="101"/>
      <c r="AN150" s="101"/>
      <c r="AO150" s="101"/>
      <c r="AP150" s="101"/>
      <c r="AQ150" s="101"/>
      <c r="AR150" s="101"/>
      <c r="AS150" s="101"/>
      <c r="AT150" s="101"/>
      <c r="AU150" s="101"/>
      <c r="AV150" s="101"/>
    </row>
    <row r="151" spans="3:48" s="61" customFormat="1">
      <c r="C151" s="60"/>
      <c r="E151" s="125"/>
      <c r="F151" s="122"/>
      <c r="G151" s="146"/>
      <c r="L151" s="60"/>
      <c r="N151" s="97"/>
      <c r="O151" s="121"/>
      <c r="P151" s="129"/>
      <c r="Q151" s="145"/>
      <c r="Y151" s="101"/>
      <c r="Z151" s="101"/>
      <c r="AA151" s="101"/>
      <c r="AB151" s="101"/>
      <c r="AC151" s="101"/>
      <c r="AD151" s="101"/>
      <c r="AE151" s="101"/>
      <c r="AF151" s="101"/>
      <c r="AG151" s="101"/>
      <c r="AH151" s="101"/>
      <c r="AI151" s="101"/>
      <c r="AJ151" s="101"/>
      <c r="AL151" s="101"/>
      <c r="AM151" s="101"/>
      <c r="AN151" s="101"/>
      <c r="AO151" s="101"/>
      <c r="AP151" s="101"/>
      <c r="AQ151" s="101"/>
      <c r="AR151" s="101"/>
      <c r="AS151" s="101"/>
      <c r="AT151" s="101"/>
      <c r="AU151" s="101"/>
      <c r="AV151" s="101"/>
    </row>
    <row r="152" spans="3:48" s="61" customFormat="1">
      <c r="C152" s="60"/>
      <c r="E152" s="125"/>
      <c r="F152" s="122"/>
      <c r="G152" s="146"/>
      <c r="L152" s="60"/>
      <c r="N152" s="97"/>
      <c r="O152" s="121"/>
      <c r="P152" s="129"/>
      <c r="Q152" s="145"/>
      <c r="Y152" s="101"/>
      <c r="Z152" s="101"/>
      <c r="AA152" s="101"/>
      <c r="AB152" s="101"/>
      <c r="AC152" s="101"/>
      <c r="AD152" s="101"/>
      <c r="AE152" s="101"/>
      <c r="AF152" s="101"/>
      <c r="AG152" s="101"/>
      <c r="AH152" s="101"/>
      <c r="AI152" s="101"/>
      <c r="AJ152" s="101"/>
      <c r="AL152" s="101"/>
      <c r="AM152" s="101"/>
      <c r="AN152" s="101"/>
      <c r="AO152" s="101"/>
      <c r="AP152" s="101"/>
      <c r="AQ152" s="101"/>
      <c r="AR152" s="101"/>
      <c r="AS152" s="101"/>
      <c r="AT152" s="101"/>
      <c r="AU152" s="101"/>
      <c r="AV152" s="101"/>
    </row>
    <row r="153" spans="3:48" s="61" customFormat="1">
      <c r="C153" s="60"/>
      <c r="E153" s="125"/>
      <c r="F153" s="122"/>
      <c r="G153" s="146"/>
      <c r="L153" s="60"/>
      <c r="N153" s="97"/>
      <c r="O153" s="121"/>
      <c r="P153" s="129"/>
      <c r="Q153" s="145"/>
      <c r="Y153" s="101"/>
      <c r="Z153" s="101"/>
      <c r="AA153" s="101"/>
      <c r="AB153" s="101"/>
      <c r="AC153" s="101"/>
      <c r="AD153" s="101"/>
      <c r="AE153" s="101"/>
      <c r="AF153" s="101"/>
      <c r="AG153" s="101"/>
      <c r="AH153" s="101"/>
      <c r="AI153" s="101"/>
      <c r="AJ153" s="101"/>
      <c r="AL153" s="101"/>
      <c r="AM153" s="101"/>
      <c r="AN153" s="101"/>
      <c r="AO153" s="101"/>
      <c r="AP153" s="101"/>
      <c r="AQ153" s="101"/>
      <c r="AR153" s="101"/>
      <c r="AS153" s="101"/>
      <c r="AT153" s="101"/>
      <c r="AU153" s="101"/>
      <c r="AV153" s="101"/>
    </row>
    <row r="154" spans="3:48" s="61" customFormat="1">
      <c r="C154" s="60"/>
      <c r="E154" s="125"/>
      <c r="F154" s="122"/>
      <c r="G154" s="146"/>
      <c r="L154" s="60"/>
      <c r="N154" s="97"/>
      <c r="O154" s="121"/>
      <c r="P154" s="129"/>
      <c r="Q154" s="145"/>
      <c r="Y154" s="101"/>
      <c r="Z154" s="101"/>
      <c r="AA154" s="101"/>
      <c r="AB154" s="101"/>
      <c r="AC154" s="101"/>
      <c r="AD154" s="101"/>
      <c r="AE154" s="101"/>
      <c r="AF154" s="101"/>
      <c r="AG154" s="101"/>
      <c r="AH154" s="101"/>
      <c r="AI154" s="101"/>
      <c r="AJ154" s="101"/>
      <c r="AL154" s="101"/>
      <c r="AM154" s="101"/>
      <c r="AN154" s="101"/>
      <c r="AO154" s="101"/>
      <c r="AP154" s="101"/>
      <c r="AQ154" s="101"/>
      <c r="AR154" s="101"/>
      <c r="AS154" s="101"/>
      <c r="AT154" s="101"/>
      <c r="AU154" s="101"/>
      <c r="AV154" s="101"/>
    </row>
    <row r="155" spans="3:48" s="61" customFormat="1">
      <c r="C155" s="60"/>
      <c r="E155" s="125"/>
      <c r="F155" s="122"/>
      <c r="G155" s="146"/>
      <c r="L155" s="60"/>
      <c r="N155" s="97"/>
      <c r="O155" s="121"/>
      <c r="P155" s="129"/>
      <c r="Q155" s="145"/>
      <c r="Y155" s="101"/>
      <c r="Z155" s="101"/>
      <c r="AA155" s="101"/>
      <c r="AB155" s="101"/>
      <c r="AC155" s="101"/>
      <c r="AD155" s="101"/>
      <c r="AE155" s="101"/>
      <c r="AF155" s="101"/>
      <c r="AG155" s="101"/>
      <c r="AH155" s="101"/>
      <c r="AI155" s="101"/>
      <c r="AJ155" s="101"/>
      <c r="AL155" s="101"/>
      <c r="AM155" s="101"/>
      <c r="AN155" s="101"/>
      <c r="AO155" s="101"/>
      <c r="AP155" s="101"/>
      <c r="AQ155" s="101"/>
      <c r="AR155" s="101"/>
      <c r="AS155" s="101"/>
      <c r="AT155" s="101"/>
      <c r="AU155" s="101"/>
      <c r="AV155" s="101"/>
    </row>
    <row r="156" spans="3:48" s="61" customFormat="1">
      <c r="C156" s="60"/>
      <c r="E156" s="125"/>
      <c r="F156" s="122"/>
      <c r="G156" s="146"/>
      <c r="L156" s="60"/>
      <c r="N156" s="97"/>
      <c r="O156" s="121"/>
      <c r="P156" s="129"/>
      <c r="Q156" s="145"/>
      <c r="Y156" s="101"/>
      <c r="Z156" s="101"/>
      <c r="AA156" s="101"/>
      <c r="AB156" s="101"/>
      <c r="AC156" s="101"/>
      <c r="AD156" s="101"/>
      <c r="AE156" s="101"/>
      <c r="AF156" s="101"/>
      <c r="AG156" s="101"/>
      <c r="AH156" s="101"/>
      <c r="AI156" s="101"/>
      <c r="AJ156" s="101"/>
      <c r="AL156" s="101"/>
      <c r="AM156" s="101"/>
      <c r="AN156" s="101"/>
      <c r="AO156" s="101"/>
      <c r="AP156" s="101"/>
      <c r="AQ156" s="101"/>
      <c r="AR156" s="101"/>
      <c r="AS156" s="101"/>
      <c r="AT156" s="101"/>
      <c r="AU156" s="101"/>
      <c r="AV156" s="101"/>
    </row>
    <row r="157" spans="3:48" s="61" customFormat="1">
      <c r="C157" s="60"/>
      <c r="E157" s="125"/>
      <c r="F157" s="122"/>
      <c r="G157" s="146"/>
      <c r="L157" s="60"/>
      <c r="N157" s="97"/>
      <c r="O157" s="121"/>
      <c r="P157" s="129"/>
      <c r="Q157" s="145"/>
      <c r="Y157" s="101"/>
      <c r="Z157" s="101"/>
      <c r="AA157" s="101"/>
      <c r="AB157" s="101"/>
      <c r="AC157" s="101"/>
      <c r="AD157" s="101"/>
      <c r="AE157" s="101"/>
      <c r="AF157" s="101"/>
      <c r="AG157" s="101"/>
      <c r="AH157" s="101"/>
      <c r="AI157" s="101"/>
      <c r="AJ157" s="101"/>
      <c r="AL157" s="101"/>
      <c r="AM157" s="101"/>
      <c r="AN157" s="101"/>
      <c r="AO157" s="101"/>
      <c r="AP157" s="101"/>
      <c r="AQ157" s="101"/>
      <c r="AR157" s="101"/>
      <c r="AS157" s="101"/>
      <c r="AT157" s="101"/>
      <c r="AU157" s="101"/>
      <c r="AV157" s="101"/>
    </row>
    <row r="158" spans="3:48" s="61" customFormat="1">
      <c r="C158" s="60"/>
      <c r="E158" s="125"/>
      <c r="F158" s="122"/>
      <c r="G158" s="146"/>
      <c r="L158" s="60"/>
      <c r="N158" s="97"/>
      <c r="O158" s="121"/>
      <c r="P158" s="129"/>
      <c r="Q158" s="145"/>
      <c r="Y158" s="101"/>
      <c r="Z158" s="101"/>
      <c r="AA158" s="101"/>
      <c r="AB158" s="101"/>
      <c r="AC158" s="101"/>
      <c r="AD158" s="101"/>
      <c r="AE158" s="101"/>
      <c r="AF158" s="101"/>
      <c r="AG158" s="101"/>
      <c r="AH158" s="101"/>
      <c r="AI158" s="101"/>
      <c r="AJ158" s="101"/>
      <c r="AL158" s="101"/>
      <c r="AM158" s="101"/>
      <c r="AN158" s="101"/>
      <c r="AO158" s="101"/>
      <c r="AP158" s="101"/>
      <c r="AQ158" s="101"/>
      <c r="AR158" s="101"/>
      <c r="AS158" s="101"/>
      <c r="AT158" s="101"/>
      <c r="AU158" s="101"/>
      <c r="AV158" s="101"/>
    </row>
    <row r="159" spans="3:48" s="61" customFormat="1">
      <c r="C159" s="60"/>
      <c r="E159" s="125"/>
      <c r="F159" s="122"/>
      <c r="G159" s="146"/>
      <c r="L159" s="60"/>
      <c r="N159" s="97"/>
      <c r="O159" s="121"/>
      <c r="P159" s="129"/>
      <c r="Q159" s="145"/>
      <c r="Y159" s="101"/>
      <c r="Z159" s="101"/>
      <c r="AA159" s="101"/>
      <c r="AB159" s="101"/>
      <c r="AC159" s="101"/>
      <c r="AD159" s="101"/>
      <c r="AE159" s="101"/>
      <c r="AF159" s="101"/>
      <c r="AG159" s="101"/>
      <c r="AH159" s="101"/>
      <c r="AI159" s="101"/>
      <c r="AJ159" s="101"/>
      <c r="AL159" s="101"/>
      <c r="AM159" s="101"/>
      <c r="AN159" s="101"/>
      <c r="AO159" s="101"/>
      <c r="AP159" s="101"/>
      <c r="AQ159" s="101"/>
      <c r="AR159" s="101"/>
      <c r="AS159" s="101"/>
      <c r="AT159" s="101"/>
      <c r="AU159" s="101"/>
      <c r="AV159" s="101"/>
    </row>
    <row r="160" spans="3:48" s="61" customFormat="1">
      <c r="C160" s="60"/>
      <c r="E160" s="125"/>
      <c r="F160" s="122"/>
      <c r="G160" s="146"/>
      <c r="L160" s="60"/>
      <c r="N160" s="97"/>
      <c r="O160" s="121"/>
      <c r="P160" s="129"/>
      <c r="Q160" s="145"/>
      <c r="Y160" s="101"/>
      <c r="Z160" s="101"/>
      <c r="AA160" s="101"/>
      <c r="AB160" s="101"/>
      <c r="AC160" s="101"/>
      <c r="AD160" s="101"/>
      <c r="AE160" s="101"/>
      <c r="AF160" s="101"/>
      <c r="AG160" s="101"/>
      <c r="AH160" s="101"/>
      <c r="AI160" s="101"/>
      <c r="AJ160" s="101"/>
      <c r="AL160" s="101"/>
      <c r="AM160" s="101"/>
      <c r="AN160" s="101"/>
      <c r="AO160" s="101"/>
      <c r="AP160" s="101"/>
      <c r="AQ160" s="101"/>
      <c r="AR160" s="101"/>
      <c r="AS160" s="101"/>
      <c r="AT160" s="101"/>
      <c r="AU160" s="101"/>
      <c r="AV160" s="101"/>
    </row>
    <row r="161" spans="3:48" s="61" customFormat="1">
      <c r="C161" s="60"/>
      <c r="E161" s="125"/>
      <c r="F161" s="122"/>
      <c r="G161" s="146"/>
      <c r="L161" s="60"/>
      <c r="N161" s="97"/>
      <c r="O161" s="121"/>
      <c r="P161" s="129"/>
      <c r="Q161" s="145"/>
      <c r="Y161" s="101"/>
      <c r="Z161" s="101"/>
      <c r="AA161" s="101"/>
      <c r="AB161" s="101"/>
      <c r="AC161" s="101"/>
      <c r="AD161" s="101"/>
      <c r="AE161" s="101"/>
      <c r="AF161" s="101"/>
      <c r="AG161" s="101"/>
      <c r="AH161" s="101"/>
      <c r="AI161" s="101"/>
      <c r="AJ161" s="101"/>
      <c r="AL161" s="101"/>
      <c r="AM161" s="101"/>
      <c r="AN161" s="101"/>
      <c r="AO161" s="101"/>
      <c r="AP161" s="101"/>
      <c r="AQ161" s="101"/>
      <c r="AR161" s="101"/>
      <c r="AS161" s="101"/>
      <c r="AT161" s="101"/>
      <c r="AU161" s="101"/>
      <c r="AV161" s="101"/>
    </row>
    <row r="162" spans="3:48" s="61" customFormat="1">
      <c r="C162" s="60"/>
      <c r="E162" s="125"/>
      <c r="F162" s="122"/>
      <c r="G162" s="146"/>
      <c r="L162" s="60"/>
      <c r="N162" s="97"/>
      <c r="O162" s="121"/>
      <c r="P162" s="129"/>
      <c r="Q162" s="145"/>
      <c r="Y162" s="101"/>
      <c r="Z162" s="101"/>
      <c r="AA162" s="101"/>
      <c r="AB162" s="101"/>
      <c r="AC162" s="101"/>
      <c r="AD162" s="101"/>
      <c r="AE162" s="101"/>
      <c r="AF162" s="101"/>
      <c r="AG162" s="101"/>
      <c r="AH162" s="101"/>
      <c r="AI162" s="101"/>
      <c r="AJ162" s="101"/>
      <c r="AL162" s="101"/>
      <c r="AM162" s="101"/>
      <c r="AN162" s="101"/>
      <c r="AO162" s="101"/>
      <c r="AP162" s="101"/>
      <c r="AQ162" s="101"/>
      <c r="AR162" s="101"/>
      <c r="AS162" s="101"/>
      <c r="AT162" s="101"/>
      <c r="AU162" s="101"/>
      <c r="AV162" s="101"/>
    </row>
    <row r="163" spans="3:48" s="61" customFormat="1">
      <c r="C163" s="60"/>
      <c r="E163" s="125"/>
      <c r="F163" s="122"/>
      <c r="G163" s="146"/>
      <c r="L163" s="60"/>
      <c r="N163" s="97"/>
      <c r="O163" s="121"/>
      <c r="P163" s="129"/>
      <c r="Q163" s="145"/>
      <c r="Y163" s="101"/>
      <c r="Z163" s="101"/>
      <c r="AA163" s="101"/>
      <c r="AB163" s="101"/>
      <c r="AC163" s="101"/>
      <c r="AD163" s="101"/>
      <c r="AE163" s="101"/>
      <c r="AF163" s="101"/>
      <c r="AG163" s="101"/>
      <c r="AH163" s="101"/>
      <c r="AI163" s="101"/>
      <c r="AJ163" s="101"/>
      <c r="AL163" s="101"/>
      <c r="AM163" s="101"/>
      <c r="AN163" s="101"/>
      <c r="AO163" s="101"/>
      <c r="AP163" s="101"/>
      <c r="AQ163" s="101"/>
      <c r="AR163" s="101"/>
      <c r="AS163" s="101"/>
      <c r="AT163" s="101"/>
      <c r="AU163" s="101"/>
      <c r="AV163" s="101"/>
    </row>
    <row r="164" spans="3:48" s="61" customFormat="1">
      <c r="C164" s="60"/>
      <c r="E164" s="125"/>
      <c r="F164" s="122"/>
      <c r="G164" s="146"/>
      <c r="L164" s="60"/>
      <c r="N164" s="97"/>
      <c r="O164" s="121"/>
      <c r="P164" s="129"/>
      <c r="Q164" s="145"/>
      <c r="Y164" s="101"/>
      <c r="Z164" s="101"/>
      <c r="AA164" s="101"/>
      <c r="AB164" s="101"/>
      <c r="AC164" s="101"/>
      <c r="AD164" s="101"/>
      <c r="AE164" s="101"/>
      <c r="AF164" s="101"/>
      <c r="AG164" s="101"/>
      <c r="AH164" s="101"/>
      <c r="AI164" s="101"/>
      <c r="AJ164" s="101"/>
      <c r="AL164" s="101"/>
      <c r="AM164" s="101"/>
      <c r="AN164" s="101"/>
      <c r="AO164" s="101"/>
      <c r="AP164" s="101"/>
      <c r="AQ164" s="101"/>
      <c r="AR164" s="101"/>
      <c r="AS164" s="101"/>
      <c r="AT164" s="101"/>
      <c r="AU164" s="101"/>
      <c r="AV164" s="101"/>
    </row>
    <row r="165" spans="3:48" s="61" customFormat="1">
      <c r="C165" s="60"/>
      <c r="E165" s="125"/>
      <c r="F165" s="122"/>
      <c r="G165" s="146"/>
      <c r="L165" s="60"/>
      <c r="N165" s="97"/>
      <c r="O165" s="121"/>
      <c r="P165" s="129"/>
      <c r="Q165" s="145"/>
      <c r="Y165" s="101"/>
      <c r="Z165" s="101"/>
      <c r="AA165" s="101"/>
      <c r="AB165" s="101"/>
      <c r="AC165" s="101"/>
      <c r="AD165" s="101"/>
      <c r="AE165" s="101"/>
      <c r="AF165" s="101"/>
      <c r="AG165" s="101"/>
      <c r="AH165" s="101"/>
      <c r="AI165" s="101"/>
      <c r="AJ165" s="101"/>
      <c r="AL165" s="101"/>
      <c r="AM165" s="101"/>
      <c r="AN165" s="101"/>
      <c r="AO165" s="101"/>
      <c r="AP165" s="101"/>
      <c r="AQ165" s="101"/>
      <c r="AR165" s="101"/>
      <c r="AS165" s="101"/>
      <c r="AT165" s="101"/>
      <c r="AU165" s="101"/>
      <c r="AV165" s="101"/>
    </row>
    <row r="166" spans="3:48" s="61" customFormat="1">
      <c r="C166" s="60"/>
      <c r="E166" s="125"/>
      <c r="F166" s="122"/>
      <c r="G166" s="146"/>
      <c r="L166" s="60"/>
      <c r="N166" s="97"/>
      <c r="O166" s="121"/>
      <c r="P166" s="129"/>
      <c r="Q166" s="145"/>
      <c r="Y166" s="101"/>
      <c r="Z166" s="101"/>
      <c r="AA166" s="101"/>
      <c r="AB166" s="101"/>
      <c r="AC166" s="101"/>
      <c r="AD166" s="101"/>
      <c r="AE166" s="101"/>
      <c r="AF166" s="101"/>
      <c r="AG166" s="101"/>
      <c r="AH166" s="101"/>
      <c r="AI166" s="101"/>
      <c r="AJ166" s="101"/>
      <c r="AL166" s="101"/>
      <c r="AM166" s="101"/>
      <c r="AN166" s="101"/>
      <c r="AO166" s="101"/>
      <c r="AP166" s="101"/>
      <c r="AQ166" s="101"/>
      <c r="AR166" s="101"/>
      <c r="AS166" s="101"/>
      <c r="AT166" s="101"/>
      <c r="AU166" s="101"/>
      <c r="AV166" s="101"/>
    </row>
    <row r="167" spans="3:48" s="61" customFormat="1">
      <c r="C167" s="60"/>
      <c r="E167" s="125"/>
      <c r="F167" s="122"/>
      <c r="G167" s="146"/>
      <c r="L167" s="60"/>
      <c r="N167" s="97"/>
      <c r="O167" s="121"/>
      <c r="P167" s="129"/>
      <c r="Q167" s="145"/>
      <c r="Y167" s="101"/>
      <c r="Z167" s="101"/>
      <c r="AA167" s="101"/>
      <c r="AB167" s="101"/>
      <c r="AC167" s="101"/>
      <c r="AD167" s="101"/>
      <c r="AE167" s="101"/>
      <c r="AF167" s="101"/>
      <c r="AG167" s="101"/>
      <c r="AH167" s="101"/>
      <c r="AI167" s="101"/>
      <c r="AJ167" s="101"/>
      <c r="AL167" s="101"/>
      <c r="AM167" s="101"/>
      <c r="AN167" s="101"/>
      <c r="AO167" s="101"/>
      <c r="AP167" s="101"/>
      <c r="AQ167" s="101"/>
      <c r="AR167" s="101"/>
      <c r="AS167" s="101"/>
      <c r="AT167" s="101"/>
      <c r="AU167" s="101"/>
      <c r="AV167" s="101"/>
    </row>
    <row r="168" spans="3:48" s="61" customFormat="1">
      <c r="C168" s="60"/>
      <c r="E168" s="125"/>
      <c r="F168" s="122"/>
      <c r="G168" s="146"/>
      <c r="L168" s="60"/>
      <c r="N168" s="97"/>
      <c r="O168" s="121"/>
      <c r="P168" s="129"/>
      <c r="Q168" s="145"/>
      <c r="Y168" s="101"/>
      <c r="Z168" s="101"/>
      <c r="AA168" s="101"/>
      <c r="AB168" s="101"/>
      <c r="AC168" s="101"/>
      <c r="AD168" s="101"/>
      <c r="AE168" s="101"/>
      <c r="AF168" s="101"/>
      <c r="AG168" s="101"/>
      <c r="AH168" s="101"/>
      <c r="AI168" s="101"/>
      <c r="AJ168" s="101"/>
      <c r="AL168" s="101"/>
      <c r="AM168" s="101"/>
      <c r="AN168" s="101"/>
      <c r="AO168" s="101"/>
      <c r="AP168" s="101"/>
      <c r="AQ168" s="101"/>
      <c r="AR168" s="101"/>
      <c r="AS168" s="101"/>
      <c r="AT168" s="101"/>
      <c r="AU168" s="101"/>
      <c r="AV168" s="101"/>
    </row>
    <row r="169" spans="3:48" s="61" customFormat="1">
      <c r="C169" s="60"/>
      <c r="E169" s="125"/>
      <c r="F169" s="122"/>
      <c r="G169" s="146"/>
      <c r="L169" s="60"/>
      <c r="N169" s="97"/>
      <c r="O169" s="121"/>
      <c r="P169" s="129"/>
      <c r="Q169" s="145"/>
      <c r="Y169" s="101"/>
      <c r="Z169" s="101"/>
      <c r="AA169" s="101"/>
      <c r="AB169" s="101"/>
      <c r="AC169" s="101"/>
      <c r="AD169" s="101"/>
      <c r="AE169" s="101"/>
      <c r="AF169" s="101"/>
      <c r="AG169" s="101"/>
      <c r="AH169" s="101"/>
      <c r="AI169" s="101"/>
      <c r="AJ169" s="101"/>
      <c r="AL169" s="101"/>
      <c r="AM169" s="101"/>
      <c r="AN169" s="101"/>
      <c r="AO169" s="101"/>
      <c r="AP169" s="101"/>
      <c r="AQ169" s="101"/>
      <c r="AR169" s="101"/>
      <c r="AS169" s="101"/>
      <c r="AT169" s="101"/>
      <c r="AU169" s="101"/>
      <c r="AV169" s="101"/>
    </row>
    <row r="170" spans="3:48" s="61" customFormat="1">
      <c r="C170" s="60"/>
      <c r="E170" s="125"/>
      <c r="F170" s="122"/>
      <c r="G170" s="146"/>
      <c r="L170" s="60"/>
      <c r="N170" s="97"/>
      <c r="O170" s="121"/>
      <c r="P170" s="129"/>
      <c r="Q170" s="145"/>
      <c r="Y170" s="101"/>
      <c r="Z170" s="101"/>
      <c r="AA170" s="101"/>
      <c r="AB170" s="101"/>
      <c r="AC170" s="101"/>
      <c r="AD170" s="101"/>
      <c r="AE170" s="101"/>
      <c r="AF170" s="101"/>
      <c r="AG170" s="101"/>
      <c r="AH170" s="101"/>
      <c r="AI170" s="101"/>
      <c r="AJ170" s="101"/>
      <c r="AL170" s="101"/>
      <c r="AM170" s="101"/>
      <c r="AN170" s="101"/>
      <c r="AO170" s="101"/>
      <c r="AP170" s="101"/>
      <c r="AQ170" s="101"/>
      <c r="AR170" s="101"/>
      <c r="AS170" s="101"/>
      <c r="AT170" s="101"/>
      <c r="AU170" s="101"/>
      <c r="AV170" s="101"/>
    </row>
    <row r="171" spans="3:48" s="61" customFormat="1">
      <c r="C171" s="60"/>
      <c r="E171" s="125"/>
      <c r="F171" s="122"/>
      <c r="G171" s="146"/>
      <c r="L171" s="60"/>
      <c r="N171" s="97"/>
      <c r="O171" s="121"/>
      <c r="P171" s="129"/>
      <c r="Q171" s="145"/>
      <c r="Y171" s="101"/>
      <c r="Z171" s="101"/>
      <c r="AA171" s="101"/>
      <c r="AB171" s="101"/>
      <c r="AC171" s="101"/>
      <c r="AD171" s="101"/>
      <c r="AE171" s="101"/>
      <c r="AF171" s="101"/>
      <c r="AG171" s="101"/>
      <c r="AH171" s="101"/>
      <c r="AI171" s="101"/>
      <c r="AJ171" s="101"/>
      <c r="AL171" s="101"/>
      <c r="AM171" s="101"/>
      <c r="AN171" s="101"/>
      <c r="AO171" s="101"/>
      <c r="AP171" s="101"/>
      <c r="AQ171" s="101"/>
      <c r="AR171" s="101"/>
      <c r="AS171" s="101"/>
      <c r="AT171" s="101"/>
      <c r="AU171" s="101"/>
      <c r="AV171" s="101"/>
    </row>
    <row r="172" spans="3:48" s="61" customFormat="1">
      <c r="C172" s="60"/>
      <c r="E172" s="125"/>
      <c r="F172" s="122"/>
      <c r="G172" s="146"/>
      <c r="L172" s="60"/>
      <c r="N172" s="97"/>
      <c r="O172" s="121"/>
      <c r="P172" s="129"/>
      <c r="Q172" s="145"/>
      <c r="Y172" s="101"/>
      <c r="Z172" s="101"/>
      <c r="AA172" s="101"/>
      <c r="AB172" s="101"/>
      <c r="AC172" s="101"/>
      <c r="AD172" s="101"/>
      <c r="AE172" s="101"/>
      <c r="AF172" s="101"/>
      <c r="AG172" s="101"/>
      <c r="AH172" s="101"/>
      <c r="AI172" s="101"/>
      <c r="AJ172" s="101"/>
      <c r="AL172" s="101"/>
      <c r="AM172" s="101"/>
      <c r="AN172" s="101"/>
      <c r="AO172" s="101"/>
      <c r="AP172" s="101"/>
      <c r="AQ172" s="101"/>
      <c r="AR172" s="101"/>
      <c r="AS172" s="101"/>
      <c r="AT172" s="101"/>
      <c r="AU172" s="101"/>
      <c r="AV172" s="101"/>
    </row>
    <row r="173" spans="3:48" s="61" customFormat="1">
      <c r="C173" s="60"/>
      <c r="E173" s="125"/>
      <c r="F173" s="122"/>
      <c r="G173" s="146"/>
      <c r="L173" s="60"/>
      <c r="N173" s="97"/>
      <c r="O173" s="121"/>
      <c r="P173" s="129"/>
      <c r="Q173" s="145"/>
      <c r="Y173" s="101"/>
      <c r="Z173" s="101"/>
      <c r="AA173" s="101"/>
      <c r="AB173" s="101"/>
      <c r="AC173" s="101"/>
      <c r="AD173" s="101"/>
      <c r="AE173" s="101"/>
      <c r="AF173" s="101"/>
      <c r="AG173" s="101"/>
      <c r="AH173" s="101"/>
      <c r="AI173" s="101"/>
      <c r="AJ173" s="101"/>
      <c r="AL173" s="101"/>
      <c r="AM173" s="101"/>
      <c r="AN173" s="101"/>
      <c r="AO173" s="101"/>
      <c r="AP173" s="101"/>
      <c r="AQ173" s="101"/>
      <c r="AR173" s="101"/>
      <c r="AS173" s="101"/>
      <c r="AT173" s="101"/>
      <c r="AU173" s="101"/>
      <c r="AV173" s="101"/>
    </row>
    <row r="174" spans="3:48" s="61" customFormat="1">
      <c r="C174" s="60"/>
      <c r="E174" s="125"/>
      <c r="F174" s="122"/>
      <c r="G174" s="146"/>
      <c r="L174" s="60"/>
      <c r="N174" s="97"/>
      <c r="O174" s="121"/>
      <c r="P174" s="129"/>
      <c r="Q174" s="145"/>
      <c r="Y174" s="101"/>
      <c r="Z174" s="101"/>
      <c r="AA174" s="101"/>
      <c r="AB174" s="101"/>
      <c r="AC174" s="101"/>
      <c r="AD174" s="101"/>
      <c r="AE174" s="101"/>
      <c r="AF174" s="101"/>
      <c r="AG174" s="101"/>
      <c r="AH174" s="101"/>
      <c r="AI174" s="101"/>
      <c r="AJ174" s="101"/>
      <c r="AL174" s="101"/>
      <c r="AM174" s="101"/>
      <c r="AN174" s="101"/>
      <c r="AO174" s="101"/>
      <c r="AP174" s="101"/>
      <c r="AQ174" s="101"/>
      <c r="AR174" s="101"/>
      <c r="AS174" s="101"/>
      <c r="AT174" s="101"/>
      <c r="AU174" s="101"/>
      <c r="AV174" s="101"/>
    </row>
    <row r="175" spans="3:48" s="61" customFormat="1">
      <c r="C175" s="60"/>
      <c r="E175" s="125"/>
      <c r="F175" s="122"/>
      <c r="G175" s="146"/>
      <c r="L175" s="60"/>
      <c r="N175" s="97"/>
      <c r="O175" s="121"/>
      <c r="P175" s="129"/>
      <c r="Q175" s="145"/>
      <c r="Y175" s="101"/>
      <c r="Z175" s="101"/>
      <c r="AA175" s="101"/>
      <c r="AB175" s="101"/>
      <c r="AC175" s="101"/>
      <c r="AD175" s="101"/>
      <c r="AE175" s="101"/>
      <c r="AF175" s="101"/>
      <c r="AG175" s="101"/>
      <c r="AH175" s="101"/>
      <c r="AI175" s="101"/>
      <c r="AJ175" s="101"/>
      <c r="AL175" s="101"/>
      <c r="AM175" s="101"/>
      <c r="AN175" s="101"/>
      <c r="AO175" s="101"/>
      <c r="AP175" s="101"/>
      <c r="AQ175" s="101"/>
      <c r="AR175" s="101"/>
      <c r="AS175" s="101"/>
      <c r="AT175" s="101"/>
      <c r="AU175" s="101"/>
      <c r="AV175" s="101"/>
    </row>
    <row r="176" spans="3:48" s="61" customFormat="1">
      <c r="C176" s="60"/>
      <c r="E176" s="125"/>
      <c r="F176" s="122"/>
      <c r="G176" s="146"/>
      <c r="L176" s="60"/>
      <c r="N176" s="97"/>
      <c r="O176" s="121"/>
      <c r="P176" s="129"/>
      <c r="Q176" s="145"/>
      <c r="Y176" s="101"/>
      <c r="Z176" s="101"/>
      <c r="AA176" s="101"/>
      <c r="AB176" s="101"/>
      <c r="AC176" s="101"/>
      <c r="AD176" s="101"/>
      <c r="AE176" s="101"/>
      <c r="AF176" s="101"/>
      <c r="AG176" s="101"/>
      <c r="AH176" s="101"/>
      <c r="AI176" s="101"/>
      <c r="AJ176" s="101"/>
      <c r="AL176" s="101"/>
      <c r="AM176" s="101"/>
      <c r="AN176" s="101"/>
      <c r="AO176" s="101"/>
      <c r="AP176" s="101"/>
      <c r="AQ176" s="101"/>
      <c r="AR176" s="101"/>
      <c r="AS176" s="101"/>
      <c r="AT176" s="101"/>
      <c r="AU176" s="101"/>
      <c r="AV176" s="101"/>
    </row>
    <row r="177" spans="3:48" s="61" customFormat="1">
      <c r="C177" s="60"/>
      <c r="E177" s="125"/>
      <c r="F177" s="122"/>
      <c r="G177" s="146"/>
      <c r="L177" s="60"/>
      <c r="N177" s="97"/>
      <c r="O177" s="121"/>
      <c r="P177" s="129"/>
      <c r="Q177" s="145"/>
      <c r="Y177" s="101"/>
      <c r="Z177" s="101"/>
      <c r="AA177" s="101"/>
      <c r="AB177" s="101"/>
      <c r="AC177" s="101"/>
      <c r="AD177" s="101"/>
      <c r="AE177" s="101"/>
      <c r="AF177" s="101"/>
      <c r="AG177" s="101"/>
      <c r="AH177" s="101"/>
      <c r="AI177" s="101"/>
      <c r="AJ177" s="101"/>
      <c r="AL177" s="101"/>
      <c r="AM177" s="101"/>
      <c r="AN177" s="101"/>
      <c r="AO177" s="101"/>
      <c r="AP177" s="101"/>
      <c r="AQ177" s="101"/>
      <c r="AR177" s="101"/>
      <c r="AS177" s="101"/>
      <c r="AT177" s="101"/>
      <c r="AU177" s="101"/>
      <c r="AV177" s="101"/>
    </row>
    <row r="178" spans="3:48" s="61" customFormat="1">
      <c r="C178" s="60"/>
      <c r="E178" s="125"/>
      <c r="F178" s="122"/>
      <c r="G178" s="146"/>
      <c r="L178" s="60"/>
      <c r="N178" s="97"/>
      <c r="O178" s="121"/>
      <c r="P178" s="129"/>
      <c r="Q178" s="145"/>
      <c r="Y178" s="101"/>
      <c r="Z178" s="101"/>
      <c r="AA178" s="101"/>
      <c r="AB178" s="101"/>
      <c r="AC178" s="101"/>
      <c r="AD178" s="101"/>
      <c r="AE178" s="101"/>
      <c r="AF178" s="101"/>
      <c r="AG178" s="101"/>
      <c r="AH178" s="101"/>
      <c r="AI178" s="101"/>
      <c r="AJ178" s="101"/>
      <c r="AL178" s="101"/>
      <c r="AM178" s="101"/>
      <c r="AN178" s="101"/>
      <c r="AO178" s="101"/>
      <c r="AP178" s="101"/>
      <c r="AQ178" s="101"/>
      <c r="AR178" s="101"/>
      <c r="AS178" s="101"/>
      <c r="AT178" s="101"/>
      <c r="AU178" s="101"/>
      <c r="AV178" s="101"/>
    </row>
    <row r="179" spans="3:48" s="61" customFormat="1">
      <c r="C179" s="60"/>
      <c r="E179" s="125"/>
      <c r="F179" s="122"/>
      <c r="G179" s="146"/>
      <c r="L179" s="60"/>
      <c r="N179" s="97"/>
      <c r="O179" s="121"/>
      <c r="P179" s="129"/>
      <c r="Q179" s="145"/>
      <c r="Y179" s="101"/>
      <c r="Z179" s="101"/>
      <c r="AA179" s="101"/>
      <c r="AB179" s="101"/>
      <c r="AC179" s="101"/>
      <c r="AD179" s="101"/>
      <c r="AE179" s="101"/>
      <c r="AF179" s="101"/>
      <c r="AG179" s="101"/>
      <c r="AH179" s="101"/>
      <c r="AI179" s="101"/>
      <c r="AJ179" s="101"/>
      <c r="AL179" s="101"/>
      <c r="AM179" s="101"/>
      <c r="AN179" s="101"/>
      <c r="AO179" s="101"/>
      <c r="AP179" s="101"/>
      <c r="AQ179" s="101"/>
      <c r="AR179" s="101"/>
      <c r="AS179" s="101"/>
      <c r="AT179" s="101"/>
      <c r="AU179" s="101"/>
      <c r="AV179" s="101"/>
    </row>
    <row r="180" spans="3:48" s="61" customFormat="1">
      <c r="C180" s="60"/>
      <c r="E180" s="125"/>
      <c r="F180" s="122"/>
      <c r="G180" s="146"/>
      <c r="L180" s="60"/>
      <c r="N180" s="97"/>
      <c r="O180" s="121"/>
      <c r="P180" s="129"/>
      <c r="Q180" s="145"/>
      <c r="Y180" s="101"/>
      <c r="Z180" s="101"/>
      <c r="AA180" s="101"/>
      <c r="AB180" s="101"/>
      <c r="AC180" s="101"/>
      <c r="AD180" s="101"/>
      <c r="AE180" s="101"/>
      <c r="AF180" s="101"/>
      <c r="AG180" s="101"/>
      <c r="AH180" s="101"/>
      <c r="AI180" s="101"/>
      <c r="AJ180" s="101"/>
      <c r="AL180" s="101"/>
      <c r="AM180" s="101"/>
      <c r="AN180" s="101"/>
      <c r="AO180" s="101"/>
      <c r="AP180" s="101"/>
      <c r="AQ180" s="101"/>
      <c r="AR180" s="101"/>
      <c r="AS180" s="101"/>
      <c r="AT180" s="101"/>
      <c r="AU180" s="101"/>
      <c r="AV180" s="101"/>
    </row>
    <row r="181" spans="3:48" s="61" customFormat="1">
      <c r="C181" s="60"/>
      <c r="E181" s="125"/>
      <c r="F181" s="122"/>
      <c r="G181" s="146"/>
      <c r="L181" s="60"/>
      <c r="N181" s="97"/>
      <c r="O181" s="121"/>
      <c r="P181" s="129"/>
      <c r="Q181" s="145"/>
      <c r="Y181" s="101"/>
      <c r="Z181" s="101"/>
      <c r="AA181" s="101"/>
      <c r="AB181" s="101"/>
      <c r="AC181" s="101"/>
      <c r="AD181" s="101"/>
      <c r="AE181" s="101"/>
      <c r="AF181" s="101"/>
      <c r="AG181" s="101"/>
      <c r="AH181" s="101"/>
      <c r="AI181" s="101"/>
      <c r="AJ181" s="101"/>
      <c r="AL181" s="101"/>
      <c r="AM181" s="101"/>
      <c r="AN181" s="101"/>
      <c r="AO181" s="101"/>
      <c r="AP181" s="101"/>
      <c r="AQ181" s="101"/>
      <c r="AR181" s="101"/>
      <c r="AS181" s="101"/>
      <c r="AT181" s="101"/>
      <c r="AU181" s="101"/>
      <c r="AV181" s="101"/>
    </row>
    <row r="182" spans="3:48" s="61" customFormat="1">
      <c r="C182" s="60"/>
      <c r="E182" s="125"/>
      <c r="F182" s="122"/>
      <c r="G182" s="146"/>
      <c r="L182" s="60"/>
      <c r="N182" s="97"/>
      <c r="O182" s="121"/>
      <c r="P182" s="129"/>
      <c r="Q182" s="145"/>
      <c r="Y182" s="101"/>
      <c r="Z182" s="101"/>
      <c r="AA182" s="101"/>
      <c r="AB182" s="101"/>
      <c r="AC182" s="101"/>
      <c r="AD182" s="101"/>
      <c r="AE182" s="101"/>
      <c r="AF182" s="101"/>
      <c r="AG182" s="101"/>
      <c r="AH182" s="101"/>
      <c r="AI182" s="101"/>
      <c r="AJ182" s="101"/>
      <c r="AL182" s="101"/>
      <c r="AM182" s="101"/>
      <c r="AN182" s="101"/>
      <c r="AO182" s="101"/>
      <c r="AP182" s="101"/>
      <c r="AQ182" s="101"/>
      <c r="AR182" s="101"/>
      <c r="AS182" s="101"/>
      <c r="AT182" s="101"/>
      <c r="AU182" s="101"/>
      <c r="AV182" s="101"/>
    </row>
    <row r="183" spans="3:48" s="61" customFormat="1">
      <c r="C183" s="60"/>
      <c r="E183" s="125"/>
      <c r="F183" s="122"/>
      <c r="G183" s="146"/>
      <c r="L183" s="60"/>
      <c r="N183" s="97"/>
      <c r="O183" s="121"/>
      <c r="P183" s="129"/>
      <c r="Q183" s="145"/>
      <c r="Y183" s="101"/>
      <c r="Z183" s="101"/>
      <c r="AA183" s="101"/>
      <c r="AB183" s="101"/>
      <c r="AC183" s="101"/>
      <c r="AD183" s="101"/>
      <c r="AE183" s="101"/>
      <c r="AF183" s="101"/>
      <c r="AG183" s="101"/>
      <c r="AH183" s="101"/>
      <c r="AI183" s="101"/>
      <c r="AJ183" s="101"/>
      <c r="AL183" s="101"/>
      <c r="AM183" s="101"/>
      <c r="AN183" s="101"/>
      <c r="AO183" s="101"/>
      <c r="AP183" s="101"/>
      <c r="AQ183" s="101"/>
      <c r="AR183" s="101"/>
      <c r="AS183" s="101"/>
      <c r="AT183" s="101"/>
      <c r="AU183" s="101"/>
      <c r="AV183" s="101"/>
    </row>
    <row r="184" spans="3:48" s="61" customFormat="1">
      <c r="C184" s="60"/>
      <c r="E184" s="125"/>
      <c r="F184" s="122"/>
      <c r="G184" s="146"/>
      <c r="L184" s="60"/>
      <c r="N184" s="97"/>
      <c r="O184" s="121"/>
      <c r="P184" s="129"/>
      <c r="Q184" s="145"/>
      <c r="Y184" s="101"/>
      <c r="Z184" s="101"/>
      <c r="AA184" s="101"/>
      <c r="AB184" s="101"/>
      <c r="AC184" s="101"/>
      <c r="AD184" s="101"/>
      <c r="AE184" s="101"/>
      <c r="AF184" s="101"/>
      <c r="AG184" s="101"/>
      <c r="AH184" s="101"/>
      <c r="AI184" s="101"/>
      <c r="AJ184" s="101"/>
      <c r="AL184" s="101"/>
      <c r="AM184" s="101"/>
      <c r="AN184" s="101"/>
      <c r="AO184" s="101"/>
      <c r="AP184" s="101"/>
      <c r="AQ184" s="101"/>
      <c r="AR184" s="101"/>
      <c r="AS184" s="101"/>
      <c r="AT184" s="101"/>
      <c r="AU184" s="101"/>
      <c r="AV184" s="101"/>
    </row>
    <row r="185" spans="3:48" s="61" customFormat="1">
      <c r="C185" s="60"/>
      <c r="E185" s="125"/>
      <c r="F185" s="122"/>
      <c r="G185" s="146"/>
      <c r="L185" s="60"/>
      <c r="N185" s="97"/>
      <c r="O185" s="121"/>
      <c r="P185" s="129"/>
      <c r="Q185" s="145"/>
      <c r="Y185" s="101"/>
      <c r="Z185" s="101"/>
      <c r="AA185" s="101"/>
      <c r="AB185" s="101"/>
      <c r="AC185" s="101"/>
      <c r="AD185" s="101"/>
      <c r="AE185" s="101"/>
      <c r="AF185" s="101"/>
      <c r="AG185" s="101"/>
      <c r="AH185" s="101"/>
      <c r="AI185" s="101"/>
      <c r="AJ185" s="101"/>
      <c r="AL185" s="101"/>
      <c r="AM185" s="101"/>
      <c r="AN185" s="101"/>
      <c r="AO185" s="101"/>
      <c r="AP185" s="101"/>
      <c r="AQ185" s="101"/>
      <c r="AR185" s="101"/>
      <c r="AS185" s="101"/>
      <c r="AT185" s="101"/>
      <c r="AU185" s="101"/>
      <c r="AV185" s="101"/>
    </row>
    <row r="186" spans="3:48" s="61" customFormat="1">
      <c r="C186" s="60"/>
      <c r="E186" s="125"/>
      <c r="F186" s="122"/>
      <c r="G186" s="146"/>
      <c r="L186" s="60"/>
      <c r="N186" s="97"/>
      <c r="O186" s="121"/>
      <c r="P186" s="129"/>
      <c r="Q186" s="145"/>
      <c r="Y186" s="101"/>
      <c r="Z186" s="101"/>
      <c r="AA186" s="101"/>
      <c r="AB186" s="101"/>
      <c r="AC186" s="101"/>
      <c r="AD186" s="101"/>
      <c r="AE186" s="101"/>
      <c r="AF186" s="101"/>
      <c r="AG186" s="101"/>
      <c r="AH186" s="101"/>
      <c r="AI186" s="101"/>
      <c r="AJ186" s="101"/>
      <c r="AL186" s="101"/>
      <c r="AM186" s="101"/>
      <c r="AN186" s="101"/>
      <c r="AO186" s="101"/>
      <c r="AP186" s="101"/>
      <c r="AQ186" s="101"/>
      <c r="AR186" s="101"/>
      <c r="AS186" s="101"/>
      <c r="AT186" s="101"/>
      <c r="AU186" s="101"/>
      <c r="AV186" s="101"/>
    </row>
    <row r="187" spans="3:48" s="61" customFormat="1">
      <c r="C187" s="60"/>
      <c r="E187" s="125"/>
      <c r="F187" s="122"/>
      <c r="G187" s="146"/>
      <c r="L187" s="60"/>
      <c r="N187" s="97"/>
      <c r="O187" s="121"/>
      <c r="P187" s="129"/>
      <c r="Q187" s="145"/>
      <c r="Y187" s="101"/>
      <c r="Z187" s="101"/>
      <c r="AA187" s="101"/>
      <c r="AB187" s="101"/>
      <c r="AC187" s="101"/>
      <c r="AD187" s="101"/>
      <c r="AE187" s="101"/>
      <c r="AF187" s="101"/>
      <c r="AG187" s="101"/>
      <c r="AH187" s="101"/>
      <c r="AI187" s="101"/>
      <c r="AJ187" s="101"/>
      <c r="AL187" s="101"/>
      <c r="AM187" s="101"/>
      <c r="AN187" s="101"/>
      <c r="AO187" s="101"/>
      <c r="AP187" s="101"/>
      <c r="AQ187" s="101"/>
      <c r="AR187" s="101"/>
      <c r="AS187" s="101"/>
      <c r="AT187" s="101"/>
      <c r="AU187" s="101"/>
      <c r="AV187" s="101"/>
    </row>
    <row r="188" spans="3:48" s="61" customFormat="1">
      <c r="C188" s="60"/>
      <c r="E188" s="125"/>
      <c r="F188" s="122"/>
      <c r="G188" s="146"/>
      <c r="L188" s="60"/>
      <c r="N188" s="97"/>
      <c r="O188" s="121"/>
      <c r="P188" s="129"/>
      <c r="Q188" s="145"/>
      <c r="Y188" s="101"/>
      <c r="Z188" s="101"/>
      <c r="AA188" s="101"/>
      <c r="AB188" s="101"/>
      <c r="AC188" s="101"/>
      <c r="AD188" s="101"/>
      <c r="AE188" s="101"/>
      <c r="AF188" s="101"/>
      <c r="AG188" s="101"/>
      <c r="AH188" s="101"/>
      <c r="AI188" s="101"/>
      <c r="AJ188" s="101"/>
      <c r="AL188" s="101"/>
      <c r="AM188" s="101"/>
      <c r="AN188" s="101"/>
      <c r="AO188" s="101"/>
      <c r="AP188" s="101"/>
      <c r="AQ188" s="101"/>
      <c r="AR188" s="101"/>
      <c r="AS188" s="101"/>
      <c r="AT188" s="101"/>
      <c r="AU188" s="101"/>
      <c r="AV188" s="101"/>
    </row>
    <row r="189" spans="3:48" s="61" customFormat="1">
      <c r="C189" s="60"/>
      <c r="E189" s="125"/>
      <c r="F189" s="122"/>
      <c r="G189" s="146"/>
      <c r="L189" s="60"/>
      <c r="N189" s="97"/>
      <c r="O189" s="121"/>
      <c r="P189" s="129"/>
      <c r="Q189" s="145"/>
      <c r="Y189" s="101"/>
      <c r="Z189" s="101"/>
      <c r="AA189" s="101"/>
      <c r="AB189" s="101"/>
      <c r="AC189" s="101"/>
      <c r="AD189" s="101"/>
      <c r="AE189" s="101"/>
      <c r="AF189" s="101"/>
      <c r="AG189" s="101"/>
      <c r="AH189" s="101"/>
      <c r="AI189" s="101"/>
      <c r="AJ189" s="101"/>
      <c r="AL189" s="101"/>
      <c r="AM189" s="101"/>
      <c r="AN189" s="101"/>
      <c r="AO189" s="101"/>
      <c r="AP189" s="101"/>
      <c r="AQ189" s="101"/>
      <c r="AR189" s="101"/>
      <c r="AS189" s="101"/>
      <c r="AT189" s="101"/>
      <c r="AU189" s="101"/>
      <c r="AV189" s="101"/>
    </row>
    <row r="190" spans="3:48" s="61" customFormat="1">
      <c r="C190" s="60"/>
      <c r="E190" s="125"/>
      <c r="F190" s="122"/>
      <c r="G190" s="146"/>
      <c r="L190" s="60"/>
      <c r="N190" s="97"/>
      <c r="O190" s="121"/>
      <c r="P190" s="129"/>
      <c r="Q190" s="145"/>
      <c r="Y190" s="101"/>
      <c r="Z190" s="101"/>
      <c r="AA190" s="101"/>
      <c r="AB190" s="101"/>
      <c r="AC190" s="101"/>
      <c r="AD190" s="101"/>
      <c r="AE190" s="101"/>
      <c r="AF190" s="101"/>
      <c r="AG190" s="101"/>
      <c r="AH190" s="101"/>
      <c r="AI190" s="101"/>
      <c r="AJ190" s="101"/>
      <c r="AL190" s="101"/>
      <c r="AM190" s="101"/>
      <c r="AN190" s="101"/>
      <c r="AO190" s="101"/>
      <c r="AP190" s="101"/>
      <c r="AQ190" s="101"/>
      <c r="AR190" s="101"/>
      <c r="AS190" s="101"/>
      <c r="AT190" s="101"/>
      <c r="AU190" s="101"/>
      <c r="AV190" s="101"/>
    </row>
    <row r="191" spans="3:48" s="61" customFormat="1">
      <c r="C191" s="60"/>
      <c r="E191" s="125"/>
      <c r="F191" s="122"/>
      <c r="G191" s="146"/>
      <c r="L191" s="60"/>
      <c r="N191" s="97"/>
      <c r="O191" s="121"/>
      <c r="P191" s="129"/>
      <c r="Q191" s="145"/>
      <c r="Y191" s="101"/>
      <c r="Z191" s="101"/>
      <c r="AA191" s="101"/>
      <c r="AB191" s="101"/>
      <c r="AC191" s="101"/>
      <c r="AD191" s="101"/>
      <c r="AE191" s="101"/>
      <c r="AF191" s="101"/>
      <c r="AG191" s="101"/>
      <c r="AH191" s="101"/>
      <c r="AI191" s="101"/>
      <c r="AJ191" s="101"/>
      <c r="AL191" s="101"/>
      <c r="AM191" s="101"/>
      <c r="AN191" s="101"/>
      <c r="AO191" s="101"/>
      <c r="AP191" s="101"/>
      <c r="AQ191" s="101"/>
      <c r="AR191" s="101"/>
      <c r="AS191" s="101"/>
      <c r="AT191" s="101"/>
      <c r="AU191" s="101"/>
      <c r="AV191" s="101"/>
    </row>
    <row r="192" spans="3:48" s="61" customFormat="1">
      <c r="C192" s="60"/>
      <c r="E192" s="125"/>
      <c r="F192" s="122"/>
      <c r="G192" s="146"/>
      <c r="L192" s="60"/>
      <c r="N192" s="97"/>
      <c r="O192" s="121"/>
      <c r="P192" s="129"/>
      <c r="Q192" s="145"/>
      <c r="Y192" s="101"/>
      <c r="Z192" s="101"/>
      <c r="AA192" s="101"/>
      <c r="AB192" s="101"/>
      <c r="AC192" s="101"/>
      <c r="AD192" s="101"/>
      <c r="AE192" s="101"/>
      <c r="AF192" s="101"/>
      <c r="AG192" s="101"/>
      <c r="AH192" s="101"/>
      <c r="AI192" s="101"/>
      <c r="AJ192" s="101"/>
      <c r="AL192" s="101"/>
      <c r="AM192" s="101"/>
      <c r="AN192" s="101"/>
      <c r="AO192" s="101"/>
      <c r="AP192" s="101"/>
      <c r="AQ192" s="101"/>
      <c r="AR192" s="101"/>
      <c r="AS192" s="101"/>
      <c r="AT192" s="101"/>
      <c r="AU192" s="101"/>
      <c r="AV192" s="101"/>
    </row>
    <row r="193" spans="1:48" s="61" customFormat="1">
      <c r="C193" s="60"/>
      <c r="E193" s="125"/>
      <c r="F193" s="122"/>
      <c r="G193" s="146"/>
      <c r="L193" s="60"/>
      <c r="N193" s="97"/>
      <c r="O193" s="121"/>
      <c r="P193" s="129"/>
      <c r="Q193" s="145"/>
      <c r="Y193" s="101"/>
      <c r="Z193" s="101"/>
      <c r="AA193" s="101"/>
      <c r="AB193" s="101"/>
      <c r="AC193" s="101"/>
      <c r="AD193" s="101"/>
      <c r="AE193" s="101"/>
      <c r="AF193" s="101"/>
      <c r="AG193" s="101"/>
      <c r="AH193" s="101"/>
      <c r="AI193" s="101"/>
      <c r="AJ193" s="101"/>
      <c r="AL193" s="101"/>
      <c r="AM193" s="101"/>
      <c r="AN193" s="101"/>
      <c r="AO193" s="101"/>
      <c r="AP193" s="101"/>
      <c r="AQ193" s="101"/>
      <c r="AR193" s="101"/>
      <c r="AS193" s="101"/>
      <c r="AT193" s="101"/>
      <c r="AU193" s="101"/>
      <c r="AV193" s="101"/>
    </row>
    <row r="194" spans="1:48" s="61" customFormat="1">
      <c r="C194" s="60"/>
      <c r="E194" s="125"/>
      <c r="F194" s="122"/>
      <c r="G194" s="146"/>
      <c r="L194" s="60"/>
      <c r="N194" s="97"/>
      <c r="O194" s="121"/>
      <c r="P194" s="129"/>
      <c r="Q194" s="145"/>
      <c r="Y194" s="101"/>
      <c r="Z194" s="101"/>
      <c r="AA194" s="101"/>
      <c r="AB194" s="101"/>
      <c r="AC194" s="101"/>
      <c r="AD194" s="101"/>
      <c r="AE194" s="101"/>
      <c r="AF194" s="101"/>
      <c r="AG194" s="101"/>
      <c r="AH194" s="101"/>
      <c r="AI194" s="101"/>
      <c r="AJ194" s="101"/>
      <c r="AL194" s="101"/>
      <c r="AM194" s="101"/>
      <c r="AN194" s="101"/>
      <c r="AO194" s="101"/>
      <c r="AP194" s="101"/>
      <c r="AQ194" s="101"/>
      <c r="AR194" s="101"/>
      <c r="AS194" s="101"/>
      <c r="AT194" s="101"/>
      <c r="AU194" s="101"/>
      <c r="AV194" s="101"/>
    </row>
    <row r="195" spans="1:48" s="61" customFormat="1">
      <c r="C195" s="60"/>
      <c r="E195" s="125"/>
      <c r="F195" s="122"/>
      <c r="G195" s="146"/>
      <c r="L195" s="60"/>
      <c r="N195" s="97"/>
      <c r="O195" s="121"/>
      <c r="P195" s="129"/>
      <c r="Q195" s="145"/>
      <c r="Y195" s="101"/>
      <c r="Z195" s="101"/>
      <c r="AA195" s="101"/>
      <c r="AB195" s="101"/>
      <c r="AC195" s="101"/>
      <c r="AD195" s="101"/>
      <c r="AE195" s="101"/>
      <c r="AF195" s="101"/>
      <c r="AG195" s="101"/>
      <c r="AH195" s="101"/>
      <c r="AI195" s="101"/>
      <c r="AJ195" s="101"/>
      <c r="AL195" s="101"/>
      <c r="AM195" s="101"/>
      <c r="AN195" s="101"/>
      <c r="AO195" s="101"/>
      <c r="AP195" s="101"/>
      <c r="AQ195" s="101"/>
      <c r="AR195" s="101"/>
      <c r="AS195" s="101"/>
      <c r="AT195" s="101"/>
      <c r="AU195" s="101"/>
      <c r="AV195" s="101"/>
    </row>
    <row r="196" spans="1:48" s="63" customFormat="1">
      <c r="A196" s="61"/>
      <c r="B196" s="61"/>
      <c r="C196" s="60"/>
      <c r="E196" s="125"/>
      <c r="F196" s="122"/>
      <c r="G196" s="132"/>
      <c r="J196" s="61"/>
      <c r="K196" s="61"/>
      <c r="L196" s="62"/>
      <c r="N196" s="97"/>
      <c r="O196" s="121"/>
      <c r="P196" s="129"/>
      <c r="Q196" s="133"/>
      <c r="Y196" s="95"/>
      <c r="Z196" s="59"/>
      <c r="AA196" s="59"/>
      <c r="AB196" s="59"/>
      <c r="AC196" s="59"/>
      <c r="AD196" s="59"/>
      <c r="AE196" s="59"/>
      <c r="AF196" s="59"/>
      <c r="AG196" s="59"/>
      <c r="AH196" s="59"/>
      <c r="AI196" s="59"/>
      <c r="AJ196" s="59"/>
      <c r="AL196" s="95"/>
      <c r="AM196" s="59"/>
      <c r="AN196" s="59"/>
      <c r="AO196" s="59"/>
      <c r="AP196" s="59"/>
      <c r="AQ196" s="59"/>
      <c r="AR196" s="59"/>
      <c r="AS196" s="59"/>
      <c r="AT196" s="59"/>
      <c r="AU196" s="59"/>
      <c r="AV196" s="59"/>
    </row>
    <row r="197" spans="1:48" s="63" customFormat="1">
      <c r="A197" s="61"/>
      <c r="B197" s="61"/>
      <c r="C197" s="60"/>
      <c r="E197" s="125"/>
      <c r="F197" s="122"/>
      <c r="G197" s="132"/>
      <c r="J197" s="61"/>
      <c r="K197" s="61"/>
      <c r="L197" s="62"/>
      <c r="N197" s="97"/>
      <c r="O197" s="121"/>
      <c r="P197" s="129"/>
      <c r="Q197" s="133"/>
      <c r="Y197" s="95"/>
      <c r="Z197" s="59"/>
      <c r="AA197" s="59"/>
      <c r="AB197" s="59"/>
      <c r="AC197" s="59"/>
      <c r="AD197" s="59"/>
      <c r="AE197" s="59"/>
      <c r="AF197" s="59"/>
      <c r="AG197" s="59"/>
      <c r="AH197" s="59"/>
      <c r="AI197" s="59"/>
      <c r="AJ197" s="59"/>
      <c r="AL197" s="95"/>
      <c r="AM197" s="59"/>
      <c r="AN197" s="59"/>
      <c r="AO197" s="59"/>
      <c r="AP197" s="59"/>
      <c r="AQ197" s="59"/>
      <c r="AR197" s="59"/>
      <c r="AS197" s="59"/>
      <c r="AT197" s="59"/>
      <c r="AU197" s="59"/>
      <c r="AV197" s="59"/>
    </row>
    <row r="198" spans="1:48" s="63" customFormat="1">
      <c r="A198" s="61"/>
      <c r="B198" s="61"/>
      <c r="C198" s="60"/>
      <c r="E198" s="125"/>
      <c r="F198" s="122"/>
      <c r="G198" s="132"/>
      <c r="J198" s="61"/>
      <c r="K198" s="61"/>
      <c r="L198" s="62"/>
      <c r="N198" s="97"/>
      <c r="O198" s="121"/>
      <c r="P198" s="129"/>
      <c r="Q198" s="133"/>
      <c r="Y198" s="95"/>
      <c r="Z198" s="59"/>
      <c r="AA198" s="59"/>
      <c r="AB198" s="59"/>
      <c r="AC198" s="59"/>
      <c r="AD198" s="59"/>
      <c r="AE198" s="59"/>
      <c r="AF198" s="59"/>
      <c r="AG198" s="59"/>
      <c r="AH198" s="59"/>
      <c r="AI198" s="59"/>
      <c r="AJ198" s="59"/>
      <c r="AL198" s="95"/>
      <c r="AM198" s="59"/>
      <c r="AN198" s="59"/>
      <c r="AO198" s="59"/>
      <c r="AP198" s="59"/>
      <c r="AQ198" s="59"/>
      <c r="AR198" s="59"/>
      <c r="AS198" s="59"/>
      <c r="AT198" s="59"/>
      <c r="AU198" s="59"/>
      <c r="AV198" s="59"/>
    </row>
    <row r="199" spans="1:48" s="63" customFormat="1">
      <c r="A199" s="61"/>
      <c r="B199" s="61"/>
      <c r="C199" s="60"/>
      <c r="E199" s="125"/>
      <c r="F199" s="122"/>
      <c r="G199" s="132"/>
      <c r="J199" s="61"/>
      <c r="K199" s="61"/>
      <c r="L199" s="62"/>
      <c r="N199" s="97"/>
      <c r="O199" s="121"/>
      <c r="P199" s="129"/>
      <c r="Q199" s="133"/>
      <c r="Y199" s="95"/>
      <c r="Z199" s="59"/>
      <c r="AA199" s="59"/>
      <c r="AB199" s="59"/>
      <c r="AC199" s="59"/>
      <c r="AD199" s="59"/>
      <c r="AE199" s="59"/>
      <c r="AF199" s="59"/>
      <c r="AG199" s="59"/>
      <c r="AH199" s="59"/>
      <c r="AI199" s="59"/>
      <c r="AJ199" s="59"/>
      <c r="AL199" s="95"/>
      <c r="AM199" s="59"/>
      <c r="AN199" s="59"/>
      <c r="AO199" s="59"/>
      <c r="AP199" s="59"/>
      <c r="AQ199" s="59"/>
      <c r="AR199" s="59"/>
      <c r="AS199" s="59"/>
      <c r="AT199" s="59"/>
      <c r="AU199" s="59"/>
      <c r="AV199" s="59"/>
    </row>
    <row r="200" spans="1:48" s="63" customFormat="1">
      <c r="A200" s="61"/>
      <c r="B200" s="61"/>
      <c r="C200" s="60"/>
      <c r="E200" s="125"/>
      <c r="F200" s="122"/>
      <c r="G200" s="132"/>
      <c r="J200" s="61"/>
      <c r="K200" s="61"/>
      <c r="L200" s="62"/>
      <c r="N200" s="97"/>
      <c r="O200" s="121"/>
      <c r="P200" s="129"/>
      <c r="Q200" s="133"/>
      <c r="Y200" s="95"/>
      <c r="Z200" s="59"/>
      <c r="AA200" s="59"/>
      <c r="AB200" s="59"/>
      <c r="AC200" s="59"/>
      <c r="AD200" s="59"/>
      <c r="AE200" s="59"/>
      <c r="AF200" s="59"/>
      <c r="AG200" s="59"/>
      <c r="AH200" s="59"/>
      <c r="AI200" s="59"/>
      <c r="AJ200" s="59"/>
      <c r="AL200" s="95"/>
      <c r="AM200" s="59"/>
      <c r="AN200" s="59"/>
      <c r="AO200" s="59"/>
      <c r="AP200" s="59"/>
      <c r="AQ200" s="59"/>
      <c r="AR200" s="59"/>
      <c r="AS200" s="59"/>
      <c r="AT200" s="59"/>
      <c r="AU200" s="59"/>
      <c r="AV200" s="59"/>
    </row>
    <row r="201" spans="1:48" s="63" customFormat="1">
      <c r="A201" s="61"/>
      <c r="B201" s="61"/>
      <c r="C201" s="60"/>
      <c r="E201" s="125"/>
      <c r="F201" s="122"/>
      <c r="G201" s="132"/>
      <c r="J201" s="61"/>
      <c r="K201" s="61"/>
      <c r="L201" s="62"/>
      <c r="N201" s="97"/>
      <c r="O201" s="121"/>
      <c r="P201" s="129"/>
      <c r="Q201" s="133"/>
      <c r="Y201" s="95"/>
      <c r="Z201" s="59"/>
      <c r="AA201" s="59"/>
      <c r="AB201" s="59"/>
      <c r="AC201" s="59"/>
      <c r="AD201" s="59"/>
      <c r="AE201" s="59"/>
      <c r="AF201" s="59"/>
      <c r="AG201" s="59"/>
      <c r="AH201" s="59"/>
      <c r="AI201" s="59"/>
      <c r="AJ201" s="59"/>
      <c r="AL201" s="95"/>
      <c r="AM201" s="59"/>
      <c r="AN201" s="59"/>
      <c r="AO201" s="59"/>
      <c r="AP201" s="59"/>
      <c r="AQ201" s="59"/>
      <c r="AR201" s="59"/>
      <c r="AS201" s="59"/>
      <c r="AT201" s="59"/>
      <c r="AU201" s="59"/>
      <c r="AV201" s="59"/>
    </row>
    <row r="202" spans="1:48" s="63" customFormat="1">
      <c r="A202" s="61"/>
      <c r="B202" s="61"/>
      <c r="C202" s="60"/>
      <c r="E202" s="125"/>
      <c r="F202" s="122"/>
      <c r="G202" s="132"/>
      <c r="J202" s="61"/>
      <c r="K202" s="61"/>
      <c r="L202" s="62"/>
      <c r="N202" s="97"/>
      <c r="O202" s="121"/>
      <c r="P202" s="129"/>
      <c r="Q202" s="133"/>
      <c r="Y202" s="95"/>
      <c r="Z202" s="59"/>
      <c r="AA202" s="59"/>
      <c r="AB202" s="59"/>
      <c r="AC202" s="59"/>
      <c r="AD202" s="59"/>
      <c r="AE202" s="59"/>
      <c r="AF202" s="59"/>
      <c r="AG202" s="59"/>
      <c r="AH202" s="59"/>
      <c r="AI202" s="59"/>
      <c r="AJ202" s="59"/>
      <c r="AL202" s="95"/>
      <c r="AM202" s="59"/>
      <c r="AN202" s="59"/>
      <c r="AO202" s="59"/>
      <c r="AP202" s="59"/>
      <c r="AQ202" s="59"/>
      <c r="AR202" s="59"/>
      <c r="AS202" s="59"/>
      <c r="AT202" s="59"/>
      <c r="AU202" s="59"/>
      <c r="AV202" s="59"/>
    </row>
    <row r="203" spans="1:48" s="63" customFormat="1">
      <c r="A203" s="61"/>
      <c r="B203" s="61"/>
      <c r="C203" s="60"/>
      <c r="E203" s="125"/>
      <c r="F203" s="122"/>
      <c r="G203" s="132"/>
      <c r="J203" s="61"/>
      <c r="K203" s="61"/>
      <c r="L203" s="62"/>
      <c r="N203" s="97"/>
      <c r="O203" s="121"/>
      <c r="P203" s="129"/>
      <c r="Q203" s="133"/>
      <c r="Y203" s="95"/>
      <c r="Z203" s="59"/>
      <c r="AA203" s="59"/>
      <c r="AB203" s="59"/>
      <c r="AC203" s="59"/>
      <c r="AD203" s="59"/>
      <c r="AE203" s="59"/>
      <c r="AF203" s="59"/>
      <c r="AG203" s="59"/>
      <c r="AH203" s="59"/>
      <c r="AI203" s="59"/>
      <c r="AJ203" s="59"/>
      <c r="AL203" s="95"/>
      <c r="AM203" s="59"/>
      <c r="AN203" s="59"/>
      <c r="AO203" s="59"/>
      <c r="AP203" s="59"/>
      <c r="AQ203" s="59"/>
      <c r="AR203" s="59"/>
      <c r="AS203" s="59"/>
      <c r="AT203" s="59"/>
      <c r="AU203" s="59"/>
      <c r="AV203" s="59"/>
    </row>
    <row r="204" spans="1:48" s="63" customFormat="1">
      <c r="A204" s="61"/>
      <c r="B204" s="61"/>
      <c r="C204" s="60"/>
      <c r="E204" s="125"/>
      <c r="F204" s="122"/>
      <c r="G204" s="132"/>
      <c r="J204" s="61"/>
      <c r="K204" s="61"/>
      <c r="L204" s="62"/>
      <c r="N204" s="97"/>
      <c r="O204" s="121"/>
      <c r="P204" s="129"/>
      <c r="Q204" s="133"/>
      <c r="Y204" s="95"/>
      <c r="Z204" s="59"/>
      <c r="AA204" s="59"/>
      <c r="AB204" s="59"/>
      <c r="AC204" s="59"/>
      <c r="AD204" s="59"/>
      <c r="AE204" s="59"/>
      <c r="AF204" s="59"/>
      <c r="AG204" s="59"/>
      <c r="AH204" s="59"/>
      <c r="AI204" s="59"/>
      <c r="AJ204" s="59"/>
      <c r="AL204" s="95"/>
      <c r="AM204" s="59"/>
      <c r="AN204" s="59"/>
      <c r="AO204" s="59"/>
      <c r="AP204" s="59"/>
      <c r="AQ204" s="59"/>
      <c r="AR204" s="59"/>
      <c r="AS204" s="59"/>
      <c r="AT204" s="59"/>
      <c r="AU204" s="59"/>
      <c r="AV204" s="59"/>
    </row>
    <row r="205" spans="1:48" s="63" customFormat="1">
      <c r="A205" s="61"/>
      <c r="B205" s="61"/>
      <c r="C205" s="60"/>
      <c r="E205" s="125"/>
      <c r="F205" s="122"/>
      <c r="G205" s="132"/>
      <c r="J205" s="61"/>
      <c r="K205" s="61"/>
      <c r="L205" s="62"/>
      <c r="N205" s="97"/>
      <c r="O205" s="121"/>
      <c r="P205" s="129"/>
      <c r="Q205" s="133"/>
      <c r="Y205" s="95"/>
      <c r="Z205" s="59"/>
      <c r="AA205" s="59"/>
      <c r="AB205" s="59"/>
      <c r="AC205" s="59"/>
      <c r="AD205" s="59"/>
      <c r="AE205" s="59"/>
      <c r="AF205" s="59"/>
      <c r="AG205" s="59"/>
      <c r="AH205" s="59"/>
      <c r="AI205" s="59"/>
      <c r="AJ205" s="59"/>
      <c r="AL205" s="95"/>
      <c r="AM205" s="59"/>
      <c r="AN205" s="59"/>
      <c r="AO205" s="59"/>
      <c r="AP205" s="59"/>
      <c r="AQ205" s="59"/>
      <c r="AR205" s="59"/>
      <c r="AS205" s="59"/>
      <c r="AT205" s="59"/>
      <c r="AU205" s="59"/>
      <c r="AV205" s="59"/>
    </row>
    <row r="206" spans="1:48" s="63" customFormat="1">
      <c r="A206" s="61"/>
      <c r="B206" s="61"/>
      <c r="C206" s="60"/>
      <c r="E206" s="125"/>
      <c r="F206" s="122"/>
      <c r="G206" s="132"/>
      <c r="J206" s="61"/>
      <c r="K206" s="61"/>
      <c r="L206" s="62"/>
      <c r="N206" s="97"/>
      <c r="O206" s="121"/>
      <c r="P206" s="129"/>
      <c r="Q206" s="133"/>
      <c r="Y206" s="95"/>
      <c r="Z206" s="59"/>
      <c r="AA206" s="59"/>
      <c r="AB206" s="59"/>
      <c r="AC206" s="59"/>
      <c r="AD206" s="59"/>
      <c r="AE206" s="59"/>
      <c r="AF206" s="59"/>
      <c r="AG206" s="59"/>
      <c r="AH206" s="59"/>
      <c r="AI206" s="59"/>
      <c r="AJ206" s="59"/>
      <c r="AL206" s="95"/>
      <c r="AM206" s="59"/>
      <c r="AN206" s="59"/>
      <c r="AO206" s="59"/>
      <c r="AP206" s="59"/>
      <c r="AQ206" s="59"/>
      <c r="AR206" s="59"/>
      <c r="AS206" s="59"/>
      <c r="AT206" s="59"/>
      <c r="AU206" s="59"/>
      <c r="AV206" s="59"/>
    </row>
    <row r="207" spans="1:48" s="63" customFormat="1">
      <c r="A207" s="61"/>
      <c r="B207" s="61"/>
      <c r="C207" s="60"/>
      <c r="E207" s="125"/>
      <c r="F207" s="122"/>
      <c r="G207" s="132"/>
      <c r="J207" s="61"/>
      <c r="K207" s="61"/>
      <c r="L207" s="62"/>
      <c r="N207" s="97"/>
      <c r="O207" s="121"/>
      <c r="P207" s="129"/>
      <c r="Q207" s="133"/>
      <c r="Y207" s="95"/>
      <c r="Z207" s="59"/>
      <c r="AA207" s="59"/>
      <c r="AB207" s="59"/>
      <c r="AC207" s="59"/>
      <c r="AD207" s="59"/>
      <c r="AE207" s="59"/>
      <c r="AF207" s="59"/>
      <c r="AG207" s="59"/>
      <c r="AH207" s="59"/>
      <c r="AI207" s="59"/>
      <c r="AJ207" s="59"/>
      <c r="AL207" s="95"/>
      <c r="AM207" s="59"/>
      <c r="AN207" s="59"/>
      <c r="AO207" s="59"/>
      <c r="AP207" s="59"/>
      <c r="AQ207" s="59"/>
      <c r="AR207" s="59"/>
      <c r="AS207" s="59"/>
      <c r="AT207" s="59"/>
      <c r="AU207" s="59"/>
      <c r="AV207" s="59"/>
    </row>
    <row r="208" spans="1:48" s="63" customFormat="1">
      <c r="A208" s="61"/>
      <c r="B208" s="61"/>
      <c r="C208" s="60"/>
      <c r="E208" s="125"/>
      <c r="F208" s="122"/>
      <c r="G208" s="132"/>
      <c r="J208" s="61"/>
      <c r="K208" s="61"/>
      <c r="L208" s="62"/>
      <c r="N208" s="97"/>
      <c r="O208" s="121"/>
      <c r="P208" s="129"/>
      <c r="Q208" s="133"/>
      <c r="Y208" s="95"/>
      <c r="Z208" s="59"/>
      <c r="AA208" s="59"/>
      <c r="AB208" s="59"/>
      <c r="AC208" s="59"/>
      <c r="AD208" s="59"/>
      <c r="AE208" s="59"/>
      <c r="AF208" s="59"/>
      <c r="AG208" s="59"/>
      <c r="AH208" s="59"/>
      <c r="AI208" s="59"/>
      <c r="AJ208" s="59"/>
      <c r="AL208" s="95"/>
      <c r="AM208" s="59"/>
      <c r="AN208" s="59"/>
      <c r="AO208" s="59"/>
      <c r="AP208" s="59"/>
      <c r="AQ208" s="59"/>
      <c r="AR208" s="59"/>
      <c r="AS208" s="59"/>
      <c r="AT208" s="59"/>
      <c r="AU208" s="59"/>
      <c r="AV208" s="59"/>
    </row>
    <row r="209" spans="1:48" s="63" customFormat="1">
      <c r="A209" s="61"/>
      <c r="B209" s="61"/>
      <c r="C209" s="60"/>
      <c r="E209" s="125"/>
      <c r="F209" s="122"/>
      <c r="G209" s="132"/>
      <c r="J209" s="61"/>
      <c r="K209" s="61"/>
      <c r="L209" s="62"/>
      <c r="N209" s="97"/>
      <c r="O209" s="121"/>
      <c r="P209" s="129"/>
      <c r="Q209" s="133"/>
      <c r="Y209" s="95"/>
      <c r="Z209" s="59"/>
      <c r="AA209" s="59"/>
      <c r="AB209" s="59"/>
      <c r="AC209" s="59"/>
      <c r="AD209" s="59"/>
      <c r="AE209" s="59"/>
      <c r="AF209" s="59"/>
      <c r="AG209" s="59"/>
      <c r="AH209" s="59"/>
      <c r="AI209" s="59"/>
      <c r="AJ209" s="59"/>
      <c r="AL209" s="95"/>
      <c r="AM209" s="59"/>
      <c r="AN209" s="59"/>
      <c r="AO209" s="59"/>
      <c r="AP209" s="59"/>
      <c r="AQ209" s="59"/>
      <c r="AR209" s="59"/>
      <c r="AS209" s="59"/>
      <c r="AT209" s="59"/>
      <c r="AU209" s="59"/>
      <c r="AV209" s="59"/>
    </row>
    <row r="210" spans="1:48" s="63" customFormat="1">
      <c r="A210" s="61"/>
      <c r="B210" s="61"/>
      <c r="C210" s="60"/>
      <c r="E210" s="125"/>
      <c r="F210" s="122"/>
      <c r="G210" s="132"/>
      <c r="J210" s="61"/>
      <c r="K210" s="61"/>
      <c r="L210" s="62"/>
      <c r="N210" s="97"/>
      <c r="O210" s="121"/>
      <c r="P210" s="129"/>
      <c r="Q210" s="133"/>
      <c r="Y210" s="95"/>
      <c r="Z210" s="59"/>
      <c r="AA210" s="59"/>
      <c r="AB210" s="59"/>
      <c r="AC210" s="59"/>
      <c r="AD210" s="59"/>
      <c r="AE210" s="59"/>
      <c r="AF210" s="59"/>
      <c r="AG210" s="59"/>
      <c r="AH210" s="59"/>
      <c r="AI210" s="59"/>
      <c r="AJ210" s="59"/>
      <c r="AL210" s="95"/>
      <c r="AM210" s="59"/>
      <c r="AN210" s="59"/>
      <c r="AO210" s="59"/>
      <c r="AP210" s="59"/>
      <c r="AQ210" s="59"/>
      <c r="AR210" s="59"/>
      <c r="AS210" s="59"/>
      <c r="AT210" s="59"/>
      <c r="AU210" s="59"/>
      <c r="AV210" s="59"/>
    </row>
    <row r="211" spans="1:48" s="63" customFormat="1">
      <c r="A211" s="61"/>
      <c r="B211" s="61"/>
      <c r="C211" s="60"/>
      <c r="E211" s="125"/>
      <c r="F211" s="122"/>
      <c r="G211" s="132"/>
      <c r="J211" s="61"/>
      <c r="K211" s="61"/>
      <c r="L211" s="62"/>
      <c r="N211" s="97"/>
      <c r="O211" s="121"/>
      <c r="P211" s="129"/>
      <c r="Q211" s="133"/>
      <c r="Y211" s="95"/>
      <c r="Z211" s="59"/>
      <c r="AA211" s="59"/>
      <c r="AB211" s="59"/>
      <c r="AC211" s="59"/>
      <c r="AD211" s="59"/>
      <c r="AE211" s="59"/>
      <c r="AF211" s="59"/>
      <c r="AG211" s="59"/>
      <c r="AH211" s="59"/>
      <c r="AI211" s="59"/>
      <c r="AJ211" s="59"/>
      <c r="AL211" s="95"/>
      <c r="AM211" s="59"/>
      <c r="AN211" s="59"/>
      <c r="AO211" s="59"/>
      <c r="AP211" s="59"/>
      <c r="AQ211" s="59"/>
      <c r="AR211" s="59"/>
      <c r="AS211" s="59"/>
      <c r="AT211" s="59"/>
      <c r="AU211" s="59"/>
      <c r="AV211" s="59"/>
    </row>
    <row r="212" spans="1:48" s="63" customFormat="1">
      <c r="A212" s="61"/>
      <c r="B212" s="61"/>
      <c r="C212" s="60"/>
      <c r="E212" s="125"/>
      <c r="F212" s="122"/>
      <c r="G212" s="132"/>
      <c r="J212" s="61"/>
      <c r="K212" s="61"/>
      <c r="L212" s="62"/>
      <c r="N212" s="97"/>
      <c r="O212" s="121"/>
      <c r="P212" s="129"/>
      <c r="Q212" s="133"/>
      <c r="Y212" s="95"/>
      <c r="Z212" s="59"/>
      <c r="AA212" s="59"/>
      <c r="AB212" s="59"/>
      <c r="AC212" s="59"/>
      <c r="AD212" s="59"/>
      <c r="AE212" s="59"/>
      <c r="AF212" s="59"/>
      <c r="AG212" s="59"/>
      <c r="AH212" s="59"/>
      <c r="AI212" s="59"/>
      <c r="AJ212" s="59"/>
      <c r="AL212" s="95"/>
      <c r="AM212" s="59"/>
      <c r="AN212" s="59"/>
      <c r="AO212" s="59"/>
      <c r="AP212" s="59"/>
      <c r="AQ212" s="59"/>
      <c r="AR212" s="59"/>
      <c r="AS212" s="59"/>
      <c r="AT212" s="59"/>
      <c r="AU212" s="59"/>
      <c r="AV212" s="59"/>
    </row>
    <row r="213" spans="1:48" s="63" customFormat="1">
      <c r="A213" s="61"/>
      <c r="B213" s="61"/>
      <c r="C213" s="60"/>
      <c r="E213" s="125"/>
      <c r="F213" s="122"/>
      <c r="G213" s="132"/>
      <c r="J213" s="61"/>
      <c r="K213" s="61"/>
      <c r="L213" s="62"/>
      <c r="N213" s="97"/>
      <c r="O213" s="121"/>
      <c r="P213" s="129"/>
      <c r="Q213" s="133"/>
      <c r="Y213" s="95"/>
      <c r="Z213" s="59"/>
      <c r="AA213" s="59"/>
      <c r="AB213" s="59"/>
      <c r="AC213" s="59"/>
      <c r="AD213" s="59"/>
      <c r="AE213" s="59"/>
      <c r="AF213" s="59"/>
      <c r="AG213" s="59"/>
      <c r="AH213" s="59"/>
      <c r="AI213" s="59"/>
      <c r="AJ213" s="59"/>
      <c r="AL213" s="95"/>
      <c r="AM213" s="59"/>
      <c r="AN213" s="59"/>
      <c r="AO213" s="59"/>
      <c r="AP213" s="59"/>
      <c r="AQ213" s="59"/>
      <c r="AR213" s="59"/>
      <c r="AS213" s="59"/>
      <c r="AT213" s="59"/>
      <c r="AU213" s="59"/>
      <c r="AV213" s="59"/>
    </row>
    <row r="214" spans="1:48" s="63" customFormat="1">
      <c r="A214" s="61"/>
      <c r="B214" s="61"/>
      <c r="C214" s="60"/>
      <c r="E214" s="125"/>
      <c r="F214" s="122"/>
      <c r="G214" s="132"/>
      <c r="J214" s="61"/>
      <c r="K214" s="61"/>
      <c r="L214" s="62"/>
      <c r="N214" s="97"/>
      <c r="O214" s="121"/>
      <c r="P214" s="129"/>
      <c r="Q214" s="133"/>
      <c r="Y214" s="95"/>
      <c r="Z214" s="59"/>
      <c r="AA214" s="59"/>
      <c r="AB214" s="59"/>
      <c r="AC214" s="59"/>
      <c r="AD214" s="59"/>
      <c r="AE214" s="59"/>
      <c r="AF214" s="59"/>
      <c r="AG214" s="59"/>
      <c r="AH214" s="59"/>
      <c r="AI214" s="59"/>
      <c r="AJ214" s="59"/>
      <c r="AL214" s="95"/>
      <c r="AM214" s="59"/>
      <c r="AN214" s="59"/>
      <c r="AO214" s="59"/>
      <c r="AP214" s="59"/>
      <c r="AQ214" s="59"/>
      <c r="AR214" s="59"/>
      <c r="AS214" s="59"/>
      <c r="AT214" s="59"/>
      <c r="AU214" s="59"/>
      <c r="AV214" s="59"/>
    </row>
    <row r="215" spans="1:48" s="63" customFormat="1">
      <c r="A215" s="61"/>
      <c r="B215" s="61"/>
      <c r="C215" s="60"/>
      <c r="E215" s="125"/>
      <c r="F215" s="122"/>
      <c r="G215" s="132"/>
      <c r="J215" s="61"/>
      <c r="K215" s="61"/>
      <c r="L215" s="62"/>
      <c r="N215" s="97"/>
      <c r="O215" s="121"/>
      <c r="P215" s="129"/>
      <c r="Q215" s="133"/>
      <c r="Y215" s="95"/>
      <c r="Z215" s="59"/>
      <c r="AA215" s="59"/>
      <c r="AB215" s="59"/>
      <c r="AC215" s="59"/>
      <c r="AD215" s="59"/>
      <c r="AE215" s="59"/>
      <c r="AF215" s="59"/>
      <c r="AG215" s="59"/>
      <c r="AH215" s="59"/>
      <c r="AI215" s="59"/>
      <c r="AJ215" s="59"/>
      <c r="AL215" s="95"/>
      <c r="AM215" s="59"/>
      <c r="AN215" s="59"/>
      <c r="AO215" s="59"/>
      <c r="AP215" s="59"/>
      <c r="AQ215" s="59"/>
      <c r="AR215" s="59"/>
      <c r="AS215" s="59"/>
      <c r="AT215" s="59"/>
      <c r="AU215" s="59"/>
      <c r="AV215" s="59"/>
    </row>
    <row r="216" spans="1:48" s="63" customFormat="1">
      <c r="A216" s="61"/>
      <c r="B216" s="61"/>
      <c r="C216" s="60"/>
      <c r="E216" s="125"/>
      <c r="F216" s="122"/>
      <c r="G216" s="132"/>
      <c r="J216" s="61"/>
      <c r="K216" s="61"/>
      <c r="L216" s="62"/>
      <c r="N216" s="97"/>
      <c r="O216" s="121"/>
      <c r="P216" s="129"/>
      <c r="Q216" s="133"/>
      <c r="Y216" s="95"/>
      <c r="Z216" s="59"/>
      <c r="AA216" s="59"/>
      <c r="AB216" s="59"/>
      <c r="AC216" s="59"/>
      <c r="AD216" s="59"/>
      <c r="AE216" s="59"/>
      <c r="AF216" s="59"/>
      <c r="AG216" s="59"/>
      <c r="AH216" s="59"/>
      <c r="AI216" s="59"/>
      <c r="AJ216" s="59"/>
      <c r="AL216" s="95"/>
      <c r="AM216" s="59"/>
      <c r="AN216" s="59"/>
      <c r="AO216" s="59"/>
      <c r="AP216" s="59"/>
      <c r="AQ216" s="59"/>
      <c r="AR216" s="59"/>
      <c r="AS216" s="59"/>
      <c r="AT216" s="59"/>
      <c r="AU216" s="59"/>
      <c r="AV216" s="59"/>
    </row>
    <row r="217" spans="1:48" s="63" customFormat="1">
      <c r="A217" s="61"/>
      <c r="B217" s="61"/>
      <c r="C217" s="60"/>
      <c r="E217" s="125"/>
      <c r="F217" s="122"/>
      <c r="G217" s="132"/>
      <c r="J217" s="61"/>
      <c r="K217" s="61"/>
      <c r="L217" s="62"/>
      <c r="N217" s="97"/>
      <c r="O217" s="121"/>
      <c r="P217" s="129"/>
      <c r="Q217" s="133"/>
      <c r="Y217" s="95"/>
      <c r="Z217" s="59"/>
      <c r="AA217" s="59"/>
      <c r="AB217" s="59"/>
      <c r="AC217" s="59"/>
      <c r="AD217" s="59"/>
      <c r="AE217" s="59"/>
      <c r="AF217" s="59"/>
      <c r="AG217" s="59"/>
      <c r="AH217" s="59"/>
      <c r="AI217" s="59"/>
      <c r="AJ217" s="59"/>
      <c r="AL217" s="95"/>
      <c r="AM217" s="59"/>
      <c r="AN217" s="59"/>
      <c r="AO217" s="59"/>
      <c r="AP217" s="59"/>
      <c r="AQ217" s="59"/>
      <c r="AR217" s="59"/>
      <c r="AS217" s="59"/>
      <c r="AT217" s="59"/>
      <c r="AU217" s="59"/>
      <c r="AV217" s="59"/>
    </row>
    <row r="218" spans="1:48" s="63" customFormat="1">
      <c r="A218" s="61"/>
      <c r="B218" s="61"/>
      <c r="C218" s="60"/>
      <c r="E218" s="125"/>
      <c r="F218" s="122"/>
      <c r="G218" s="132"/>
      <c r="J218" s="61"/>
      <c r="K218" s="61"/>
      <c r="L218" s="62"/>
      <c r="N218" s="97"/>
      <c r="O218" s="121"/>
      <c r="P218" s="129"/>
      <c r="Q218" s="133"/>
      <c r="Y218" s="95"/>
      <c r="Z218" s="59"/>
      <c r="AA218" s="59"/>
      <c r="AB218" s="59"/>
      <c r="AC218" s="59"/>
      <c r="AD218" s="59"/>
      <c r="AE218" s="59"/>
      <c r="AF218" s="59"/>
      <c r="AG218" s="59"/>
      <c r="AH218" s="59"/>
      <c r="AI218" s="59"/>
      <c r="AJ218" s="59"/>
      <c r="AL218" s="95"/>
      <c r="AM218" s="59"/>
      <c r="AN218" s="59"/>
      <c r="AO218" s="59"/>
      <c r="AP218" s="59"/>
      <c r="AQ218" s="59"/>
      <c r="AR218" s="59"/>
      <c r="AS218" s="59"/>
      <c r="AT218" s="59"/>
      <c r="AU218" s="59"/>
      <c r="AV218" s="59"/>
    </row>
    <row r="219" spans="1:48" s="63" customFormat="1">
      <c r="A219" s="61"/>
      <c r="B219" s="61"/>
      <c r="C219" s="60"/>
      <c r="E219" s="125"/>
      <c r="F219" s="122"/>
      <c r="G219" s="132"/>
      <c r="J219" s="61"/>
      <c r="K219" s="61"/>
      <c r="L219" s="62"/>
      <c r="N219" s="97"/>
      <c r="O219" s="121"/>
      <c r="P219" s="129"/>
      <c r="Q219" s="133"/>
      <c r="Y219" s="95"/>
      <c r="Z219" s="59"/>
      <c r="AA219" s="59"/>
      <c r="AB219" s="59"/>
      <c r="AC219" s="59"/>
      <c r="AD219" s="59"/>
      <c r="AE219" s="59"/>
      <c r="AF219" s="59"/>
      <c r="AG219" s="59"/>
      <c r="AH219" s="59"/>
      <c r="AI219" s="59"/>
      <c r="AJ219" s="59"/>
      <c r="AL219" s="95"/>
      <c r="AM219" s="59"/>
      <c r="AN219" s="59"/>
      <c r="AO219" s="59"/>
      <c r="AP219" s="59"/>
      <c r="AQ219" s="59"/>
      <c r="AR219" s="59"/>
      <c r="AS219" s="59"/>
      <c r="AT219" s="59"/>
      <c r="AU219" s="59"/>
      <c r="AV219" s="59"/>
    </row>
    <row r="220" spans="1:48" s="63" customFormat="1">
      <c r="A220" s="61"/>
      <c r="B220" s="61"/>
      <c r="C220" s="60"/>
      <c r="E220" s="125"/>
      <c r="F220" s="122"/>
      <c r="G220" s="132"/>
      <c r="J220" s="61"/>
      <c r="K220" s="61"/>
      <c r="L220" s="62"/>
      <c r="N220" s="97"/>
      <c r="O220" s="121"/>
      <c r="P220" s="129"/>
      <c r="Q220" s="133"/>
      <c r="Y220" s="95"/>
      <c r="Z220" s="59"/>
      <c r="AA220" s="59"/>
      <c r="AB220" s="59"/>
      <c r="AC220" s="59"/>
      <c r="AD220" s="59"/>
      <c r="AE220" s="59"/>
      <c r="AF220" s="59"/>
      <c r="AG220" s="59"/>
      <c r="AH220" s="59"/>
      <c r="AI220" s="59"/>
      <c r="AJ220" s="59"/>
      <c r="AL220" s="95"/>
      <c r="AM220" s="59"/>
      <c r="AN220" s="59"/>
      <c r="AO220" s="59"/>
      <c r="AP220" s="59"/>
      <c r="AQ220" s="59"/>
      <c r="AR220" s="59"/>
      <c r="AS220" s="59"/>
      <c r="AT220" s="59"/>
      <c r="AU220" s="59"/>
      <c r="AV220" s="59"/>
    </row>
    <row r="221" spans="1:48" s="63" customFormat="1">
      <c r="A221" s="61"/>
      <c r="B221" s="61"/>
      <c r="C221" s="60"/>
      <c r="E221" s="125"/>
      <c r="F221" s="122"/>
      <c r="G221" s="132"/>
      <c r="J221" s="61"/>
      <c r="K221" s="61"/>
      <c r="L221" s="62"/>
      <c r="N221" s="97"/>
      <c r="O221" s="121"/>
      <c r="P221" s="129"/>
      <c r="Q221" s="133"/>
      <c r="Y221" s="95"/>
      <c r="Z221" s="59"/>
      <c r="AA221" s="59"/>
      <c r="AB221" s="59"/>
      <c r="AC221" s="59"/>
      <c r="AD221" s="59"/>
      <c r="AE221" s="59"/>
      <c r="AF221" s="59"/>
      <c r="AG221" s="59"/>
      <c r="AH221" s="59"/>
      <c r="AI221" s="59"/>
      <c r="AJ221" s="59"/>
      <c r="AL221" s="95"/>
      <c r="AM221" s="59"/>
      <c r="AN221" s="59"/>
      <c r="AO221" s="59"/>
      <c r="AP221" s="59"/>
      <c r="AQ221" s="59"/>
      <c r="AR221" s="59"/>
      <c r="AS221" s="59"/>
      <c r="AT221" s="59"/>
      <c r="AU221" s="59"/>
      <c r="AV221" s="59"/>
    </row>
    <row r="222" spans="1:48" s="63" customFormat="1">
      <c r="A222" s="61"/>
      <c r="B222" s="61"/>
      <c r="C222" s="60"/>
      <c r="E222" s="125"/>
      <c r="F222" s="122"/>
      <c r="G222" s="132"/>
      <c r="J222" s="61"/>
      <c r="K222" s="61"/>
      <c r="L222" s="62"/>
      <c r="N222" s="97"/>
      <c r="O222" s="121"/>
      <c r="P222" s="129"/>
      <c r="Q222" s="133"/>
      <c r="Y222" s="95"/>
      <c r="Z222" s="59"/>
      <c r="AA222" s="59"/>
      <c r="AB222" s="59"/>
      <c r="AC222" s="59"/>
      <c r="AD222" s="59"/>
      <c r="AE222" s="59"/>
      <c r="AF222" s="59"/>
      <c r="AG222" s="59"/>
      <c r="AH222" s="59"/>
      <c r="AI222" s="59"/>
      <c r="AJ222" s="59"/>
      <c r="AL222" s="95"/>
      <c r="AM222" s="59"/>
      <c r="AN222" s="59"/>
      <c r="AO222" s="59"/>
      <c r="AP222" s="59"/>
      <c r="AQ222" s="59"/>
      <c r="AR222" s="59"/>
      <c r="AS222" s="59"/>
      <c r="AT222" s="59"/>
      <c r="AU222" s="59"/>
      <c r="AV222" s="59"/>
    </row>
    <row r="223" spans="1:48" s="63" customFormat="1">
      <c r="A223" s="61"/>
      <c r="B223" s="61"/>
      <c r="C223" s="60"/>
      <c r="E223" s="125"/>
      <c r="F223" s="122"/>
      <c r="G223" s="132"/>
      <c r="J223" s="61"/>
      <c r="K223" s="61"/>
      <c r="L223" s="62"/>
      <c r="N223" s="97"/>
      <c r="O223" s="121"/>
      <c r="P223" s="129"/>
      <c r="Q223" s="133"/>
      <c r="Y223" s="95"/>
      <c r="Z223" s="59"/>
      <c r="AA223" s="59"/>
      <c r="AB223" s="59"/>
      <c r="AC223" s="59"/>
      <c r="AD223" s="59"/>
      <c r="AE223" s="59"/>
      <c r="AF223" s="59"/>
      <c r="AG223" s="59"/>
      <c r="AH223" s="59"/>
      <c r="AI223" s="59"/>
      <c r="AJ223" s="59"/>
      <c r="AL223" s="95"/>
      <c r="AM223" s="59"/>
      <c r="AN223" s="59"/>
      <c r="AO223" s="59"/>
      <c r="AP223" s="59"/>
      <c r="AQ223" s="59"/>
      <c r="AR223" s="59"/>
      <c r="AS223" s="59"/>
      <c r="AT223" s="59"/>
      <c r="AU223" s="59"/>
      <c r="AV223" s="59"/>
    </row>
    <row r="224" spans="1:48" s="63" customFormat="1">
      <c r="A224" s="61"/>
      <c r="B224" s="61"/>
      <c r="C224" s="60"/>
      <c r="E224" s="93"/>
      <c r="F224" s="122"/>
      <c r="G224" s="132"/>
      <c r="J224" s="61"/>
      <c r="K224" s="61"/>
      <c r="L224" s="62"/>
      <c r="N224" s="97"/>
      <c r="O224" s="121"/>
      <c r="P224" s="129"/>
      <c r="Q224" s="133"/>
      <c r="Y224" s="95"/>
      <c r="Z224" s="59"/>
      <c r="AA224" s="59"/>
      <c r="AB224" s="59"/>
      <c r="AC224" s="59"/>
      <c r="AD224" s="59"/>
      <c r="AE224" s="59"/>
      <c r="AF224" s="59"/>
      <c r="AG224" s="59"/>
      <c r="AH224" s="59"/>
      <c r="AI224" s="59"/>
      <c r="AJ224" s="59"/>
      <c r="AL224" s="95"/>
      <c r="AM224" s="59"/>
      <c r="AN224" s="59"/>
      <c r="AO224" s="59"/>
      <c r="AP224" s="59"/>
      <c r="AQ224" s="59"/>
      <c r="AR224" s="59"/>
      <c r="AS224" s="59"/>
      <c r="AT224" s="59"/>
      <c r="AU224" s="59"/>
      <c r="AV224" s="59"/>
    </row>
    <row r="225" spans="1:48" s="63" customFormat="1">
      <c r="A225" s="61"/>
      <c r="B225" s="61"/>
      <c r="C225" s="60"/>
      <c r="E225" s="93"/>
      <c r="F225" s="122"/>
      <c r="G225" s="132"/>
      <c r="J225" s="61"/>
      <c r="K225" s="61"/>
      <c r="L225" s="62"/>
      <c r="N225" s="97"/>
      <c r="O225" s="121"/>
      <c r="P225" s="129"/>
      <c r="Q225" s="133"/>
      <c r="Y225" s="95"/>
      <c r="Z225" s="59"/>
      <c r="AA225" s="59"/>
      <c r="AB225" s="59"/>
      <c r="AC225" s="59"/>
      <c r="AD225" s="59"/>
      <c r="AE225" s="59"/>
      <c r="AF225" s="59"/>
      <c r="AG225" s="59"/>
      <c r="AH225" s="59"/>
      <c r="AI225" s="59"/>
      <c r="AJ225" s="59"/>
      <c r="AL225" s="95"/>
      <c r="AM225" s="59"/>
      <c r="AN225" s="59"/>
      <c r="AO225" s="59"/>
      <c r="AP225" s="59"/>
      <c r="AQ225" s="59"/>
      <c r="AR225" s="59"/>
      <c r="AS225" s="59"/>
      <c r="AT225" s="59"/>
      <c r="AU225" s="59"/>
      <c r="AV225" s="59"/>
    </row>
    <row r="226" spans="1:48" s="63" customFormat="1">
      <c r="A226" s="61"/>
      <c r="B226" s="61"/>
      <c r="C226" s="60"/>
      <c r="E226" s="93"/>
      <c r="F226" s="122"/>
      <c r="G226" s="132"/>
      <c r="J226" s="61"/>
      <c r="K226" s="61"/>
      <c r="L226" s="62"/>
      <c r="N226" s="97"/>
      <c r="O226" s="121"/>
      <c r="P226" s="129"/>
      <c r="Q226" s="133"/>
      <c r="Y226" s="95"/>
      <c r="Z226" s="59"/>
      <c r="AA226" s="59"/>
      <c r="AB226" s="59"/>
      <c r="AC226" s="59"/>
      <c r="AD226" s="59"/>
      <c r="AE226" s="59"/>
      <c r="AF226" s="59"/>
      <c r="AG226" s="59"/>
      <c r="AH226" s="59"/>
      <c r="AI226" s="59"/>
      <c r="AJ226" s="59"/>
      <c r="AL226" s="95"/>
      <c r="AM226" s="59"/>
      <c r="AN226" s="59"/>
      <c r="AO226" s="59"/>
      <c r="AP226" s="59"/>
      <c r="AQ226" s="59"/>
      <c r="AR226" s="59"/>
      <c r="AS226" s="59"/>
      <c r="AT226" s="59"/>
      <c r="AU226" s="59"/>
      <c r="AV226" s="59"/>
    </row>
    <row r="227" spans="1:48" s="63" customFormat="1">
      <c r="A227" s="61"/>
      <c r="B227" s="61"/>
      <c r="C227" s="60"/>
      <c r="E227" s="93"/>
      <c r="F227" s="122"/>
      <c r="G227" s="132"/>
      <c r="J227" s="61"/>
      <c r="K227" s="61"/>
      <c r="L227" s="62"/>
      <c r="N227" s="97"/>
      <c r="O227" s="121"/>
      <c r="P227" s="129"/>
      <c r="Q227" s="133"/>
      <c r="Y227" s="95"/>
      <c r="Z227" s="59"/>
      <c r="AA227" s="59"/>
      <c r="AB227" s="59"/>
      <c r="AC227" s="59"/>
      <c r="AD227" s="59"/>
      <c r="AE227" s="59"/>
      <c r="AF227" s="59"/>
      <c r="AG227" s="59"/>
      <c r="AH227" s="59"/>
      <c r="AI227" s="59"/>
      <c r="AJ227" s="59"/>
      <c r="AL227" s="95"/>
      <c r="AM227" s="59"/>
      <c r="AN227" s="59"/>
      <c r="AO227" s="59"/>
      <c r="AP227" s="59"/>
      <c r="AQ227" s="59"/>
      <c r="AR227" s="59"/>
      <c r="AS227" s="59"/>
      <c r="AT227" s="59"/>
      <c r="AU227" s="59"/>
      <c r="AV227" s="59"/>
    </row>
    <row r="228" spans="1:48" s="63" customFormat="1">
      <c r="A228" s="61"/>
      <c r="B228" s="61"/>
      <c r="C228" s="60"/>
      <c r="E228" s="93"/>
      <c r="F228" s="122"/>
      <c r="G228" s="132"/>
      <c r="J228" s="61"/>
      <c r="K228" s="61"/>
      <c r="L228" s="62"/>
      <c r="N228" s="97"/>
      <c r="O228" s="121"/>
      <c r="P228" s="129"/>
      <c r="Q228" s="133"/>
      <c r="Y228" s="95"/>
      <c r="Z228" s="59"/>
      <c r="AA228" s="59"/>
      <c r="AB228" s="59"/>
      <c r="AC228" s="59"/>
      <c r="AD228" s="59"/>
      <c r="AE228" s="59"/>
      <c r="AF228" s="59"/>
      <c r="AG228" s="59"/>
      <c r="AH228" s="59"/>
      <c r="AI228" s="59"/>
      <c r="AJ228" s="59"/>
      <c r="AL228" s="95"/>
      <c r="AM228" s="59"/>
      <c r="AN228" s="59"/>
      <c r="AO228" s="59"/>
      <c r="AP228" s="59"/>
      <c r="AQ228" s="59"/>
      <c r="AR228" s="59"/>
      <c r="AS228" s="59"/>
      <c r="AT228" s="59"/>
      <c r="AU228" s="59"/>
      <c r="AV228" s="59"/>
    </row>
    <row r="229" spans="1:48" s="63" customFormat="1">
      <c r="A229" s="61"/>
      <c r="B229" s="61"/>
      <c r="C229" s="60"/>
      <c r="E229" s="93"/>
      <c r="F229" s="122"/>
      <c r="G229" s="132"/>
      <c r="J229" s="61"/>
      <c r="K229" s="61"/>
      <c r="L229" s="62"/>
      <c r="N229" s="97"/>
      <c r="O229" s="121"/>
      <c r="P229" s="129"/>
      <c r="Q229" s="133"/>
      <c r="Y229" s="95"/>
      <c r="Z229" s="59"/>
      <c r="AA229" s="59"/>
      <c r="AB229" s="59"/>
      <c r="AC229" s="59"/>
      <c r="AD229" s="59"/>
      <c r="AE229" s="59"/>
      <c r="AF229" s="59"/>
      <c r="AG229" s="59"/>
      <c r="AH229" s="59"/>
      <c r="AI229" s="59"/>
      <c r="AJ229" s="59"/>
      <c r="AL229" s="95"/>
      <c r="AM229" s="59"/>
      <c r="AN229" s="59"/>
      <c r="AO229" s="59"/>
      <c r="AP229" s="59"/>
      <c r="AQ229" s="59"/>
      <c r="AR229" s="59"/>
      <c r="AS229" s="59"/>
      <c r="AT229" s="59"/>
      <c r="AU229" s="59"/>
      <c r="AV229" s="59"/>
    </row>
    <row r="230" spans="1:48" s="63" customFormat="1">
      <c r="A230" s="61"/>
      <c r="B230" s="61"/>
      <c r="C230" s="60"/>
      <c r="E230" s="93"/>
      <c r="F230" s="122"/>
      <c r="G230" s="132"/>
      <c r="J230" s="61"/>
      <c r="K230" s="61"/>
      <c r="L230" s="62"/>
      <c r="N230" s="97"/>
      <c r="O230" s="121"/>
      <c r="P230" s="129"/>
      <c r="Q230" s="133"/>
      <c r="Y230" s="95"/>
      <c r="Z230" s="59"/>
      <c r="AA230" s="59"/>
      <c r="AB230" s="59"/>
      <c r="AC230" s="59"/>
      <c r="AD230" s="59"/>
      <c r="AE230" s="59"/>
      <c r="AF230" s="59"/>
      <c r="AG230" s="59"/>
      <c r="AH230" s="59"/>
      <c r="AI230" s="59"/>
      <c r="AJ230" s="59"/>
      <c r="AL230" s="95"/>
      <c r="AM230" s="59"/>
      <c r="AN230" s="59"/>
      <c r="AO230" s="59"/>
      <c r="AP230" s="59"/>
      <c r="AQ230" s="59"/>
      <c r="AR230" s="59"/>
      <c r="AS230" s="59"/>
      <c r="AT230" s="59"/>
      <c r="AU230" s="59"/>
      <c r="AV230" s="59"/>
    </row>
    <row r="231" spans="1:48" s="63" customFormat="1">
      <c r="A231" s="61"/>
      <c r="B231" s="61"/>
      <c r="C231" s="60"/>
      <c r="E231" s="93"/>
      <c r="F231" s="122"/>
      <c r="G231" s="132"/>
      <c r="J231" s="61"/>
      <c r="K231" s="61"/>
      <c r="L231" s="62"/>
      <c r="N231" s="97"/>
      <c r="O231" s="121"/>
      <c r="P231" s="129"/>
      <c r="Q231" s="133"/>
      <c r="Y231" s="95"/>
      <c r="Z231" s="59"/>
      <c r="AA231" s="59"/>
      <c r="AB231" s="59"/>
      <c r="AC231" s="59"/>
      <c r="AD231" s="59"/>
      <c r="AE231" s="59"/>
      <c r="AF231" s="59"/>
      <c r="AG231" s="59"/>
      <c r="AH231" s="59"/>
      <c r="AI231" s="59"/>
      <c r="AJ231" s="59"/>
      <c r="AL231" s="95"/>
      <c r="AM231" s="59"/>
      <c r="AN231" s="59"/>
      <c r="AO231" s="59"/>
      <c r="AP231" s="59"/>
      <c r="AQ231" s="59"/>
      <c r="AR231" s="59"/>
      <c r="AS231" s="59"/>
      <c r="AT231" s="59"/>
      <c r="AU231" s="59"/>
      <c r="AV231" s="59"/>
    </row>
    <row r="232" spans="1:48" s="63" customFormat="1">
      <c r="A232" s="61"/>
      <c r="B232" s="61"/>
      <c r="C232" s="60"/>
      <c r="E232" s="93"/>
      <c r="F232" s="122"/>
      <c r="G232" s="132"/>
      <c r="J232" s="61"/>
      <c r="K232" s="61"/>
      <c r="L232" s="62"/>
      <c r="N232" s="97"/>
      <c r="O232" s="121"/>
      <c r="P232" s="129"/>
      <c r="Q232" s="133"/>
      <c r="Y232" s="95"/>
      <c r="Z232" s="59"/>
      <c r="AA232" s="59"/>
      <c r="AB232" s="59"/>
      <c r="AC232" s="59"/>
      <c r="AD232" s="59"/>
      <c r="AE232" s="59"/>
      <c r="AF232" s="59"/>
      <c r="AG232" s="59"/>
      <c r="AH232" s="59"/>
      <c r="AI232" s="59"/>
      <c r="AJ232" s="59"/>
      <c r="AL232" s="95"/>
      <c r="AM232" s="59"/>
      <c r="AN232" s="59"/>
      <c r="AO232" s="59"/>
      <c r="AP232" s="59"/>
      <c r="AQ232" s="59"/>
      <c r="AR232" s="59"/>
      <c r="AS232" s="59"/>
      <c r="AT232" s="59"/>
      <c r="AU232" s="59"/>
      <c r="AV232" s="59"/>
    </row>
    <row r="233" spans="1:48" s="63" customFormat="1">
      <c r="A233" s="61"/>
      <c r="B233" s="61"/>
      <c r="C233" s="60"/>
      <c r="E233" s="93"/>
      <c r="F233" s="122"/>
      <c r="G233" s="132"/>
      <c r="J233" s="61"/>
      <c r="K233" s="61"/>
      <c r="L233" s="62"/>
      <c r="N233" s="97"/>
      <c r="O233" s="121"/>
      <c r="P233" s="129"/>
      <c r="Q233" s="133"/>
      <c r="Y233" s="95"/>
      <c r="Z233" s="59"/>
      <c r="AA233" s="59"/>
      <c r="AB233" s="59"/>
      <c r="AC233" s="59"/>
      <c r="AD233" s="59"/>
      <c r="AE233" s="59"/>
      <c r="AF233" s="59"/>
      <c r="AG233" s="59"/>
      <c r="AH233" s="59"/>
      <c r="AI233" s="59"/>
      <c r="AJ233" s="59"/>
      <c r="AL233" s="95"/>
      <c r="AM233" s="59"/>
      <c r="AN233" s="59"/>
      <c r="AO233" s="59"/>
      <c r="AP233" s="59"/>
      <c r="AQ233" s="59"/>
      <c r="AR233" s="59"/>
      <c r="AS233" s="59"/>
      <c r="AT233" s="59"/>
      <c r="AU233" s="59"/>
      <c r="AV233" s="59"/>
    </row>
    <row r="234" spans="1:48" s="63" customFormat="1">
      <c r="A234" s="61"/>
      <c r="B234" s="61"/>
      <c r="C234" s="60"/>
      <c r="E234" s="93"/>
      <c r="F234" s="122"/>
      <c r="G234" s="132"/>
      <c r="J234" s="61"/>
      <c r="K234" s="61"/>
      <c r="L234" s="62"/>
      <c r="N234" s="97"/>
      <c r="O234" s="121"/>
      <c r="P234" s="129"/>
      <c r="Q234" s="133"/>
      <c r="Y234" s="95"/>
      <c r="Z234" s="59"/>
      <c r="AA234" s="59"/>
      <c r="AB234" s="59"/>
      <c r="AC234" s="59"/>
      <c r="AD234" s="59"/>
      <c r="AE234" s="59"/>
      <c r="AF234" s="59"/>
      <c r="AG234" s="59"/>
      <c r="AH234" s="59"/>
      <c r="AI234" s="59"/>
      <c r="AJ234" s="59"/>
      <c r="AL234" s="95"/>
      <c r="AM234" s="59"/>
      <c r="AN234" s="59"/>
      <c r="AO234" s="59"/>
      <c r="AP234" s="59"/>
      <c r="AQ234" s="59"/>
      <c r="AR234" s="59"/>
      <c r="AS234" s="59"/>
      <c r="AT234" s="59"/>
      <c r="AU234" s="59"/>
      <c r="AV234" s="59"/>
    </row>
    <row r="235" spans="1:48" s="63" customFormat="1">
      <c r="A235" s="61"/>
      <c r="B235" s="61"/>
      <c r="C235" s="60"/>
      <c r="E235" s="93"/>
      <c r="F235" s="122"/>
      <c r="G235" s="132"/>
      <c r="J235" s="61"/>
      <c r="K235" s="61"/>
      <c r="L235" s="62"/>
      <c r="N235" s="97"/>
      <c r="O235" s="121"/>
      <c r="P235" s="129"/>
      <c r="Q235" s="133"/>
      <c r="Y235" s="95"/>
      <c r="Z235" s="59"/>
      <c r="AA235" s="59"/>
      <c r="AB235" s="59"/>
      <c r="AC235" s="59"/>
      <c r="AD235" s="59"/>
      <c r="AE235" s="59"/>
      <c r="AF235" s="59"/>
      <c r="AG235" s="59"/>
      <c r="AH235" s="59"/>
      <c r="AI235" s="59"/>
      <c r="AJ235" s="59"/>
      <c r="AL235" s="95"/>
      <c r="AM235" s="59"/>
      <c r="AN235" s="59"/>
      <c r="AO235" s="59"/>
      <c r="AP235" s="59"/>
      <c r="AQ235" s="59"/>
      <c r="AR235" s="59"/>
      <c r="AS235" s="59"/>
      <c r="AT235" s="59"/>
      <c r="AU235" s="59"/>
      <c r="AV235" s="59"/>
    </row>
    <row r="236" spans="1:48" s="63" customFormat="1">
      <c r="A236" s="61"/>
      <c r="B236" s="61"/>
      <c r="C236" s="60"/>
      <c r="E236" s="93"/>
      <c r="F236" s="122"/>
      <c r="G236" s="132"/>
      <c r="J236" s="61"/>
      <c r="K236" s="61"/>
      <c r="L236" s="62"/>
      <c r="N236" s="97"/>
      <c r="O236" s="121"/>
      <c r="P236" s="129"/>
      <c r="Q236" s="133"/>
      <c r="Y236" s="95"/>
      <c r="Z236" s="59"/>
      <c r="AA236" s="59"/>
      <c r="AB236" s="59"/>
      <c r="AC236" s="59"/>
      <c r="AD236" s="59"/>
      <c r="AE236" s="59"/>
      <c r="AF236" s="59"/>
      <c r="AG236" s="59"/>
      <c r="AH236" s="59"/>
      <c r="AI236" s="59"/>
      <c r="AJ236" s="59"/>
      <c r="AL236" s="95"/>
      <c r="AM236" s="59"/>
      <c r="AN236" s="59"/>
      <c r="AO236" s="59"/>
      <c r="AP236" s="59"/>
      <c r="AQ236" s="59"/>
      <c r="AR236" s="59"/>
      <c r="AS236" s="59"/>
      <c r="AT236" s="59"/>
      <c r="AU236" s="59"/>
      <c r="AV236" s="59"/>
    </row>
    <row r="237" spans="1:48" s="63" customFormat="1">
      <c r="A237" s="61"/>
      <c r="B237" s="61"/>
      <c r="C237" s="60"/>
      <c r="E237" s="93"/>
      <c r="F237" s="122"/>
      <c r="G237" s="132"/>
      <c r="J237" s="61"/>
      <c r="K237" s="61"/>
      <c r="L237" s="62"/>
      <c r="N237" s="97"/>
      <c r="O237" s="121"/>
      <c r="P237" s="129"/>
      <c r="Q237" s="133"/>
      <c r="Y237" s="95"/>
      <c r="Z237" s="59"/>
      <c r="AA237" s="59"/>
      <c r="AB237" s="59"/>
      <c r="AC237" s="59"/>
      <c r="AD237" s="59"/>
      <c r="AE237" s="59"/>
      <c r="AF237" s="59"/>
      <c r="AG237" s="59"/>
      <c r="AH237" s="59"/>
      <c r="AI237" s="59"/>
      <c r="AJ237" s="59"/>
      <c r="AL237" s="95"/>
      <c r="AM237" s="59"/>
      <c r="AN237" s="59"/>
      <c r="AO237" s="59"/>
      <c r="AP237" s="59"/>
      <c r="AQ237" s="59"/>
      <c r="AR237" s="59"/>
      <c r="AS237" s="59"/>
      <c r="AT237" s="59"/>
      <c r="AU237" s="59"/>
      <c r="AV237" s="59"/>
    </row>
    <row r="238" spans="1:48" s="63" customFormat="1">
      <c r="A238" s="61"/>
      <c r="B238" s="61"/>
      <c r="C238" s="60"/>
      <c r="E238" s="93"/>
      <c r="F238" s="122"/>
      <c r="G238" s="132"/>
      <c r="J238" s="61"/>
      <c r="K238" s="61"/>
      <c r="L238" s="62"/>
      <c r="N238" s="97"/>
      <c r="O238" s="121"/>
      <c r="P238" s="129"/>
      <c r="Q238" s="133"/>
      <c r="Y238" s="95"/>
      <c r="Z238" s="59"/>
      <c r="AA238" s="59"/>
      <c r="AB238" s="59"/>
      <c r="AC238" s="59"/>
      <c r="AD238" s="59"/>
      <c r="AE238" s="59"/>
      <c r="AF238" s="59"/>
      <c r="AG238" s="59"/>
      <c r="AH238" s="59"/>
      <c r="AI238" s="59"/>
      <c r="AJ238" s="59"/>
      <c r="AL238" s="95"/>
      <c r="AM238" s="59"/>
      <c r="AN238" s="59"/>
      <c r="AO238" s="59"/>
      <c r="AP238" s="59"/>
      <c r="AQ238" s="59"/>
      <c r="AR238" s="59"/>
      <c r="AS238" s="59"/>
      <c r="AT238" s="59"/>
      <c r="AU238" s="59"/>
      <c r="AV238" s="59"/>
    </row>
    <row r="239" spans="1:48" s="63" customFormat="1">
      <c r="A239" s="61"/>
      <c r="B239" s="61"/>
      <c r="C239" s="60"/>
      <c r="E239" s="93"/>
      <c r="F239" s="122"/>
      <c r="G239" s="132"/>
      <c r="J239" s="61"/>
      <c r="K239" s="61"/>
      <c r="L239" s="62"/>
      <c r="N239" s="97"/>
      <c r="O239" s="121"/>
      <c r="P239" s="129"/>
      <c r="Q239" s="133"/>
      <c r="Y239" s="95"/>
      <c r="Z239" s="59"/>
      <c r="AA239" s="59"/>
      <c r="AB239" s="59"/>
      <c r="AC239" s="59"/>
      <c r="AD239" s="59"/>
      <c r="AE239" s="59"/>
      <c r="AF239" s="59"/>
      <c r="AG239" s="59"/>
      <c r="AH239" s="59"/>
      <c r="AI239" s="59"/>
      <c r="AJ239" s="59"/>
      <c r="AL239" s="95"/>
      <c r="AM239" s="59"/>
      <c r="AN239" s="59"/>
      <c r="AO239" s="59"/>
      <c r="AP239" s="59"/>
      <c r="AQ239" s="59"/>
      <c r="AR239" s="59"/>
      <c r="AS239" s="59"/>
      <c r="AT239" s="59"/>
      <c r="AU239" s="59"/>
      <c r="AV239" s="59"/>
    </row>
    <row r="240" spans="1:48" s="63" customFormat="1">
      <c r="A240" s="61"/>
      <c r="B240" s="61"/>
      <c r="C240" s="60"/>
      <c r="E240" s="93"/>
      <c r="F240" s="122"/>
      <c r="G240" s="132"/>
      <c r="J240" s="61"/>
      <c r="K240" s="61"/>
      <c r="L240" s="62"/>
      <c r="N240" s="97"/>
      <c r="O240" s="121"/>
      <c r="P240" s="129"/>
      <c r="Q240" s="133"/>
      <c r="Y240" s="95"/>
      <c r="Z240" s="59"/>
      <c r="AA240" s="59"/>
      <c r="AB240" s="59"/>
      <c r="AC240" s="59"/>
      <c r="AD240" s="59"/>
      <c r="AE240" s="59"/>
      <c r="AF240" s="59"/>
      <c r="AG240" s="59"/>
      <c r="AH240" s="59"/>
      <c r="AI240" s="59"/>
      <c r="AJ240" s="59"/>
      <c r="AL240" s="95"/>
      <c r="AM240" s="59"/>
      <c r="AN240" s="59"/>
      <c r="AO240" s="59"/>
      <c r="AP240" s="59"/>
      <c r="AQ240" s="59"/>
      <c r="AR240" s="59"/>
      <c r="AS240" s="59"/>
      <c r="AT240" s="59"/>
      <c r="AU240" s="59"/>
      <c r="AV240" s="59"/>
    </row>
    <row r="241" spans="1:48" s="63" customFormat="1">
      <c r="A241" s="61"/>
      <c r="B241" s="61"/>
      <c r="C241" s="60"/>
      <c r="E241" s="93"/>
      <c r="F241" s="122"/>
      <c r="G241" s="132"/>
      <c r="J241" s="61"/>
      <c r="K241" s="61"/>
      <c r="L241" s="62"/>
      <c r="N241" s="97"/>
      <c r="O241" s="121"/>
      <c r="P241" s="129"/>
      <c r="Q241" s="133"/>
      <c r="Y241" s="95"/>
      <c r="Z241" s="59"/>
      <c r="AA241" s="59"/>
      <c r="AB241" s="59"/>
      <c r="AC241" s="59"/>
      <c r="AD241" s="59"/>
      <c r="AE241" s="59"/>
      <c r="AF241" s="59"/>
      <c r="AG241" s="59"/>
      <c r="AH241" s="59"/>
      <c r="AI241" s="59"/>
      <c r="AJ241" s="59"/>
      <c r="AL241" s="95"/>
      <c r="AM241" s="59"/>
      <c r="AN241" s="59"/>
      <c r="AO241" s="59"/>
      <c r="AP241" s="59"/>
      <c r="AQ241" s="59"/>
      <c r="AR241" s="59"/>
      <c r="AS241" s="59"/>
      <c r="AT241" s="59"/>
      <c r="AU241" s="59"/>
      <c r="AV241" s="59"/>
    </row>
    <row r="242" spans="1:48" s="63" customFormat="1">
      <c r="A242" s="61"/>
      <c r="B242" s="61"/>
      <c r="C242" s="60"/>
      <c r="E242" s="93"/>
      <c r="F242" s="122"/>
      <c r="G242" s="132"/>
      <c r="J242" s="61"/>
      <c r="K242" s="61"/>
      <c r="L242" s="62"/>
      <c r="N242" s="97"/>
      <c r="O242" s="121"/>
      <c r="P242" s="129"/>
      <c r="Q242" s="133"/>
      <c r="Y242" s="95"/>
      <c r="Z242" s="59"/>
      <c r="AA242" s="59"/>
      <c r="AB242" s="59"/>
      <c r="AC242" s="59"/>
      <c r="AD242" s="59"/>
      <c r="AE242" s="59"/>
      <c r="AF242" s="59"/>
      <c r="AG242" s="59"/>
      <c r="AH242" s="59"/>
      <c r="AI242" s="59"/>
      <c r="AJ242" s="59"/>
      <c r="AL242" s="95"/>
      <c r="AM242" s="59"/>
      <c r="AN242" s="59"/>
      <c r="AO242" s="59"/>
      <c r="AP242" s="59"/>
      <c r="AQ242" s="59"/>
      <c r="AR242" s="59"/>
      <c r="AS242" s="59"/>
      <c r="AT242" s="59"/>
      <c r="AU242" s="59"/>
      <c r="AV242" s="59"/>
    </row>
    <row r="243" spans="1:48" s="63" customFormat="1">
      <c r="A243" s="61"/>
      <c r="B243" s="61"/>
      <c r="C243" s="60"/>
      <c r="E243" s="93"/>
      <c r="F243" s="122"/>
      <c r="G243" s="132"/>
      <c r="J243" s="61"/>
      <c r="K243" s="61"/>
      <c r="L243" s="62"/>
      <c r="N243" s="97"/>
      <c r="O243" s="121"/>
      <c r="P243" s="129"/>
      <c r="Q243" s="133"/>
      <c r="Y243" s="95"/>
      <c r="Z243" s="59"/>
      <c r="AA243" s="59"/>
      <c r="AB243" s="59"/>
      <c r="AC243" s="59"/>
      <c r="AD243" s="59"/>
      <c r="AE243" s="59"/>
      <c r="AF243" s="59"/>
      <c r="AG243" s="59"/>
      <c r="AH243" s="59"/>
      <c r="AI243" s="59"/>
      <c r="AJ243" s="59"/>
      <c r="AL243" s="95"/>
      <c r="AM243" s="59"/>
      <c r="AN243" s="59"/>
      <c r="AO243" s="59"/>
      <c r="AP243" s="59"/>
      <c r="AQ243" s="59"/>
      <c r="AR243" s="59"/>
      <c r="AS243" s="59"/>
      <c r="AT243" s="59"/>
      <c r="AU243" s="59"/>
      <c r="AV243" s="59"/>
    </row>
    <row r="244" spans="1:48" s="63" customFormat="1">
      <c r="A244" s="61"/>
      <c r="B244" s="61"/>
      <c r="C244" s="60"/>
      <c r="E244" s="93"/>
      <c r="F244" s="122"/>
      <c r="G244" s="132"/>
      <c r="J244" s="61"/>
      <c r="K244" s="61"/>
      <c r="L244" s="62"/>
      <c r="N244" s="97"/>
      <c r="O244" s="121"/>
      <c r="P244" s="129"/>
      <c r="Q244" s="133"/>
      <c r="Y244" s="95"/>
      <c r="Z244" s="59"/>
      <c r="AA244" s="59"/>
      <c r="AB244" s="59"/>
      <c r="AC244" s="59"/>
      <c r="AD244" s="59"/>
      <c r="AE244" s="59"/>
      <c r="AF244" s="59"/>
      <c r="AG244" s="59"/>
      <c r="AH244" s="59"/>
      <c r="AI244" s="59"/>
      <c r="AJ244" s="59"/>
      <c r="AL244" s="95"/>
      <c r="AM244" s="59"/>
      <c r="AN244" s="59"/>
      <c r="AO244" s="59"/>
      <c r="AP244" s="59"/>
      <c r="AQ244" s="59"/>
      <c r="AR244" s="59"/>
      <c r="AS244" s="59"/>
      <c r="AT244" s="59"/>
      <c r="AU244" s="59"/>
      <c r="AV244" s="59"/>
    </row>
    <row r="245" spans="1:48" s="63" customFormat="1">
      <c r="A245" s="61"/>
      <c r="B245" s="61"/>
      <c r="C245" s="60"/>
      <c r="E245" s="93"/>
      <c r="F245" s="122"/>
      <c r="G245" s="132"/>
      <c r="J245" s="61"/>
      <c r="K245" s="61"/>
      <c r="L245" s="62"/>
      <c r="N245" s="97"/>
      <c r="O245" s="121"/>
      <c r="P245" s="129"/>
      <c r="Q245" s="133"/>
      <c r="Y245" s="95"/>
      <c r="Z245" s="59"/>
      <c r="AA245" s="59"/>
      <c r="AB245" s="59"/>
      <c r="AC245" s="59"/>
      <c r="AD245" s="59"/>
      <c r="AE245" s="59"/>
      <c r="AF245" s="59"/>
      <c r="AG245" s="59"/>
      <c r="AH245" s="59"/>
      <c r="AI245" s="59"/>
      <c r="AJ245" s="59"/>
      <c r="AL245" s="95"/>
      <c r="AM245" s="59"/>
      <c r="AN245" s="59"/>
      <c r="AO245" s="59"/>
      <c r="AP245" s="59"/>
      <c r="AQ245" s="59"/>
      <c r="AR245" s="59"/>
      <c r="AS245" s="59"/>
      <c r="AT245" s="59"/>
      <c r="AU245" s="59"/>
      <c r="AV245" s="59"/>
    </row>
    <row r="246" spans="1:48" s="63" customFormat="1">
      <c r="A246" s="61"/>
      <c r="B246" s="61"/>
      <c r="C246" s="60"/>
      <c r="E246" s="93"/>
      <c r="F246" s="122"/>
      <c r="G246" s="132"/>
      <c r="J246" s="61"/>
      <c r="K246" s="61"/>
      <c r="L246" s="62"/>
      <c r="N246" s="97"/>
      <c r="O246" s="121"/>
      <c r="P246" s="129"/>
      <c r="Q246" s="133"/>
      <c r="Y246" s="95"/>
      <c r="Z246" s="59"/>
      <c r="AA246" s="59"/>
      <c r="AB246" s="59"/>
      <c r="AC246" s="59"/>
      <c r="AD246" s="59"/>
      <c r="AE246" s="59"/>
      <c r="AF246" s="59"/>
      <c r="AG246" s="59"/>
      <c r="AH246" s="59"/>
      <c r="AI246" s="59"/>
      <c r="AJ246" s="59"/>
      <c r="AL246" s="95"/>
      <c r="AM246" s="59"/>
      <c r="AN246" s="59"/>
      <c r="AO246" s="59"/>
      <c r="AP246" s="59"/>
      <c r="AQ246" s="59"/>
      <c r="AR246" s="59"/>
      <c r="AS246" s="59"/>
      <c r="AT246" s="59"/>
      <c r="AU246" s="59"/>
      <c r="AV246" s="59"/>
    </row>
    <row r="247" spans="1:48" s="63" customFormat="1">
      <c r="A247" s="61"/>
      <c r="B247" s="61"/>
      <c r="C247" s="60"/>
      <c r="E247" s="93"/>
      <c r="F247" s="122"/>
      <c r="G247" s="132"/>
      <c r="J247" s="61"/>
      <c r="K247" s="61"/>
      <c r="L247" s="62"/>
      <c r="N247" s="97"/>
      <c r="O247" s="121"/>
      <c r="P247" s="129"/>
      <c r="Q247" s="133"/>
      <c r="Y247" s="95"/>
      <c r="Z247" s="59"/>
      <c r="AA247" s="59"/>
      <c r="AB247" s="59"/>
      <c r="AC247" s="59"/>
      <c r="AD247" s="59"/>
      <c r="AE247" s="59"/>
      <c r="AF247" s="59"/>
      <c r="AG247" s="59"/>
      <c r="AH247" s="59"/>
      <c r="AI247" s="59"/>
      <c r="AJ247" s="59"/>
      <c r="AL247" s="95"/>
      <c r="AM247" s="59"/>
      <c r="AN247" s="59"/>
      <c r="AO247" s="59"/>
      <c r="AP247" s="59"/>
      <c r="AQ247" s="59"/>
      <c r="AR247" s="59"/>
      <c r="AS247" s="59"/>
      <c r="AT247" s="59"/>
      <c r="AU247" s="59"/>
      <c r="AV247" s="59"/>
    </row>
    <row r="248" spans="1:48" s="63" customFormat="1">
      <c r="A248" s="61"/>
      <c r="B248" s="61"/>
      <c r="C248" s="60"/>
      <c r="E248" s="93"/>
      <c r="F248" s="122"/>
      <c r="G248" s="132"/>
      <c r="J248" s="61"/>
      <c r="K248" s="61"/>
      <c r="L248" s="62"/>
      <c r="N248" s="97"/>
      <c r="O248" s="121"/>
      <c r="P248" s="129"/>
      <c r="Q248" s="133"/>
      <c r="Y248" s="95"/>
      <c r="Z248" s="59"/>
      <c r="AA248" s="59"/>
      <c r="AB248" s="59"/>
      <c r="AC248" s="59"/>
      <c r="AD248" s="59"/>
      <c r="AE248" s="59"/>
      <c r="AF248" s="59"/>
      <c r="AG248" s="59"/>
      <c r="AH248" s="59"/>
      <c r="AI248" s="59"/>
      <c r="AJ248" s="59"/>
      <c r="AL248" s="95"/>
      <c r="AM248" s="59"/>
      <c r="AN248" s="59"/>
      <c r="AO248" s="59"/>
      <c r="AP248" s="59"/>
      <c r="AQ248" s="59"/>
      <c r="AR248" s="59"/>
      <c r="AS248" s="59"/>
      <c r="AT248" s="59"/>
      <c r="AU248" s="59"/>
      <c r="AV248" s="59"/>
    </row>
    <row r="249" spans="1:48" s="63" customFormat="1">
      <c r="A249" s="61"/>
      <c r="B249" s="61"/>
      <c r="C249" s="60"/>
      <c r="E249" s="93"/>
      <c r="F249" s="98"/>
      <c r="G249" s="93"/>
      <c r="J249" s="61"/>
      <c r="K249" s="61"/>
      <c r="L249" s="62"/>
      <c r="N249" s="97"/>
      <c r="O249" s="121"/>
      <c r="P249" s="129"/>
      <c r="Q249" s="133"/>
      <c r="Y249" s="95"/>
      <c r="Z249" s="59"/>
      <c r="AA249" s="59"/>
      <c r="AB249" s="59"/>
      <c r="AC249" s="59"/>
      <c r="AD249" s="59"/>
      <c r="AE249" s="59"/>
      <c r="AF249" s="59"/>
      <c r="AG249" s="59"/>
      <c r="AH249" s="59"/>
      <c r="AI249" s="59"/>
      <c r="AJ249" s="59"/>
      <c r="AL249" s="95"/>
      <c r="AM249" s="59"/>
      <c r="AN249" s="59"/>
      <c r="AO249" s="59"/>
      <c r="AP249" s="59"/>
      <c r="AQ249" s="59"/>
      <c r="AR249" s="59"/>
      <c r="AS249" s="59"/>
      <c r="AT249" s="59"/>
      <c r="AU249" s="59"/>
      <c r="AV249" s="59"/>
    </row>
    <row r="250" spans="1:48" s="63" customFormat="1">
      <c r="A250" s="61"/>
      <c r="B250" s="61"/>
      <c r="C250" s="60"/>
      <c r="E250" s="93"/>
      <c r="F250" s="98"/>
      <c r="G250" s="93"/>
      <c r="J250" s="61"/>
      <c r="K250" s="61"/>
      <c r="L250" s="62"/>
      <c r="N250" s="97"/>
      <c r="O250" s="121"/>
      <c r="P250" s="129"/>
      <c r="Q250" s="133"/>
      <c r="Y250" s="95"/>
      <c r="Z250" s="59"/>
      <c r="AA250" s="59"/>
      <c r="AB250" s="59"/>
      <c r="AC250" s="59"/>
      <c r="AD250" s="59"/>
      <c r="AE250" s="59"/>
      <c r="AF250" s="59"/>
      <c r="AG250" s="59"/>
      <c r="AH250" s="59"/>
      <c r="AI250" s="59"/>
      <c r="AJ250" s="59"/>
      <c r="AL250" s="95"/>
      <c r="AM250" s="59"/>
      <c r="AN250" s="59"/>
      <c r="AO250" s="59"/>
      <c r="AP250" s="59"/>
      <c r="AQ250" s="59"/>
      <c r="AR250" s="59"/>
      <c r="AS250" s="59"/>
      <c r="AT250" s="59"/>
      <c r="AU250" s="59"/>
      <c r="AV250" s="59"/>
    </row>
    <row r="251" spans="1:48" s="63" customFormat="1">
      <c r="A251" s="61"/>
      <c r="B251" s="61"/>
      <c r="C251" s="60"/>
      <c r="E251" s="93"/>
      <c r="F251" s="98"/>
      <c r="G251" s="93"/>
      <c r="J251" s="61"/>
      <c r="K251" s="61"/>
      <c r="L251" s="62"/>
      <c r="N251" s="97"/>
      <c r="O251" s="121"/>
      <c r="P251" s="129"/>
      <c r="Q251" s="133"/>
      <c r="Y251" s="95"/>
      <c r="Z251" s="59"/>
      <c r="AA251" s="59"/>
      <c r="AB251" s="59"/>
      <c r="AC251" s="59"/>
      <c r="AD251" s="59"/>
      <c r="AE251" s="59"/>
      <c r="AF251" s="59"/>
      <c r="AG251" s="59"/>
      <c r="AH251" s="59"/>
      <c r="AI251" s="59"/>
      <c r="AJ251" s="59"/>
      <c r="AL251" s="95"/>
      <c r="AM251" s="59"/>
      <c r="AN251" s="59"/>
      <c r="AO251" s="59"/>
      <c r="AP251" s="59"/>
      <c r="AQ251" s="59"/>
      <c r="AR251" s="59"/>
      <c r="AS251" s="59"/>
      <c r="AT251" s="59"/>
      <c r="AU251" s="59"/>
      <c r="AV251" s="59"/>
    </row>
    <row r="252" spans="1:48" s="63" customFormat="1">
      <c r="A252" s="61"/>
      <c r="B252" s="61"/>
      <c r="C252" s="60"/>
      <c r="E252" s="93"/>
      <c r="F252" s="98"/>
      <c r="G252" s="93"/>
      <c r="J252" s="61"/>
      <c r="K252" s="61"/>
      <c r="L252" s="62"/>
      <c r="N252" s="97"/>
      <c r="O252" s="121"/>
      <c r="P252" s="129"/>
      <c r="Q252" s="133"/>
      <c r="Y252" s="95"/>
      <c r="Z252" s="59"/>
      <c r="AA252" s="59"/>
      <c r="AB252" s="59"/>
      <c r="AC252" s="59"/>
      <c r="AD252" s="59"/>
      <c r="AE252" s="59"/>
      <c r="AF252" s="59"/>
      <c r="AG252" s="59"/>
      <c r="AH252" s="59"/>
      <c r="AI252" s="59"/>
      <c r="AJ252" s="59"/>
      <c r="AL252" s="95"/>
      <c r="AM252" s="59"/>
      <c r="AN252" s="59"/>
      <c r="AO252" s="59"/>
      <c r="AP252" s="59"/>
      <c r="AQ252" s="59"/>
      <c r="AR252" s="59"/>
      <c r="AS252" s="59"/>
      <c r="AT252" s="59"/>
      <c r="AU252" s="59"/>
      <c r="AV252" s="59"/>
    </row>
    <row r="253" spans="1:48" s="63" customFormat="1">
      <c r="A253" s="61"/>
      <c r="B253" s="61"/>
      <c r="C253" s="60"/>
      <c r="E253" s="93"/>
      <c r="F253" s="98"/>
      <c r="G253" s="93"/>
      <c r="J253" s="61"/>
      <c r="K253" s="61"/>
      <c r="L253" s="62"/>
      <c r="N253" s="97"/>
      <c r="O253" s="121"/>
      <c r="P253" s="129"/>
      <c r="Q253" s="133"/>
      <c r="Y253" s="95"/>
      <c r="Z253" s="59"/>
      <c r="AA253" s="59"/>
      <c r="AB253" s="59"/>
      <c r="AC253" s="59"/>
      <c r="AD253" s="59"/>
      <c r="AE253" s="59"/>
      <c r="AF253" s="59"/>
      <c r="AG253" s="59"/>
      <c r="AH253" s="59"/>
      <c r="AI253" s="59"/>
      <c r="AJ253" s="59"/>
      <c r="AL253" s="95"/>
      <c r="AM253" s="59"/>
      <c r="AN253" s="59"/>
      <c r="AO253" s="59"/>
      <c r="AP253" s="59"/>
      <c r="AQ253" s="59"/>
      <c r="AR253" s="59"/>
      <c r="AS253" s="59"/>
      <c r="AT253" s="59"/>
      <c r="AU253" s="59"/>
      <c r="AV253" s="59"/>
    </row>
    <row r="254" spans="1:48" s="63" customFormat="1">
      <c r="A254" s="61"/>
      <c r="B254" s="61"/>
      <c r="C254" s="60"/>
      <c r="E254" s="93"/>
      <c r="F254" s="98"/>
      <c r="G254" s="93"/>
      <c r="J254" s="61"/>
      <c r="K254" s="61"/>
      <c r="L254" s="62"/>
      <c r="N254" s="97"/>
      <c r="O254" s="121"/>
      <c r="P254" s="129"/>
      <c r="Q254" s="133"/>
      <c r="Y254" s="95"/>
      <c r="Z254" s="59"/>
      <c r="AA254" s="59"/>
      <c r="AB254" s="59"/>
      <c r="AC254" s="59"/>
      <c r="AD254" s="59"/>
      <c r="AE254" s="59"/>
      <c r="AF254" s="59"/>
      <c r="AG254" s="59"/>
      <c r="AH254" s="59"/>
      <c r="AI254" s="59"/>
      <c r="AJ254" s="59"/>
      <c r="AL254" s="95"/>
      <c r="AM254" s="59"/>
      <c r="AN254" s="59"/>
      <c r="AO254" s="59"/>
      <c r="AP254" s="59"/>
      <c r="AQ254" s="59"/>
      <c r="AR254" s="59"/>
      <c r="AS254" s="59"/>
      <c r="AT254" s="59"/>
      <c r="AU254" s="59"/>
      <c r="AV254" s="59"/>
    </row>
    <row r="255" spans="1:48" s="63" customFormat="1">
      <c r="A255" s="61"/>
      <c r="B255" s="61"/>
      <c r="C255" s="60"/>
      <c r="E255" s="93"/>
      <c r="F255" s="98"/>
      <c r="G255" s="93"/>
      <c r="J255" s="61"/>
      <c r="K255" s="61"/>
      <c r="L255" s="62"/>
      <c r="N255" s="97"/>
      <c r="O255" s="121"/>
      <c r="P255" s="129"/>
      <c r="Q255" s="133"/>
      <c r="Y255" s="95"/>
      <c r="Z255" s="59"/>
      <c r="AA255" s="59"/>
      <c r="AB255" s="59"/>
      <c r="AC255" s="59"/>
      <c r="AD255" s="59"/>
      <c r="AE255" s="59"/>
      <c r="AF255" s="59"/>
      <c r="AG255" s="59"/>
      <c r="AH255" s="59"/>
      <c r="AI255" s="59"/>
      <c r="AJ255" s="59"/>
      <c r="AL255" s="95"/>
      <c r="AM255" s="59"/>
      <c r="AN255" s="59"/>
      <c r="AO255" s="59"/>
      <c r="AP255" s="59"/>
      <c r="AQ255" s="59"/>
      <c r="AR255" s="59"/>
      <c r="AS255" s="59"/>
      <c r="AT255" s="59"/>
      <c r="AU255" s="59"/>
      <c r="AV255" s="59"/>
    </row>
    <row r="256" spans="1:48" s="63" customFormat="1">
      <c r="A256" s="61"/>
      <c r="B256" s="61"/>
      <c r="C256" s="60"/>
      <c r="E256" s="93"/>
      <c r="F256" s="98"/>
      <c r="G256" s="93"/>
      <c r="J256" s="61"/>
      <c r="K256" s="61"/>
      <c r="L256" s="62"/>
      <c r="N256" s="97"/>
      <c r="O256" s="121"/>
      <c r="P256" s="129"/>
      <c r="Q256" s="133"/>
      <c r="Y256" s="95"/>
      <c r="Z256" s="59"/>
      <c r="AA256" s="59"/>
      <c r="AB256" s="59"/>
      <c r="AC256" s="59"/>
      <c r="AD256" s="59"/>
      <c r="AE256" s="59"/>
      <c r="AF256" s="59"/>
      <c r="AG256" s="59"/>
      <c r="AH256" s="59"/>
      <c r="AI256" s="59"/>
      <c r="AJ256" s="59"/>
      <c r="AL256" s="95"/>
      <c r="AM256" s="59"/>
      <c r="AN256" s="59"/>
      <c r="AO256" s="59"/>
      <c r="AP256" s="59"/>
      <c r="AQ256" s="59"/>
      <c r="AR256" s="59"/>
      <c r="AS256" s="59"/>
      <c r="AT256" s="59"/>
      <c r="AU256" s="59"/>
      <c r="AV256" s="59"/>
    </row>
    <row r="257" spans="1:48" s="63" customFormat="1">
      <c r="A257" s="61"/>
      <c r="B257" s="61"/>
      <c r="C257" s="60"/>
      <c r="E257" s="93"/>
      <c r="F257" s="98"/>
      <c r="G257" s="93"/>
      <c r="J257" s="61"/>
      <c r="K257" s="61"/>
      <c r="L257" s="62"/>
      <c r="N257" s="97"/>
      <c r="O257" s="121"/>
      <c r="P257" s="129"/>
      <c r="Q257" s="133"/>
      <c r="Y257" s="95"/>
      <c r="Z257" s="59"/>
      <c r="AA257" s="59"/>
      <c r="AB257" s="59"/>
      <c r="AC257" s="59"/>
      <c r="AD257" s="59"/>
      <c r="AE257" s="59"/>
      <c r="AF257" s="59"/>
      <c r="AG257" s="59"/>
      <c r="AH257" s="59"/>
      <c r="AI257" s="59"/>
      <c r="AJ257" s="59"/>
      <c r="AL257" s="95"/>
      <c r="AM257" s="59"/>
      <c r="AN257" s="59"/>
      <c r="AO257" s="59"/>
      <c r="AP257" s="59"/>
      <c r="AQ257" s="59"/>
      <c r="AR257" s="59"/>
      <c r="AS257" s="59"/>
      <c r="AT257" s="59"/>
      <c r="AU257" s="59"/>
      <c r="AV257" s="59"/>
    </row>
    <row r="258" spans="1:48" s="63" customFormat="1">
      <c r="A258" s="61"/>
      <c r="B258" s="61"/>
      <c r="C258" s="60"/>
      <c r="E258" s="93"/>
      <c r="F258" s="98"/>
      <c r="G258" s="93"/>
      <c r="J258" s="61"/>
      <c r="K258" s="61"/>
      <c r="L258" s="62"/>
      <c r="N258" s="97"/>
      <c r="O258" s="121"/>
      <c r="P258" s="129"/>
      <c r="Q258" s="133"/>
      <c r="Y258" s="95"/>
      <c r="Z258" s="59"/>
      <c r="AA258" s="59"/>
      <c r="AB258" s="59"/>
      <c r="AC258" s="59"/>
      <c r="AD258" s="59"/>
      <c r="AE258" s="59"/>
      <c r="AF258" s="59"/>
      <c r="AG258" s="59"/>
      <c r="AH258" s="59"/>
      <c r="AI258" s="59"/>
      <c r="AJ258" s="59"/>
      <c r="AL258" s="95"/>
      <c r="AM258" s="59"/>
      <c r="AN258" s="59"/>
      <c r="AO258" s="59"/>
      <c r="AP258" s="59"/>
      <c r="AQ258" s="59"/>
      <c r="AR258" s="59"/>
      <c r="AS258" s="59"/>
      <c r="AT258" s="59"/>
      <c r="AU258" s="59"/>
      <c r="AV258" s="59"/>
    </row>
    <row r="259" spans="1:48" s="63" customFormat="1">
      <c r="A259" s="61"/>
      <c r="B259" s="61"/>
      <c r="C259" s="60"/>
      <c r="E259" s="93"/>
      <c r="F259" s="98"/>
      <c r="G259" s="93"/>
      <c r="J259" s="61"/>
      <c r="K259" s="61"/>
      <c r="L259" s="62"/>
      <c r="N259" s="97"/>
      <c r="O259" s="121"/>
      <c r="P259" s="129"/>
      <c r="Q259" s="133"/>
      <c r="Y259" s="95"/>
      <c r="Z259" s="59"/>
      <c r="AA259" s="59"/>
      <c r="AB259" s="59"/>
      <c r="AC259" s="59"/>
      <c r="AD259" s="59"/>
      <c r="AE259" s="59"/>
      <c r="AF259" s="59"/>
      <c r="AG259" s="59"/>
      <c r="AH259" s="59"/>
      <c r="AI259" s="59"/>
      <c r="AJ259" s="59"/>
      <c r="AL259" s="95"/>
      <c r="AM259" s="59"/>
      <c r="AN259" s="59"/>
      <c r="AO259" s="59"/>
      <c r="AP259" s="59"/>
      <c r="AQ259" s="59"/>
      <c r="AR259" s="59"/>
      <c r="AS259" s="59"/>
      <c r="AT259" s="59"/>
      <c r="AU259" s="59"/>
      <c r="AV259" s="59"/>
    </row>
    <row r="260" spans="1:48" s="63" customFormat="1">
      <c r="A260" s="61"/>
      <c r="B260" s="61"/>
      <c r="C260" s="60"/>
      <c r="E260" s="93"/>
      <c r="F260" s="98"/>
      <c r="G260" s="93"/>
      <c r="J260" s="61"/>
      <c r="K260" s="61"/>
      <c r="L260" s="62"/>
      <c r="N260" s="97"/>
      <c r="O260" s="121"/>
      <c r="P260" s="129"/>
      <c r="Q260" s="133"/>
      <c r="Y260" s="95"/>
      <c r="Z260" s="59"/>
      <c r="AA260" s="59"/>
      <c r="AB260" s="59"/>
      <c r="AC260" s="59"/>
      <c r="AD260" s="59"/>
      <c r="AE260" s="59"/>
      <c r="AF260" s="59"/>
      <c r="AG260" s="59"/>
      <c r="AH260" s="59"/>
      <c r="AI260" s="59"/>
      <c r="AJ260" s="59"/>
      <c r="AL260" s="95"/>
      <c r="AM260" s="59"/>
      <c r="AN260" s="59"/>
      <c r="AO260" s="59"/>
      <c r="AP260" s="59"/>
      <c r="AQ260" s="59"/>
      <c r="AR260" s="59"/>
      <c r="AS260" s="59"/>
      <c r="AT260" s="59"/>
      <c r="AU260" s="59"/>
      <c r="AV260" s="59"/>
    </row>
    <row r="261" spans="1:48" s="63" customFormat="1">
      <c r="A261" s="61"/>
      <c r="B261" s="61"/>
      <c r="C261" s="60"/>
      <c r="E261" s="93"/>
      <c r="F261" s="98"/>
      <c r="G261" s="93"/>
      <c r="J261" s="61"/>
      <c r="K261" s="61"/>
      <c r="L261" s="62"/>
      <c r="N261" s="97"/>
      <c r="O261" s="121"/>
      <c r="P261" s="129"/>
      <c r="Q261" s="133"/>
      <c r="Y261" s="95"/>
      <c r="Z261" s="59"/>
      <c r="AA261" s="59"/>
      <c r="AB261" s="59"/>
      <c r="AC261" s="59"/>
      <c r="AD261" s="59"/>
      <c r="AE261" s="59"/>
      <c r="AF261" s="59"/>
      <c r="AG261" s="59"/>
      <c r="AH261" s="59"/>
      <c r="AI261" s="59"/>
      <c r="AJ261" s="59"/>
      <c r="AL261" s="95"/>
      <c r="AM261" s="59"/>
      <c r="AN261" s="59"/>
      <c r="AO261" s="59"/>
      <c r="AP261" s="59"/>
      <c r="AQ261" s="59"/>
      <c r="AR261" s="59"/>
      <c r="AS261" s="59"/>
      <c r="AT261" s="59"/>
      <c r="AU261" s="59"/>
      <c r="AV261" s="59"/>
    </row>
    <row r="262" spans="1:48" s="63" customFormat="1">
      <c r="A262" s="61"/>
      <c r="B262" s="61"/>
      <c r="C262" s="60"/>
      <c r="E262" s="93"/>
      <c r="F262" s="98"/>
      <c r="G262" s="93"/>
      <c r="J262" s="61"/>
      <c r="K262" s="61"/>
      <c r="L262" s="62"/>
      <c r="N262" s="97"/>
      <c r="O262" s="121"/>
      <c r="P262" s="129"/>
      <c r="Q262" s="133"/>
      <c r="Y262" s="95"/>
      <c r="Z262" s="59"/>
      <c r="AA262" s="59"/>
      <c r="AB262" s="59"/>
      <c r="AC262" s="59"/>
      <c r="AD262" s="59"/>
      <c r="AE262" s="59"/>
      <c r="AF262" s="59"/>
      <c r="AG262" s="59"/>
      <c r="AH262" s="59"/>
      <c r="AI262" s="59"/>
      <c r="AJ262" s="59"/>
      <c r="AL262" s="95"/>
      <c r="AM262" s="59"/>
      <c r="AN262" s="59"/>
      <c r="AO262" s="59"/>
      <c r="AP262" s="59"/>
      <c r="AQ262" s="59"/>
      <c r="AR262" s="59"/>
      <c r="AS262" s="59"/>
      <c r="AT262" s="59"/>
      <c r="AU262" s="59"/>
      <c r="AV262" s="59"/>
    </row>
    <row r="263" spans="1:48" s="63" customFormat="1">
      <c r="A263" s="61"/>
      <c r="B263" s="61"/>
      <c r="C263" s="60"/>
      <c r="E263" s="93"/>
      <c r="F263" s="98"/>
      <c r="G263" s="93"/>
      <c r="J263" s="61"/>
      <c r="K263" s="61"/>
      <c r="L263" s="62"/>
      <c r="N263" s="97"/>
      <c r="O263" s="121"/>
      <c r="P263" s="129"/>
      <c r="Q263" s="133"/>
      <c r="Y263" s="95"/>
      <c r="Z263" s="59"/>
      <c r="AA263" s="59"/>
      <c r="AB263" s="59"/>
      <c r="AC263" s="59"/>
      <c r="AD263" s="59"/>
      <c r="AE263" s="59"/>
      <c r="AF263" s="59"/>
      <c r="AG263" s="59"/>
      <c r="AH263" s="59"/>
      <c r="AI263" s="59"/>
      <c r="AJ263" s="59"/>
      <c r="AL263" s="95"/>
      <c r="AM263" s="59"/>
      <c r="AN263" s="59"/>
      <c r="AO263" s="59"/>
      <c r="AP263" s="59"/>
      <c r="AQ263" s="59"/>
      <c r="AR263" s="59"/>
      <c r="AS263" s="59"/>
      <c r="AT263" s="59"/>
      <c r="AU263" s="59"/>
      <c r="AV263" s="59"/>
    </row>
    <row r="264" spans="1:48" s="63" customFormat="1">
      <c r="A264" s="61"/>
      <c r="B264" s="61"/>
      <c r="C264" s="60"/>
      <c r="E264" s="93"/>
      <c r="F264" s="98"/>
      <c r="G264" s="93"/>
      <c r="J264" s="61"/>
      <c r="K264" s="61"/>
      <c r="L264" s="62"/>
      <c r="N264" s="97"/>
      <c r="O264" s="121"/>
      <c r="P264" s="129"/>
      <c r="Q264" s="133"/>
      <c r="Y264" s="95"/>
      <c r="Z264" s="59"/>
      <c r="AA264" s="59"/>
      <c r="AB264" s="59"/>
      <c r="AC264" s="59"/>
      <c r="AD264" s="59"/>
      <c r="AE264" s="59"/>
      <c r="AF264" s="59"/>
      <c r="AG264" s="59"/>
      <c r="AH264" s="59"/>
      <c r="AI264" s="59"/>
      <c r="AJ264" s="59"/>
      <c r="AL264" s="95"/>
      <c r="AM264" s="59"/>
      <c r="AN264" s="59"/>
      <c r="AO264" s="59"/>
      <c r="AP264" s="59"/>
      <c r="AQ264" s="59"/>
      <c r="AR264" s="59"/>
      <c r="AS264" s="59"/>
      <c r="AT264" s="59"/>
      <c r="AU264" s="59"/>
      <c r="AV264" s="59"/>
    </row>
    <row r="265" spans="1:48" s="63" customFormat="1">
      <c r="A265" s="61"/>
      <c r="B265" s="61"/>
      <c r="C265" s="60"/>
      <c r="E265" s="93"/>
      <c r="F265" s="98"/>
      <c r="G265" s="93"/>
      <c r="J265" s="61"/>
      <c r="K265" s="61"/>
      <c r="L265" s="62"/>
      <c r="N265" s="97"/>
      <c r="O265" s="121"/>
      <c r="P265" s="129"/>
      <c r="Q265" s="133"/>
      <c r="Y265" s="95"/>
      <c r="Z265" s="59"/>
      <c r="AA265" s="59"/>
      <c r="AB265" s="59"/>
      <c r="AC265" s="59"/>
      <c r="AD265" s="59"/>
      <c r="AE265" s="59"/>
      <c r="AF265" s="59"/>
      <c r="AG265" s="59"/>
      <c r="AH265" s="59"/>
      <c r="AI265" s="59"/>
      <c r="AJ265" s="59"/>
      <c r="AL265" s="95"/>
      <c r="AM265" s="59"/>
      <c r="AN265" s="59"/>
      <c r="AO265" s="59"/>
      <c r="AP265" s="59"/>
      <c r="AQ265" s="59"/>
      <c r="AR265" s="59"/>
      <c r="AS265" s="59"/>
      <c r="AT265" s="59"/>
      <c r="AU265" s="59"/>
      <c r="AV265" s="59"/>
    </row>
    <row r="266" spans="1:48" s="63" customFormat="1">
      <c r="A266" s="61"/>
      <c r="B266" s="61"/>
      <c r="C266" s="60"/>
      <c r="E266" s="93"/>
      <c r="F266" s="98"/>
      <c r="G266" s="93"/>
      <c r="J266" s="61"/>
      <c r="K266" s="61"/>
      <c r="L266" s="62"/>
      <c r="N266" s="97"/>
      <c r="O266" s="121"/>
      <c r="P266" s="129"/>
      <c r="Q266" s="133"/>
      <c r="Y266" s="95"/>
      <c r="Z266" s="59"/>
      <c r="AA266" s="59"/>
      <c r="AB266" s="59"/>
      <c r="AC266" s="59"/>
      <c r="AD266" s="59"/>
      <c r="AE266" s="59"/>
      <c r="AF266" s="59"/>
      <c r="AG266" s="59"/>
      <c r="AH266" s="59"/>
      <c r="AI266" s="59"/>
      <c r="AJ266" s="59"/>
      <c r="AL266" s="95"/>
      <c r="AM266" s="59"/>
      <c r="AN266" s="59"/>
      <c r="AO266" s="59"/>
      <c r="AP266" s="59"/>
      <c r="AQ266" s="59"/>
      <c r="AR266" s="59"/>
      <c r="AS266" s="59"/>
      <c r="AT266" s="59"/>
      <c r="AU266" s="59"/>
      <c r="AV266" s="59"/>
    </row>
    <row r="267" spans="1:48" s="63" customFormat="1">
      <c r="A267" s="61"/>
      <c r="B267" s="61"/>
      <c r="C267" s="60"/>
      <c r="E267" s="93"/>
      <c r="F267" s="98"/>
      <c r="G267" s="93"/>
      <c r="J267" s="61"/>
      <c r="K267" s="61"/>
      <c r="L267" s="62"/>
      <c r="N267" s="97"/>
      <c r="O267" s="121"/>
      <c r="P267" s="129"/>
      <c r="Q267" s="133"/>
      <c r="Y267" s="95"/>
      <c r="Z267" s="59"/>
      <c r="AA267" s="59"/>
      <c r="AB267" s="59"/>
      <c r="AC267" s="59"/>
      <c r="AD267" s="59"/>
      <c r="AE267" s="59"/>
      <c r="AF267" s="59"/>
      <c r="AG267" s="59"/>
      <c r="AH267" s="59"/>
      <c r="AI267" s="59"/>
      <c r="AJ267" s="59"/>
      <c r="AL267" s="95"/>
      <c r="AM267" s="59"/>
      <c r="AN267" s="59"/>
      <c r="AO267" s="59"/>
      <c r="AP267" s="59"/>
      <c r="AQ267" s="59"/>
      <c r="AR267" s="59"/>
      <c r="AS267" s="59"/>
      <c r="AT267" s="59"/>
      <c r="AU267" s="59"/>
      <c r="AV267" s="59"/>
    </row>
    <row r="268" spans="1:48" s="63" customFormat="1">
      <c r="A268" s="61"/>
      <c r="B268" s="61"/>
      <c r="C268" s="60"/>
      <c r="E268" s="93"/>
      <c r="F268" s="98"/>
      <c r="G268" s="93"/>
      <c r="J268" s="61"/>
      <c r="K268" s="61"/>
      <c r="L268" s="62"/>
      <c r="N268" s="97"/>
      <c r="O268" s="121"/>
      <c r="P268" s="129"/>
      <c r="Q268" s="133"/>
      <c r="Y268" s="95"/>
      <c r="Z268" s="59"/>
      <c r="AA268" s="59"/>
      <c r="AB268" s="59"/>
      <c r="AC268" s="59"/>
      <c r="AD268" s="59"/>
      <c r="AE268" s="59"/>
      <c r="AF268" s="59"/>
      <c r="AG268" s="59"/>
      <c r="AH268" s="59"/>
      <c r="AI268" s="59"/>
      <c r="AJ268" s="59"/>
      <c r="AL268" s="95"/>
      <c r="AM268" s="59"/>
      <c r="AN268" s="59"/>
      <c r="AO268" s="59"/>
      <c r="AP268" s="59"/>
      <c r="AQ268" s="59"/>
      <c r="AR268" s="59"/>
      <c r="AS268" s="59"/>
      <c r="AT268" s="59"/>
      <c r="AU268" s="59"/>
      <c r="AV268" s="59"/>
    </row>
    <row r="269" spans="1:48" s="63" customFormat="1">
      <c r="A269" s="61"/>
      <c r="B269" s="61"/>
      <c r="C269" s="60"/>
      <c r="E269" s="93"/>
      <c r="F269" s="98"/>
      <c r="G269" s="93"/>
      <c r="J269" s="61"/>
      <c r="K269" s="61"/>
      <c r="L269" s="62"/>
      <c r="N269" s="97"/>
      <c r="O269" s="121"/>
      <c r="P269" s="129"/>
      <c r="Q269" s="133"/>
      <c r="Y269" s="95"/>
      <c r="Z269" s="59"/>
      <c r="AA269" s="59"/>
      <c r="AB269" s="59"/>
      <c r="AC269" s="59"/>
      <c r="AD269" s="59"/>
      <c r="AE269" s="59"/>
      <c r="AF269" s="59"/>
      <c r="AG269" s="59"/>
      <c r="AH269" s="59"/>
      <c r="AI269" s="59"/>
      <c r="AJ269" s="59"/>
      <c r="AL269" s="95"/>
      <c r="AM269" s="59"/>
      <c r="AN269" s="59"/>
      <c r="AO269" s="59"/>
      <c r="AP269" s="59"/>
      <c r="AQ269" s="59"/>
      <c r="AR269" s="59"/>
      <c r="AS269" s="59"/>
      <c r="AT269" s="59"/>
      <c r="AU269" s="59"/>
      <c r="AV269" s="59"/>
    </row>
    <row r="270" spans="1:48" s="63" customFormat="1">
      <c r="A270" s="61"/>
      <c r="B270" s="61"/>
      <c r="C270" s="60"/>
      <c r="E270" s="93"/>
      <c r="F270" s="98"/>
      <c r="G270" s="93"/>
      <c r="J270" s="61"/>
      <c r="K270" s="61"/>
      <c r="L270" s="62"/>
      <c r="N270" s="97"/>
      <c r="O270" s="121"/>
      <c r="P270" s="129"/>
      <c r="Q270" s="133"/>
      <c r="Y270" s="95"/>
      <c r="Z270" s="59"/>
      <c r="AA270" s="59"/>
      <c r="AB270" s="59"/>
      <c r="AC270" s="59"/>
      <c r="AD270" s="59"/>
      <c r="AE270" s="59"/>
      <c r="AF270" s="59"/>
      <c r="AG270" s="59"/>
      <c r="AH270" s="59"/>
      <c r="AI270" s="59"/>
      <c r="AJ270" s="59"/>
      <c r="AL270" s="95"/>
      <c r="AM270" s="59"/>
      <c r="AN270" s="59"/>
      <c r="AO270" s="59"/>
      <c r="AP270" s="59"/>
      <c r="AQ270" s="59"/>
      <c r="AR270" s="59"/>
      <c r="AS270" s="59"/>
      <c r="AT270" s="59"/>
      <c r="AU270" s="59"/>
      <c r="AV270" s="59"/>
    </row>
    <row r="271" spans="1:48" s="63" customFormat="1">
      <c r="A271" s="61"/>
      <c r="B271" s="61"/>
      <c r="C271" s="60"/>
      <c r="E271" s="93"/>
      <c r="F271" s="98"/>
      <c r="G271" s="93"/>
      <c r="J271" s="61"/>
      <c r="K271" s="61"/>
      <c r="L271" s="62"/>
      <c r="N271" s="97"/>
      <c r="O271" s="121"/>
      <c r="P271" s="129"/>
      <c r="Q271" s="133"/>
      <c r="Y271" s="95"/>
      <c r="Z271" s="59"/>
      <c r="AA271" s="59"/>
      <c r="AB271" s="59"/>
      <c r="AC271" s="59"/>
      <c r="AD271" s="59"/>
      <c r="AE271" s="59"/>
      <c r="AF271" s="59"/>
      <c r="AG271" s="59"/>
      <c r="AH271" s="59"/>
      <c r="AI271" s="59"/>
      <c r="AJ271" s="59"/>
      <c r="AL271" s="95"/>
      <c r="AM271" s="59"/>
      <c r="AN271" s="59"/>
      <c r="AO271" s="59"/>
      <c r="AP271" s="59"/>
      <c r="AQ271" s="59"/>
      <c r="AR271" s="59"/>
      <c r="AS271" s="59"/>
      <c r="AT271" s="59"/>
      <c r="AU271" s="59"/>
      <c r="AV271" s="59"/>
    </row>
    <row r="272" spans="1:48" s="63" customFormat="1">
      <c r="A272" s="61"/>
      <c r="B272" s="61"/>
      <c r="C272" s="60"/>
      <c r="E272" s="93"/>
      <c r="F272" s="98"/>
      <c r="G272" s="93"/>
      <c r="J272" s="61"/>
      <c r="K272" s="61"/>
      <c r="L272" s="62"/>
      <c r="N272" s="97"/>
      <c r="O272" s="121"/>
      <c r="P272" s="129"/>
      <c r="Q272" s="133"/>
      <c r="Y272" s="95"/>
      <c r="Z272" s="59"/>
      <c r="AA272" s="59"/>
      <c r="AB272" s="59"/>
      <c r="AC272" s="59"/>
      <c r="AD272" s="59"/>
      <c r="AE272" s="59"/>
      <c r="AF272" s="59"/>
      <c r="AG272" s="59"/>
      <c r="AH272" s="59"/>
      <c r="AI272" s="59"/>
      <c r="AJ272" s="59"/>
      <c r="AL272" s="95"/>
      <c r="AM272" s="59"/>
      <c r="AN272" s="59"/>
      <c r="AO272" s="59"/>
      <c r="AP272" s="59"/>
      <c r="AQ272" s="59"/>
      <c r="AR272" s="59"/>
      <c r="AS272" s="59"/>
      <c r="AT272" s="59"/>
      <c r="AU272" s="59"/>
      <c r="AV272" s="59"/>
    </row>
    <row r="273" spans="1:48" s="63" customFormat="1">
      <c r="A273" s="61"/>
      <c r="B273" s="61"/>
      <c r="C273" s="60"/>
      <c r="E273" s="93"/>
      <c r="F273" s="98"/>
      <c r="G273" s="93"/>
      <c r="J273" s="61"/>
      <c r="K273" s="61"/>
      <c r="L273" s="62"/>
      <c r="N273" s="97"/>
      <c r="O273" s="121"/>
      <c r="P273" s="129"/>
      <c r="Q273" s="133"/>
      <c r="Y273" s="95"/>
      <c r="Z273" s="59"/>
      <c r="AA273" s="59"/>
      <c r="AB273" s="59"/>
      <c r="AC273" s="59"/>
      <c r="AD273" s="59"/>
      <c r="AE273" s="59"/>
      <c r="AF273" s="59"/>
      <c r="AG273" s="59"/>
      <c r="AH273" s="59"/>
      <c r="AI273" s="59"/>
      <c r="AJ273" s="59"/>
      <c r="AL273" s="95"/>
      <c r="AM273" s="59"/>
      <c r="AN273" s="59"/>
      <c r="AO273" s="59"/>
      <c r="AP273" s="59"/>
      <c r="AQ273" s="59"/>
      <c r="AR273" s="59"/>
      <c r="AS273" s="59"/>
      <c r="AT273" s="59"/>
      <c r="AU273" s="59"/>
      <c r="AV273" s="59"/>
    </row>
    <row r="274" spans="1:48" s="63" customFormat="1">
      <c r="A274" s="61"/>
      <c r="B274" s="61"/>
      <c r="C274" s="60"/>
      <c r="E274" s="93"/>
      <c r="F274" s="98"/>
      <c r="G274" s="93"/>
      <c r="J274" s="61"/>
      <c r="K274" s="61"/>
      <c r="L274" s="62"/>
      <c r="N274" s="97"/>
      <c r="O274" s="121"/>
      <c r="P274" s="129"/>
      <c r="Q274" s="133"/>
      <c r="Y274" s="95"/>
      <c r="Z274" s="59"/>
      <c r="AA274" s="59"/>
      <c r="AB274" s="59"/>
      <c r="AC274" s="59"/>
      <c r="AD274" s="59"/>
      <c r="AE274" s="59"/>
      <c r="AF274" s="59"/>
      <c r="AG274" s="59"/>
      <c r="AH274" s="59"/>
      <c r="AI274" s="59"/>
      <c r="AJ274" s="59"/>
      <c r="AL274" s="95"/>
      <c r="AM274" s="59"/>
      <c r="AN274" s="59"/>
      <c r="AO274" s="59"/>
      <c r="AP274" s="59"/>
      <c r="AQ274" s="59"/>
      <c r="AR274" s="59"/>
      <c r="AS274" s="59"/>
      <c r="AT274" s="59"/>
      <c r="AU274" s="59"/>
      <c r="AV274" s="59"/>
    </row>
    <row r="275" spans="1:48" s="63" customFormat="1">
      <c r="A275" s="61"/>
      <c r="B275" s="61"/>
      <c r="C275" s="60"/>
      <c r="E275" s="93"/>
      <c r="F275" s="98"/>
      <c r="G275" s="93"/>
      <c r="J275" s="61"/>
      <c r="K275" s="61"/>
      <c r="L275" s="62"/>
      <c r="N275" s="97"/>
      <c r="O275" s="121"/>
      <c r="P275" s="129"/>
      <c r="Q275" s="133"/>
      <c r="Y275" s="95"/>
      <c r="Z275" s="59"/>
      <c r="AA275" s="59"/>
      <c r="AB275" s="59"/>
      <c r="AC275" s="59"/>
      <c r="AD275" s="59"/>
      <c r="AE275" s="59"/>
      <c r="AF275" s="59"/>
      <c r="AG275" s="59"/>
      <c r="AH275" s="59"/>
      <c r="AI275" s="59"/>
      <c r="AJ275" s="59"/>
      <c r="AL275" s="95"/>
      <c r="AM275" s="59"/>
      <c r="AN275" s="59"/>
      <c r="AO275" s="59"/>
      <c r="AP275" s="59"/>
      <c r="AQ275" s="59"/>
      <c r="AR275" s="59"/>
      <c r="AS275" s="59"/>
      <c r="AT275" s="59"/>
      <c r="AU275" s="59"/>
      <c r="AV275" s="59"/>
    </row>
    <row r="276" spans="1:48" s="63" customFormat="1">
      <c r="A276" s="61"/>
      <c r="B276" s="61"/>
      <c r="C276" s="60"/>
      <c r="E276" s="93"/>
      <c r="F276" s="98"/>
      <c r="G276" s="93"/>
      <c r="J276" s="61"/>
      <c r="K276" s="61"/>
      <c r="L276" s="62"/>
      <c r="N276" s="97"/>
      <c r="O276" s="121"/>
      <c r="P276" s="129"/>
      <c r="Q276" s="133"/>
      <c r="Y276" s="95"/>
      <c r="Z276" s="59"/>
      <c r="AA276" s="59"/>
      <c r="AB276" s="59"/>
      <c r="AC276" s="59"/>
      <c r="AD276" s="59"/>
      <c r="AE276" s="59"/>
      <c r="AF276" s="59"/>
      <c r="AG276" s="59"/>
      <c r="AH276" s="59"/>
      <c r="AI276" s="59"/>
      <c r="AJ276" s="59"/>
      <c r="AL276" s="95"/>
      <c r="AM276" s="59"/>
      <c r="AN276" s="59"/>
      <c r="AO276" s="59"/>
      <c r="AP276" s="59"/>
      <c r="AQ276" s="59"/>
      <c r="AR276" s="59"/>
      <c r="AS276" s="59"/>
      <c r="AT276" s="59"/>
      <c r="AU276" s="59"/>
      <c r="AV276" s="59"/>
    </row>
    <row r="277" spans="1:48" s="63" customFormat="1">
      <c r="A277" s="61"/>
      <c r="B277" s="61"/>
      <c r="C277" s="60"/>
      <c r="E277" s="93"/>
      <c r="F277" s="98"/>
      <c r="G277" s="93"/>
      <c r="J277" s="61"/>
      <c r="K277" s="61"/>
      <c r="L277" s="62"/>
      <c r="N277" s="97"/>
      <c r="O277" s="121"/>
      <c r="P277" s="129"/>
      <c r="Q277" s="133"/>
      <c r="Y277" s="95"/>
      <c r="Z277" s="59"/>
      <c r="AA277" s="59"/>
      <c r="AB277" s="59"/>
      <c r="AC277" s="59"/>
      <c r="AD277" s="59"/>
      <c r="AE277" s="59"/>
      <c r="AF277" s="59"/>
      <c r="AG277" s="59"/>
      <c r="AH277" s="59"/>
      <c r="AI277" s="59"/>
      <c r="AJ277" s="59"/>
      <c r="AL277" s="95"/>
      <c r="AM277" s="59"/>
      <c r="AN277" s="59"/>
      <c r="AO277" s="59"/>
      <c r="AP277" s="59"/>
      <c r="AQ277" s="59"/>
      <c r="AR277" s="59"/>
      <c r="AS277" s="59"/>
      <c r="AT277" s="59"/>
      <c r="AU277" s="59"/>
      <c r="AV277" s="59"/>
    </row>
    <row r="278" spans="1:48" s="63" customFormat="1">
      <c r="A278" s="61"/>
      <c r="B278" s="61"/>
      <c r="C278" s="60"/>
      <c r="E278" s="93"/>
      <c r="F278" s="98"/>
      <c r="G278" s="93"/>
      <c r="J278" s="61"/>
      <c r="K278" s="61"/>
      <c r="L278" s="62"/>
      <c r="N278" s="97"/>
      <c r="O278" s="121"/>
      <c r="P278" s="129"/>
      <c r="Q278" s="133"/>
      <c r="Y278" s="95"/>
      <c r="Z278" s="59"/>
      <c r="AA278" s="59"/>
      <c r="AB278" s="59"/>
      <c r="AC278" s="59"/>
      <c r="AD278" s="59"/>
      <c r="AE278" s="59"/>
      <c r="AF278" s="59"/>
      <c r="AG278" s="59"/>
      <c r="AH278" s="59"/>
      <c r="AI278" s="59"/>
      <c r="AJ278" s="59"/>
      <c r="AL278" s="95"/>
      <c r="AM278" s="59"/>
      <c r="AN278" s="59"/>
      <c r="AO278" s="59"/>
      <c r="AP278" s="59"/>
      <c r="AQ278" s="59"/>
      <c r="AR278" s="59"/>
      <c r="AS278" s="59"/>
      <c r="AT278" s="59"/>
      <c r="AU278" s="59"/>
      <c r="AV278" s="59"/>
    </row>
    <row r="279" spans="1:48" s="63" customFormat="1">
      <c r="A279" s="61"/>
      <c r="B279" s="61"/>
      <c r="C279" s="60"/>
      <c r="E279" s="93"/>
      <c r="F279" s="98"/>
      <c r="G279" s="93"/>
      <c r="J279" s="61"/>
      <c r="K279" s="61"/>
      <c r="L279" s="62"/>
      <c r="N279" s="97"/>
      <c r="O279" s="121"/>
      <c r="P279" s="129"/>
      <c r="Q279" s="133"/>
      <c r="Y279" s="95"/>
      <c r="Z279" s="59"/>
      <c r="AA279" s="59"/>
      <c r="AB279" s="59"/>
      <c r="AC279" s="59"/>
      <c r="AD279" s="59"/>
      <c r="AE279" s="59"/>
      <c r="AF279" s="59"/>
      <c r="AG279" s="59"/>
      <c r="AH279" s="59"/>
      <c r="AI279" s="59"/>
      <c r="AJ279" s="59"/>
      <c r="AL279" s="95"/>
      <c r="AM279" s="59"/>
      <c r="AN279" s="59"/>
      <c r="AO279" s="59"/>
      <c r="AP279" s="59"/>
      <c r="AQ279" s="59"/>
      <c r="AR279" s="59"/>
      <c r="AS279" s="59"/>
      <c r="AT279" s="59"/>
      <c r="AU279" s="59"/>
      <c r="AV279" s="59"/>
    </row>
    <row r="280" spans="1:48" s="63" customFormat="1">
      <c r="A280" s="61"/>
      <c r="B280" s="61"/>
      <c r="C280" s="60"/>
      <c r="E280" s="93"/>
      <c r="F280" s="98"/>
      <c r="G280" s="93"/>
      <c r="J280" s="61"/>
      <c r="K280" s="61"/>
      <c r="L280" s="62"/>
      <c r="N280" s="97"/>
      <c r="O280" s="121"/>
      <c r="P280" s="129"/>
      <c r="Q280" s="133"/>
      <c r="Y280" s="95"/>
      <c r="Z280" s="59"/>
      <c r="AA280" s="59"/>
      <c r="AB280" s="59"/>
      <c r="AC280" s="59"/>
      <c r="AD280" s="59"/>
      <c r="AE280" s="59"/>
      <c r="AF280" s="59"/>
      <c r="AG280" s="59"/>
      <c r="AH280" s="59"/>
      <c r="AI280" s="59"/>
      <c r="AJ280" s="59"/>
      <c r="AL280" s="95"/>
      <c r="AM280" s="59"/>
      <c r="AN280" s="59"/>
      <c r="AO280" s="59"/>
      <c r="AP280" s="59"/>
      <c r="AQ280" s="59"/>
      <c r="AR280" s="59"/>
      <c r="AS280" s="59"/>
      <c r="AT280" s="59"/>
      <c r="AU280" s="59"/>
      <c r="AV280" s="59"/>
    </row>
    <row r="281" spans="1:48" s="63" customFormat="1">
      <c r="A281" s="61"/>
      <c r="B281" s="61"/>
      <c r="C281" s="60"/>
      <c r="E281" s="93"/>
      <c r="F281" s="98"/>
      <c r="G281" s="93"/>
      <c r="J281" s="61"/>
      <c r="K281" s="61"/>
      <c r="L281" s="62"/>
      <c r="N281" s="97"/>
      <c r="O281" s="121"/>
      <c r="P281" s="129"/>
      <c r="Q281" s="133"/>
      <c r="Y281" s="95"/>
      <c r="Z281" s="59"/>
      <c r="AA281" s="59"/>
      <c r="AB281" s="59"/>
      <c r="AC281" s="59"/>
      <c r="AD281" s="59"/>
      <c r="AE281" s="59"/>
      <c r="AF281" s="59"/>
      <c r="AG281" s="59"/>
      <c r="AH281" s="59"/>
      <c r="AI281" s="59"/>
      <c r="AJ281" s="59"/>
      <c r="AL281" s="95"/>
      <c r="AM281" s="59"/>
      <c r="AN281" s="59"/>
      <c r="AO281" s="59"/>
      <c r="AP281" s="59"/>
      <c r="AQ281" s="59"/>
      <c r="AR281" s="59"/>
      <c r="AS281" s="59"/>
      <c r="AT281" s="59"/>
      <c r="AU281" s="59"/>
      <c r="AV281" s="59"/>
    </row>
    <row r="282" spans="1:48" s="63" customFormat="1">
      <c r="A282" s="61"/>
      <c r="B282" s="61"/>
      <c r="C282" s="60"/>
      <c r="E282" s="93"/>
      <c r="F282" s="98"/>
      <c r="G282" s="93"/>
      <c r="J282" s="61"/>
      <c r="K282" s="61"/>
      <c r="L282" s="62"/>
      <c r="N282" s="97"/>
      <c r="O282" s="121"/>
      <c r="P282" s="129"/>
      <c r="Q282" s="133"/>
      <c r="Y282" s="95"/>
      <c r="Z282" s="59"/>
      <c r="AA282" s="59"/>
      <c r="AB282" s="59"/>
      <c r="AC282" s="59"/>
      <c r="AD282" s="59"/>
      <c r="AE282" s="59"/>
      <c r="AF282" s="59"/>
      <c r="AG282" s="59"/>
      <c r="AH282" s="59"/>
      <c r="AI282" s="59"/>
      <c r="AJ282" s="59"/>
      <c r="AL282" s="95"/>
      <c r="AM282" s="59"/>
      <c r="AN282" s="59"/>
      <c r="AO282" s="59"/>
      <c r="AP282" s="59"/>
      <c r="AQ282" s="59"/>
      <c r="AR282" s="59"/>
      <c r="AS282" s="59"/>
      <c r="AT282" s="59"/>
      <c r="AU282" s="59"/>
      <c r="AV282" s="59"/>
    </row>
    <row r="283" spans="1:48" s="63" customFormat="1">
      <c r="A283" s="61"/>
      <c r="B283" s="61"/>
      <c r="C283" s="60"/>
      <c r="E283" s="93"/>
      <c r="F283" s="98"/>
      <c r="G283" s="93"/>
      <c r="J283" s="61"/>
      <c r="K283" s="61"/>
      <c r="L283" s="62"/>
      <c r="N283" s="97"/>
      <c r="O283" s="121"/>
      <c r="P283" s="129"/>
      <c r="Q283" s="133"/>
      <c r="Y283" s="95"/>
      <c r="Z283" s="59"/>
      <c r="AA283" s="59"/>
      <c r="AB283" s="59"/>
      <c r="AC283" s="59"/>
      <c r="AD283" s="59"/>
      <c r="AE283" s="59"/>
      <c r="AF283" s="59"/>
      <c r="AG283" s="59"/>
      <c r="AH283" s="59"/>
      <c r="AI283" s="59"/>
      <c r="AJ283" s="59"/>
      <c r="AL283" s="95"/>
      <c r="AM283" s="59"/>
      <c r="AN283" s="59"/>
      <c r="AO283" s="59"/>
      <c r="AP283" s="59"/>
      <c r="AQ283" s="59"/>
      <c r="AR283" s="59"/>
      <c r="AS283" s="59"/>
      <c r="AT283" s="59"/>
      <c r="AU283" s="59"/>
      <c r="AV283" s="59"/>
    </row>
    <row r="284" spans="1:48" s="63" customFormat="1">
      <c r="A284" s="61"/>
      <c r="B284" s="61"/>
      <c r="C284" s="60"/>
      <c r="E284" s="93"/>
      <c r="F284" s="98"/>
      <c r="G284" s="93"/>
      <c r="J284" s="61"/>
      <c r="K284" s="61"/>
      <c r="L284" s="62"/>
      <c r="N284" s="97"/>
      <c r="O284" s="121"/>
      <c r="P284" s="129"/>
      <c r="Q284" s="133"/>
      <c r="Y284" s="95"/>
      <c r="Z284" s="59"/>
      <c r="AA284" s="59"/>
      <c r="AB284" s="59"/>
      <c r="AC284" s="59"/>
      <c r="AD284" s="59"/>
      <c r="AE284" s="59"/>
      <c r="AF284" s="59"/>
      <c r="AG284" s="59"/>
      <c r="AH284" s="59"/>
      <c r="AI284" s="59"/>
      <c r="AJ284" s="59"/>
      <c r="AL284" s="95"/>
      <c r="AM284" s="59"/>
      <c r="AN284" s="59"/>
      <c r="AO284" s="59"/>
      <c r="AP284" s="59"/>
      <c r="AQ284" s="59"/>
      <c r="AR284" s="59"/>
      <c r="AS284" s="59"/>
      <c r="AT284" s="59"/>
      <c r="AU284" s="59"/>
      <c r="AV284" s="59"/>
    </row>
    <row r="285" spans="1:48" s="63" customFormat="1">
      <c r="A285" s="61"/>
      <c r="B285" s="61"/>
      <c r="C285" s="60"/>
      <c r="E285" s="93"/>
      <c r="F285" s="98"/>
      <c r="G285" s="93"/>
      <c r="J285" s="61"/>
      <c r="K285" s="61"/>
      <c r="L285" s="62"/>
      <c r="N285" s="97"/>
      <c r="O285" s="121"/>
      <c r="P285" s="129"/>
      <c r="Q285" s="133"/>
      <c r="Y285" s="95"/>
      <c r="Z285" s="59"/>
      <c r="AA285" s="59"/>
      <c r="AB285" s="59"/>
      <c r="AC285" s="59"/>
      <c r="AD285" s="59"/>
      <c r="AE285" s="59"/>
      <c r="AF285" s="59"/>
      <c r="AG285" s="59"/>
      <c r="AH285" s="59"/>
      <c r="AI285" s="59"/>
      <c r="AJ285" s="59"/>
      <c r="AL285" s="95"/>
      <c r="AM285" s="59"/>
      <c r="AN285" s="59"/>
      <c r="AO285" s="59"/>
      <c r="AP285" s="59"/>
      <c r="AQ285" s="59"/>
      <c r="AR285" s="59"/>
      <c r="AS285" s="59"/>
      <c r="AT285" s="59"/>
      <c r="AU285" s="59"/>
      <c r="AV285" s="59"/>
    </row>
    <row r="286" spans="1:48" s="63" customFormat="1">
      <c r="A286" s="61"/>
      <c r="B286" s="61"/>
      <c r="C286" s="60"/>
      <c r="E286" s="93"/>
      <c r="F286" s="98"/>
      <c r="G286" s="93"/>
      <c r="J286" s="61"/>
      <c r="K286" s="61"/>
      <c r="L286" s="62"/>
      <c r="N286" s="97"/>
      <c r="O286" s="121"/>
      <c r="P286" s="129"/>
      <c r="Q286" s="133"/>
      <c r="Y286" s="95"/>
      <c r="Z286" s="59"/>
      <c r="AA286" s="59"/>
      <c r="AB286" s="59"/>
      <c r="AC286" s="59"/>
      <c r="AD286" s="59"/>
      <c r="AE286" s="59"/>
      <c r="AF286" s="59"/>
      <c r="AG286" s="59"/>
      <c r="AH286" s="59"/>
      <c r="AI286" s="59"/>
      <c r="AJ286" s="59"/>
      <c r="AL286" s="95"/>
      <c r="AM286" s="59"/>
      <c r="AN286" s="59"/>
      <c r="AO286" s="59"/>
      <c r="AP286" s="59"/>
      <c r="AQ286" s="59"/>
      <c r="AR286" s="59"/>
      <c r="AS286" s="59"/>
      <c r="AT286" s="59"/>
      <c r="AU286" s="59"/>
      <c r="AV286" s="59"/>
    </row>
    <row r="287" spans="1:48" s="63" customFormat="1">
      <c r="A287" s="61"/>
      <c r="B287" s="61"/>
      <c r="C287" s="60"/>
      <c r="E287" s="93"/>
      <c r="F287" s="98"/>
      <c r="G287" s="93"/>
      <c r="J287" s="61"/>
      <c r="K287" s="61"/>
      <c r="L287" s="62"/>
      <c r="N287" s="97"/>
      <c r="O287" s="121"/>
      <c r="P287" s="129"/>
      <c r="Q287" s="133"/>
      <c r="Y287" s="95"/>
      <c r="Z287" s="59"/>
      <c r="AA287" s="59"/>
      <c r="AB287" s="59"/>
      <c r="AC287" s="59"/>
      <c r="AD287" s="59"/>
      <c r="AE287" s="59"/>
      <c r="AF287" s="59"/>
      <c r="AG287" s="59"/>
      <c r="AH287" s="59"/>
      <c r="AI287" s="59"/>
      <c r="AJ287" s="59"/>
      <c r="AL287" s="95"/>
      <c r="AM287" s="59"/>
      <c r="AN287" s="59"/>
      <c r="AO287" s="59"/>
      <c r="AP287" s="59"/>
      <c r="AQ287" s="59"/>
      <c r="AR287" s="59"/>
      <c r="AS287" s="59"/>
      <c r="AT287" s="59"/>
      <c r="AU287" s="59"/>
      <c r="AV287" s="59"/>
    </row>
    <row r="288" spans="1:48" s="63" customFormat="1">
      <c r="A288" s="61"/>
      <c r="B288" s="61"/>
      <c r="C288" s="60"/>
      <c r="E288" s="93"/>
      <c r="F288" s="98"/>
      <c r="G288" s="93"/>
      <c r="J288" s="61"/>
      <c r="K288" s="61"/>
      <c r="L288" s="62"/>
      <c r="N288" s="97"/>
      <c r="O288" s="121"/>
      <c r="P288" s="129"/>
      <c r="Q288" s="133"/>
      <c r="Y288" s="95"/>
      <c r="Z288" s="59"/>
      <c r="AA288" s="59"/>
      <c r="AB288" s="59"/>
      <c r="AC288" s="59"/>
      <c r="AD288" s="59"/>
      <c r="AE288" s="59"/>
      <c r="AF288" s="59"/>
      <c r="AG288" s="59"/>
      <c r="AH288" s="59"/>
      <c r="AI288" s="59"/>
      <c r="AJ288" s="59"/>
      <c r="AL288" s="95"/>
      <c r="AM288" s="59"/>
      <c r="AN288" s="59"/>
      <c r="AO288" s="59"/>
      <c r="AP288" s="59"/>
      <c r="AQ288" s="59"/>
      <c r="AR288" s="59"/>
      <c r="AS288" s="59"/>
      <c r="AT288" s="59"/>
      <c r="AU288" s="59"/>
      <c r="AV288" s="59"/>
    </row>
    <row r="289" spans="1:48" s="63" customFormat="1">
      <c r="A289" s="61"/>
      <c r="B289" s="61"/>
      <c r="C289" s="60"/>
      <c r="E289" s="93"/>
      <c r="F289" s="98"/>
      <c r="G289" s="93"/>
      <c r="J289" s="61"/>
      <c r="K289" s="61"/>
      <c r="L289" s="62"/>
      <c r="N289" s="97"/>
      <c r="O289" s="121"/>
      <c r="P289" s="129"/>
      <c r="Q289" s="133"/>
      <c r="Y289" s="95"/>
      <c r="Z289" s="59"/>
      <c r="AA289" s="59"/>
      <c r="AB289" s="59"/>
      <c r="AC289" s="59"/>
      <c r="AD289" s="59"/>
      <c r="AE289" s="59"/>
      <c r="AF289" s="59"/>
      <c r="AG289" s="59"/>
      <c r="AH289" s="59"/>
      <c r="AI289" s="59"/>
      <c r="AJ289" s="59"/>
      <c r="AL289" s="95"/>
      <c r="AM289" s="59"/>
      <c r="AN289" s="59"/>
      <c r="AO289" s="59"/>
      <c r="AP289" s="59"/>
      <c r="AQ289" s="59"/>
      <c r="AR289" s="59"/>
      <c r="AS289" s="59"/>
      <c r="AT289" s="59"/>
      <c r="AU289" s="59"/>
      <c r="AV289" s="59"/>
    </row>
    <row r="290" spans="1:48" s="63" customFormat="1">
      <c r="A290" s="61"/>
      <c r="B290" s="61"/>
      <c r="C290" s="60"/>
      <c r="E290" s="93"/>
      <c r="F290" s="98"/>
      <c r="G290" s="93"/>
      <c r="J290" s="61"/>
      <c r="K290" s="61"/>
      <c r="L290" s="62"/>
      <c r="N290" s="97"/>
      <c r="O290" s="121"/>
      <c r="P290" s="129"/>
      <c r="Q290" s="133"/>
      <c r="Y290" s="95"/>
      <c r="Z290" s="59"/>
      <c r="AA290" s="59"/>
      <c r="AB290" s="59"/>
      <c r="AC290" s="59"/>
      <c r="AD290" s="59"/>
      <c r="AE290" s="59"/>
      <c r="AF290" s="59"/>
      <c r="AG290" s="59"/>
      <c r="AH290" s="59"/>
      <c r="AI290" s="59"/>
      <c r="AJ290" s="59"/>
      <c r="AL290" s="95"/>
      <c r="AM290" s="59"/>
      <c r="AN290" s="59"/>
      <c r="AO290" s="59"/>
      <c r="AP290" s="59"/>
      <c r="AQ290" s="59"/>
      <c r="AR290" s="59"/>
      <c r="AS290" s="59"/>
      <c r="AT290" s="59"/>
      <c r="AU290" s="59"/>
      <c r="AV290" s="59"/>
    </row>
    <row r="291" spans="1:48" s="63" customFormat="1">
      <c r="A291" s="61"/>
      <c r="B291" s="61"/>
      <c r="C291" s="60"/>
      <c r="E291" s="93"/>
      <c r="F291" s="98"/>
      <c r="G291" s="93"/>
      <c r="J291" s="61"/>
      <c r="K291" s="61"/>
      <c r="L291" s="62"/>
      <c r="N291" s="97"/>
      <c r="O291" s="121"/>
      <c r="P291" s="129"/>
      <c r="Q291" s="133"/>
      <c r="Y291" s="95"/>
      <c r="Z291" s="59"/>
      <c r="AA291" s="59"/>
      <c r="AB291" s="59"/>
      <c r="AC291" s="59"/>
      <c r="AD291" s="59"/>
      <c r="AE291" s="59"/>
      <c r="AF291" s="59"/>
      <c r="AG291" s="59"/>
      <c r="AH291" s="59"/>
      <c r="AI291" s="59"/>
      <c r="AJ291" s="59"/>
      <c r="AL291" s="95"/>
      <c r="AM291" s="59"/>
      <c r="AN291" s="59"/>
      <c r="AO291" s="59"/>
      <c r="AP291" s="59"/>
      <c r="AQ291" s="59"/>
      <c r="AR291" s="59"/>
      <c r="AS291" s="59"/>
      <c r="AT291" s="59"/>
      <c r="AU291" s="59"/>
      <c r="AV291" s="59"/>
    </row>
    <row r="292" spans="1:48" s="63" customFormat="1">
      <c r="A292" s="61"/>
      <c r="B292" s="61"/>
      <c r="C292" s="60"/>
      <c r="E292" s="93"/>
      <c r="F292" s="98"/>
      <c r="G292" s="93"/>
      <c r="J292" s="61"/>
      <c r="K292" s="61"/>
      <c r="L292" s="62"/>
      <c r="N292" s="97"/>
      <c r="O292" s="121"/>
      <c r="P292" s="129"/>
      <c r="Q292" s="133"/>
      <c r="Y292" s="95"/>
      <c r="Z292" s="59"/>
      <c r="AA292" s="59"/>
      <c r="AB292" s="59"/>
      <c r="AC292" s="59"/>
      <c r="AD292" s="59"/>
      <c r="AE292" s="59"/>
      <c r="AF292" s="59"/>
      <c r="AG292" s="59"/>
      <c r="AH292" s="59"/>
      <c r="AI292" s="59"/>
      <c r="AJ292" s="59"/>
      <c r="AL292" s="95"/>
      <c r="AM292" s="59"/>
      <c r="AN292" s="59"/>
      <c r="AO292" s="59"/>
      <c r="AP292" s="59"/>
      <c r="AQ292" s="59"/>
      <c r="AR292" s="59"/>
      <c r="AS292" s="59"/>
      <c r="AT292" s="59"/>
      <c r="AU292" s="59"/>
      <c r="AV292" s="59"/>
    </row>
    <row r="293" spans="1:48" s="63" customFormat="1">
      <c r="A293" s="61"/>
      <c r="B293" s="61"/>
      <c r="C293" s="60"/>
      <c r="E293" s="93"/>
      <c r="F293" s="98"/>
      <c r="G293" s="93"/>
      <c r="J293" s="61"/>
      <c r="K293" s="61"/>
      <c r="L293" s="62"/>
      <c r="N293" s="97"/>
      <c r="O293" s="121"/>
      <c r="P293" s="129"/>
      <c r="Q293" s="133"/>
      <c r="Y293" s="95"/>
      <c r="Z293" s="59"/>
      <c r="AA293" s="59"/>
      <c r="AB293" s="59"/>
      <c r="AC293" s="59"/>
      <c r="AD293" s="59"/>
      <c r="AE293" s="59"/>
      <c r="AF293" s="59"/>
      <c r="AG293" s="59"/>
      <c r="AH293" s="59"/>
      <c r="AI293" s="59"/>
      <c r="AJ293" s="59"/>
      <c r="AL293" s="95"/>
      <c r="AM293" s="59"/>
      <c r="AN293" s="59"/>
      <c r="AO293" s="59"/>
      <c r="AP293" s="59"/>
      <c r="AQ293" s="59"/>
      <c r="AR293" s="59"/>
      <c r="AS293" s="59"/>
      <c r="AT293" s="59"/>
      <c r="AU293" s="59"/>
      <c r="AV293" s="59"/>
    </row>
    <row r="294" spans="1:48" s="63" customFormat="1">
      <c r="A294" s="61"/>
      <c r="B294" s="61"/>
      <c r="C294" s="60"/>
      <c r="E294" s="93"/>
      <c r="F294" s="98"/>
      <c r="G294" s="93"/>
      <c r="J294" s="61"/>
      <c r="K294" s="61"/>
      <c r="L294" s="62"/>
      <c r="N294" s="97"/>
      <c r="O294" s="121"/>
      <c r="P294" s="129"/>
      <c r="Q294" s="133"/>
      <c r="Y294" s="95"/>
      <c r="Z294" s="59"/>
      <c r="AA294" s="59"/>
      <c r="AB294" s="59"/>
      <c r="AC294" s="59"/>
      <c r="AD294" s="59"/>
      <c r="AE294" s="59"/>
      <c r="AF294" s="59"/>
      <c r="AG294" s="59"/>
      <c r="AH294" s="59"/>
      <c r="AI294" s="59"/>
      <c r="AJ294" s="59"/>
      <c r="AL294" s="95"/>
      <c r="AM294" s="59"/>
      <c r="AN294" s="59"/>
      <c r="AO294" s="59"/>
      <c r="AP294" s="59"/>
      <c r="AQ294" s="59"/>
      <c r="AR294" s="59"/>
      <c r="AS294" s="59"/>
      <c r="AT294" s="59"/>
      <c r="AU294" s="59"/>
      <c r="AV294" s="59"/>
    </row>
    <row r="295" spans="1:48" s="63" customFormat="1">
      <c r="A295" s="61"/>
      <c r="B295" s="61"/>
      <c r="C295" s="60"/>
      <c r="E295" s="93"/>
      <c r="F295" s="98"/>
      <c r="G295" s="93"/>
      <c r="J295" s="61"/>
      <c r="K295" s="61"/>
      <c r="L295" s="62"/>
      <c r="N295" s="97"/>
      <c r="O295" s="121"/>
      <c r="P295" s="129"/>
      <c r="Q295" s="133"/>
      <c r="Y295" s="95"/>
      <c r="Z295" s="59"/>
      <c r="AA295" s="59"/>
      <c r="AB295" s="59"/>
      <c r="AC295" s="59"/>
      <c r="AD295" s="59"/>
      <c r="AE295" s="59"/>
      <c r="AF295" s="59"/>
      <c r="AG295" s="59"/>
      <c r="AH295" s="59"/>
      <c r="AI295" s="59"/>
      <c r="AJ295" s="59"/>
      <c r="AL295" s="95"/>
      <c r="AM295" s="59"/>
      <c r="AN295" s="59"/>
      <c r="AO295" s="59"/>
      <c r="AP295" s="59"/>
      <c r="AQ295" s="59"/>
      <c r="AR295" s="59"/>
      <c r="AS295" s="59"/>
      <c r="AT295" s="59"/>
      <c r="AU295" s="59"/>
      <c r="AV295" s="59"/>
    </row>
    <row r="296" spans="1:48" s="63" customFormat="1">
      <c r="A296" s="61"/>
      <c r="B296" s="61"/>
      <c r="C296" s="60"/>
      <c r="E296" s="93"/>
      <c r="F296" s="98"/>
      <c r="G296" s="93"/>
      <c r="J296" s="61"/>
      <c r="K296" s="61"/>
      <c r="L296" s="62"/>
      <c r="N296" s="97"/>
      <c r="O296" s="121"/>
      <c r="P296" s="129"/>
      <c r="Q296" s="133"/>
      <c r="Y296" s="95"/>
      <c r="Z296" s="59"/>
      <c r="AA296" s="59"/>
      <c r="AB296" s="59"/>
      <c r="AC296" s="59"/>
      <c r="AD296" s="59"/>
      <c r="AE296" s="59"/>
      <c r="AF296" s="59"/>
      <c r="AG296" s="59"/>
      <c r="AH296" s="59"/>
      <c r="AI296" s="59"/>
      <c r="AJ296" s="59"/>
      <c r="AL296" s="95"/>
      <c r="AM296" s="59"/>
      <c r="AN296" s="59"/>
      <c r="AO296" s="59"/>
      <c r="AP296" s="59"/>
      <c r="AQ296" s="59"/>
      <c r="AR296" s="59"/>
      <c r="AS296" s="59"/>
      <c r="AT296" s="59"/>
      <c r="AU296" s="59"/>
      <c r="AV296" s="59"/>
    </row>
    <row r="297" spans="1:48" s="63" customFormat="1">
      <c r="A297" s="61"/>
      <c r="B297" s="61"/>
      <c r="C297" s="60"/>
      <c r="E297" s="93"/>
      <c r="F297" s="98"/>
      <c r="G297" s="93"/>
      <c r="J297" s="61"/>
      <c r="K297" s="61"/>
      <c r="L297" s="62"/>
      <c r="N297" s="97"/>
      <c r="O297" s="121"/>
      <c r="P297" s="129"/>
      <c r="Q297" s="133"/>
      <c r="Y297" s="95"/>
      <c r="Z297" s="59"/>
      <c r="AA297" s="59"/>
      <c r="AB297" s="59"/>
      <c r="AC297" s="59"/>
      <c r="AD297" s="59"/>
      <c r="AE297" s="59"/>
      <c r="AF297" s="59"/>
      <c r="AG297" s="59"/>
      <c r="AH297" s="59"/>
      <c r="AI297" s="59"/>
      <c r="AJ297" s="59"/>
      <c r="AL297" s="95"/>
      <c r="AM297" s="59"/>
      <c r="AN297" s="59"/>
      <c r="AO297" s="59"/>
      <c r="AP297" s="59"/>
      <c r="AQ297" s="59"/>
      <c r="AR297" s="59"/>
      <c r="AS297" s="59"/>
      <c r="AT297" s="59"/>
      <c r="AU297" s="59"/>
      <c r="AV297" s="59"/>
    </row>
    <row r="298" spans="1:48" s="63" customFormat="1">
      <c r="A298" s="61"/>
      <c r="B298" s="61"/>
      <c r="C298" s="60"/>
      <c r="E298" s="93"/>
      <c r="F298" s="98"/>
      <c r="G298" s="93"/>
      <c r="J298" s="61"/>
      <c r="K298" s="61"/>
      <c r="L298" s="62"/>
      <c r="N298" s="97"/>
      <c r="O298" s="121"/>
      <c r="P298" s="129"/>
      <c r="Q298" s="133"/>
      <c r="Y298" s="95"/>
      <c r="Z298" s="59"/>
      <c r="AA298" s="59"/>
      <c r="AB298" s="59"/>
      <c r="AC298" s="59"/>
      <c r="AD298" s="59"/>
      <c r="AE298" s="59"/>
      <c r="AF298" s="59"/>
      <c r="AG298" s="59"/>
      <c r="AH298" s="59"/>
      <c r="AI298" s="59"/>
      <c r="AJ298" s="59"/>
      <c r="AL298" s="95"/>
      <c r="AM298" s="59"/>
      <c r="AN298" s="59"/>
      <c r="AO298" s="59"/>
      <c r="AP298" s="59"/>
      <c r="AQ298" s="59"/>
      <c r="AR298" s="59"/>
      <c r="AS298" s="59"/>
      <c r="AT298" s="59"/>
      <c r="AU298" s="59"/>
      <c r="AV298" s="59"/>
    </row>
    <row r="299" spans="1:48" s="63" customFormat="1">
      <c r="A299" s="61"/>
      <c r="B299" s="61"/>
      <c r="C299" s="60"/>
      <c r="E299" s="93"/>
      <c r="F299" s="98"/>
      <c r="G299" s="93"/>
      <c r="J299" s="61"/>
      <c r="K299" s="61"/>
      <c r="L299" s="62"/>
      <c r="N299" s="97"/>
      <c r="O299" s="98"/>
      <c r="P299" s="129"/>
      <c r="Q299" s="133"/>
      <c r="Y299" s="95"/>
      <c r="Z299" s="59"/>
      <c r="AA299" s="59"/>
      <c r="AB299" s="59"/>
      <c r="AC299" s="59"/>
      <c r="AD299" s="59"/>
      <c r="AE299" s="59"/>
      <c r="AF299" s="59"/>
      <c r="AG299" s="59"/>
      <c r="AH299" s="59"/>
      <c r="AI299" s="59"/>
      <c r="AJ299" s="59"/>
      <c r="AL299" s="95"/>
      <c r="AM299" s="59"/>
      <c r="AN299" s="59"/>
      <c r="AO299" s="59"/>
      <c r="AP299" s="59"/>
      <c r="AQ299" s="59"/>
      <c r="AR299" s="59"/>
      <c r="AS299" s="59"/>
      <c r="AT299" s="59"/>
      <c r="AU299" s="59"/>
      <c r="AV299" s="59"/>
    </row>
    <row r="300" spans="1:48" s="63" customFormat="1">
      <c r="A300" s="61"/>
      <c r="B300" s="61"/>
      <c r="C300" s="60"/>
      <c r="E300" s="93"/>
      <c r="F300" s="98"/>
      <c r="G300" s="93"/>
      <c r="J300" s="61"/>
      <c r="K300" s="61"/>
      <c r="L300" s="62"/>
      <c r="N300" s="97"/>
      <c r="O300" s="98"/>
      <c r="P300" s="129"/>
      <c r="Q300" s="133"/>
      <c r="Y300" s="95"/>
      <c r="Z300" s="59"/>
      <c r="AA300" s="59"/>
      <c r="AB300" s="59"/>
      <c r="AC300" s="59"/>
      <c r="AD300" s="59"/>
      <c r="AE300" s="59"/>
      <c r="AF300" s="59"/>
      <c r="AG300" s="59"/>
      <c r="AH300" s="59"/>
      <c r="AI300" s="59"/>
      <c r="AJ300" s="59"/>
      <c r="AL300" s="95"/>
      <c r="AM300" s="59"/>
      <c r="AN300" s="59"/>
      <c r="AO300" s="59"/>
      <c r="AP300" s="59"/>
      <c r="AQ300" s="59"/>
      <c r="AR300" s="59"/>
      <c r="AS300" s="59"/>
      <c r="AT300" s="59"/>
      <c r="AU300" s="59"/>
      <c r="AV300" s="59"/>
    </row>
    <row r="301" spans="1:48" s="63" customFormat="1">
      <c r="A301" s="61"/>
      <c r="B301" s="61"/>
      <c r="C301" s="60"/>
      <c r="E301" s="93"/>
      <c r="F301" s="98"/>
      <c r="G301" s="93"/>
      <c r="J301" s="61"/>
      <c r="K301" s="61"/>
      <c r="L301" s="62"/>
      <c r="N301" s="97"/>
      <c r="O301" s="98"/>
      <c r="P301" s="129"/>
      <c r="Q301" s="133"/>
      <c r="Y301" s="95"/>
      <c r="Z301" s="59"/>
      <c r="AA301" s="59"/>
      <c r="AB301" s="59"/>
      <c r="AC301" s="59"/>
      <c r="AD301" s="59"/>
      <c r="AE301" s="59"/>
      <c r="AF301" s="59"/>
      <c r="AG301" s="59"/>
      <c r="AH301" s="59"/>
      <c r="AI301" s="59"/>
      <c r="AJ301" s="59"/>
      <c r="AL301" s="95"/>
      <c r="AM301" s="59"/>
      <c r="AN301" s="59"/>
      <c r="AO301" s="59"/>
      <c r="AP301" s="59"/>
      <c r="AQ301" s="59"/>
      <c r="AR301" s="59"/>
      <c r="AS301" s="59"/>
      <c r="AT301" s="59"/>
      <c r="AU301" s="59"/>
      <c r="AV301" s="59"/>
    </row>
    <row r="302" spans="1:48" s="63" customFormat="1">
      <c r="A302" s="61"/>
      <c r="B302" s="61"/>
      <c r="C302" s="60"/>
      <c r="E302" s="93"/>
      <c r="F302" s="98"/>
      <c r="G302" s="93"/>
      <c r="J302" s="61"/>
      <c r="K302" s="61"/>
      <c r="L302" s="62"/>
      <c r="N302" s="97"/>
      <c r="O302" s="98"/>
      <c r="P302" s="129"/>
      <c r="Q302" s="133"/>
      <c r="Y302" s="95"/>
      <c r="Z302" s="59"/>
      <c r="AA302" s="59"/>
      <c r="AB302" s="59"/>
      <c r="AC302" s="59"/>
      <c r="AD302" s="59"/>
      <c r="AE302" s="59"/>
      <c r="AF302" s="59"/>
      <c r="AG302" s="59"/>
      <c r="AH302" s="59"/>
      <c r="AI302" s="59"/>
      <c r="AJ302" s="59"/>
      <c r="AL302" s="95"/>
      <c r="AM302" s="59"/>
      <c r="AN302" s="59"/>
      <c r="AO302" s="59"/>
      <c r="AP302" s="59"/>
      <c r="AQ302" s="59"/>
      <c r="AR302" s="59"/>
      <c r="AS302" s="59"/>
      <c r="AT302" s="59"/>
      <c r="AU302" s="59"/>
      <c r="AV302" s="59"/>
    </row>
    <row r="303" spans="1:48" s="63" customFormat="1">
      <c r="A303" s="61"/>
      <c r="B303" s="61"/>
      <c r="C303" s="60"/>
      <c r="E303" s="93"/>
      <c r="F303" s="98"/>
      <c r="G303" s="93"/>
      <c r="J303" s="61"/>
      <c r="K303" s="61"/>
      <c r="L303" s="62"/>
      <c r="N303" s="97"/>
      <c r="O303" s="98"/>
      <c r="P303" s="129"/>
      <c r="Q303" s="133"/>
      <c r="Y303" s="95"/>
      <c r="Z303" s="59"/>
      <c r="AA303" s="59"/>
      <c r="AB303" s="59"/>
      <c r="AC303" s="59"/>
      <c r="AD303" s="59"/>
      <c r="AE303" s="59"/>
      <c r="AF303" s="59"/>
      <c r="AG303" s="59"/>
      <c r="AH303" s="59"/>
      <c r="AI303" s="59"/>
      <c r="AJ303" s="59"/>
      <c r="AL303" s="95"/>
      <c r="AM303" s="59"/>
      <c r="AN303" s="59"/>
      <c r="AO303" s="59"/>
      <c r="AP303" s="59"/>
      <c r="AQ303" s="59"/>
      <c r="AR303" s="59"/>
      <c r="AS303" s="59"/>
      <c r="AT303" s="59"/>
      <c r="AU303" s="59"/>
      <c r="AV303" s="59"/>
    </row>
    <row r="304" spans="1:48" s="63" customFormat="1">
      <c r="A304" s="61"/>
      <c r="B304" s="61"/>
      <c r="C304" s="60"/>
      <c r="E304" s="93"/>
      <c r="F304" s="98"/>
      <c r="G304" s="93"/>
      <c r="J304" s="61"/>
      <c r="K304" s="61"/>
      <c r="L304" s="62"/>
      <c r="N304" s="97"/>
      <c r="O304" s="98"/>
      <c r="P304" s="129"/>
      <c r="Q304" s="133"/>
      <c r="Y304" s="95"/>
      <c r="Z304" s="59"/>
      <c r="AA304" s="59"/>
      <c r="AB304" s="59"/>
      <c r="AC304" s="59"/>
      <c r="AD304" s="59"/>
      <c r="AE304" s="59"/>
      <c r="AF304" s="59"/>
      <c r="AG304" s="59"/>
      <c r="AH304" s="59"/>
      <c r="AI304" s="59"/>
      <c r="AJ304" s="59"/>
      <c r="AL304" s="95"/>
      <c r="AM304" s="59"/>
      <c r="AN304" s="59"/>
      <c r="AO304" s="59"/>
      <c r="AP304" s="59"/>
      <c r="AQ304" s="59"/>
      <c r="AR304" s="59"/>
      <c r="AS304" s="59"/>
      <c r="AT304" s="59"/>
      <c r="AU304" s="59"/>
      <c r="AV304" s="59"/>
    </row>
    <row r="305" spans="1:48" s="63" customFormat="1">
      <c r="A305" s="61"/>
      <c r="B305" s="61"/>
      <c r="C305" s="60"/>
      <c r="E305" s="93"/>
      <c r="F305" s="98"/>
      <c r="G305" s="93"/>
      <c r="J305" s="61"/>
      <c r="K305" s="61"/>
      <c r="L305" s="62"/>
      <c r="N305" s="97"/>
      <c r="O305" s="98"/>
      <c r="P305" s="129"/>
      <c r="Q305" s="133"/>
      <c r="Y305" s="95"/>
      <c r="Z305" s="59"/>
      <c r="AA305" s="59"/>
      <c r="AB305" s="59"/>
      <c r="AC305" s="59"/>
      <c r="AD305" s="59"/>
      <c r="AE305" s="59"/>
      <c r="AF305" s="59"/>
      <c r="AG305" s="59"/>
      <c r="AH305" s="59"/>
      <c r="AI305" s="59"/>
      <c r="AJ305" s="59"/>
      <c r="AL305" s="95"/>
      <c r="AM305" s="59"/>
      <c r="AN305" s="59"/>
      <c r="AO305" s="59"/>
      <c r="AP305" s="59"/>
      <c r="AQ305" s="59"/>
      <c r="AR305" s="59"/>
      <c r="AS305" s="59"/>
      <c r="AT305" s="59"/>
      <c r="AU305" s="59"/>
      <c r="AV305" s="59"/>
    </row>
    <row r="306" spans="1:48" s="63" customFormat="1">
      <c r="A306" s="61"/>
      <c r="B306" s="61"/>
      <c r="C306" s="60"/>
      <c r="E306" s="93"/>
      <c r="F306" s="98"/>
      <c r="G306" s="93"/>
      <c r="J306" s="61"/>
      <c r="K306" s="61"/>
      <c r="L306" s="62"/>
      <c r="N306" s="97"/>
      <c r="O306" s="98"/>
      <c r="P306" s="129"/>
      <c r="Q306" s="133"/>
      <c r="Y306" s="95"/>
      <c r="Z306" s="59"/>
      <c r="AA306" s="59"/>
      <c r="AB306" s="59"/>
      <c r="AC306" s="59"/>
      <c r="AD306" s="59"/>
      <c r="AE306" s="59"/>
      <c r="AF306" s="59"/>
      <c r="AG306" s="59"/>
      <c r="AH306" s="59"/>
      <c r="AI306" s="59"/>
      <c r="AJ306" s="59"/>
      <c r="AL306" s="95"/>
      <c r="AM306" s="59"/>
      <c r="AN306" s="59"/>
      <c r="AO306" s="59"/>
      <c r="AP306" s="59"/>
      <c r="AQ306" s="59"/>
      <c r="AR306" s="59"/>
      <c r="AS306" s="59"/>
      <c r="AT306" s="59"/>
      <c r="AU306" s="59"/>
      <c r="AV306" s="59"/>
    </row>
    <row r="307" spans="1:48" s="63" customFormat="1">
      <c r="A307" s="61"/>
      <c r="B307" s="61"/>
      <c r="C307" s="60"/>
      <c r="E307" s="93"/>
      <c r="F307" s="98"/>
      <c r="G307" s="93"/>
      <c r="J307" s="61"/>
      <c r="K307" s="61"/>
      <c r="L307" s="62"/>
      <c r="N307" s="97"/>
      <c r="O307" s="98"/>
      <c r="P307" s="129"/>
      <c r="Q307" s="133"/>
      <c r="Y307" s="95"/>
      <c r="Z307" s="59"/>
      <c r="AA307" s="59"/>
      <c r="AB307" s="59"/>
      <c r="AC307" s="59"/>
      <c r="AD307" s="59"/>
      <c r="AE307" s="59"/>
      <c r="AF307" s="59"/>
      <c r="AG307" s="59"/>
      <c r="AH307" s="59"/>
      <c r="AI307" s="59"/>
      <c r="AJ307" s="59"/>
      <c r="AL307" s="95"/>
      <c r="AM307" s="59"/>
      <c r="AN307" s="59"/>
      <c r="AO307" s="59"/>
      <c r="AP307" s="59"/>
      <c r="AQ307" s="59"/>
      <c r="AR307" s="59"/>
      <c r="AS307" s="59"/>
      <c r="AT307" s="59"/>
      <c r="AU307" s="59"/>
      <c r="AV307" s="59"/>
    </row>
    <row r="308" spans="1:48" s="63" customFormat="1">
      <c r="A308" s="61"/>
      <c r="B308" s="61"/>
      <c r="C308" s="60"/>
      <c r="E308" s="93"/>
      <c r="F308" s="98"/>
      <c r="G308" s="93"/>
      <c r="J308" s="61"/>
      <c r="K308" s="61"/>
      <c r="L308" s="62"/>
      <c r="N308" s="97"/>
      <c r="O308" s="98"/>
      <c r="P308" s="129"/>
      <c r="Q308" s="133"/>
      <c r="Y308" s="95"/>
      <c r="Z308" s="59"/>
      <c r="AA308" s="59"/>
      <c r="AB308" s="59"/>
      <c r="AC308" s="59"/>
      <c r="AD308" s="59"/>
      <c r="AE308" s="59"/>
      <c r="AF308" s="59"/>
      <c r="AG308" s="59"/>
      <c r="AH308" s="59"/>
      <c r="AI308" s="59"/>
      <c r="AJ308" s="59"/>
      <c r="AL308" s="95"/>
      <c r="AM308" s="59"/>
      <c r="AN308" s="59"/>
      <c r="AO308" s="59"/>
      <c r="AP308" s="59"/>
      <c r="AQ308" s="59"/>
      <c r="AR308" s="59"/>
      <c r="AS308" s="59"/>
      <c r="AT308" s="59"/>
      <c r="AU308" s="59"/>
      <c r="AV308" s="59"/>
    </row>
    <row r="309" spans="1:48" s="63" customFormat="1">
      <c r="A309" s="61"/>
      <c r="B309" s="61"/>
      <c r="C309" s="60"/>
      <c r="E309" s="93"/>
      <c r="F309" s="98"/>
      <c r="G309" s="93"/>
      <c r="J309" s="61"/>
      <c r="K309" s="61"/>
      <c r="L309" s="62"/>
      <c r="N309" s="97"/>
      <c r="O309" s="98"/>
      <c r="P309" s="129"/>
      <c r="Q309" s="133"/>
      <c r="Y309" s="95"/>
      <c r="Z309" s="59"/>
      <c r="AA309" s="59"/>
      <c r="AB309" s="59"/>
      <c r="AC309" s="59"/>
      <c r="AD309" s="59"/>
      <c r="AE309" s="59"/>
      <c r="AF309" s="59"/>
      <c r="AG309" s="59"/>
      <c r="AH309" s="59"/>
      <c r="AI309" s="59"/>
      <c r="AJ309" s="59"/>
      <c r="AL309" s="95"/>
      <c r="AM309" s="59"/>
      <c r="AN309" s="59"/>
      <c r="AO309" s="59"/>
      <c r="AP309" s="59"/>
      <c r="AQ309" s="59"/>
      <c r="AR309" s="59"/>
      <c r="AS309" s="59"/>
      <c r="AT309" s="59"/>
      <c r="AU309" s="59"/>
      <c r="AV309" s="59"/>
    </row>
    <row r="310" spans="1:48" s="63" customFormat="1">
      <c r="A310" s="61"/>
      <c r="B310" s="61"/>
      <c r="C310" s="60"/>
      <c r="E310" s="93"/>
      <c r="F310" s="98"/>
      <c r="G310" s="93"/>
      <c r="J310" s="61"/>
      <c r="K310" s="61"/>
      <c r="L310" s="62"/>
      <c r="N310" s="97"/>
      <c r="O310" s="98"/>
      <c r="P310" s="129"/>
      <c r="Q310" s="133"/>
      <c r="Y310" s="95"/>
      <c r="Z310" s="59"/>
      <c r="AA310" s="59"/>
      <c r="AB310" s="59"/>
      <c r="AC310" s="59"/>
      <c r="AD310" s="59"/>
      <c r="AE310" s="59"/>
      <c r="AF310" s="59"/>
      <c r="AG310" s="59"/>
      <c r="AH310" s="59"/>
      <c r="AI310" s="59"/>
      <c r="AJ310" s="59"/>
      <c r="AL310" s="95"/>
      <c r="AM310" s="59"/>
      <c r="AN310" s="59"/>
      <c r="AO310" s="59"/>
      <c r="AP310" s="59"/>
      <c r="AQ310" s="59"/>
      <c r="AR310" s="59"/>
      <c r="AS310" s="59"/>
      <c r="AT310" s="59"/>
      <c r="AU310" s="59"/>
      <c r="AV310" s="59"/>
    </row>
    <row r="311" spans="1:48" s="63" customFormat="1">
      <c r="A311" s="61"/>
      <c r="B311" s="61"/>
      <c r="C311" s="60"/>
      <c r="E311" s="93"/>
      <c r="F311" s="98"/>
      <c r="G311" s="93"/>
      <c r="J311" s="61"/>
      <c r="K311" s="61"/>
      <c r="L311" s="62"/>
      <c r="N311" s="97"/>
      <c r="O311" s="98"/>
      <c r="P311" s="129"/>
      <c r="Q311" s="133"/>
      <c r="Y311" s="95"/>
      <c r="Z311" s="59"/>
      <c r="AA311" s="59"/>
      <c r="AB311" s="59"/>
      <c r="AC311" s="59"/>
      <c r="AD311" s="59"/>
      <c r="AE311" s="59"/>
      <c r="AF311" s="59"/>
      <c r="AG311" s="59"/>
      <c r="AH311" s="59"/>
      <c r="AI311" s="59"/>
      <c r="AJ311" s="59"/>
      <c r="AL311" s="95"/>
      <c r="AM311" s="59"/>
      <c r="AN311" s="59"/>
      <c r="AO311" s="59"/>
      <c r="AP311" s="59"/>
      <c r="AQ311" s="59"/>
      <c r="AR311" s="59"/>
      <c r="AS311" s="59"/>
      <c r="AT311" s="59"/>
      <c r="AU311" s="59"/>
      <c r="AV311" s="59"/>
    </row>
    <row r="312" spans="1:48" s="63" customFormat="1">
      <c r="A312" s="61"/>
      <c r="B312" s="61"/>
      <c r="C312" s="60"/>
      <c r="E312" s="93"/>
      <c r="F312" s="98"/>
      <c r="G312" s="93"/>
      <c r="J312" s="61"/>
      <c r="K312" s="61"/>
      <c r="L312" s="62"/>
      <c r="N312" s="97"/>
      <c r="O312" s="98"/>
      <c r="P312" s="129"/>
      <c r="Q312" s="133"/>
      <c r="Y312" s="95"/>
      <c r="Z312" s="59"/>
      <c r="AA312" s="59"/>
      <c r="AB312" s="59"/>
      <c r="AC312" s="59"/>
      <c r="AD312" s="59"/>
      <c r="AE312" s="59"/>
      <c r="AF312" s="59"/>
      <c r="AG312" s="59"/>
      <c r="AH312" s="59"/>
      <c r="AI312" s="59"/>
      <c r="AJ312" s="59"/>
      <c r="AL312" s="95"/>
      <c r="AM312" s="59"/>
      <c r="AN312" s="59"/>
      <c r="AO312" s="59"/>
      <c r="AP312" s="59"/>
      <c r="AQ312" s="59"/>
      <c r="AR312" s="59"/>
      <c r="AS312" s="59"/>
      <c r="AT312" s="59"/>
      <c r="AU312" s="59"/>
      <c r="AV312" s="59"/>
    </row>
    <row r="313" spans="1:48" s="63" customFormat="1">
      <c r="A313" s="61"/>
      <c r="B313" s="61"/>
      <c r="C313" s="60"/>
      <c r="E313" s="93"/>
      <c r="F313" s="98"/>
      <c r="G313" s="93"/>
      <c r="J313" s="61"/>
      <c r="K313" s="61"/>
      <c r="L313" s="62"/>
      <c r="N313" s="97"/>
      <c r="O313" s="98"/>
      <c r="P313" s="129"/>
      <c r="Q313" s="133"/>
      <c r="Y313" s="95"/>
      <c r="Z313" s="59"/>
      <c r="AA313" s="59"/>
      <c r="AB313" s="59"/>
      <c r="AC313" s="59"/>
      <c r="AD313" s="59"/>
      <c r="AE313" s="59"/>
      <c r="AF313" s="59"/>
      <c r="AG313" s="59"/>
      <c r="AH313" s="59"/>
      <c r="AI313" s="59"/>
      <c r="AJ313" s="59"/>
      <c r="AL313" s="95"/>
      <c r="AM313" s="59"/>
      <c r="AN313" s="59"/>
      <c r="AO313" s="59"/>
      <c r="AP313" s="59"/>
      <c r="AQ313" s="59"/>
      <c r="AR313" s="59"/>
      <c r="AS313" s="59"/>
      <c r="AT313" s="59"/>
      <c r="AU313" s="59"/>
      <c r="AV313" s="59"/>
    </row>
    <row r="314" spans="1:48" s="63" customFormat="1">
      <c r="A314" s="61"/>
      <c r="B314" s="61"/>
      <c r="C314" s="60"/>
      <c r="E314" s="93"/>
      <c r="F314" s="98"/>
      <c r="G314" s="93"/>
      <c r="J314" s="61"/>
      <c r="K314" s="61"/>
      <c r="L314" s="62"/>
      <c r="N314" s="97"/>
      <c r="O314" s="98"/>
      <c r="P314" s="129"/>
      <c r="Q314" s="133"/>
      <c r="Y314" s="95"/>
      <c r="Z314" s="59"/>
      <c r="AA314" s="59"/>
      <c r="AB314" s="59"/>
      <c r="AC314" s="59"/>
      <c r="AD314" s="59"/>
      <c r="AE314" s="59"/>
      <c r="AF314" s="59"/>
      <c r="AG314" s="59"/>
      <c r="AH314" s="59"/>
      <c r="AI314" s="59"/>
      <c r="AJ314" s="59"/>
      <c r="AL314" s="95"/>
      <c r="AM314" s="59"/>
      <c r="AN314" s="59"/>
      <c r="AO314" s="59"/>
      <c r="AP314" s="59"/>
      <c r="AQ314" s="59"/>
      <c r="AR314" s="59"/>
      <c r="AS314" s="59"/>
      <c r="AT314" s="59"/>
      <c r="AU314" s="59"/>
      <c r="AV314" s="59"/>
    </row>
    <row r="315" spans="1:48" s="63" customFormat="1">
      <c r="A315" s="61"/>
      <c r="B315" s="61"/>
      <c r="C315" s="60"/>
      <c r="E315" s="93"/>
      <c r="F315" s="98"/>
      <c r="G315" s="93"/>
      <c r="J315" s="61"/>
      <c r="K315" s="61"/>
      <c r="L315" s="62"/>
      <c r="N315" s="97"/>
      <c r="O315" s="98"/>
      <c r="P315" s="129"/>
      <c r="Q315" s="133"/>
      <c r="Y315" s="95"/>
      <c r="Z315" s="59"/>
      <c r="AA315" s="59"/>
      <c r="AB315" s="59"/>
      <c r="AC315" s="59"/>
      <c r="AD315" s="59"/>
      <c r="AE315" s="59"/>
      <c r="AF315" s="59"/>
      <c r="AG315" s="59"/>
      <c r="AH315" s="59"/>
      <c r="AI315" s="59"/>
      <c r="AJ315" s="59"/>
      <c r="AL315" s="95"/>
      <c r="AM315" s="59"/>
      <c r="AN315" s="59"/>
      <c r="AO315" s="59"/>
      <c r="AP315" s="59"/>
      <c r="AQ315" s="59"/>
      <c r="AR315" s="59"/>
      <c r="AS315" s="59"/>
      <c r="AT315" s="59"/>
      <c r="AU315" s="59"/>
      <c r="AV315" s="59"/>
    </row>
    <row r="316" spans="1:48" s="63" customFormat="1">
      <c r="A316" s="61"/>
      <c r="B316" s="61"/>
      <c r="C316" s="60"/>
      <c r="E316" s="93"/>
      <c r="F316" s="98"/>
      <c r="G316" s="93"/>
      <c r="J316" s="61"/>
      <c r="K316" s="61"/>
      <c r="L316" s="62"/>
      <c r="N316" s="97"/>
      <c r="O316" s="98"/>
      <c r="P316" s="129"/>
      <c r="Q316" s="133"/>
      <c r="Y316" s="95"/>
      <c r="Z316" s="59"/>
      <c r="AA316" s="59"/>
      <c r="AB316" s="59"/>
      <c r="AC316" s="59"/>
      <c r="AD316" s="59"/>
      <c r="AE316" s="59"/>
      <c r="AF316" s="59"/>
      <c r="AG316" s="59"/>
      <c r="AH316" s="59"/>
      <c r="AI316" s="59"/>
      <c r="AJ316" s="59"/>
      <c r="AL316" s="95"/>
      <c r="AM316" s="59"/>
      <c r="AN316" s="59"/>
      <c r="AO316" s="59"/>
      <c r="AP316" s="59"/>
      <c r="AQ316" s="59"/>
      <c r="AR316" s="59"/>
      <c r="AS316" s="59"/>
      <c r="AT316" s="59"/>
      <c r="AU316" s="59"/>
      <c r="AV316" s="59"/>
    </row>
    <row r="317" spans="1:48" s="63" customFormat="1">
      <c r="A317" s="61"/>
      <c r="B317" s="61"/>
      <c r="C317" s="60"/>
      <c r="E317" s="93"/>
      <c r="F317" s="98"/>
      <c r="G317" s="93"/>
      <c r="J317" s="61"/>
      <c r="K317" s="61"/>
      <c r="L317" s="62"/>
      <c r="N317" s="97"/>
      <c r="O317" s="98"/>
      <c r="P317" s="129"/>
      <c r="Q317" s="133"/>
      <c r="Y317" s="95"/>
      <c r="Z317" s="59"/>
      <c r="AA317" s="59"/>
      <c r="AB317" s="59"/>
      <c r="AC317" s="59"/>
      <c r="AD317" s="59"/>
      <c r="AE317" s="59"/>
      <c r="AF317" s="59"/>
      <c r="AG317" s="59"/>
      <c r="AH317" s="59"/>
      <c r="AI317" s="59"/>
      <c r="AJ317" s="59"/>
      <c r="AL317" s="95"/>
      <c r="AM317" s="59"/>
      <c r="AN317" s="59"/>
      <c r="AO317" s="59"/>
      <c r="AP317" s="59"/>
      <c r="AQ317" s="59"/>
      <c r="AR317" s="59"/>
      <c r="AS317" s="59"/>
      <c r="AT317" s="59"/>
      <c r="AU317" s="59"/>
      <c r="AV317" s="59"/>
    </row>
    <row r="318" spans="1:48" s="63" customFormat="1">
      <c r="A318" s="61"/>
      <c r="B318" s="61"/>
      <c r="C318" s="60"/>
      <c r="E318" s="93"/>
      <c r="F318" s="98"/>
      <c r="G318" s="93"/>
      <c r="J318" s="61"/>
      <c r="K318" s="61"/>
      <c r="L318" s="62"/>
      <c r="N318" s="97"/>
      <c r="O318" s="98"/>
      <c r="P318" s="129"/>
      <c r="Q318" s="133"/>
      <c r="Y318" s="95"/>
      <c r="Z318" s="59"/>
      <c r="AA318" s="59"/>
      <c r="AB318" s="59"/>
      <c r="AC318" s="59"/>
      <c r="AD318" s="59"/>
      <c r="AE318" s="59"/>
      <c r="AF318" s="59"/>
      <c r="AG318" s="59"/>
      <c r="AH318" s="59"/>
      <c r="AI318" s="59"/>
      <c r="AJ318" s="59"/>
      <c r="AL318" s="95"/>
      <c r="AM318" s="59"/>
      <c r="AN318" s="59"/>
      <c r="AO318" s="59"/>
      <c r="AP318" s="59"/>
      <c r="AQ318" s="59"/>
      <c r="AR318" s="59"/>
      <c r="AS318" s="59"/>
      <c r="AT318" s="59"/>
      <c r="AU318" s="59"/>
      <c r="AV318" s="59"/>
    </row>
    <row r="319" spans="1:48" s="63" customFormat="1">
      <c r="A319" s="61"/>
      <c r="B319" s="61"/>
      <c r="C319" s="60"/>
      <c r="E319" s="93"/>
      <c r="F319" s="98"/>
      <c r="G319" s="93"/>
      <c r="J319" s="61"/>
      <c r="K319" s="61"/>
      <c r="L319" s="62"/>
      <c r="N319" s="97"/>
      <c r="O319" s="98"/>
      <c r="P319" s="93"/>
      <c r="Q319" s="61"/>
      <c r="Y319" s="95"/>
      <c r="Z319" s="59"/>
      <c r="AA319" s="59"/>
      <c r="AB319" s="59"/>
      <c r="AC319" s="59"/>
      <c r="AD319" s="59"/>
      <c r="AE319" s="59"/>
      <c r="AF319" s="59"/>
      <c r="AG319" s="59"/>
      <c r="AH319" s="59"/>
      <c r="AI319" s="59"/>
      <c r="AJ319" s="59"/>
      <c r="AL319" s="95"/>
      <c r="AM319" s="59"/>
      <c r="AN319" s="59"/>
      <c r="AO319" s="59"/>
      <c r="AP319" s="59"/>
      <c r="AQ319" s="59"/>
      <c r="AR319" s="59"/>
      <c r="AS319" s="59"/>
      <c r="AT319" s="59"/>
      <c r="AU319" s="59"/>
      <c r="AV319" s="59"/>
    </row>
    <row r="320" spans="1:48" s="63" customFormat="1">
      <c r="A320" s="61"/>
      <c r="B320" s="61"/>
      <c r="C320" s="60"/>
      <c r="E320" s="93"/>
      <c r="F320" s="98"/>
      <c r="G320" s="93"/>
      <c r="J320" s="61"/>
      <c r="K320" s="61"/>
      <c r="L320" s="62"/>
      <c r="N320" s="97"/>
      <c r="O320" s="98"/>
      <c r="P320" s="93"/>
      <c r="Q320" s="61"/>
      <c r="Y320" s="95"/>
      <c r="Z320" s="59"/>
      <c r="AA320" s="59"/>
      <c r="AB320" s="59"/>
      <c r="AC320" s="59"/>
      <c r="AD320" s="59"/>
      <c r="AE320" s="59"/>
      <c r="AF320" s="59"/>
      <c r="AG320" s="59"/>
      <c r="AH320" s="59"/>
      <c r="AI320" s="59"/>
      <c r="AJ320" s="59"/>
      <c r="AL320" s="95"/>
      <c r="AM320" s="59"/>
      <c r="AN320" s="59"/>
      <c r="AO320" s="59"/>
      <c r="AP320" s="59"/>
      <c r="AQ320" s="59"/>
      <c r="AR320" s="59"/>
      <c r="AS320" s="59"/>
      <c r="AT320" s="59"/>
      <c r="AU320" s="59"/>
      <c r="AV320" s="59"/>
    </row>
    <row r="321" spans="1:48" s="63" customFormat="1">
      <c r="A321" s="61"/>
      <c r="B321" s="61"/>
      <c r="C321" s="60"/>
      <c r="E321" s="93"/>
      <c r="F321" s="98"/>
      <c r="G321" s="93"/>
      <c r="J321" s="61"/>
      <c r="K321" s="61"/>
      <c r="L321" s="62"/>
      <c r="N321" s="97"/>
      <c r="O321" s="98"/>
      <c r="P321" s="93"/>
      <c r="Q321" s="61"/>
      <c r="Y321" s="95"/>
      <c r="Z321" s="59"/>
      <c r="AA321" s="59"/>
      <c r="AB321" s="59"/>
      <c r="AC321" s="59"/>
      <c r="AD321" s="59"/>
      <c r="AE321" s="59"/>
      <c r="AF321" s="59"/>
      <c r="AG321" s="59"/>
      <c r="AH321" s="59"/>
      <c r="AI321" s="59"/>
      <c r="AJ321" s="59"/>
      <c r="AL321" s="95"/>
      <c r="AM321" s="59"/>
      <c r="AN321" s="59"/>
      <c r="AO321" s="59"/>
      <c r="AP321" s="59"/>
      <c r="AQ321" s="59"/>
      <c r="AR321" s="59"/>
      <c r="AS321" s="59"/>
      <c r="AT321" s="59"/>
      <c r="AU321" s="59"/>
      <c r="AV321" s="59"/>
    </row>
    <row r="322" spans="1:48" s="63" customFormat="1">
      <c r="A322" s="61"/>
      <c r="B322" s="61"/>
      <c r="C322" s="60"/>
      <c r="E322" s="93"/>
      <c r="F322" s="98"/>
      <c r="G322" s="93"/>
      <c r="J322" s="61"/>
      <c r="K322" s="61"/>
      <c r="L322" s="62"/>
      <c r="N322" s="97"/>
      <c r="O322" s="98"/>
      <c r="P322" s="93"/>
      <c r="Q322" s="61"/>
      <c r="Y322" s="95"/>
      <c r="Z322" s="59"/>
      <c r="AA322" s="59"/>
      <c r="AB322" s="59"/>
      <c r="AC322" s="59"/>
      <c r="AD322" s="59"/>
      <c r="AE322" s="59"/>
      <c r="AF322" s="59"/>
      <c r="AG322" s="59"/>
      <c r="AH322" s="59"/>
      <c r="AI322" s="59"/>
      <c r="AJ322" s="59"/>
      <c r="AL322" s="95"/>
      <c r="AM322" s="59"/>
      <c r="AN322" s="59"/>
      <c r="AO322" s="59"/>
      <c r="AP322" s="59"/>
      <c r="AQ322" s="59"/>
      <c r="AR322" s="59"/>
      <c r="AS322" s="59"/>
      <c r="AT322" s="59"/>
      <c r="AU322" s="59"/>
      <c r="AV322" s="59"/>
    </row>
    <row r="323" spans="1:48" s="63" customFormat="1">
      <c r="A323" s="61"/>
      <c r="B323" s="61"/>
      <c r="C323" s="60"/>
      <c r="E323" s="93"/>
      <c r="F323" s="98"/>
      <c r="G323" s="93"/>
      <c r="J323" s="61"/>
      <c r="K323" s="61"/>
      <c r="L323" s="62"/>
      <c r="N323" s="97"/>
      <c r="O323" s="98"/>
      <c r="P323" s="93"/>
      <c r="Q323" s="61"/>
      <c r="Y323" s="95"/>
      <c r="Z323" s="59"/>
      <c r="AA323" s="59"/>
      <c r="AB323" s="59"/>
      <c r="AC323" s="59"/>
      <c r="AD323" s="59"/>
      <c r="AE323" s="59"/>
      <c r="AF323" s="59"/>
      <c r="AG323" s="59"/>
      <c r="AH323" s="59"/>
      <c r="AI323" s="59"/>
      <c r="AJ323" s="59"/>
      <c r="AL323" s="95"/>
      <c r="AM323" s="59"/>
      <c r="AN323" s="59"/>
      <c r="AO323" s="59"/>
      <c r="AP323" s="59"/>
      <c r="AQ323" s="59"/>
      <c r="AR323" s="59"/>
      <c r="AS323" s="59"/>
      <c r="AT323" s="59"/>
      <c r="AU323" s="59"/>
      <c r="AV323" s="59"/>
    </row>
    <row r="324" spans="1:48" s="63" customFormat="1">
      <c r="A324" s="61"/>
      <c r="B324" s="61"/>
      <c r="C324" s="60"/>
      <c r="E324" s="93"/>
      <c r="F324" s="98"/>
      <c r="G324" s="93"/>
      <c r="J324" s="61"/>
      <c r="K324" s="61"/>
      <c r="L324" s="62"/>
      <c r="N324" s="97"/>
      <c r="O324" s="98"/>
      <c r="P324" s="93"/>
      <c r="Q324" s="61"/>
      <c r="Y324" s="95"/>
      <c r="Z324" s="59"/>
      <c r="AA324" s="59"/>
      <c r="AB324" s="59"/>
      <c r="AC324" s="59"/>
      <c r="AD324" s="59"/>
      <c r="AE324" s="59"/>
      <c r="AF324" s="59"/>
      <c r="AG324" s="59"/>
      <c r="AH324" s="59"/>
      <c r="AI324" s="59"/>
      <c r="AJ324" s="59"/>
      <c r="AL324" s="95"/>
      <c r="AM324" s="59"/>
      <c r="AN324" s="59"/>
      <c r="AO324" s="59"/>
      <c r="AP324" s="59"/>
      <c r="AQ324" s="59"/>
      <c r="AR324" s="59"/>
      <c r="AS324" s="59"/>
      <c r="AT324" s="59"/>
      <c r="AU324" s="59"/>
      <c r="AV324" s="59"/>
    </row>
    <row r="325" spans="1:48" s="63" customFormat="1">
      <c r="A325" s="61"/>
      <c r="B325" s="61"/>
      <c r="C325" s="60"/>
      <c r="E325" s="93"/>
      <c r="F325" s="98"/>
      <c r="G325" s="93"/>
      <c r="J325" s="61"/>
      <c r="K325" s="61"/>
      <c r="L325" s="62"/>
      <c r="N325" s="97"/>
      <c r="O325" s="98"/>
      <c r="P325" s="93"/>
      <c r="Q325" s="61"/>
      <c r="Y325" s="95"/>
      <c r="Z325" s="59"/>
      <c r="AA325" s="59"/>
      <c r="AB325" s="59"/>
      <c r="AC325" s="59"/>
      <c r="AD325" s="59"/>
      <c r="AE325" s="59"/>
      <c r="AF325" s="59"/>
      <c r="AG325" s="59"/>
      <c r="AH325" s="59"/>
      <c r="AI325" s="59"/>
      <c r="AJ325" s="59"/>
      <c r="AL325" s="95"/>
      <c r="AM325" s="59"/>
      <c r="AN325" s="59"/>
      <c r="AO325" s="59"/>
      <c r="AP325" s="59"/>
      <c r="AQ325" s="59"/>
      <c r="AR325" s="59"/>
      <c r="AS325" s="59"/>
      <c r="AT325" s="59"/>
      <c r="AU325" s="59"/>
      <c r="AV325" s="59"/>
    </row>
    <row r="326" spans="1:48" s="63" customFormat="1">
      <c r="A326" s="61"/>
      <c r="B326" s="61"/>
      <c r="C326" s="60"/>
      <c r="E326" s="93"/>
      <c r="F326" s="98"/>
      <c r="G326" s="93"/>
      <c r="J326" s="61"/>
      <c r="K326" s="61"/>
      <c r="L326" s="62"/>
      <c r="N326" s="97"/>
      <c r="O326" s="98"/>
      <c r="P326" s="93"/>
      <c r="Q326" s="61"/>
      <c r="Y326" s="95"/>
      <c r="Z326" s="59"/>
      <c r="AA326" s="59"/>
      <c r="AB326" s="59"/>
      <c r="AC326" s="59"/>
      <c r="AD326" s="59"/>
      <c r="AE326" s="59"/>
      <c r="AF326" s="59"/>
      <c r="AG326" s="59"/>
      <c r="AH326" s="59"/>
      <c r="AI326" s="59"/>
      <c r="AJ326" s="59"/>
      <c r="AL326" s="95"/>
      <c r="AM326" s="59"/>
      <c r="AN326" s="59"/>
      <c r="AO326" s="59"/>
      <c r="AP326" s="59"/>
      <c r="AQ326" s="59"/>
      <c r="AR326" s="59"/>
      <c r="AS326" s="59"/>
      <c r="AT326" s="59"/>
      <c r="AU326" s="59"/>
      <c r="AV326" s="59"/>
    </row>
    <row r="327" spans="1:48" s="63" customFormat="1">
      <c r="A327" s="61"/>
      <c r="B327" s="61"/>
      <c r="C327" s="60"/>
      <c r="E327" s="93"/>
      <c r="F327" s="98"/>
      <c r="G327" s="93"/>
      <c r="J327" s="61"/>
      <c r="K327" s="61"/>
      <c r="L327" s="62"/>
      <c r="N327" s="97"/>
      <c r="O327" s="98"/>
      <c r="P327" s="93"/>
      <c r="Q327" s="61"/>
      <c r="Y327" s="95"/>
      <c r="Z327" s="59"/>
      <c r="AA327" s="59"/>
      <c r="AB327" s="59"/>
      <c r="AC327" s="59"/>
      <c r="AD327" s="59"/>
      <c r="AE327" s="59"/>
      <c r="AF327" s="59"/>
      <c r="AG327" s="59"/>
      <c r="AH327" s="59"/>
      <c r="AI327" s="59"/>
      <c r="AJ327" s="59"/>
      <c r="AL327" s="95"/>
      <c r="AM327" s="59"/>
      <c r="AN327" s="59"/>
      <c r="AO327" s="59"/>
      <c r="AP327" s="59"/>
      <c r="AQ327" s="59"/>
      <c r="AR327" s="59"/>
      <c r="AS327" s="59"/>
      <c r="AT327" s="59"/>
      <c r="AU327" s="59"/>
      <c r="AV327" s="59"/>
    </row>
    <row r="328" spans="1:48" s="63" customFormat="1">
      <c r="A328" s="61"/>
      <c r="B328" s="61"/>
      <c r="C328" s="60"/>
      <c r="E328" s="93"/>
      <c r="F328" s="98"/>
      <c r="G328" s="93"/>
      <c r="J328" s="61"/>
      <c r="K328" s="61"/>
      <c r="L328" s="62"/>
      <c r="N328" s="97"/>
      <c r="O328" s="98"/>
      <c r="P328" s="93"/>
      <c r="Q328" s="61"/>
      <c r="Y328" s="95"/>
      <c r="Z328" s="59"/>
      <c r="AA328" s="59"/>
      <c r="AB328" s="59"/>
      <c r="AC328" s="59"/>
      <c r="AD328" s="59"/>
      <c r="AE328" s="59"/>
      <c r="AF328" s="59"/>
      <c r="AG328" s="59"/>
      <c r="AH328" s="59"/>
      <c r="AI328" s="59"/>
      <c r="AJ328" s="59"/>
      <c r="AL328" s="95"/>
      <c r="AM328" s="59"/>
      <c r="AN328" s="59"/>
      <c r="AO328" s="59"/>
      <c r="AP328" s="59"/>
      <c r="AQ328" s="59"/>
      <c r="AR328" s="59"/>
      <c r="AS328" s="59"/>
      <c r="AT328" s="59"/>
      <c r="AU328" s="59"/>
      <c r="AV328" s="59"/>
    </row>
    <row r="329" spans="1:48" s="63" customFormat="1">
      <c r="A329" s="61"/>
      <c r="B329" s="61"/>
      <c r="C329" s="60"/>
      <c r="E329" s="93"/>
      <c r="F329" s="98"/>
      <c r="G329" s="93"/>
      <c r="J329" s="61"/>
      <c r="K329" s="61"/>
      <c r="L329" s="62"/>
      <c r="N329" s="97"/>
      <c r="O329" s="98"/>
      <c r="P329" s="93"/>
      <c r="Q329" s="61"/>
      <c r="Y329" s="95"/>
      <c r="Z329" s="59"/>
      <c r="AA329" s="59"/>
      <c r="AB329" s="59"/>
      <c r="AC329" s="59"/>
      <c r="AD329" s="59"/>
      <c r="AE329" s="59"/>
      <c r="AF329" s="59"/>
      <c r="AG329" s="59"/>
      <c r="AH329" s="59"/>
      <c r="AI329" s="59"/>
      <c r="AJ329" s="59"/>
      <c r="AL329" s="95"/>
      <c r="AM329" s="59"/>
      <c r="AN329" s="59"/>
      <c r="AO329" s="59"/>
      <c r="AP329" s="59"/>
      <c r="AQ329" s="59"/>
      <c r="AR329" s="59"/>
      <c r="AS329" s="59"/>
      <c r="AT329" s="59"/>
      <c r="AU329" s="59"/>
      <c r="AV329" s="59"/>
    </row>
    <row r="330" spans="1:48" s="63" customFormat="1">
      <c r="A330" s="61"/>
      <c r="B330" s="61"/>
      <c r="C330" s="60"/>
      <c r="E330" s="93"/>
      <c r="F330" s="98"/>
      <c r="G330" s="93"/>
      <c r="J330" s="61"/>
      <c r="K330" s="61"/>
      <c r="L330" s="62"/>
      <c r="N330" s="97"/>
      <c r="O330" s="98"/>
      <c r="P330" s="93"/>
      <c r="Q330" s="61"/>
      <c r="Y330" s="95"/>
      <c r="Z330" s="59"/>
      <c r="AA330" s="59"/>
      <c r="AB330" s="59"/>
      <c r="AC330" s="59"/>
      <c r="AD330" s="59"/>
      <c r="AE330" s="59"/>
      <c r="AF330" s="59"/>
      <c r="AG330" s="59"/>
      <c r="AH330" s="59"/>
      <c r="AI330" s="59"/>
      <c r="AJ330" s="59"/>
      <c r="AL330" s="95"/>
      <c r="AM330" s="59"/>
      <c r="AN330" s="59"/>
      <c r="AO330" s="59"/>
      <c r="AP330" s="59"/>
      <c r="AQ330" s="59"/>
      <c r="AR330" s="59"/>
      <c r="AS330" s="59"/>
      <c r="AT330" s="59"/>
      <c r="AU330" s="59"/>
      <c r="AV330" s="59"/>
    </row>
    <row r="331" spans="1:48" s="63" customFormat="1">
      <c r="A331" s="61"/>
      <c r="B331" s="61"/>
      <c r="C331" s="60"/>
      <c r="E331" s="93"/>
      <c r="F331" s="98"/>
      <c r="G331" s="93"/>
      <c r="J331" s="61"/>
      <c r="K331" s="61"/>
      <c r="L331" s="62"/>
      <c r="N331" s="97"/>
      <c r="O331" s="98"/>
      <c r="P331" s="93"/>
      <c r="Q331" s="61"/>
      <c r="Y331" s="95"/>
      <c r="Z331" s="59"/>
      <c r="AA331" s="59"/>
      <c r="AB331" s="59"/>
      <c r="AC331" s="59"/>
      <c r="AD331" s="59"/>
      <c r="AE331" s="59"/>
      <c r="AF331" s="59"/>
      <c r="AG331" s="59"/>
      <c r="AH331" s="59"/>
      <c r="AI331" s="59"/>
      <c r="AJ331" s="59"/>
      <c r="AL331" s="95"/>
      <c r="AM331" s="59"/>
      <c r="AN331" s="59"/>
      <c r="AO331" s="59"/>
      <c r="AP331" s="59"/>
      <c r="AQ331" s="59"/>
      <c r="AR331" s="59"/>
      <c r="AS331" s="59"/>
      <c r="AT331" s="59"/>
      <c r="AU331" s="59"/>
      <c r="AV331" s="59"/>
    </row>
    <row r="332" spans="1:48" s="63" customFormat="1">
      <c r="A332" s="61"/>
      <c r="B332" s="61"/>
      <c r="C332" s="60"/>
      <c r="E332" s="93"/>
      <c r="F332" s="98"/>
      <c r="G332" s="93"/>
      <c r="J332" s="61"/>
      <c r="K332" s="61"/>
      <c r="L332" s="62"/>
      <c r="N332" s="97"/>
      <c r="O332" s="98"/>
      <c r="P332" s="93"/>
      <c r="Q332" s="61"/>
      <c r="Y332" s="95"/>
      <c r="Z332" s="59"/>
      <c r="AA332" s="59"/>
      <c r="AB332" s="59"/>
      <c r="AC332" s="59"/>
      <c r="AD332" s="59"/>
      <c r="AE332" s="59"/>
      <c r="AF332" s="59"/>
      <c r="AG332" s="59"/>
      <c r="AH332" s="59"/>
      <c r="AI332" s="59"/>
      <c r="AJ332" s="59"/>
      <c r="AL332" s="95"/>
      <c r="AM332" s="59"/>
      <c r="AN332" s="59"/>
      <c r="AO332" s="59"/>
      <c r="AP332" s="59"/>
      <c r="AQ332" s="59"/>
      <c r="AR332" s="59"/>
      <c r="AS332" s="59"/>
      <c r="AT332" s="59"/>
      <c r="AU332" s="59"/>
      <c r="AV332" s="59"/>
    </row>
    <row r="333" spans="1:48" s="63" customFormat="1">
      <c r="A333" s="61"/>
      <c r="B333" s="61"/>
      <c r="C333" s="60"/>
      <c r="E333" s="93"/>
      <c r="F333" s="98"/>
      <c r="G333" s="93"/>
      <c r="J333" s="61"/>
      <c r="K333" s="61"/>
      <c r="L333" s="62"/>
      <c r="N333" s="97"/>
      <c r="O333" s="98"/>
      <c r="P333" s="93"/>
      <c r="Q333" s="61"/>
      <c r="Y333" s="95"/>
      <c r="Z333" s="59"/>
      <c r="AA333" s="59"/>
      <c r="AB333" s="59"/>
      <c r="AC333" s="59"/>
      <c r="AD333" s="59"/>
      <c r="AE333" s="59"/>
      <c r="AF333" s="59"/>
      <c r="AG333" s="59"/>
      <c r="AH333" s="59"/>
      <c r="AI333" s="59"/>
      <c r="AJ333" s="59"/>
      <c r="AL333" s="95"/>
      <c r="AM333" s="59"/>
      <c r="AN333" s="59"/>
      <c r="AO333" s="59"/>
      <c r="AP333" s="59"/>
      <c r="AQ333" s="59"/>
      <c r="AR333" s="59"/>
      <c r="AS333" s="59"/>
      <c r="AT333" s="59"/>
      <c r="AU333" s="59"/>
      <c r="AV333" s="59"/>
    </row>
    <row r="334" spans="1:48" s="63" customFormat="1">
      <c r="A334" s="61"/>
      <c r="B334" s="61"/>
      <c r="C334" s="60"/>
      <c r="E334" s="93"/>
      <c r="F334" s="98"/>
      <c r="G334" s="93"/>
      <c r="J334" s="61"/>
      <c r="K334" s="61"/>
      <c r="L334" s="62"/>
      <c r="N334" s="97"/>
      <c r="O334" s="98"/>
      <c r="P334" s="93"/>
      <c r="Q334" s="61"/>
      <c r="Y334" s="95"/>
      <c r="Z334" s="59"/>
      <c r="AA334" s="59"/>
      <c r="AB334" s="59"/>
      <c r="AC334" s="59"/>
      <c r="AD334" s="59"/>
      <c r="AE334" s="59"/>
      <c r="AF334" s="59"/>
      <c r="AG334" s="59"/>
      <c r="AH334" s="59"/>
      <c r="AI334" s="59"/>
      <c r="AJ334" s="59"/>
      <c r="AL334" s="95"/>
      <c r="AM334" s="59"/>
      <c r="AN334" s="59"/>
      <c r="AO334" s="59"/>
      <c r="AP334" s="59"/>
      <c r="AQ334" s="59"/>
      <c r="AR334" s="59"/>
      <c r="AS334" s="59"/>
      <c r="AT334" s="59"/>
      <c r="AU334" s="59"/>
      <c r="AV334" s="59"/>
    </row>
    <row r="335" spans="1:48" s="63" customFormat="1">
      <c r="A335" s="61"/>
      <c r="B335" s="61"/>
      <c r="C335" s="60"/>
      <c r="E335" s="93"/>
      <c r="F335" s="98"/>
      <c r="G335" s="93"/>
      <c r="J335" s="61"/>
      <c r="K335" s="61"/>
      <c r="L335" s="62"/>
      <c r="N335" s="97"/>
      <c r="O335" s="98"/>
      <c r="P335" s="93"/>
      <c r="Q335" s="61"/>
      <c r="Y335" s="95"/>
      <c r="Z335" s="59"/>
      <c r="AA335" s="59"/>
      <c r="AB335" s="59"/>
      <c r="AC335" s="59"/>
      <c r="AD335" s="59"/>
      <c r="AE335" s="59"/>
      <c r="AF335" s="59"/>
      <c r="AG335" s="59"/>
      <c r="AH335" s="59"/>
      <c r="AI335" s="59"/>
      <c r="AJ335" s="59"/>
      <c r="AL335" s="95"/>
      <c r="AM335" s="59"/>
      <c r="AN335" s="59"/>
      <c r="AO335" s="59"/>
      <c r="AP335" s="59"/>
      <c r="AQ335" s="59"/>
      <c r="AR335" s="59"/>
      <c r="AS335" s="59"/>
      <c r="AT335" s="59"/>
      <c r="AU335" s="59"/>
      <c r="AV335" s="59"/>
    </row>
    <row r="336" spans="1:48" s="63" customFormat="1">
      <c r="A336" s="61"/>
      <c r="B336" s="61"/>
      <c r="C336" s="60"/>
      <c r="E336" s="93"/>
      <c r="F336" s="98"/>
      <c r="G336" s="93"/>
      <c r="J336" s="61"/>
      <c r="K336" s="61"/>
      <c r="L336" s="62"/>
      <c r="N336" s="97"/>
      <c r="O336" s="98"/>
      <c r="P336" s="93"/>
      <c r="Q336" s="61"/>
      <c r="Y336" s="95"/>
      <c r="Z336" s="59"/>
      <c r="AA336" s="59"/>
      <c r="AB336" s="59"/>
      <c r="AC336" s="59"/>
      <c r="AD336" s="59"/>
      <c r="AE336" s="59"/>
      <c r="AF336" s="59"/>
      <c r="AG336" s="59"/>
      <c r="AH336" s="59"/>
      <c r="AI336" s="59"/>
      <c r="AJ336" s="59"/>
      <c r="AL336" s="95"/>
      <c r="AM336" s="59"/>
      <c r="AN336" s="59"/>
      <c r="AO336" s="59"/>
      <c r="AP336" s="59"/>
      <c r="AQ336" s="59"/>
      <c r="AR336" s="59"/>
      <c r="AS336" s="59"/>
      <c r="AT336" s="59"/>
      <c r="AU336" s="59"/>
      <c r="AV336" s="59"/>
    </row>
    <row r="337" spans="1:48" s="63" customFormat="1">
      <c r="A337" s="61"/>
      <c r="B337" s="61"/>
      <c r="C337" s="60"/>
      <c r="E337" s="93"/>
      <c r="F337" s="98"/>
      <c r="G337" s="93"/>
      <c r="J337" s="61"/>
      <c r="K337" s="61"/>
      <c r="L337" s="62"/>
      <c r="N337" s="97"/>
      <c r="O337" s="98"/>
      <c r="P337" s="93"/>
      <c r="Q337" s="61"/>
      <c r="Y337" s="95"/>
      <c r="Z337" s="59"/>
      <c r="AA337" s="59"/>
      <c r="AB337" s="59"/>
      <c r="AC337" s="59"/>
      <c r="AD337" s="59"/>
      <c r="AE337" s="59"/>
      <c r="AF337" s="59"/>
      <c r="AG337" s="59"/>
      <c r="AH337" s="59"/>
      <c r="AI337" s="59"/>
      <c r="AJ337" s="59"/>
      <c r="AL337" s="95"/>
      <c r="AM337" s="59"/>
      <c r="AN337" s="59"/>
      <c r="AO337" s="59"/>
      <c r="AP337" s="59"/>
      <c r="AQ337" s="59"/>
      <c r="AR337" s="59"/>
      <c r="AS337" s="59"/>
      <c r="AT337" s="59"/>
      <c r="AU337" s="59"/>
      <c r="AV337" s="59"/>
    </row>
    <row r="338" spans="1:48" s="63" customFormat="1">
      <c r="A338" s="61"/>
      <c r="B338" s="61"/>
      <c r="C338" s="60"/>
      <c r="E338" s="93"/>
      <c r="F338" s="98"/>
      <c r="G338" s="93"/>
      <c r="J338" s="61"/>
      <c r="K338" s="61"/>
      <c r="L338" s="62"/>
      <c r="N338" s="97"/>
      <c r="O338" s="98"/>
      <c r="P338" s="93"/>
      <c r="Q338" s="61"/>
      <c r="Y338" s="95"/>
      <c r="Z338" s="59"/>
      <c r="AA338" s="59"/>
      <c r="AB338" s="59"/>
      <c r="AC338" s="59"/>
      <c r="AD338" s="59"/>
      <c r="AE338" s="59"/>
      <c r="AF338" s="59"/>
      <c r="AG338" s="59"/>
      <c r="AH338" s="59"/>
      <c r="AI338" s="59"/>
      <c r="AJ338" s="59"/>
      <c r="AL338" s="95"/>
      <c r="AM338" s="59"/>
      <c r="AN338" s="59"/>
      <c r="AO338" s="59"/>
      <c r="AP338" s="59"/>
      <c r="AQ338" s="59"/>
      <c r="AR338" s="59"/>
      <c r="AS338" s="59"/>
      <c r="AT338" s="59"/>
      <c r="AU338" s="59"/>
      <c r="AV338" s="59"/>
    </row>
    <row r="339" spans="1:48" s="63" customFormat="1">
      <c r="A339" s="61"/>
      <c r="B339" s="61"/>
      <c r="C339" s="60"/>
      <c r="E339" s="93"/>
      <c r="F339" s="98"/>
      <c r="G339" s="93"/>
      <c r="J339" s="61"/>
      <c r="K339" s="61"/>
      <c r="L339" s="62"/>
      <c r="N339" s="97"/>
      <c r="O339" s="98"/>
      <c r="P339" s="93"/>
      <c r="Q339" s="61"/>
      <c r="Y339" s="95"/>
      <c r="Z339" s="59"/>
      <c r="AA339" s="59"/>
      <c r="AB339" s="59"/>
      <c r="AC339" s="59"/>
      <c r="AD339" s="59"/>
      <c r="AE339" s="59"/>
      <c r="AF339" s="59"/>
      <c r="AG339" s="59"/>
      <c r="AH339" s="59"/>
      <c r="AI339" s="59"/>
      <c r="AJ339" s="59"/>
      <c r="AL339" s="95"/>
      <c r="AM339" s="59"/>
      <c r="AN339" s="59"/>
      <c r="AO339" s="59"/>
      <c r="AP339" s="59"/>
      <c r="AQ339" s="59"/>
      <c r="AR339" s="59"/>
      <c r="AS339" s="59"/>
      <c r="AT339" s="59"/>
      <c r="AU339" s="59"/>
      <c r="AV339" s="59"/>
    </row>
    <row r="340" spans="1:48" s="63" customFormat="1">
      <c r="A340" s="61"/>
      <c r="B340" s="61"/>
      <c r="C340" s="60"/>
      <c r="E340" s="93"/>
      <c r="F340" s="98"/>
      <c r="G340" s="93"/>
      <c r="J340" s="61"/>
      <c r="K340" s="61"/>
      <c r="L340" s="62"/>
      <c r="N340" s="97"/>
      <c r="O340" s="98"/>
      <c r="P340" s="93"/>
      <c r="Q340" s="61"/>
      <c r="Y340" s="95"/>
      <c r="Z340" s="59"/>
      <c r="AA340" s="59"/>
      <c r="AB340" s="59"/>
      <c r="AC340" s="59"/>
      <c r="AD340" s="59"/>
      <c r="AE340" s="59"/>
      <c r="AF340" s="59"/>
      <c r="AG340" s="59"/>
      <c r="AH340" s="59"/>
      <c r="AI340" s="59"/>
      <c r="AJ340" s="59"/>
      <c r="AL340" s="95"/>
      <c r="AM340" s="59"/>
      <c r="AN340" s="59"/>
      <c r="AO340" s="59"/>
      <c r="AP340" s="59"/>
      <c r="AQ340" s="59"/>
      <c r="AR340" s="59"/>
      <c r="AS340" s="59"/>
      <c r="AT340" s="59"/>
      <c r="AU340" s="59"/>
      <c r="AV340" s="59"/>
    </row>
    <row r="341" spans="1:48" s="63" customFormat="1">
      <c r="A341" s="61"/>
      <c r="B341" s="61"/>
      <c r="C341" s="60"/>
      <c r="E341" s="93"/>
      <c r="F341" s="98"/>
      <c r="G341" s="93"/>
      <c r="J341" s="61"/>
      <c r="K341" s="61"/>
      <c r="L341" s="62"/>
      <c r="N341" s="97"/>
      <c r="O341" s="98"/>
      <c r="P341" s="93"/>
      <c r="Q341" s="61"/>
      <c r="Y341" s="95"/>
      <c r="Z341" s="59"/>
      <c r="AA341" s="59"/>
      <c r="AB341" s="59"/>
      <c r="AC341" s="59"/>
      <c r="AD341" s="59"/>
      <c r="AE341" s="59"/>
      <c r="AF341" s="59"/>
      <c r="AG341" s="59"/>
      <c r="AH341" s="59"/>
      <c r="AI341" s="59"/>
      <c r="AJ341" s="59"/>
      <c r="AL341" s="95"/>
      <c r="AM341" s="59"/>
      <c r="AN341" s="59"/>
      <c r="AO341" s="59"/>
      <c r="AP341" s="59"/>
      <c r="AQ341" s="59"/>
      <c r="AR341" s="59"/>
      <c r="AS341" s="59"/>
      <c r="AT341" s="59"/>
      <c r="AU341" s="59"/>
      <c r="AV341" s="59"/>
    </row>
    <row r="342" spans="1:48">
      <c r="A342" s="61"/>
      <c r="B342" s="24"/>
      <c r="C342" s="60"/>
      <c r="E342" s="47"/>
      <c r="F342" s="48"/>
      <c r="G342" s="47"/>
      <c r="J342" s="61"/>
      <c r="K342" s="61"/>
      <c r="L342" s="30"/>
      <c r="N342" s="97"/>
      <c r="O342" s="48"/>
      <c r="P342" s="47"/>
      <c r="Q342" s="24"/>
    </row>
    <row r="343" spans="1:48">
      <c r="A343" s="61"/>
      <c r="B343" s="24"/>
      <c r="C343" s="60"/>
      <c r="E343" s="47"/>
      <c r="F343" s="48"/>
      <c r="G343" s="47"/>
      <c r="J343" s="61"/>
      <c r="K343" s="61"/>
      <c r="L343" s="30"/>
      <c r="N343" s="97"/>
      <c r="O343" s="48"/>
      <c r="P343" s="47"/>
      <c r="Q343" s="24"/>
    </row>
    <row r="344" spans="1:48">
      <c r="A344" s="61"/>
      <c r="B344" s="24"/>
      <c r="C344" s="60"/>
      <c r="E344" s="47"/>
      <c r="F344" s="48"/>
      <c r="G344" s="47"/>
      <c r="J344" s="61"/>
      <c r="K344" s="61"/>
      <c r="L344" s="30"/>
      <c r="N344" s="97"/>
      <c r="O344" s="48"/>
      <c r="P344" s="47"/>
      <c r="Q344" s="24"/>
    </row>
    <row r="345" spans="1:48">
      <c r="A345" s="61"/>
      <c r="B345" s="24"/>
      <c r="C345" s="60"/>
      <c r="E345" s="47"/>
      <c r="F345" s="48"/>
      <c r="G345" s="47"/>
      <c r="J345" s="61"/>
      <c r="K345" s="61"/>
      <c r="L345" s="30"/>
      <c r="N345" s="97"/>
      <c r="O345" s="48"/>
      <c r="P345" s="47"/>
      <c r="Q345" s="24"/>
    </row>
    <row r="346" spans="1:48">
      <c r="A346" s="61"/>
      <c r="B346" s="24"/>
      <c r="C346" s="60"/>
      <c r="E346" s="47"/>
      <c r="F346" s="48"/>
      <c r="G346" s="47"/>
      <c r="J346" s="61"/>
      <c r="K346" s="61"/>
      <c r="L346" s="30"/>
      <c r="N346" s="97"/>
      <c r="O346" s="48"/>
      <c r="P346" s="47"/>
      <c r="Q346" s="24"/>
    </row>
    <row r="347" spans="1:48">
      <c r="A347" s="61"/>
      <c r="B347" s="24"/>
      <c r="C347" s="60"/>
      <c r="E347" s="47"/>
      <c r="F347" s="48"/>
      <c r="G347" s="47"/>
      <c r="J347" s="61"/>
      <c r="K347" s="61"/>
      <c r="L347" s="30"/>
      <c r="N347" s="97"/>
      <c r="O347" s="48"/>
      <c r="P347" s="47"/>
      <c r="Q347" s="24"/>
    </row>
    <row r="348" spans="1:48">
      <c r="A348" s="61"/>
      <c r="B348" s="24"/>
      <c r="C348" s="60"/>
      <c r="E348" s="47"/>
      <c r="F348" s="48"/>
      <c r="G348" s="47"/>
      <c r="J348" s="61"/>
      <c r="K348" s="61"/>
      <c r="L348" s="30"/>
      <c r="N348" s="97"/>
      <c r="O348" s="48"/>
      <c r="P348" s="47"/>
      <c r="Q348" s="24"/>
    </row>
    <row r="349" spans="1:48">
      <c r="A349" s="61"/>
      <c r="B349" s="24"/>
      <c r="C349" s="60"/>
      <c r="E349" s="47"/>
      <c r="F349" s="48"/>
      <c r="G349" s="47"/>
      <c r="J349" s="61"/>
      <c r="K349" s="61"/>
      <c r="L349" s="30"/>
      <c r="N349" s="97"/>
      <c r="O349" s="48"/>
      <c r="P349" s="47"/>
      <c r="Q349" s="24"/>
    </row>
    <row r="350" spans="1:48">
      <c r="A350" s="61"/>
      <c r="B350" s="24"/>
      <c r="C350" s="60"/>
      <c r="E350" s="47"/>
      <c r="F350" s="48"/>
      <c r="G350" s="47"/>
      <c r="J350" s="61"/>
      <c r="K350" s="61"/>
      <c r="L350" s="30"/>
      <c r="N350" s="97"/>
      <c r="O350" s="48"/>
      <c r="P350" s="47"/>
      <c r="Q350" s="24"/>
    </row>
    <row r="351" spans="1:48">
      <c r="A351" s="61"/>
      <c r="B351" s="24"/>
      <c r="C351" s="60"/>
      <c r="E351" s="47"/>
      <c r="F351" s="48"/>
      <c r="G351" s="47"/>
      <c r="J351" s="61"/>
      <c r="K351" s="61"/>
      <c r="L351" s="30"/>
      <c r="N351" s="97"/>
      <c r="O351" s="48"/>
      <c r="P351" s="47"/>
      <c r="Q351" s="24"/>
    </row>
    <row r="352" spans="1:48">
      <c r="A352" s="61"/>
      <c r="B352" s="24"/>
      <c r="C352" s="60"/>
      <c r="E352" s="47"/>
      <c r="F352" s="48"/>
      <c r="G352" s="47"/>
      <c r="J352" s="61"/>
      <c r="K352" s="61"/>
      <c r="L352" s="30"/>
      <c r="N352" s="97"/>
      <c r="O352" s="48"/>
      <c r="P352" s="47"/>
      <c r="Q352" s="24"/>
    </row>
    <row r="353" spans="1:17">
      <c r="A353" s="61"/>
      <c r="B353" s="24"/>
      <c r="C353" s="60"/>
      <c r="E353" s="47"/>
      <c r="F353" s="48"/>
      <c r="G353" s="47"/>
      <c r="J353" s="61"/>
      <c r="K353" s="61"/>
      <c r="L353" s="30"/>
      <c r="N353" s="97"/>
      <c r="O353" s="48"/>
      <c r="P353" s="47"/>
      <c r="Q353" s="24"/>
    </row>
    <row r="354" spans="1:17">
      <c r="A354" s="61"/>
      <c r="B354" s="24"/>
      <c r="C354" s="60"/>
      <c r="E354" s="47"/>
      <c r="F354" s="48"/>
      <c r="G354" s="47"/>
      <c r="J354" s="61"/>
      <c r="K354" s="61"/>
      <c r="L354" s="30"/>
      <c r="N354" s="97"/>
      <c r="O354" s="48"/>
      <c r="P354" s="47"/>
      <c r="Q354" s="24"/>
    </row>
    <row r="355" spans="1:17">
      <c r="A355" s="61"/>
      <c r="B355" s="24"/>
      <c r="C355" s="60"/>
      <c r="E355" s="47"/>
      <c r="F355" s="48"/>
      <c r="G355" s="47"/>
      <c r="J355" s="61"/>
      <c r="K355" s="61"/>
      <c r="L355" s="30"/>
      <c r="N355" s="97"/>
      <c r="O355" s="48"/>
      <c r="P355" s="47"/>
      <c r="Q355" s="24"/>
    </row>
    <row r="356" spans="1:17">
      <c r="A356" s="61"/>
      <c r="B356" s="24"/>
      <c r="C356" s="60"/>
      <c r="E356" s="47"/>
      <c r="F356" s="48"/>
      <c r="G356" s="47"/>
      <c r="J356" s="61"/>
      <c r="K356" s="61"/>
      <c r="L356" s="30"/>
      <c r="N356" s="97"/>
      <c r="O356" s="48"/>
      <c r="P356" s="47"/>
      <c r="Q356" s="24"/>
    </row>
    <row r="357" spans="1:17">
      <c r="A357" s="61"/>
      <c r="B357" s="24"/>
      <c r="C357" s="60"/>
      <c r="E357" s="47"/>
      <c r="F357" s="48"/>
      <c r="G357" s="47"/>
      <c r="J357" s="61"/>
      <c r="K357" s="61"/>
      <c r="L357" s="30"/>
      <c r="N357" s="97"/>
      <c r="O357" s="48"/>
      <c r="P357" s="47"/>
      <c r="Q357" s="24"/>
    </row>
    <row r="358" spans="1:17">
      <c r="A358" s="61"/>
      <c r="B358" s="24"/>
      <c r="C358" s="60"/>
      <c r="E358" s="47"/>
      <c r="F358" s="48"/>
      <c r="G358" s="47"/>
      <c r="J358" s="61"/>
      <c r="K358" s="61"/>
      <c r="L358" s="30"/>
      <c r="N358" s="97"/>
      <c r="O358" s="48"/>
      <c r="P358" s="47"/>
      <c r="Q358" s="24"/>
    </row>
    <row r="359" spans="1:17">
      <c r="A359" s="61"/>
      <c r="B359" s="24"/>
      <c r="C359" s="60"/>
      <c r="E359" s="47"/>
      <c r="F359" s="48"/>
      <c r="G359" s="47"/>
      <c r="J359" s="61"/>
      <c r="K359" s="61"/>
      <c r="L359" s="30"/>
      <c r="N359" s="97"/>
      <c r="O359" s="48"/>
      <c r="P359" s="47"/>
      <c r="Q359" s="24"/>
    </row>
    <row r="360" spans="1:17">
      <c r="A360" s="61"/>
      <c r="B360" s="24"/>
      <c r="C360" s="60"/>
      <c r="E360" s="47"/>
      <c r="F360" s="48"/>
      <c r="G360" s="47"/>
      <c r="J360" s="61"/>
      <c r="K360" s="61"/>
      <c r="L360" s="30"/>
      <c r="N360" s="97"/>
      <c r="O360" s="48"/>
      <c r="P360" s="47"/>
      <c r="Q360" s="24"/>
    </row>
    <row r="361" spans="1:17">
      <c r="A361" s="61"/>
      <c r="B361" s="24"/>
      <c r="C361" s="60"/>
      <c r="E361" s="47"/>
      <c r="F361" s="48"/>
      <c r="G361" s="47"/>
      <c r="J361" s="61"/>
      <c r="K361" s="61"/>
      <c r="L361" s="30"/>
      <c r="N361" s="97"/>
      <c r="O361" s="48"/>
      <c r="P361" s="47"/>
      <c r="Q361" s="24"/>
    </row>
    <row r="362" spans="1:17">
      <c r="A362" s="61"/>
      <c r="B362" s="24"/>
      <c r="C362" s="60"/>
      <c r="E362" s="47"/>
      <c r="F362" s="48"/>
      <c r="G362" s="47"/>
      <c r="J362" s="61"/>
      <c r="K362" s="61"/>
      <c r="L362" s="30"/>
      <c r="N362" s="97"/>
      <c r="O362" s="48"/>
      <c r="P362" s="47"/>
      <c r="Q362" s="24"/>
    </row>
    <row r="363" spans="1:17">
      <c r="A363" s="61"/>
      <c r="B363" s="24"/>
      <c r="C363" s="60"/>
      <c r="E363" s="47"/>
      <c r="F363" s="48"/>
      <c r="G363" s="47"/>
      <c r="J363" s="61"/>
      <c r="K363" s="61"/>
      <c r="L363" s="30"/>
      <c r="N363" s="97"/>
      <c r="O363" s="48"/>
      <c r="P363" s="47"/>
      <c r="Q363" s="24"/>
    </row>
    <row r="364" spans="1:17">
      <c r="A364" s="61"/>
      <c r="B364" s="24"/>
      <c r="C364" s="60"/>
      <c r="E364" s="47"/>
      <c r="F364" s="48"/>
      <c r="G364" s="47"/>
      <c r="J364" s="61"/>
      <c r="K364" s="61"/>
      <c r="L364" s="30"/>
      <c r="N364" s="97"/>
      <c r="O364" s="48"/>
      <c r="P364" s="47"/>
      <c r="Q364" s="24"/>
    </row>
    <row r="365" spans="1:17">
      <c r="A365" s="61"/>
      <c r="B365" s="24"/>
      <c r="C365" s="60"/>
      <c r="E365" s="47"/>
      <c r="F365" s="48"/>
      <c r="G365" s="47"/>
      <c r="J365" s="61"/>
      <c r="K365" s="61"/>
      <c r="L365" s="30"/>
      <c r="N365" s="97"/>
      <c r="O365" s="48"/>
      <c r="P365" s="47"/>
      <c r="Q365" s="24"/>
    </row>
    <row r="366" spans="1:17">
      <c r="A366" s="61"/>
      <c r="B366" s="24"/>
      <c r="C366" s="60"/>
      <c r="E366" s="47"/>
      <c r="F366" s="48"/>
      <c r="G366" s="47"/>
      <c r="J366" s="61"/>
      <c r="K366" s="61"/>
      <c r="L366" s="30"/>
      <c r="N366" s="97"/>
      <c r="O366" s="48"/>
      <c r="P366" s="47"/>
      <c r="Q366" s="24"/>
    </row>
    <row r="367" spans="1:17">
      <c r="A367" s="61"/>
      <c r="B367" s="24"/>
      <c r="C367" s="60"/>
      <c r="E367" s="47"/>
      <c r="F367" s="48"/>
      <c r="G367" s="47"/>
      <c r="J367" s="61"/>
      <c r="K367" s="61"/>
      <c r="L367" s="30"/>
      <c r="N367" s="97"/>
      <c r="O367" s="48"/>
      <c r="P367" s="47"/>
      <c r="Q367" s="24"/>
    </row>
    <row r="368" spans="1:17">
      <c r="A368" s="61"/>
      <c r="B368" s="24"/>
      <c r="C368" s="60"/>
      <c r="E368" s="47"/>
      <c r="F368" s="48"/>
      <c r="G368" s="47"/>
      <c r="J368" s="61"/>
      <c r="K368" s="61"/>
      <c r="L368" s="30"/>
      <c r="N368" s="97"/>
      <c r="O368" s="48"/>
      <c r="P368" s="47"/>
      <c r="Q368" s="24"/>
    </row>
    <row r="369" spans="1:17">
      <c r="A369" s="61"/>
      <c r="B369" s="24"/>
      <c r="C369" s="60"/>
      <c r="E369" s="47"/>
      <c r="F369" s="48"/>
      <c r="G369" s="47"/>
      <c r="J369" s="61"/>
      <c r="K369" s="61"/>
      <c r="L369" s="30"/>
      <c r="N369" s="97"/>
      <c r="O369" s="48"/>
      <c r="P369" s="47"/>
      <c r="Q369" s="24"/>
    </row>
    <row r="370" spans="1:17">
      <c r="A370" s="61"/>
      <c r="B370" s="24"/>
      <c r="C370" s="60"/>
      <c r="E370" s="47"/>
      <c r="F370" s="48"/>
      <c r="G370" s="47"/>
      <c r="J370" s="61"/>
      <c r="K370" s="61"/>
      <c r="L370" s="30"/>
      <c r="N370" s="97"/>
      <c r="O370" s="48"/>
      <c r="P370" s="47"/>
      <c r="Q370" s="24"/>
    </row>
    <row r="371" spans="1:17">
      <c r="A371" s="61"/>
      <c r="B371" s="24"/>
      <c r="C371" s="60"/>
      <c r="E371" s="47"/>
      <c r="F371" s="48"/>
      <c r="G371" s="47"/>
      <c r="J371" s="61"/>
      <c r="K371" s="61"/>
      <c r="L371" s="30"/>
      <c r="N371" s="97"/>
      <c r="O371" s="48"/>
      <c r="P371" s="47"/>
      <c r="Q371" s="24"/>
    </row>
    <row r="372" spans="1:17">
      <c r="A372" s="61"/>
      <c r="B372" s="24"/>
      <c r="C372" s="60"/>
      <c r="E372" s="47"/>
      <c r="F372" s="48"/>
      <c r="G372" s="47"/>
      <c r="J372" s="61"/>
      <c r="K372" s="61"/>
      <c r="L372" s="30"/>
      <c r="N372" s="97"/>
      <c r="O372" s="48"/>
      <c r="P372" s="47"/>
      <c r="Q372" s="24"/>
    </row>
    <row r="373" spans="1:17">
      <c r="A373" s="61"/>
      <c r="B373" s="24"/>
      <c r="C373" s="60"/>
      <c r="E373" s="47"/>
      <c r="F373" s="48"/>
      <c r="G373" s="47"/>
      <c r="J373" s="61"/>
      <c r="K373" s="61"/>
      <c r="L373" s="30"/>
      <c r="N373" s="97"/>
      <c r="O373" s="48"/>
      <c r="P373" s="47"/>
      <c r="Q373" s="24"/>
    </row>
    <row r="374" spans="1:17">
      <c r="A374" s="61"/>
      <c r="B374" s="24"/>
      <c r="C374" s="60"/>
      <c r="E374" s="47"/>
      <c r="F374" s="48"/>
      <c r="G374" s="47"/>
      <c r="J374" s="61"/>
      <c r="K374" s="61"/>
      <c r="L374" s="30"/>
      <c r="N374" s="97"/>
      <c r="O374" s="48"/>
      <c r="P374" s="47"/>
      <c r="Q374" s="24"/>
    </row>
    <row r="375" spans="1:17">
      <c r="A375" s="61"/>
      <c r="B375" s="24"/>
      <c r="C375" s="60"/>
      <c r="E375" s="47"/>
      <c r="F375" s="48"/>
      <c r="G375" s="47"/>
      <c r="J375" s="61"/>
      <c r="K375" s="61"/>
      <c r="L375" s="30"/>
      <c r="N375" s="97"/>
      <c r="O375" s="48"/>
      <c r="P375" s="47"/>
      <c r="Q375" s="24"/>
    </row>
    <row r="376" spans="1:17">
      <c r="A376" s="61"/>
      <c r="B376" s="24"/>
      <c r="C376" s="60"/>
      <c r="E376" s="47"/>
      <c r="F376" s="48"/>
      <c r="G376" s="47"/>
      <c r="J376" s="61"/>
      <c r="K376" s="61"/>
      <c r="L376" s="30"/>
      <c r="N376" s="97"/>
      <c r="O376" s="48"/>
      <c r="P376" s="47"/>
      <c r="Q376" s="24"/>
    </row>
    <row r="377" spans="1:17">
      <c r="A377" s="61"/>
      <c r="B377" s="24"/>
      <c r="C377" s="60"/>
      <c r="E377" s="47"/>
      <c r="F377" s="48"/>
      <c r="G377" s="47"/>
      <c r="J377" s="61"/>
      <c r="K377" s="61"/>
      <c r="L377" s="30"/>
      <c r="N377" s="97"/>
      <c r="O377" s="48"/>
      <c r="P377" s="47"/>
      <c r="Q377" s="24"/>
    </row>
    <row r="378" spans="1:17">
      <c r="A378" s="61"/>
      <c r="B378" s="24"/>
      <c r="C378" s="60"/>
      <c r="E378" s="47"/>
      <c r="F378" s="48"/>
      <c r="G378" s="47"/>
      <c r="J378" s="61"/>
      <c r="K378" s="61"/>
      <c r="L378" s="30"/>
      <c r="N378" s="97"/>
      <c r="O378" s="48"/>
      <c r="P378" s="47"/>
      <c r="Q378" s="24"/>
    </row>
    <row r="379" spans="1:17">
      <c r="A379" s="61"/>
      <c r="B379" s="24"/>
      <c r="C379" s="60"/>
      <c r="E379" s="47"/>
      <c r="F379" s="48"/>
      <c r="G379" s="47"/>
      <c r="J379" s="61"/>
      <c r="K379" s="61"/>
      <c r="L379" s="30"/>
      <c r="N379" s="97"/>
      <c r="O379" s="48"/>
      <c r="P379" s="47"/>
      <c r="Q379" s="24"/>
    </row>
    <row r="380" spans="1:17">
      <c r="A380" s="61"/>
      <c r="B380" s="24"/>
      <c r="C380" s="60"/>
      <c r="E380" s="47"/>
      <c r="F380" s="48"/>
      <c r="G380" s="47"/>
      <c r="J380" s="61"/>
      <c r="K380" s="61"/>
      <c r="L380" s="30"/>
      <c r="N380" s="97"/>
      <c r="O380" s="48"/>
      <c r="P380" s="47"/>
      <c r="Q380" s="24"/>
    </row>
    <row r="381" spans="1:17">
      <c r="A381" s="61"/>
      <c r="B381" s="24"/>
      <c r="C381" s="60"/>
      <c r="E381" s="47"/>
      <c r="F381" s="48"/>
      <c r="G381" s="47"/>
      <c r="J381" s="61"/>
      <c r="K381" s="61"/>
      <c r="L381" s="30"/>
      <c r="N381" s="97"/>
      <c r="O381" s="48"/>
      <c r="P381" s="47"/>
      <c r="Q381" s="24"/>
    </row>
    <row r="382" spans="1:17">
      <c r="A382" s="61"/>
      <c r="B382" s="24"/>
      <c r="C382" s="60"/>
      <c r="E382" s="47"/>
      <c r="F382" s="48"/>
      <c r="G382" s="47"/>
      <c r="J382" s="61"/>
      <c r="K382" s="61"/>
      <c r="L382" s="30"/>
      <c r="N382" s="97"/>
      <c r="O382" s="48"/>
      <c r="P382" s="47"/>
      <c r="Q382" s="24"/>
    </row>
    <row r="383" spans="1:17">
      <c r="A383" s="61"/>
      <c r="B383" s="24"/>
      <c r="C383" s="60"/>
      <c r="E383" s="47"/>
      <c r="F383" s="48"/>
      <c r="G383" s="47"/>
      <c r="J383" s="61"/>
      <c r="K383" s="61"/>
      <c r="L383" s="30"/>
      <c r="N383" s="97"/>
      <c r="O383" s="48"/>
      <c r="P383" s="47"/>
      <c r="Q383" s="24"/>
    </row>
    <row r="384" spans="1:17">
      <c r="A384" s="61"/>
      <c r="B384" s="24"/>
      <c r="C384" s="60"/>
      <c r="E384" s="47"/>
      <c r="F384" s="48"/>
      <c r="G384" s="47"/>
      <c r="J384" s="61"/>
      <c r="K384" s="61"/>
      <c r="L384" s="30"/>
      <c r="N384" s="97"/>
      <c r="O384" s="48"/>
      <c r="P384" s="47"/>
      <c r="Q384" s="24"/>
    </row>
    <row r="385" spans="1:17">
      <c r="A385" s="61"/>
      <c r="B385" s="24"/>
      <c r="C385" s="60"/>
      <c r="E385" s="47"/>
      <c r="F385" s="48"/>
      <c r="G385" s="47"/>
      <c r="J385" s="61"/>
      <c r="K385" s="61"/>
      <c r="L385" s="30"/>
      <c r="N385" s="97"/>
      <c r="O385" s="48"/>
      <c r="P385" s="47"/>
      <c r="Q385" s="24"/>
    </row>
    <row r="386" spans="1:17">
      <c r="A386" s="61"/>
      <c r="B386" s="24"/>
      <c r="C386" s="60"/>
      <c r="E386" s="47"/>
      <c r="F386" s="48"/>
      <c r="G386" s="47"/>
      <c r="J386" s="61"/>
      <c r="K386" s="61"/>
      <c r="L386" s="30"/>
      <c r="N386" s="97"/>
      <c r="O386" s="48"/>
      <c r="P386" s="47"/>
      <c r="Q386" s="24"/>
    </row>
    <row r="387" spans="1:17">
      <c r="A387" s="61"/>
      <c r="B387" s="24"/>
      <c r="C387" s="60"/>
      <c r="E387" s="47"/>
      <c r="F387" s="48"/>
      <c r="G387" s="47"/>
      <c r="J387" s="61"/>
      <c r="K387" s="61"/>
      <c r="L387" s="30"/>
      <c r="N387" s="97"/>
      <c r="O387" s="48"/>
      <c r="P387" s="47"/>
      <c r="Q387" s="24"/>
    </row>
    <row r="388" spans="1:17">
      <c r="A388" s="61"/>
      <c r="B388" s="24"/>
      <c r="C388" s="60"/>
      <c r="E388" s="47"/>
      <c r="F388" s="48"/>
      <c r="G388" s="47"/>
      <c r="J388" s="61"/>
      <c r="K388" s="61"/>
      <c r="L388" s="30"/>
      <c r="N388" s="97"/>
      <c r="O388" s="48"/>
      <c r="P388" s="47"/>
      <c r="Q388" s="24"/>
    </row>
    <row r="389" spans="1:17">
      <c r="A389" s="61"/>
      <c r="B389" s="24"/>
      <c r="C389" s="60"/>
      <c r="E389" s="47"/>
      <c r="F389" s="48"/>
      <c r="G389" s="47"/>
      <c r="J389" s="61"/>
      <c r="K389" s="61"/>
      <c r="L389" s="30"/>
      <c r="N389" s="97"/>
      <c r="O389" s="48"/>
      <c r="P389" s="47"/>
      <c r="Q389" s="24"/>
    </row>
    <row r="390" spans="1:17">
      <c r="A390" s="61"/>
      <c r="B390" s="24"/>
      <c r="C390" s="60"/>
      <c r="E390" s="47"/>
      <c r="F390" s="48"/>
      <c r="G390" s="47"/>
      <c r="J390" s="61"/>
      <c r="K390" s="61"/>
      <c r="L390" s="30"/>
      <c r="N390" s="97"/>
      <c r="O390" s="48"/>
      <c r="P390" s="47"/>
      <c r="Q390" s="24"/>
    </row>
    <row r="391" spans="1:17">
      <c r="A391" s="61"/>
      <c r="B391" s="24"/>
      <c r="C391" s="60"/>
      <c r="E391" s="47"/>
      <c r="F391" s="48"/>
      <c r="G391" s="47"/>
      <c r="J391" s="61"/>
      <c r="K391" s="61"/>
      <c r="L391" s="30"/>
      <c r="N391" s="97"/>
      <c r="O391" s="48"/>
      <c r="P391" s="47"/>
      <c r="Q391" s="24"/>
    </row>
    <row r="392" spans="1:17">
      <c r="A392" s="61"/>
      <c r="B392" s="24"/>
      <c r="C392" s="60"/>
      <c r="E392" s="47"/>
      <c r="F392" s="48"/>
      <c r="G392" s="47"/>
      <c r="J392" s="61"/>
      <c r="K392" s="61"/>
      <c r="L392" s="30"/>
      <c r="N392" s="97"/>
      <c r="O392" s="48"/>
      <c r="P392" s="47"/>
      <c r="Q392" s="24"/>
    </row>
    <row r="393" spans="1:17">
      <c r="A393" s="61"/>
      <c r="B393" s="24"/>
      <c r="C393" s="60"/>
      <c r="E393" s="47"/>
      <c r="F393" s="48"/>
      <c r="G393" s="47"/>
      <c r="J393" s="61"/>
      <c r="K393" s="61"/>
      <c r="L393" s="30"/>
      <c r="N393" s="97"/>
      <c r="O393" s="48"/>
      <c r="P393" s="47"/>
      <c r="Q393" s="24"/>
    </row>
    <row r="394" spans="1:17">
      <c r="A394" s="61"/>
      <c r="B394" s="24"/>
      <c r="C394" s="60"/>
      <c r="E394" s="47"/>
      <c r="F394" s="48"/>
      <c r="G394" s="47"/>
      <c r="J394" s="61"/>
      <c r="K394" s="61"/>
      <c r="L394" s="30"/>
      <c r="N394" s="97"/>
      <c r="O394" s="48"/>
      <c r="P394" s="47"/>
      <c r="Q394" s="24"/>
    </row>
    <row r="395" spans="1:17">
      <c r="A395" s="61"/>
      <c r="B395" s="24"/>
      <c r="C395" s="60"/>
      <c r="E395" s="47"/>
      <c r="F395" s="48"/>
      <c r="G395" s="47"/>
      <c r="J395" s="61"/>
      <c r="K395" s="61"/>
      <c r="L395" s="30"/>
      <c r="N395" s="97"/>
      <c r="O395" s="48"/>
      <c r="P395" s="47"/>
      <c r="Q395" s="24"/>
    </row>
    <row r="396" spans="1:17">
      <c r="A396" s="61"/>
      <c r="B396" s="24"/>
      <c r="C396" s="60"/>
      <c r="E396" s="47"/>
      <c r="F396" s="48"/>
      <c r="G396" s="47"/>
      <c r="J396" s="61"/>
      <c r="K396" s="61"/>
      <c r="L396" s="30"/>
      <c r="N396" s="97"/>
      <c r="O396" s="48"/>
      <c r="P396" s="47"/>
      <c r="Q396" s="24"/>
    </row>
    <row r="397" spans="1:17">
      <c r="A397" s="61"/>
      <c r="B397" s="24"/>
      <c r="C397" s="60"/>
      <c r="E397" s="47"/>
      <c r="F397" s="48"/>
      <c r="G397" s="47"/>
      <c r="J397" s="61"/>
      <c r="K397" s="61"/>
      <c r="L397" s="30"/>
      <c r="N397" s="97"/>
      <c r="O397" s="48"/>
      <c r="P397" s="47"/>
      <c r="Q397" s="24"/>
    </row>
    <row r="398" spans="1:17">
      <c r="A398" s="61"/>
      <c r="B398" s="24"/>
      <c r="C398" s="60"/>
      <c r="E398" s="47"/>
      <c r="F398" s="48"/>
      <c r="G398" s="47"/>
      <c r="J398" s="61"/>
      <c r="K398" s="61"/>
      <c r="L398" s="30"/>
      <c r="N398" s="97"/>
      <c r="O398" s="48"/>
      <c r="P398" s="47"/>
      <c r="Q398" s="24"/>
    </row>
    <row r="399" spans="1:17">
      <c r="A399" s="61"/>
      <c r="B399" s="24"/>
      <c r="C399" s="60"/>
      <c r="E399" s="47"/>
      <c r="F399" s="48"/>
      <c r="G399" s="47"/>
      <c r="J399" s="61"/>
      <c r="K399" s="61"/>
      <c r="L399" s="30"/>
      <c r="N399" s="97"/>
      <c r="O399" s="48"/>
      <c r="P399" s="47"/>
      <c r="Q399" s="24"/>
    </row>
    <row r="400" spans="1:17">
      <c r="A400" s="61"/>
      <c r="B400" s="24"/>
      <c r="C400" s="60"/>
      <c r="E400" s="47"/>
      <c r="F400" s="48"/>
      <c r="G400" s="47"/>
      <c r="J400" s="61"/>
      <c r="K400" s="61"/>
      <c r="L400" s="30"/>
      <c r="N400" s="97"/>
      <c r="O400" s="48"/>
      <c r="P400" s="47"/>
      <c r="Q400" s="24"/>
    </row>
    <row r="401" spans="1:17">
      <c r="A401" s="61"/>
      <c r="B401" s="24"/>
      <c r="C401" s="60"/>
      <c r="E401" s="47"/>
      <c r="F401" s="48"/>
      <c r="G401" s="47"/>
      <c r="J401" s="61"/>
      <c r="K401" s="61"/>
      <c r="L401" s="30"/>
      <c r="N401" s="97"/>
      <c r="O401" s="48"/>
      <c r="P401" s="47"/>
      <c r="Q401" s="24"/>
    </row>
    <row r="402" spans="1:17">
      <c r="A402" s="61"/>
      <c r="B402" s="24"/>
      <c r="C402" s="60"/>
      <c r="E402" s="47"/>
      <c r="F402" s="48"/>
      <c r="G402" s="47"/>
      <c r="J402" s="61"/>
      <c r="K402" s="61"/>
      <c r="L402" s="30"/>
      <c r="N402" s="97"/>
      <c r="O402" s="48"/>
      <c r="P402" s="47"/>
      <c r="Q402" s="24"/>
    </row>
    <row r="403" spans="1:17">
      <c r="A403" s="61"/>
      <c r="B403" s="24"/>
      <c r="C403" s="60"/>
      <c r="E403" s="47"/>
      <c r="F403" s="48"/>
      <c r="G403" s="47"/>
      <c r="J403" s="61"/>
      <c r="K403" s="61"/>
      <c r="L403" s="30"/>
      <c r="N403" s="97"/>
      <c r="O403" s="48"/>
      <c r="P403" s="47"/>
      <c r="Q403" s="24"/>
    </row>
    <row r="404" spans="1:17">
      <c r="A404" s="61"/>
      <c r="B404" s="24"/>
      <c r="C404" s="60"/>
      <c r="E404" s="47"/>
      <c r="F404" s="48"/>
      <c r="G404" s="47"/>
      <c r="J404" s="61"/>
      <c r="K404" s="61"/>
      <c r="L404" s="30"/>
      <c r="N404" s="97"/>
      <c r="O404" s="48"/>
      <c r="P404" s="47"/>
      <c r="Q404" s="24"/>
    </row>
    <row r="405" spans="1:17">
      <c r="A405" s="61"/>
      <c r="B405" s="24"/>
      <c r="C405" s="60"/>
      <c r="E405" s="47"/>
      <c r="F405" s="48"/>
      <c r="G405" s="47"/>
      <c r="J405" s="61"/>
      <c r="K405" s="61"/>
      <c r="L405" s="30"/>
      <c r="N405" s="97"/>
      <c r="O405" s="48"/>
      <c r="P405" s="47"/>
      <c r="Q405" s="24"/>
    </row>
    <row r="406" spans="1:17">
      <c r="A406" s="61"/>
      <c r="B406" s="24"/>
      <c r="C406" s="60"/>
      <c r="E406" s="47"/>
      <c r="F406" s="48"/>
      <c r="G406" s="47"/>
      <c r="J406" s="61"/>
      <c r="K406" s="61"/>
      <c r="L406" s="30"/>
      <c r="N406" s="97"/>
      <c r="O406" s="48"/>
      <c r="P406" s="47"/>
      <c r="Q406" s="24"/>
    </row>
    <row r="407" spans="1:17">
      <c r="A407" s="61"/>
      <c r="B407" s="24"/>
      <c r="C407" s="60"/>
      <c r="E407" s="47"/>
      <c r="F407" s="48"/>
      <c r="G407" s="47"/>
      <c r="J407" s="61"/>
      <c r="K407" s="61"/>
      <c r="L407" s="30"/>
      <c r="N407" s="97"/>
      <c r="O407" s="48"/>
      <c r="P407" s="47"/>
      <c r="Q407" s="24"/>
    </row>
    <row r="408" spans="1:17">
      <c r="A408" s="61"/>
      <c r="B408" s="24"/>
      <c r="C408" s="60"/>
      <c r="E408" s="47"/>
      <c r="F408" s="48"/>
      <c r="G408" s="47"/>
      <c r="J408" s="61"/>
      <c r="K408" s="61"/>
      <c r="L408" s="30"/>
      <c r="N408" s="97"/>
      <c r="O408" s="48"/>
      <c r="P408" s="47"/>
      <c r="Q408" s="24"/>
    </row>
    <row r="409" spans="1:17">
      <c r="A409" s="61"/>
      <c r="B409" s="24"/>
      <c r="C409" s="60"/>
      <c r="E409" s="47"/>
      <c r="F409" s="48"/>
      <c r="G409" s="47"/>
      <c r="J409" s="61"/>
      <c r="K409" s="61"/>
      <c r="L409" s="30"/>
      <c r="N409" s="97"/>
      <c r="O409" s="48"/>
      <c r="P409" s="47"/>
      <c r="Q409" s="24"/>
    </row>
    <row r="410" spans="1:17">
      <c r="A410" s="61"/>
      <c r="B410" s="24"/>
      <c r="C410" s="60"/>
      <c r="E410" s="47"/>
      <c r="F410" s="48"/>
      <c r="G410" s="47"/>
      <c r="J410" s="61"/>
      <c r="K410" s="61"/>
      <c r="L410" s="30"/>
      <c r="N410" s="97"/>
      <c r="O410" s="48"/>
      <c r="P410" s="47"/>
      <c r="Q410" s="24"/>
    </row>
    <row r="411" spans="1:17">
      <c r="A411" s="61"/>
      <c r="B411" s="24"/>
      <c r="C411" s="60"/>
      <c r="E411" s="47"/>
      <c r="F411" s="48"/>
      <c r="G411" s="47"/>
      <c r="J411" s="61"/>
      <c r="K411" s="61"/>
      <c r="L411" s="30"/>
      <c r="N411" s="97"/>
      <c r="O411" s="48"/>
      <c r="P411" s="47"/>
      <c r="Q411" s="24"/>
    </row>
    <row r="412" spans="1:17">
      <c r="A412" s="61"/>
      <c r="B412" s="24"/>
      <c r="C412" s="60"/>
      <c r="E412" s="47"/>
      <c r="F412" s="48"/>
      <c r="G412" s="47"/>
      <c r="J412" s="61"/>
      <c r="K412" s="61"/>
      <c r="L412" s="30"/>
      <c r="N412" s="97"/>
      <c r="O412" s="48"/>
      <c r="P412" s="47"/>
      <c r="Q412" s="24"/>
    </row>
    <row r="413" spans="1:17">
      <c r="A413" s="61"/>
      <c r="B413" s="24"/>
      <c r="C413" s="60"/>
      <c r="E413" s="47"/>
      <c r="F413" s="48"/>
      <c r="G413" s="47"/>
      <c r="J413" s="61"/>
      <c r="K413" s="61"/>
      <c r="L413" s="30"/>
      <c r="N413" s="97"/>
      <c r="O413" s="48"/>
      <c r="P413" s="47"/>
      <c r="Q413" s="24"/>
    </row>
    <row r="414" spans="1:17">
      <c r="A414" s="61"/>
      <c r="B414" s="24"/>
      <c r="C414" s="60"/>
      <c r="E414" s="47"/>
      <c r="F414" s="48"/>
      <c r="G414" s="47"/>
      <c r="J414" s="61"/>
      <c r="K414" s="61"/>
      <c r="L414" s="30"/>
      <c r="N414" s="97"/>
      <c r="O414" s="48"/>
      <c r="P414" s="47"/>
      <c r="Q414" s="24"/>
    </row>
    <row r="415" spans="1:17">
      <c r="A415" s="61"/>
      <c r="B415" s="24"/>
      <c r="C415" s="60"/>
      <c r="E415" s="47"/>
      <c r="F415" s="48"/>
      <c r="G415" s="47"/>
      <c r="J415" s="61"/>
      <c r="K415" s="61"/>
      <c r="L415" s="30"/>
      <c r="N415" s="97"/>
      <c r="O415" s="48"/>
      <c r="P415" s="47"/>
      <c r="Q415" s="24"/>
    </row>
    <row r="416" spans="1:17">
      <c r="A416" s="61"/>
      <c r="B416" s="24"/>
      <c r="C416" s="60"/>
      <c r="E416" s="47"/>
      <c r="F416" s="48"/>
      <c r="G416" s="47"/>
      <c r="J416" s="61"/>
      <c r="K416" s="61"/>
      <c r="L416" s="30"/>
      <c r="N416" s="97"/>
      <c r="O416" s="48"/>
      <c r="P416" s="47"/>
      <c r="Q416" s="24"/>
    </row>
    <row r="417" spans="1:17">
      <c r="A417" s="61"/>
      <c r="B417" s="24"/>
      <c r="C417" s="60"/>
      <c r="E417" s="47"/>
      <c r="F417" s="48"/>
      <c r="G417" s="47"/>
      <c r="J417" s="61"/>
      <c r="K417" s="61"/>
      <c r="L417" s="30"/>
      <c r="N417" s="97"/>
      <c r="O417" s="48"/>
      <c r="P417" s="47"/>
      <c r="Q417" s="24"/>
    </row>
    <row r="418" spans="1:17">
      <c r="A418" s="61"/>
      <c r="B418" s="24"/>
      <c r="C418" s="60"/>
      <c r="E418" s="47"/>
      <c r="F418" s="48"/>
      <c r="G418" s="47"/>
      <c r="J418" s="61"/>
      <c r="K418" s="61"/>
      <c r="L418" s="30"/>
      <c r="N418" s="97"/>
      <c r="O418" s="48"/>
      <c r="P418" s="47"/>
      <c r="Q418" s="24"/>
    </row>
    <row r="419" spans="1:17">
      <c r="A419" s="61"/>
      <c r="B419" s="24"/>
      <c r="C419" s="60"/>
      <c r="E419" s="47"/>
      <c r="F419" s="48"/>
      <c r="G419" s="47"/>
      <c r="J419" s="61"/>
      <c r="K419" s="61"/>
      <c r="L419" s="30"/>
      <c r="N419" s="97"/>
      <c r="O419" s="48"/>
      <c r="P419" s="47"/>
      <c r="Q419" s="24"/>
    </row>
    <row r="420" spans="1:17">
      <c r="A420" s="61"/>
      <c r="B420" s="24"/>
      <c r="C420" s="60"/>
      <c r="E420" s="47"/>
      <c r="F420" s="48"/>
      <c r="G420" s="47"/>
      <c r="J420" s="61"/>
      <c r="K420" s="61"/>
      <c r="L420" s="30"/>
      <c r="N420" s="97"/>
      <c r="O420" s="48"/>
      <c r="P420" s="47"/>
      <c r="Q420" s="24"/>
    </row>
    <row r="421" spans="1:17">
      <c r="A421" s="61"/>
      <c r="B421" s="24"/>
      <c r="C421" s="60"/>
      <c r="E421" s="47"/>
      <c r="F421" s="48"/>
      <c r="G421" s="47"/>
      <c r="J421" s="61"/>
      <c r="K421" s="61"/>
      <c r="L421" s="30"/>
      <c r="N421" s="97"/>
      <c r="O421" s="48"/>
      <c r="P421" s="47"/>
      <c r="Q421" s="24"/>
    </row>
    <row r="422" spans="1:17">
      <c r="A422" s="61"/>
      <c r="B422" s="24"/>
      <c r="C422" s="60"/>
      <c r="E422" s="47"/>
      <c r="F422" s="48"/>
      <c r="G422" s="47"/>
      <c r="J422" s="61"/>
      <c r="K422" s="61"/>
      <c r="L422" s="30"/>
      <c r="N422" s="97"/>
      <c r="O422" s="48"/>
      <c r="P422" s="47"/>
      <c r="Q422" s="24"/>
    </row>
    <row r="423" spans="1:17">
      <c r="A423" s="61"/>
      <c r="B423" s="24"/>
      <c r="C423" s="60"/>
      <c r="E423" s="47"/>
      <c r="F423" s="48"/>
      <c r="G423" s="47"/>
      <c r="J423" s="61"/>
      <c r="K423" s="61"/>
      <c r="L423" s="30"/>
      <c r="N423" s="97"/>
      <c r="O423" s="48"/>
      <c r="P423" s="47"/>
      <c r="Q423" s="24"/>
    </row>
    <row r="424" spans="1:17">
      <c r="A424" s="61"/>
      <c r="B424" s="24"/>
      <c r="C424" s="60"/>
      <c r="E424" s="47"/>
      <c r="F424" s="48"/>
      <c r="G424" s="47"/>
      <c r="J424" s="61"/>
      <c r="K424" s="61"/>
      <c r="L424" s="30"/>
      <c r="N424" s="97"/>
      <c r="O424" s="48"/>
      <c r="P424" s="47"/>
      <c r="Q424" s="24"/>
    </row>
    <row r="425" spans="1:17">
      <c r="A425" s="61"/>
      <c r="B425" s="24"/>
      <c r="C425" s="60"/>
      <c r="E425" s="47"/>
      <c r="F425" s="48"/>
      <c r="G425" s="47"/>
      <c r="J425" s="61"/>
      <c r="K425" s="61"/>
      <c r="L425" s="30"/>
      <c r="N425" s="97"/>
      <c r="O425" s="48"/>
      <c r="P425" s="47"/>
      <c r="Q425" s="24"/>
    </row>
    <row r="426" spans="1:17">
      <c r="A426" s="61"/>
      <c r="B426" s="24"/>
      <c r="C426" s="60"/>
      <c r="E426" s="47"/>
      <c r="F426" s="48"/>
      <c r="G426" s="47"/>
      <c r="J426" s="61"/>
      <c r="K426" s="61"/>
      <c r="L426" s="30"/>
      <c r="N426" s="97"/>
      <c r="O426" s="48"/>
      <c r="P426" s="47"/>
      <c r="Q426" s="24"/>
    </row>
    <row r="427" spans="1:17">
      <c r="A427" s="61"/>
      <c r="B427" s="24"/>
      <c r="C427" s="60"/>
      <c r="E427" s="47"/>
      <c r="F427" s="48"/>
      <c r="G427" s="47"/>
      <c r="J427" s="61"/>
      <c r="K427" s="61"/>
      <c r="L427" s="30"/>
      <c r="N427" s="97"/>
      <c r="O427" s="48"/>
      <c r="P427" s="47"/>
      <c r="Q427" s="24"/>
    </row>
    <row r="428" spans="1:17">
      <c r="A428" s="61"/>
      <c r="B428" s="24"/>
      <c r="C428" s="60"/>
      <c r="E428" s="47"/>
      <c r="F428" s="48"/>
      <c r="G428" s="47"/>
      <c r="J428" s="61"/>
      <c r="K428" s="61"/>
      <c r="L428" s="30"/>
      <c r="N428" s="97"/>
      <c r="O428" s="48"/>
      <c r="P428" s="47"/>
      <c r="Q428" s="24"/>
    </row>
    <row r="429" spans="1:17">
      <c r="A429" s="61"/>
      <c r="B429" s="24"/>
      <c r="C429" s="60"/>
      <c r="E429" s="47"/>
      <c r="F429" s="48"/>
      <c r="G429" s="47"/>
      <c r="J429" s="61"/>
      <c r="K429" s="61"/>
      <c r="L429" s="30"/>
      <c r="N429" s="97"/>
      <c r="O429" s="48"/>
      <c r="P429" s="47"/>
      <c r="Q429" s="24"/>
    </row>
    <row r="430" spans="1:17">
      <c r="A430" s="61"/>
      <c r="B430" s="24"/>
      <c r="C430" s="60"/>
      <c r="E430" s="47"/>
      <c r="F430" s="48"/>
      <c r="G430" s="47"/>
      <c r="J430" s="61"/>
      <c r="K430" s="61"/>
      <c r="L430" s="30"/>
      <c r="N430" s="97"/>
      <c r="O430" s="48"/>
      <c r="P430" s="47"/>
      <c r="Q430" s="24"/>
    </row>
    <row r="431" spans="1:17">
      <c r="A431" s="61"/>
      <c r="B431" s="24"/>
      <c r="C431" s="60"/>
      <c r="E431" s="47"/>
      <c r="F431" s="48"/>
      <c r="G431" s="47"/>
      <c r="J431" s="61"/>
      <c r="K431" s="61"/>
      <c r="L431" s="30"/>
      <c r="N431" s="97"/>
      <c r="O431" s="48"/>
      <c r="P431" s="47"/>
      <c r="Q431" s="24"/>
    </row>
    <row r="432" spans="1:17">
      <c r="A432" s="61"/>
      <c r="B432" s="24"/>
      <c r="C432" s="60"/>
      <c r="E432" s="47"/>
      <c r="F432" s="48"/>
      <c r="G432" s="47"/>
      <c r="J432" s="61"/>
      <c r="K432" s="61"/>
      <c r="L432" s="30"/>
      <c r="N432" s="97"/>
      <c r="O432" s="48"/>
      <c r="P432" s="47"/>
      <c r="Q432" s="24"/>
    </row>
    <row r="433" spans="1:17">
      <c r="A433" s="61"/>
      <c r="B433" s="24"/>
      <c r="C433" s="60"/>
      <c r="E433" s="47"/>
      <c r="F433" s="48"/>
      <c r="G433" s="47"/>
      <c r="J433" s="61"/>
      <c r="K433" s="61"/>
      <c r="L433" s="30"/>
      <c r="N433" s="97"/>
      <c r="O433" s="48"/>
      <c r="P433" s="47"/>
      <c r="Q433" s="24"/>
    </row>
    <row r="434" spans="1:17">
      <c r="A434" s="61"/>
      <c r="B434" s="24"/>
      <c r="C434" s="60"/>
      <c r="E434" s="47"/>
      <c r="F434" s="48"/>
      <c r="G434" s="47"/>
      <c r="J434" s="61"/>
      <c r="K434" s="61"/>
      <c r="L434" s="30"/>
      <c r="N434" s="97"/>
      <c r="O434" s="48"/>
      <c r="P434" s="47"/>
      <c r="Q434" s="24"/>
    </row>
    <row r="435" spans="1:17">
      <c r="A435" s="61"/>
      <c r="B435" s="24"/>
      <c r="C435" s="60"/>
      <c r="E435" s="47"/>
      <c r="F435" s="48"/>
      <c r="G435" s="47"/>
      <c r="J435" s="61"/>
      <c r="K435" s="61"/>
      <c r="L435" s="30"/>
      <c r="N435" s="97"/>
      <c r="O435" s="48"/>
      <c r="P435" s="47"/>
      <c r="Q435" s="24"/>
    </row>
    <row r="436" spans="1:17">
      <c r="A436" s="61"/>
      <c r="B436" s="24"/>
      <c r="C436" s="60"/>
      <c r="E436" s="47"/>
      <c r="F436" s="48"/>
      <c r="G436" s="47"/>
      <c r="J436" s="61"/>
      <c r="K436" s="61"/>
      <c r="L436" s="30"/>
      <c r="N436" s="97"/>
      <c r="O436" s="48"/>
      <c r="P436" s="47"/>
      <c r="Q436" s="24"/>
    </row>
    <row r="437" spans="1:17">
      <c r="A437" s="61"/>
      <c r="B437" s="24"/>
      <c r="C437" s="60"/>
      <c r="E437" s="47"/>
      <c r="F437" s="48"/>
      <c r="G437" s="47"/>
      <c r="J437" s="61"/>
      <c r="K437" s="61"/>
      <c r="L437" s="30"/>
      <c r="N437" s="97"/>
      <c r="O437" s="48"/>
      <c r="P437" s="47"/>
      <c r="Q437" s="24"/>
    </row>
    <row r="438" spans="1:17">
      <c r="A438" s="61"/>
      <c r="B438" s="24"/>
      <c r="C438" s="60"/>
      <c r="E438" s="47"/>
      <c r="F438" s="48"/>
      <c r="G438" s="47"/>
      <c r="J438" s="61"/>
      <c r="K438" s="61"/>
      <c r="L438" s="30"/>
      <c r="N438" s="97"/>
      <c r="O438" s="48"/>
      <c r="P438" s="47"/>
      <c r="Q438" s="24"/>
    </row>
    <row r="439" spans="1:17">
      <c r="A439" s="61"/>
      <c r="B439" s="24"/>
      <c r="C439" s="60"/>
      <c r="E439" s="47"/>
      <c r="F439" s="48"/>
      <c r="G439" s="47"/>
      <c r="J439" s="61"/>
      <c r="K439" s="61"/>
      <c r="L439" s="30"/>
      <c r="N439" s="97"/>
      <c r="O439" s="48"/>
      <c r="P439" s="47"/>
      <c r="Q439" s="24"/>
    </row>
    <row r="440" spans="1:17">
      <c r="A440" s="61"/>
      <c r="B440" s="24"/>
      <c r="C440" s="60"/>
      <c r="E440" s="47"/>
      <c r="F440" s="48"/>
      <c r="G440" s="47"/>
      <c r="J440" s="61"/>
      <c r="K440" s="61"/>
      <c r="L440" s="30"/>
      <c r="N440" s="97"/>
      <c r="O440" s="48"/>
      <c r="P440" s="47"/>
      <c r="Q440" s="24"/>
    </row>
    <row r="441" spans="1:17">
      <c r="A441" s="61"/>
      <c r="B441" s="24"/>
      <c r="C441" s="60"/>
      <c r="E441" s="47"/>
      <c r="F441" s="48"/>
      <c r="G441" s="47"/>
      <c r="J441" s="61"/>
      <c r="K441" s="61"/>
      <c r="L441" s="30"/>
      <c r="N441" s="97"/>
      <c r="O441" s="48"/>
      <c r="P441" s="47"/>
      <c r="Q441" s="24"/>
    </row>
    <row r="442" spans="1:17">
      <c r="A442" s="61"/>
      <c r="B442" s="24"/>
      <c r="C442" s="60"/>
      <c r="E442" s="47"/>
      <c r="F442" s="48"/>
      <c r="G442" s="47"/>
      <c r="J442" s="61"/>
      <c r="K442" s="61"/>
      <c r="L442" s="30"/>
      <c r="N442" s="97"/>
      <c r="O442" s="48"/>
      <c r="P442" s="47"/>
      <c r="Q442" s="24"/>
    </row>
    <row r="443" spans="1:17">
      <c r="A443" s="61"/>
      <c r="B443" s="24"/>
      <c r="C443" s="60"/>
      <c r="E443" s="47"/>
      <c r="F443" s="48"/>
      <c r="G443" s="47"/>
      <c r="J443" s="61"/>
      <c r="K443" s="61"/>
      <c r="L443" s="30"/>
      <c r="N443" s="97"/>
      <c r="O443" s="48"/>
      <c r="P443" s="47"/>
      <c r="Q443" s="24"/>
    </row>
    <row r="444" spans="1:17">
      <c r="A444" s="61"/>
      <c r="B444" s="24"/>
      <c r="C444" s="60"/>
      <c r="E444" s="47"/>
      <c r="F444" s="48"/>
      <c r="G444" s="47"/>
      <c r="J444" s="61"/>
      <c r="K444" s="61"/>
      <c r="L444" s="30"/>
      <c r="N444" s="97"/>
      <c r="O444" s="48"/>
      <c r="P444" s="47"/>
      <c r="Q444" s="24"/>
    </row>
    <row r="445" spans="1:17">
      <c r="A445" s="61"/>
      <c r="B445" s="24"/>
      <c r="C445" s="60"/>
      <c r="E445" s="47"/>
      <c r="F445" s="48"/>
      <c r="G445" s="47"/>
      <c r="J445" s="61"/>
      <c r="K445" s="61"/>
      <c r="L445" s="30"/>
      <c r="N445" s="97"/>
      <c r="O445" s="48"/>
      <c r="P445" s="47"/>
      <c r="Q445" s="24"/>
    </row>
    <row r="446" spans="1:17">
      <c r="A446" s="61"/>
      <c r="B446" s="24"/>
      <c r="C446" s="60"/>
      <c r="E446" s="47"/>
      <c r="F446" s="48"/>
      <c r="G446" s="47"/>
      <c r="J446" s="61"/>
      <c r="K446" s="61"/>
      <c r="L446" s="30"/>
      <c r="N446" s="97"/>
      <c r="O446" s="48"/>
      <c r="P446" s="47"/>
      <c r="Q446" s="24"/>
    </row>
    <row r="447" spans="1:17">
      <c r="A447" s="61"/>
      <c r="B447" s="24"/>
      <c r="C447" s="60"/>
      <c r="E447" s="47"/>
      <c r="F447" s="48"/>
      <c r="G447" s="47"/>
      <c r="J447" s="61"/>
      <c r="K447" s="61"/>
      <c r="L447" s="30"/>
      <c r="N447" s="97"/>
      <c r="O447" s="48"/>
      <c r="P447" s="47"/>
      <c r="Q447" s="24"/>
    </row>
    <row r="448" spans="1:17">
      <c r="A448" s="61"/>
      <c r="B448" s="24"/>
      <c r="C448" s="60"/>
      <c r="E448" s="47"/>
      <c r="F448" s="48"/>
      <c r="G448" s="47"/>
      <c r="J448" s="61"/>
      <c r="K448" s="61"/>
      <c r="L448" s="30"/>
      <c r="N448" s="97"/>
      <c r="O448" s="48"/>
      <c r="P448" s="47"/>
      <c r="Q448" s="24"/>
    </row>
    <row r="449" spans="1:17">
      <c r="A449" s="61"/>
      <c r="B449" s="24"/>
      <c r="C449" s="60"/>
      <c r="E449" s="47"/>
      <c r="F449" s="48"/>
      <c r="G449" s="47"/>
      <c r="J449" s="61"/>
      <c r="K449" s="61"/>
      <c r="L449" s="30"/>
      <c r="N449" s="97"/>
      <c r="O449" s="48"/>
      <c r="P449" s="47"/>
      <c r="Q449" s="24"/>
    </row>
    <row r="450" spans="1:17">
      <c r="A450" s="61"/>
      <c r="B450" s="24"/>
      <c r="C450" s="60"/>
      <c r="E450" s="47"/>
      <c r="F450" s="48"/>
      <c r="G450" s="47"/>
      <c r="J450" s="61"/>
      <c r="K450" s="61"/>
      <c r="L450" s="30"/>
      <c r="N450" s="97"/>
      <c r="O450" s="48"/>
      <c r="P450" s="47"/>
      <c r="Q450" s="24"/>
    </row>
    <row r="451" spans="1:17">
      <c r="A451" s="61"/>
      <c r="B451" s="24"/>
      <c r="C451" s="60"/>
      <c r="E451" s="47"/>
      <c r="F451" s="48"/>
      <c r="G451" s="47"/>
      <c r="J451" s="61"/>
      <c r="K451" s="61"/>
      <c r="L451" s="30"/>
      <c r="N451" s="97"/>
      <c r="O451" s="48"/>
      <c r="P451" s="47"/>
      <c r="Q451" s="24"/>
    </row>
    <row r="452" spans="1:17">
      <c r="A452" s="61"/>
      <c r="B452" s="24"/>
      <c r="C452" s="60"/>
      <c r="E452" s="47"/>
      <c r="F452" s="48"/>
      <c r="G452" s="47"/>
      <c r="J452" s="61"/>
      <c r="K452" s="61"/>
      <c r="L452" s="30"/>
      <c r="N452" s="97"/>
      <c r="O452" s="48"/>
      <c r="P452" s="47"/>
      <c r="Q452" s="24"/>
    </row>
    <row r="453" spans="1:17">
      <c r="A453" s="61"/>
      <c r="B453" s="24"/>
      <c r="C453" s="60"/>
      <c r="E453" s="47"/>
      <c r="F453" s="48"/>
      <c r="G453" s="47"/>
      <c r="J453" s="61"/>
      <c r="K453" s="61"/>
      <c r="L453" s="30"/>
      <c r="N453" s="97"/>
      <c r="O453" s="48"/>
      <c r="P453" s="47"/>
      <c r="Q453" s="24"/>
    </row>
    <row r="454" spans="1:17">
      <c r="A454" s="61"/>
      <c r="B454" s="24"/>
      <c r="C454" s="60"/>
      <c r="E454" s="47"/>
      <c r="F454" s="48"/>
      <c r="G454" s="47"/>
      <c r="J454" s="61"/>
      <c r="K454" s="61"/>
      <c r="L454" s="30"/>
      <c r="N454" s="97"/>
      <c r="O454" s="48"/>
      <c r="P454" s="47"/>
      <c r="Q454" s="24"/>
    </row>
    <row r="455" spans="1:17">
      <c r="A455" s="61"/>
      <c r="B455" s="24"/>
      <c r="C455" s="60"/>
      <c r="E455" s="47"/>
      <c r="F455" s="48"/>
      <c r="G455" s="47"/>
      <c r="J455" s="61"/>
      <c r="K455" s="61"/>
      <c r="L455" s="30"/>
      <c r="N455" s="97"/>
      <c r="O455" s="48"/>
      <c r="P455" s="47"/>
      <c r="Q455" s="24"/>
    </row>
    <row r="456" spans="1:17">
      <c r="A456" s="61"/>
      <c r="B456" s="24"/>
      <c r="C456" s="60"/>
      <c r="E456" s="47"/>
      <c r="F456" s="48"/>
      <c r="G456" s="47"/>
      <c r="J456" s="61"/>
      <c r="K456" s="61"/>
      <c r="L456" s="30"/>
      <c r="N456" s="97"/>
      <c r="O456" s="48"/>
      <c r="P456" s="47"/>
      <c r="Q456" s="24"/>
    </row>
    <row r="457" spans="1:17">
      <c r="A457" s="61"/>
      <c r="B457" s="24"/>
      <c r="C457" s="60"/>
      <c r="E457" s="47"/>
      <c r="F457" s="48"/>
      <c r="G457" s="47"/>
      <c r="J457" s="61"/>
      <c r="K457" s="61"/>
      <c r="L457" s="30"/>
      <c r="N457" s="97"/>
      <c r="O457" s="48"/>
      <c r="P457" s="47"/>
      <c r="Q457" s="24"/>
    </row>
    <row r="458" spans="1:17">
      <c r="A458" s="61"/>
      <c r="B458" s="24"/>
      <c r="C458" s="60"/>
      <c r="E458" s="47"/>
      <c r="F458" s="48"/>
      <c r="G458" s="47"/>
      <c r="J458" s="61"/>
      <c r="K458" s="61"/>
      <c r="L458" s="30"/>
      <c r="N458" s="97"/>
      <c r="O458" s="48"/>
      <c r="P458" s="47"/>
      <c r="Q458" s="24"/>
    </row>
    <row r="459" spans="1:17">
      <c r="A459" s="61"/>
      <c r="B459" s="24"/>
      <c r="C459" s="60"/>
      <c r="E459" s="47"/>
      <c r="F459" s="48"/>
      <c r="G459" s="47"/>
      <c r="J459" s="61"/>
      <c r="K459" s="61"/>
      <c r="L459" s="30"/>
      <c r="N459" s="97"/>
      <c r="O459" s="48"/>
      <c r="P459" s="47"/>
      <c r="Q459" s="24"/>
    </row>
    <row r="460" spans="1:17">
      <c r="A460" s="61"/>
      <c r="B460" s="24"/>
      <c r="C460" s="60"/>
      <c r="E460" s="47"/>
      <c r="F460" s="48"/>
      <c r="G460" s="47"/>
      <c r="J460" s="61"/>
      <c r="K460" s="61"/>
      <c r="L460" s="30"/>
      <c r="N460" s="97"/>
      <c r="O460" s="48"/>
      <c r="P460" s="47"/>
      <c r="Q460" s="24"/>
    </row>
    <row r="461" spans="1:17">
      <c r="A461" s="61"/>
      <c r="B461" s="24"/>
      <c r="C461" s="60"/>
      <c r="E461" s="47"/>
      <c r="F461" s="48"/>
      <c r="G461" s="47"/>
      <c r="J461" s="61"/>
      <c r="K461" s="61"/>
      <c r="L461" s="30"/>
      <c r="N461" s="97"/>
      <c r="O461" s="48"/>
      <c r="P461" s="47"/>
      <c r="Q461" s="24"/>
    </row>
    <row r="462" spans="1:17">
      <c r="A462" s="61"/>
      <c r="B462" s="24"/>
      <c r="C462" s="60"/>
      <c r="E462" s="47"/>
      <c r="F462" s="48"/>
      <c r="G462" s="47"/>
      <c r="J462" s="61"/>
      <c r="K462" s="61"/>
      <c r="L462" s="30"/>
      <c r="N462" s="97"/>
      <c r="O462" s="48"/>
      <c r="P462" s="47"/>
      <c r="Q462" s="24"/>
    </row>
    <row r="463" spans="1:17">
      <c r="A463" s="61"/>
      <c r="B463" s="24"/>
      <c r="C463" s="60"/>
      <c r="E463" s="47"/>
      <c r="F463" s="48"/>
      <c r="G463" s="47"/>
      <c r="J463" s="61"/>
      <c r="K463" s="61"/>
      <c r="L463" s="30"/>
      <c r="N463" s="97"/>
      <c r="O463" s="48"/>
      <c r="P463" s="47"/>
      <c r="Q463" s="24"/>
    </row>
    <row r="464" spans="1:17">
      <c r="A464" s="61"/>
      <c r="B464" s="24"/>
      <c r="C464" s="60"/>
      <c r="E464" s="47"/>
      <c r="F464" s="48"/>
      <c r="G464" s="47"/>
      <c r="J464" s="61"/>
      <c r="K464" s="61"/>
      <c r="L464" s="30"/>
      <c r="N464" s="97"/>
      <c r="O464" s="48"/>
      <c r="P464" s="47"/>
      <c r="Q464" s="24"/>
    </row>
    <row r="465" spans="1:17">
      <c r="A465" s="61"/>
      <c r="B465" s="24"/>
      <c r="C465" s="60"/>
      <c r="E465" s="47"/>
      <c r="F465" s="48"/>
      <c r="G465" s="47"/>
      <c r="J465" s="61"/>
      <c r="K465" s="61"/>
      <c r="L465" s="30"/>
      <c r="N465" s="97"/>
      <c r="O465" s="48"/>
      <c r="P465" s="47"/>
      <c r="Q465" s="24"/>
    </row>
    <row r="466" spans="1:17">
      <c r="A466" s="61"/>
      <c r="B466" s="24"/>
      <c r="C466" s="60"/>
      <c r="E466" s="47"/>
      <c r="F466" s="48"/>
      <c r="G466" s="47"/>
      <c r="J466" s="61"/>
      <c r="K466" s="61"/>
      <c r="L466" s="30"/>
      <c r="N466" s="97"/>
      <c r="O466" s="48"/>
      <c r="P466" s="47"/>
      <c r="Q466" s="24"/>
    </row>
    <row r="467" spans="1:17">
      <c r="A467" s="61"/>
      <c r="B467" s="24"/>
      <c r="C467" s="60"/>
      <c r="E467" s="47"/>
      <c r="F467" s="48"/>
      <c r="G467" s="47"/>
      <c r="J467" s="61"/>
      <c r="K467" s="61"/>
      <c r="L467" s="30"/>
      <c r="N467" s="97"/>
      <c r="O467" s="48"/>
      <c r="P467" s="47"/>
      <c r="Q467" s="24"/>
    </row>
    <row r="468" spans="1:17">
      <c r="A468" s="61"/>
      <c r="B468" s="24"/>
      <c r="C468" s="60"/>
      <c r="E468" s="47"/>
      <c r="F468" s="48"/>
      <c r="G468" s="47"/>
      <c r="J468" s="61"/>
      <c r="K468" s="61"/>
      <c r="L468" s="30"/>
      <c r="N468" s="97"/>
      <c r="O468" s="48"/>
      <c r="P468" s="47"/>
      <c r="Q468" s="24"/>
    </row>
    <row r="469" spans="1:17">
      <c r="A469" s="61"/>
      <c r="B469" s="24"/>
      <c r="C469" s="60"/>
      <c r="E469" s="47"/>
      <c r="F469" s="48"/>
      <c r="G469" s="47"/>
      <c r="J469" s="61"/>
      <c r="K469" s="61"/>
      <c r="L469" s="30"/>
      <c r="N469" s="97"/>
      <c r="O469" s="48"/>
      <c r="P469" s="47"/>
      <c r="Q469" s="24"/>
    </row>
    <row r="470" spans="1:17">
      <c r="A470" s="61"/>
      <c r="B470" s="24"/>
      <c r="C470" s="60"/>
      <c r="E470" s="47"/>
      <c r="F470" s="48"/>
      <c r="G470" s="47"/>
      <c r="J470" s="61"/>
      <c r="K470" s="61"/>
      <c r="L470" s="30"/>
      <c r="N470" s="97"/>
      <c r="O470" s="48"/>
      <c r="P470" s="47"/>
      <c r="Q470" s="24"/>
    </row>
    <row r="471" spans="1:17">
      <c r="A471" s="61"/>
      <c r="B471" s="24"/>
      <c r="C471" s="60"/>
      <c r="E471" s="47"/>
      <c r="F471" s="48"/>
      <c r="G471" s="47"/>
      <c r="J471" s="61"/>
      <c r="K471" s="61"/>
      <c r="L471" s="30"/>
      <c r="N471" s="97"/>
      <c r="O471" s="48"/>
      <c r="P471" s="47"/>
      <c r="Q471" s="24"/>
    </row>
    <row r="472" spans="1:17">
      <c r="A472" s="61"/>
      <c r="B472" s="24"/>
      <c r="C472" s="60"/>
      <c r="E472" s="47"/>
      <c r="F472" s="48"/>
      <c r="G472" s="47"/>
      <c r="J472" s="61"/>
      <c r="K472" s="61"/>
      <c r="L472" s="30"/>
      <c r="N472" s="97"/>
      <c r="O472" s="48"/>
      <c r="P472" s="47"/>
      <c r="Q472" s="24"/>
    </row>
    <row r="473" spans="1:17">
      <c r="A473" s="61"/>
      <c r="B473" s="24"/>
      <c r="C473" s="60"/>
      <c r="E473" s="47"/>
      <c r="F473" s="48"/>
      <c r="G473" s="47"/>
      <c r="J473" s="61"/>
      <c r="K473" s="61"/>
      <c r="L473" s="30"/>
      <c r="N473" s="97"/>
      <c r="O473" s="48"/>
      <c r="P473" s="47"/>
      <c r="Q473" s="24"/>
    </row>
    <row r="474" spans="1:17">
      <c r="A474" s="61"/>
      <c r="B474" s="24"/>
      <c r="C474" s="60"/>
      <c r="E474" s="47"/>
      <c r="F474" s="48"/>
      <c r="G474" s="47"/>
      <c r="J474" s="61"/>
      <c r="K474" s="61"/>
      <c r="L474" s="30"/>
      <c r="N474" s="97"/>
      <c r="O474" s="48"/>
      <c r="P474" s="47"/>
      <c r="Q474" s="24"/>
    </row>
    <row r="475" spans="1:17">
      <c r="A475" s="61"/>
      <c r="B475" s="24"/>
      <c r="C475" s="60"/>
      <c r="E475" s="47"/>
      <c r="F475" s="48"/>
      <c r="G475" s="47"/>
      <c r="J475" s="61"/>
      <c r="K475" s="61"/>
      <c r="L475" s="30"/>
      <c r="N475" s="97"/>
      <c r="O475" s="48"/>
      <c r="P475" s="47"/>
      <c r="Q475" s="24"/>
    </row>
    <row r="476" spans="1:17">
      <c r="A476" s="61"/>
      <c r="B476" s="24"/>
      <c r="C476" s="60"/>
      <c r="E476" s="47"/>
      <c r="F476" s="48"/>
      <c r="G476" s="47"/>
      <c r="J476" s="61"/>
      <c r="K476" s="61"/>
      <c r="L476" s="30"/>
      <c r="N476" s="97"/>
      <c r="O476" s="48"/>
      <c r="P476" s="47"/>
      <c r="Q476" s="24"/>
    </row>
    <row r="477" spans="1:17">
      <c r="A477" s="61"/>
      <c r="B477" s="24"/>
      <c r="C477" s="60"/>
      <c r="E477" s="47"/>
      <c r="F477" s="48"/>
      <c r="G477" s="47"/>
      <c r="J477" s="61"/>
      <c r="K477" s="61"/>
      <c r="L477" s="30"/>
      <c r="N477" s="97"/>
      <c r="O477" s="48"/>
      <c r="P477" s="47"/>
      <c r="Q477" s="24"/>
    </row>
    <row r="478" spans="1:17">
      <c r="A478" s="61"/>
      <c r="B478" s="24"/>
      <c r="C478" s="60"/>
      <c r="E478" s="47"/>
      <c r="F478" s="48"/>
      <c r="G478" s="47"/>
      <c r="J478" s="61"/>
      <c r="K478" s="61"/>
      <c r="L478" s="30"/>
      <c r="N478" s="97"/>
      <c r="O478" s="48"/>
      <c r="P478" s="47"/>
      <c r="Q478" s="24"/>
    </row>
    <row r="479" spans="1:17">
      <c r="A479" s="61"/>
      <c r="B479" s="24"/>
      <c r="C479" s="60"/>
      <c r="E479" s="47"/>
      <c r="F479" s="48"/>
      <c r="G479" s="47"/>
      <c r="J479" s="61"/>
      <c r="K479" s="61"/>
      <c r="L479" s="30"/>
      <c r="N479" s="97"/>
      <c r="O479" s="48"/>
      <c r="P479" s="47"/>
      <c r="Q479" s="24"/>
    </row>
    <row r="480" spans="1:17">
      <c r="A480" s="61"/>
      <c r="B480" s="24"/>
      <c r="C480" s="60"/>
      <c r="E480" s="47"/>
      <c r="F480" s="48"/>
      <c r="G480" s="47"/>
      <c r="J480" s="61"/>
      <c r="K480" s="61"/>
      <c r="L480" s="30"/>
      <c r="N480" s="97"/>
      <c r="O480" s="48"/>
      <c r="P480" s="47"/>
      <c r="Q480" s="24"/>
    </row>
    <row r="481" spans="1:17">
      <c r="A481" s="61"/>
      <c r="B481" s="24"/>
      <c r="C481" s="60"/>
      <c r="E481" s="47"/>
      <c r="F481" s="48"/>
      <c r="G481" s="47"/>
      <c r="J481" s="61"/>
      <c r="K481" s="61"/>
      <c r="L481" s="30"/>
      <c r="N481" s="97"/>
      <c r="O481" s="48"/>
      <c r="P481" s="47"/>
      <c r="Q481" s="24"/>
    </row>
    <row r="482" spans="1:17">
      <c r="A482" s="61"/>
      <c r="B482" s="24"/>
      <c r="C482" s="60"/>
      <c r="E482" s="47"/>
      <c r="F482" s="48"/>
      <c r="G482" s="47"/>
      <c r="J482" s="61"/>
      <c r="K482" s="61"/>
      <c r="L482" s="30"/>
      <c r="N482" s="97"/>
      <c r="O482" s="48"/>
      <c r="P482" s="47"/>
      <c r="Q482" s="24"/>
    </row>
    <row r="483" spans="1:17">
      <c r="A483" s="61"/>
      <c r="B483" s="24"/>
      <c r="C483" s="60"/>
      <c r="E483" s="47"/>
      <c r="F483" s="48"/>
      <c r="G483" s="47"/>
      <c r="J483" s="61"/>
      <c r="K483" s="61"/>
      <c r="L483" s="30"/>
      <c r="N483" s="97"/>
      <c r="O483" s="48"/>
      <c r="P483" s="47"/>
      <c r="Q483" s="24"/>
    </row>
    <row r="484" spans="1:17">
      <c r="A484" s="61"/>
      <c r="B484" s="24"/>
      <c r="C484" s="60"/>
      <c r="E484" s="47"/>
      <c r="F484" s="48"/>
      <c r="G484" s="47"/>
      <c r="J484" s="61"/>
      <c r="K484" s="61"/>
      <c r="L484" s="30"/>
      <c r="N484" s="97"/>
      <c r="O484" s="48"/>
      <c r="P484" s="47"/>
      <c r="Q484" s="24"/>
    </row>
    <row r="485" spans="1:17">
      <c r="A485" s="61"/>
      <c r="B485" s="24"/>
      <c r="C485" s="60"/>
      <c r="E485" s="47"/>
      <c r="F485" s="48"/>
      <c r="G485" s="47"/>
      <c r="J485" s="61"/>
      <c r="K485" s="61"/>
      <c r="L485" s="30"/>
      <c r="N485" s="97"/>
      <c r="O485" s="48"/>
      <c r="P485" s="47"/>
      <c r="Q485" s="24"/>
    </row>
    <row r="486" spans="1:17">
      <c r="A486" s="61"/>
      <c r="B486" s="24"/>
      <c r="C486" s="60"/>
      <c r="E486" s="47"/>
      <c r="F486" s="48"/>
      <c r="G486" s="47"/>
      <c r="J486" s="61"/>
      <c r="K486" s="61"/>
      <c r="L486" s="30"/>
      <c r="N486" s="97"/>
      <c r="O486" s="48"/>
      <c r="P486" s="47"/>
      <c r="Q486" s="24"/>
    </row>
    <row r="487" spans="1:17">
      <c r="A487" s="61"/>
      <c r="B487" s="24"/>
      <c r="C487" s="60"/>
      <c r="E487" s="47"/>
      <c r="F487" s="48"/>
      <c r="G487" s="47"/>
      <c r="J487" s="61"/>
      <c r="K487" s="61"/>
      <c r="L487" s="30"/>
      <c r="N487" s="97"/>
      <c r="O487" s="48"/>
      <c r="P487" s="47"/>
      <c r="Q487" s="24"/>
    </row>
    <row r="488" spans="1:17">
      <c r="A488" s="61"/>
      <c r="B488" s="24"/>
      <c r="C488" s="60"/>
      <c r="E488" s="47"/>
      <c r="F488" s="48"/>
      <c r="G488" s="47"/>
      <c r="J488" s="61"/>
      <c r="K488" s="61"/>
      <c r="L488" s="30"/>
      <c r="N488" s="97"/>
      <c r="O488" s="48"/>
      <c r="P488" s="47"/>
      <c r="Q488" s="24"/>
    </row>
    <row r="489" spans="1:17">
      <c r="A489" s="61"/>
      <c r="B489" s="24"/>
      <c r="C489" s="60"/>
      <c r="E489" s="47"/>
      <c r="F489" s="48"/>
      <c r="G489" s="47"/>
      <c r="J489" s="61"/>
      <c r="K489" s="61"/>
      <c r="L489" s="30"/>
      <c r="N489" s="97"/>
      <c r="O489" s="48"/>
      <c r="P489" s="47"/>
      <c r="Q489" s="24"/>
    </row>
    <row r="490" spans="1:17">
      <c r="A490" s="61"/>
      <c r="B490" s="24"/>
      <c r="C490" s="60"/>
      <c r="E490" s="47"/>
      <c r="F490" s="48"/>
      <c r="G490" s="47"/>
      <c r="J490" s="61"/>
      <c r="K490" s="61"/>
      <c r="L490" s="30"/>
      <c r="N490" s="97"/>
      <c r="O490" s="48"/>
      <c r="P490" s="47"/>
      <c r="Q490" s="24"/>
    </row>
    <row r="491" spans="1:17">
      <c r="A491" s="61"/>
      <c r="B491" s="24"/>
      <c r="C491" s="60"/>
      <c r="E491" s="47"/>
      <c r="F491" s="48"/>
      <c r="G491" s="47"/>
      <c r="J491" s="61"/>
      <c r="K491" s="61"/>
      <c r="L491" s="30"/>
      <c r="N491" s="97"/>
      <c r="O491" s="48"/>
      <c r="P491" s="47"/>
      <c r="Q491" s="24"/>
    </row>
    <row r="492" spans="1:17">
      <c r="A492" s="61"/>
      <c r="B492" s="24"/>
      <c r="C492" s="60"/>
      <c r="E492" s="47"/>
      <c r="F492" s="48"/>
      <c r="G492" s="47"/>
      <c r="J492" s="61"/>
      <c r="K492" s="61"/>
      <c r="L492" s="30"/>
      <c r="N492" s="97"/>
      <c r="O492" s="48"/>
      <c r="P492" s="47"/>
      <c r="Q492" s="24"/>
    </row>
    <row r="493" spans="1:17">
      <c r="A493" s="61"/>
      <c r="B493" s="24"/>
      <c r="C493" s="60"/>
      <c r="E493" s="47"/>
      <c r="F493" s="48"/>
      <c r="G493" s="47"/>
      <c r="J493" s="61"/>
      <c r="K493" s="61"/>
      <c r="L493" s="30"/>
      <c r="N493" s="97"/>
      <c r="O493" s="48"/>
      <c r="P493" s="47"/>
      <c r="Q493" s="24"/>
    </row>
    <row r="494" spans="1:17">
      <c r="A494" s="61"/>
      <c r="B494" s="24"/>
      <c r="C494" s="60"/>
      <c r="E494" s="47"/>
      <c r="F494" s="48"/>
      <c r="G494" s="47"/>
      <c r="J494" s="61"/>
      <c r="K494" s="61"/>
      <c r="L494" s="30"/>
      <c r="N494" s="97"/>
      <c r="O494" s="48"/>
      <c r="P494" s="47"/>
      <c r="Q494" s="24"/>
    </row>
    <row r="495" spans="1:17">
      <c r="A495" s="61"/>
      <c r="B495" s="24"/>
      <c r="C495" s="60"/>
      <c r="E495" s="47"/>
      <c r="F495" s="48"/>
      <c r="G495" s="47"/>
      <c r="J495" s="61"/>
      <c r="K495" s="61"/>
      <c r="L495" s="30"/>
      <c r="N495" s="97"/>
      <c r="O495" s="48"/>
      <c r="P495" s="47"/>
      <c r="Q495" s="24"/>
    </row>
    <row r="496" spans="1:17">
      <c r="A496" s="61"/>
      <c r="B496" s="24"/>
      <c r="C496" s="60"/>
      <c r="E496" s="47"/>
      <c r="F496" s="48"/>
      <c r="G496" s="47"/>
      <c r="J496" s="61"/>
      <c r="K496" s="61"/>
      <c r="L496" s="30"/>
      <c r="N496" s="97"/>
      <c r="O496" s="48"/>
      <c r="P496" s="47"/>
      <c r="Q496" s="24"/>
    </row>
    <row r="497" spans="1:17">
      <c r="A497" s="61"/>
      <c r="B497" s="24"/>
      <c r="C497" s="60"/>
      <c r="E497" s="47"/>
      <c r="F497" s="48"/>
      <c r="G497" s="47"/>
      <c r="J497" s="61"/>
      <c r="K497" s="61"/>
      <c r="L497" s="30"/>
      <c r="N497" s="97"/>
      <c r="O497" s="48"/>
      <c r="P497" s="47"/>
      <c r="Q497" s="24"/>
    </row>
    <row r="498" spans="1:17">
      <c r="A498" s="61"/>
      <c r="B498" s="24"/>
      <c r="C498" s="60"/>
      <c r="E498" s="47"/>
      <c r="F498" s="48"/>
      <c r="G498" s="47"/>
      <c r="J498" s="61"/>
      <c r="K498" s="61"/>
      <c r="L498" s="30"/>
      <c r="N498" s="97"/>
      <c r="O498" s="48"/>
      <c r="P498" s="47"/>
      <c r="Q498" s="24"/>
    </row>
    <row r="499" spans="1:17">
      <c r="A499" s="61"/>
      <c r="B499" s="24"/>
      <c r="C499" s="60"/>
      <c r="E499" s="47"/>
      <c r="F499" s="48"/>
      <c r="G499" s="47"/>
      <c r="J499" s="61"/>
      <c r="K499" s="61"/>
      <c r="L499" s="30"/>
      <c r="N499" s="97"/>
      <c r="O499" s="48"/>
      <c r="P499" s="47"/>
      <c r="Q499" s="24"/>
    </row>
    <row r="500" spans="1:17">
      <c r="A500" s="61"/>
      <c r="B500" s="24"/>
      <c r="C500" s="60"/>
      <c r="E500" s="47"/>
      <c r="F500" s="48"/>
      <c r="G500" s="47"/>
      <c r="J500" s="61"/>
      <c r="K500" s="61"/>
      <c r="L500" s="30"/>
      <c r="N500" s="97"/>
      <c r="O500" s="48"/>
      <c r="P500" s="47"/>
      <c r="Q500" s="24"/>
    </row>
    <row r="501" spans="1:17">
      <c r="A501" s="61"/>
      <c r="B501" s="24"/>
      <c r="C501" s="60"/>
      <c r="E501" s="47"/>
      <c r="F501" s="48"/>
      <c r="G501" s="47"/>
      <c r="J501" s="61"/>
      <c r="K501" s="61"/>
      <c r="L501" s="30"/>
      <c r="N501" s="97"/>
      <c r="O501" s="48"/>
      <c r="P501" s="47"/>
      <c r="Q501" s="24"/>
    </row>
    <row r="502" spans="1:17">
      <c r="A502" s="61"/>
      <c r="B502" s="24"/>
      <c r="C502" s="60"/>
      <c r="E502" s="47"/>
      <c r="F502" s="48"/>
      <c r="G502" s="47"/>
      <c r="J502" s="61"/>
      <c r="K502" s="61"/>
      <c r="L502" s="30"/>
      <c r="N502" s="97"/>
      <c r="O502" s="48"/>
      <c r="P502" s="47"/>
      <c r="Q502" s="24"/>
    </row>
    <row r="503" spans="1:17">
      <c r="A503" s="61"/>
      <c r="B503" s="24"/>
      <c r="C503" s="60"/>
      <c r="E503" s="47"/>
      <c r="F503" s="48"/>
      <c r="G503" s="47"/>
      <c r="J503" s="61"/>
      <c r="K503" s="61"/>
      <c r="L503" s="30"/>
      <c r="N503" s="97"/>
      <c r="O503" s="48"/>
      <c r="P503" s="47"/>
      <c r="Q503" s="24"/>
    </row>
    <row r="504" spans="1:17">
      <c r="A504" s="61"/>
      <c r="B504" s="24"/>
      <c r="C504" s="60"/>
      <c r="E504" s="47"/>
      <c r="F504" s="48"/>
      <c r="G504" s="47"/>
      <c r="J504" s="61"/>
      <c r="K504" s="61"/>
      <c r="L504" s="30"/>
      <c r="N504" s="97"/>
      <c r="O504" s="48"/>
      <c r="P504" s="47"/>
      <c r="Q504" s="24"/>
    </row>
    <row r="505" spans="1:17">
      <c r="A505" s="61"/>
      <c r="B505" s="24"/>
      <c r="C505" s="60"/>
      <c r="E505" s="47"/>
      <c r="F505" s="48"/>
      <c r="G505" s="47"/>
      <c r="J505" s="61"/>
      <c r="K505" s="61"/>
      <c r="L505" s="30"/>
      <c r="N505" s="97"/>
      <c r="O505" s="48"/>
      <c r="P505" s="47"/>
      <c r="Q505" s="24"/>
    </row>
    <row r="506" spans="1:17">
      <c r="A506" s="61"/>
      <c r="B506" s="24"/>
      <c r="C506" s="60"/>
      <c r="E506" s="47"/>
      <c r="F506" s="48"/>
      <c r="G506" s="47"/>
      <c r="J506" s="61"/>
      <c r="K506" s="61"/>
      <c r="L506" s="30"/>
      <c r="N506" s="97"/>
      <c r="O506" s="48"/>
      <c r="P506" s="47"/>
      <c r="Q506" s="24"/>
    </row>
    <row r="507" spans="1:17">
      <c r="A507" s="61"/>
      <c r="B507" s="24"/>
      <c r="C507" s="60"/>
      <c r="E507" s="47"/>
      <c r="F507" s="48"/>
      <c r="G507" s="47"/>
      <c r="J507" s="61"/>
      <c r="K507" s="61"/>
      <c r="L507" s="30"/>
      <c r="N507" s="97"/>
      <c r="O507" s="48"/>
      <c r="P507" s="47"/>
      <c r="Q507" s="24"/>
    </row>
    <row r="508" spans="1:17">
      <c r="A508" s="61"/>
      <c r="B508" s="24"/>
      <c r="C508" s="60"/>
      <c r="E508" s="47"/>
      <c r="F508" s="48"/>
      <c r="G508" s="47"/>
      <c r="J508" s="61"/>
      <c r="K508" s="61"/>
      <c r="L508" s="30"/>
      <c r="N508" s="97"/>
      <c r="O508" s="48"/>
      <c r="P508" s="47"/>
      <c r="Q508" s="24"/>
    </row>
    <row r="509" spans="1:17">
      <c r="A509" s="61"/>
      <c r="B509" s="24"/>
      <c r="C509" s="60"/>
      <c r="E509" s="47"/>
      <c r="F509" s="48"/>
      <c r="G509" s="47"/>
      <c r="J509" s="61"/>
      <c r="K509" s="61"/>
      <c r="L509" s="30"/>
      <c r="N509" s="97"/>
      <c r="O509" s="48"/>
      <c r="P509" s="47"/>
      <c r="Q509" s="24"/>
    </row>
    <row r="510" spans="1:17">
      <c r="A510" s="61"/>
      <c r="B510" s="24"/>
      <c r="C510" s="60"/>
      <c r="E510" s="47"/>
      <c r="F510" s="48"/>
      <c r="G510" s="47"/>
      <c r="J510" s="61"/>
      <c r="K510" s="61"/>
      <c r="L510" s="30"/>
      <c r="N510" s="97"/>
      <c r="O510" s="48"/>
      <c r="P510" s="47"/>
      <c r="Q510" s="24"/>
    </row>
    <row r="511" spans="1:17">
      <c r="A511" s="61"/>
      <c r="B511" s="24"/>
      <c r="C511" s="60"/>
      <c r="E511" s="47"/>
      <c r="F511" s="48"/>
      <c r="G511" s="47"/>
      <c r="J511" s="61"/>
      <c r="K511" s="61"/>
      <c r="L511" s="30"/>
      <c r="N511" s="97"/>
      <c r="O511" s="48"/>
      <c r="P511" s="47"/>
      <c r="Q511" s="24"/>
    </row>
    <row r="512" spans="1:17">
      <c r="A512" s="61"/>
      <c r="B512" s="24"/>
      <c r="C512" s="60"/>
      <c r="E512" s="47"/>
      <c r="F512" s="48"/>
      <c r="G512" s="47"/>
      <c r="J512" s="61"/>
      <c r="K512" s="61"/>
      <c r="L512" s="30"/>
      <c r="N512" s="97"/>
      <c r="O512" s="48"/>
      <c r="P512" s="47"/>
      <c r="Q512" s="24"/>
    </row>
    <row r="513" spans="1:17">
      <c r="A513" s="61"/>
      <c r="B513" s="24"/>
      <c r="C513" s="60"/>
      <c r="E513" s="47"/>
      <c r="F513" s="48"/>
      <c r="G513" s="47"/>
      <c r="J513" s="61"/>
      <c r="K513" s="61"/>
      <c r="L513" s="30"/>
      <c r="N513" s="97"/>
      <c r="O513" s="48"/>
      <c r="P513" s="47"/>
      <c r="Q513" s="24"/>
    </row>
    <row r="514" spans="1:17">
      <c r="A514" s="61"/>
      <c r="B514" s="24"/>
      <c r="C514" s="60"/>
      <c r="E514" s="47"/>
      <c r="F514" s="48"/>
      <c r="G514" s="47"/>
      <c r="J514" s="61"/>
      <c r="K514" s="61"/>
      <c r="L514" s="30"/>
      <c r="N514" s="97"/>
      <c r="O514" s="48"/>
      <c r="P514" s="47"/>
      <c r="Q514" s="24"/>
    </row>
    <row r="515" spans="1:17">
      <c r="A515" s="61"/>
      <c r="B515" s="24"/>
      <c r="C515" s="60"/>
      <c r="E515" s="47"/>
      <c r="F515" s="48"/>
      <c r="G515" s="47"/>
      <c r="J515" s="61"/>
      <c r="K515" s="61"/>
      <c r="L515" s="30"/>
      <c r="N515" s="97"/>
      <c r="O515" s="48"/>
      <c r="P515" s="47"/>
      <c r="Q515" s="24"/>
    </row>
    <row r="516" spans="1:17">
      <c r="A516" s="61"/>
      <c r="B516" s="24"/>
      <c r="C516" s="60"/>
      <c r="E516" s="47"/>
      <c r="F516" s="48"/>
      <c r="G516" s="47"/>
      <c r="J516" s="61"/>
      <c r="K516" s="61"/>
      <c r="L516" s="30"/>
      <c r="N516" s="97"/>
      <c r="O516" s="48"/>
      <c r="P516" s="47"/>
      <c r="Q516" s="24"/>
    </row>
    <row r="517" spans="1:17">
      <c r="A517" s="61"/>
      <c r="B517" s="24"/>
      <c r="C517" s="60"/>
      <c r="E517" s="47"/>
      <c r="F517" s="48"/>
      <c r="G517" s="47"/>
      <c r="J517" s="61"/>
      <c r="K517" s="61"/>
      <c r="L517" s="30"/>
      <c r="N517" s="97"/>
      <c r="O517" s="48"/>
      <c r="P517" s="47"/>
      <c r="Q517" s="24"/>
    </row>
    <row r="518" spans="1:17">
      <c r="A518" s="61"/>
      <c r="B518" s="24"/>
      <c r="C518" s="60"/>
      <c r="E518" s="47"/>
      <c r="F518" s="48"/>
      <c r="G518" s="47"/>
      <c r="J518" s="61"/>
      <c r="K518" s="61"/>
      <c r="L518" s="30"/>
      <c r="N518" s="97"/>
      <c r="O518" s="48"/>
      <c r="P518" s="47"/>
      <c r="Q518" s="24"/>
    </row>
    <row r="519" spans="1:17">
      <c r="A519" s="61"/>
      <c r="B519" s="24"/>
      <c r="C519" s="60"/>
      <c r="E519" s="47"/>
      <c r="F519" s="48"/>
      <c r="G519" s="47"/>
      <c r="J519" s="61"/>
      <c r="K519" s="61"/>
      <c r="L519" s="30"/>
      <c r="N519" s="97"/>
      <c r="O519" s="48"/>
      <c r="P519" s="47"/>
      <c r="Q519" s="24"/>
    </row>
    <row r="520" spans="1:17">
      <c r="A520" s="61"/>
      <c r="B520" s="24"/>
      <c r="C520" s="60"/>
      <c r="E520" s="47"/>
      <c r="F520" s="48"/>
      <c r="G520" s="47"/>
      <c r="J520" s="61"/>
      <c r="K520" s="61"/>
      <c r="L520" s="30"/>
      <c r="N520" s="97"/>
      <c r="O520" s="48"/>
      <c r="P520" s="47"/>
      <c r="Q520" s="24"/>
    </row>
    <row r="521" spans="1:17">
      <c r="A521" s="61"/>
      <c r="B521" s="24"/>
      <c r="C521" s="60"/>
      <c r="E521" s="47"/>
      <c r="F521" s="48"/>
      <c r="G521" s="47"/>
      <c r="J521" s="61"/>
      <c r="K521" s="61"/>
      <c r="L521" s="30"/>
      <c r="N521" s="97"/>
      <c r="O521" s="48"/>
      <c r="P521" s="47"/>
      <c r="Q521" s="24"/>
    </row>
    <row r="522" spans="1:17">
      <c r="A522" s="61"/>
      <c r="B522" s="24"/>
      <c r="C522" s="60"/>
      <c r="E522" s="47"/>
      <c r="F522" s="48"/>
      <c r="G522" s="47"/>
      <c r="J522" s="61"/>
      <c r="K522" s="61"/>
      <c r="L522" s="30"/>
      <c r="N522" s="97"/>
      <c r="O522" s="48"/>
      <c r="P522" s="47"/>
      <c r="Q522" s="24"/>
    </row>
    <row r="523" spans="1:17">
      <c r="A523" s="61"/>
      <c r="B523" s="24"/>
      <c r="C523" s="60"/>
      <c r="E523" s="47"/>
      <c r="F523" s="48"/>
      <c r="G523" s="47"/>
      <c r="J523" s="61"/>
      <c r="K523" s="61"/>
      <c r="L523" s="30"/>
      <c r="N523" s="97"/>
      <c r="O523" s="48"/>
      <c r="P523" s="47"/>
      <c r="Q523" s="24"/>
    </row>
    <row r="524" spans="1:17">
      <c r="A524" s="61"/>
      <c r="B524" s="24"/>
      <c r="C524" s="60"/>
      <c r="E524" s="47"/>
      <c r="F524" s="48"/>
      <c r="G524" s="47"/>
      <c r="J524" s="61"/>
      <c r="K524" s="61"/>
      <c r="L524" s="30"/>
      <c r="N524" s="97"/>
      <c r="O524" s="48"/>
      <c r="P524" s="47"/>
      <c r="Q524" s="24"/>
    </row>
    <row r="525" spans="1:17">
      <c r="A525" s="61"/>
      <c r="B525" s="24"/>
      <c r="C525" s="60"/>
      <c r="E525" s="47"/>
      <c r="F525" s="48"/>
      <c r="G525" s="47"/>
      <c r="J525" s="61"/>
      <c r="K525" s="61"/>
      <c r="L525" s="30"/>
      <c r="N525" s="97"/>
      <c r="O525" s="48"/>
      <c r="P525" s="47"/>
      <c r="Q525" s="24"/>
    </row>
    <row r="526" spans="1:17">
      <c r="A526" s="61"/>
      <c r="B526" s="24"/>
      <c r="C526" s="60"/>
      <c r="E526" s="47"/>
      <c r="F526" s="48"/>
      <c r="G526" s="47"/>
      <c r="J526" s="61"/>
      <c r="K526" s="61"/>
      <c r="L526" s="30"/>
      <c r="N526" s="97"/>
      <c r="O526" s="48"/>
      <c r="P526" s="47"/>
      <c r="Q526" s="24"/>
    </row>
    <row r="527" spans="1:17">
      <c r="A527" s="61"/>
      <c r="B527" s="24"/>
      <c r="C527" s="60"/>
      <c r="E527" s="47"/>
      <c r="F527" s="48"/>
      <c r="G527" s="47"/>
      <c r="J527" s="61"/>
      <c r="K527" s="61"/>
      <c r="L527" s="30"/>
      <c r="N527" s="97"/>
      <c r="O527" s="48"/>
      <c r="P527" s="47"/>
      <c r="Q527" s="24"/>
    </row>
    <row r="528" spans="1:17">
      <c r="A528" s="61"/>
      <c r="B528" s="24"/>
      <c r="C528" s="60"/>
      <c r="E528" s="47"/>
      <c r="F528" s="48"/>
      <c r="G528" s="47"/>
      <c r="J528" s="61"/>
      <c r="K528" s="61"/>
      <c r="L528" s="30"/>
      <c r="N528" s="97"/>
      <c r="O528" s="48"/>
      <c r="P528" s="47"/>
      <c r="Q528" s="24"/>
    </row>
    <row r="529" spans="1:17">
      <c r="A529" s="61"/>
      <c r="B529" s="24"/>
      <c r="C529" s="60"/>
      <c r="E529" s="47"/>
      <c r="F529" s="48"/>
      <c r="G529" s="47"/>
      <c r="J529" s="61"/>
      <c r="K529" s="61"/>
      <c r="L529" s="30"/>
      <c r="N529" s="97"/>
      <c r="O529" s="48"/>
      <c r="P529" s="47"/>
      <c r="Q529" s="24"/>
    </row>
    <row r="530" spans="1:17">
      <c r="A530" s="61"/>
      <c r="B530" s="24"/>
      <c r="C530" s="60"/>
      <c r="E530" s="47"/>
      <c r="F530" s="48"/>
      <c r="G530" s="47"/>
      <c r="J530" s="61"/>
      <c r="K530" s="61"/>
      <c r="L530" s="30"/>
      <c r="N530" s="97"/>
      <c r="O530" s="48"/>
      <c r="P530" s="47"/>
      <c r="Q530" s="24"/>
    </row>
    <row r="531" spans="1:17">
      <c r="A531" s="61"/>
      <c r="B531" s="24"/>
      <c r="C531" s="60"/>
      <c r="E531" s="47"/>
      <c r="F531" s="48"/>
      <c r="G531" s="47"/>
      <c r="J531" s="61"/>
      <c r="K531" s="61"/>
      <c r="L531" s="30"/>
      <c r="N531" s="97"/>
      <c r="O531" s="48"/>
      <c r="P531" s="47"/>
      <c r="Q531" s="24"/>
    </row>
    <row r="532" spans="1:17">
      <c r="A532" s="61"/>
      <c r="B532" s="24"/>
      <c r="C532" s="60"/>
      <c r="E532" s="47"/>
      <c r="F532" s="48"/>
      <c r="G532" s="47"/>
      <c r="J532" s="61"/>
      <c r="K532" s="61"/>
      <c r="L532" s="30"/>
      <c r="N532" s="97"/>
      <c r="O532" s="48"/>
      <c r="P532" s="47"/>
      <c r="Q532" s="24"/>
    </row>
    <row r="533" spans="1:17">
      <c r="A533" s="61"/>
      <c r="B533" s="24"/>
      <c r="C533" s="60"/>
      <c r="E533" s="47"/>
      <c r="F533" s="48"/>
      <c r="G533" s="47"/>
      <c r="J533" s="61"/>
      <c r="K533" s="61"/>
      <c r="L533" s="30"/>
      <c r="N533" s="97"/>
      <c r="O533" s="48"/>
      <c r="P533" s="47"/>
      <c r="Q533" s="24"/>
    </row>
    <row r="534" spans="1:17">
      <c r="A534" s="61"/>
      <c r="B534" s="24"/>
      <c r="C534" s="60"/>
      <c r="E534" s="47"/>
      <c r="F534" s="48"/>
      <c r="G534" s="47"/>
      <c r="J534" s="61"/>
      <c r="K534" s="61"/>
      <c r="L534" s="30"/>
      <c r="N534" s="97"/>
      <c r="O534" s="48"/>
      <c r="P534" s="47"/>
      <c r="Q534" s="24"/>
    </row>
    <row r="535" spans="1:17">
      <c r="A535" s="61"/>
      <c r="B535" s="24"/>
      <c r="C535" s="60"/>
      <c r="E535" s="47"/>
      <c r="F535" s="48"/>
      <c r="G535" s="47"/>
      <c r="J535" s="61"/>
      <c r="K535" s="61"/>
      <c r="L535" s="30"/>
      <c r="N535" s="97"/>
      <c r="O535" s="48"/>
      <c r="P535" s="47"/>
      <c r="Q535" s="24"/>
    </row>
    <row r="536" spans="1:17">
      <c r="A536" s="61"/>
      <c r="B536" s="24"/>
      <c r="C536" s="60"/>
      <c r="E536" s="47"/>
      <c r="F536" s="48"/>
      <c r="G536" s="47"/>
      <c r="J536" s="61"/>
      <c r="K536" s="61"/>
      <c r="L536" s="30"/>
      <c r="N536" s="97"/>
      <c r="O536" s="48"/>
      <c r="P536" s="47"/>
      <c r="Q536" s="24"/>
    </row>
    <row r="537" spans="1:17">
      <c r="A537" s="61"/>
      <c r="B537" s="24"/>
      <c r="C537" s="60"/>
      <c r="E537" s="47"/>
      <c r="F537" s="48"/>
      <c r="G537" s="47"/>
      <c r="J537" s="61"/>
      <c r="K537" s="61"/>
      <c r="L537" s="30"/>
      <c r="N537" s="97"/>
      <c r="O537" s="48"/>
      <c r="P537" s="47"/>
      <c r="Q537" s="24"/>
    </row>
    <row r="538" spans="1:17">
      <c r="A538" s="61"/>
      <c r="B538" s="24"/>
      <c r="C538" s="60"/>
      <c r="E538" s="47"/>
      <c r="F538" s="48"/>
      <c r="G538" s="47"/>
      <c r="J538" s="61"/>
      <c r="K538" s="61"/>
      <c r="L538" s="30"/>
      <c r="N538" s="97"/>
      <c r="O538" s="48"/>
      <c r="P538" s="47"/>
      <c r="Q538" s="24"/>
    </row>
    <row r="539" spans="1:17">
      <c r="A539" s="61"/>
      <c r="B539" s="24"/>
      <c r="C539" s="60"/>
      <c r="E539" s="47"/>
      <c r="F539" s="48"/>
      <c r="G539" s="47"/>
      <c r="J539" s="61"/>
      <c r="K539" s="61"/>
      <c r="L539" s="30"/>
      <c r="N539" s="97"/>
      <c r="O539" s="48"/>
      <c r="P539" s="47"/>
      <c r="Q539" s="24"/>
    </row>
    <row r="540" spans="1:17">
      <c r="A540" s="61"/>
      <c r="B540" s="24"/>
      <c r="C540" s="60"/>
      <c r="E540" s="47"/>
      <c r="F540" s="48"/>
      <c r="G540" s="47"/>
      <c r="J540" s="61"/>
      <c r="K540" s="61"/>
      <c r="L540" s="30"/>
      <c r="N540" s="97"/>
      <c r="O540" s="48"/>
      <c r="P540" s="47"/>
      <c r="Q540" s="24"/>
    </row>
    <row r="541" spans="1:17">
      <c r="A541" s="61"/>
      <c r="B541" s="24"/>
      <c r="C541" s="60"/>
      <c r="E541" s="47"/>
      <c r="F541" s="48"/>
      <c r="G541" s="47"/>
      <c r="J541" s="61"/>
      <c r="K541" s="61"/>
      <c r="L541" s="30"/>
      <c r="N541" s="97"/>
      <c r="O541" s="48"/>
      <c r="P541" s="47"/>
      <c r="Q541" s="24"/>
    </row>
    <row r="542" spans="1:17">
      <c r="A542" s="61"/>
      <c r="B542" s="24"/>
      <c r="C542" s="60"/>
      <c r="E542" s="47"/>
      <c r="F542" s="48"/>
      <c r="G542" s="47"/>
      <c r="J542" s="61"/>
      <c r="K542" s="61"/>
      <c r="L542" s="30"/>
      <c r="N542" s="97"/>
      <c r="O542" s="48"/>
      <c r="P542" s="47"/>
      <c r="Q542" s="24"/>
    </row>
    <row r="543" spans="1:17">
      <c r="A543" s="61"/>
      <c r="B543" s="24"/>
      <c r="C543" s="60"/>
      <c r="E543" s="47"/>
      <c r="F543" s="48"/>
      <c r="G543" s="47"/>
      <c r="J543" s="61"/>
      <c r="K543" s="61"/>
      <c r="L543" s="30"/>
      <c r="N543" s="97"/>
      <c r="O543" s="48"/>
      <c r="P543" s="47"/>
      <c r="Q543" s="24"/>
    </row>
    <row r="544" spans="1:17">
      <c r="A544" s="61"/>
      <c r="B544" s="24"/>
      <c r="C544" s="60"/>
      <c r="E544" s="47"/>
      <c r="F544" s="48"/>
      <c r="G544" s="47"/>
      <c r="J544" s="61"/>
      <c r="K544" s="61"/>
      <c r="L544" s="30"/>
      <c r="N544" s="97"/>
      <c r="O544" s="48"/>
      <c r="P544" s="47"/>
      <c r="Q544" s="24"/>
    </row>
    <row r="545" spans="1:17">
      <c r="A545" s="61"/>
      <c r="B545" s="24"/>
      <c r="C545" s="60"/>
      <c r="E545" s="47"/>
      <c r="F545" s="48"/>
      <c r="G545" s="47"/>
      <c r="J545" s="61"/>
      <c r="K545" s="61"/>
      <c r="L545" s="30"/>
      <c r="N545" s="97"/>
      <c r="O545" s="48"/>
      <c r="P545" s="47"/>
      <c r="Q545" s="24"/>
    </row>
    <row r="546" spans="1:17">
      <c r="A546" s="61"/>
      <c r="B546" s="24"/>
      <c r="C546" s="60"/>
      <c r="E546" s="47"/>
      <c r="F546" s="48"/>
      <c r="G546" s="47"/>
      <c r="J546" s="61"/>
      <c r="K546" s="61"/>
      <c r="L546" s="30"/>
      <c r="N546" s="97"/>
      <c r="O546" s="48"/>
      <c r="P546" s="47"/>
      <c r="Q546" s="24"/>
    </row>
    <row r="547" spans="1:17">
      <c r="A547" s="61"/>
      <c r="B547" s="24"/>
      <c r="C547" s="60"/>
      <c r="E547" s="47"/>
      <c r="F547" s="48"/>
      <c r="G547" s="47"/>
      <c r="J547" s="61"/>
      <c r="K547" s="61"/>
      <c r="L547" s="30"/>
      <c r="N547" s="97"/>
      <c r="O547" s="48"/>
      <c r="P547" s="47"/>
      <c r="Q547" s="24"/>
    </row>
    <row r="548" spans="1:17">
      <c r="A548" s="61"/>
      <c r="B548" s="24"/>
      <c r="C548" s="60"/>
      <c r="E548" s="47"/>
      <c r="F548" s="48"/>
      <c r="G548" s="47"/>
      <c r="J548" s="61"/>
      <c r="K548" s="61"/>
      <c r="L548" s="30"/>
      <c r="N548" s="97"/>
      <c r="O548" s="48"/>
      <c r="P548" s="47"/>
      <c r="Q548" s="24"/>
    </row>
    <row r="549" spans="1:17">
      <c r="A549" s="61"/>
      <c r="B549" s="24"/>
      <c r="C549" s="60"/>
      <c r="E549" s="47"/>
      <c r="F549" s="48"/>
      <c r="G549" s="47"/>
      <c r="J549" s="61"/>
      <c r="K549" s="61"/>
      <c r="L549" s="30"/>
      <c r="N549" s="97"/>
      <c r="O549" s="48"/>
      <c r="P549" s="47"/>
      <c r="Q549" s="24"/>
    </row>
    <row r="550" spans="1:17">
      <c r="A550" s="61"/>
      <c r="B550" s="24"/>
      <c r="C550" s="60"/>
      <c r="E550" s="47"/>
      <c r="F550" s="48"/>
      <c r="G550" s="47"/>
      <c r="J550" s="61"/>
      <c r="K550" s="61"/>
      <c r="L550" s="30"/>
      <c r="N550" s="97"/>
      <c r="O550" s="48"/>
      <c r="P550" s="47"/>
      <c r="Q550" s="24"/>
    </row>
    <row r="551" spans="1:17">
      <c r="A551" s="61"/>
      <c r="B551" s="24"/>
      <c r="C551" s="60"/>
      <c r="E551" s="47"/>
      <c r="F551" s="48"/>
      <c r="G551" s="47"/>
      <c r="J551" s="61"/>
      <c r="K551" s="61"/>
      <c r="L551" s="30"/>
      <c r="N551" s="97"/>
      <c r="O551" s="48"/>
      <c r="P551" s="47"/>
      <c r="Q551" s="24"/>
    </row>
    <row r="552" spans="1:17">
      <c r="A552" s="61"/>
      <c r="B552" s="24"/>
      <c r="C552" s="60"/>
      <c r="E552" s="47"/>
      <c r="F552" s="48"/>
      <c r="G552" s="47"/>
      <c r="J552" s="61"/>
      <c r="K552" s="61"/>
      <c r="L552" s="30"/>
      <c r="N552" s="97"/>
      <c r="O552" s="48"/>
      <c r="P552" s="47"/>
      <c r="Q552" s="24"/>
    </row>
    <row r="553" spans="1:17">
      <c r="A553" s="61"/>
      <c r="B553" s="24"/>
      <c r="C553" s="60"/>
      <c r="E553" s="47"/>
      <c r="F553" s="48"/>
      <c r="G553" s="47"/>
      <c r="J553" s="61"/>
      <c r="K553" s="61"/>
      <c r="L553" s="30"/>
      <c r="N553" s="97"/>
      <c r="O553" s="48"/>
      <c r="P553" s="47"/>
      <c r="Q553" s="24"/>
    </row>
    <row r="554" spans="1:17">
      <c r="A554" s="61"/>
      <c r="B554" s="24"/>
      <c r="C554" s="60"/>
      <c r="E554" s="47"/>
      <c r="F554" s="48"/>
      <c r="G554" s="47"/>
      <c r="J554" s="61"/>
      <c r="K554" s="61"/>
      <c r="L554" s="30"/>
      <c r="N554" s="97"/>
      <c r="O554" s="48"/>
      <c r="P554" s="47"/>
      <c r="Q554" s="24"/>
    </row>
    <row r="555" spans="1:17">
      <c r="A555" s="61"/>
      <c r="B555" s="24"/>
      <c r="C555" s="60"/>
      <c r="E555" s="47"/>
      <c r="F555" s="48"/>
      <c r="G555" s="47"/>
      <c r="J555" s="61"/>
      <c r="K555" s="61"/>
      <c r="L555" s="30"/>
      <c r="N555" s="97"/>
      <c r="O555" s="48"/>
      <c r="P555" s="47"/>
      <c r="Q555" s="24"/>
    </row>
    <row r="556" spans="1:17">
      <c r="A556" s="61"/>
      <c r="B556" s="24"/>
      <c r="C556" s="60"/>
      <c r="E556" s="47"/>
      <c r="F556" s="48"/>
      <c r="G556" s="47"/>
      <c r="J556" s="61"/>
      <c r="K556" s="61"/>
      <c r="L556" s="30"/>
      <c r="N556" s="97"/>
      <c r="O556" s="48"/>
      <c r="P556" s="47"/>
      <c r="Q556" s="24"/>
    </row>
    <row r="557" spans="1:17">
      <c r="A557" s="61"/>
      <c r="B557" s="24"/>
      <c r="C557" s="60"/>
      <c r="E557" s="47"/>
      <c r="F557" s="48"/>
      <c r="G557" s="47"/>
      <c r="J557" s="61"/>
      <c r="K557" s="61"/>
      <c r="L557" s="30"/>
      <c r="N557" s="97"/>
      <c r="O557" s="48"/>
      <c r="P557" s="47"/>
      <c r="Q557" s="24"/>
    </row>
    <row r="558" spans="1:17">
      <c r="A558" s="61"/>
      <c r="B558" s="24"/>
      <c r="C558" s="60"/>
      <c r="E558" s="47"/>
      <c r="F558" s="48"/>
      <c r="G558" s="47"/>
      <c r="J558" s="61"/>
      <c r="K558" s="61"/>
      <c r="L558" s="30"/>
      <c r="N558" s="97"/>
      <c r="O558" s="48"/>
      <c r="P558" s="47"/>
      <c r="Q558" s="24"/>
    </row>
    <row r="559" spans="1:17">
      <c r="A559" s="61"/>
      <c r="B559" s="24"/>
      <c r="C559" s="60"/>
      <c r="E559" s="47"/>
      <c r="F559" s="48"/>
      <c r="G559" s="47"/>
      <c r="J559" s="61"/>
      <c r="K559" s="61"/>
      <c r="L559" s="30"/>
      <c r="N559" s="97"/>
      <c r="O559" s="48"/>
      <c r="P559" s="47"/>
      <c r="Q559" s="24"/>
    </row>
    <row r="560" spans="1:17">
      <c r="A560" s="61"/>
      <c r="B560" s="24"/>
      <c r="C560" s="60"/>
      <c r="E560" s="47"/>
      <c r="F560" s="48"/>
      <c r="G560" s="47"/>
      <c r="J560" s="61"/>
      <c r="K560" s="61"/>
      <c r="L560" s="30"/>
      <c r="N560" s="97"/>
      <c r="O560" s="48"/>
      <c r="P560" s="47"/>
      <c r="Q560" s="24"/>
    </row>
    <row r="561" spans="1:17">
      <c r="A561" s="61"/>
      <c r="B561" s="24"/>
      <c r="C561" s="60"/>
      <c r="E561" s="47"/>
      <c r="F561" s="48"/>
      <c r="G561" s="47"/>
      <c r="J561" s="61"/>
      <c r="K561" s="61"/>
      <c r="L561" s="30"/>
      <c r="N561" s="97"/>
      <c r="O561" s="48"/>
      <c r="P561" s="47"/>
      <c r="Q561" s="24"/>
    </row>
    <row r="562" spans="1:17">
      <c r="A562" s="61"/>
      <c r="B562" s="24"/>
      <c r="C562" s="60"/>
      <c r="E562" s="47"/>
      <c r="F562" s="48"/>
      <c r="G562" s="47"/>
      <c r="J562" s="61"/>
      <c r="K562" s="61"/>
      <c r="L562" s="30"/>
      <c r="N562" s="97"/>
      <c r="O562" s="48"/>
      <c r="P562" s="47"/>
      <c r="Q562" s="24"/>
    </row>
    <row r="563" spans="1:17">
      <c r="A563" s="61"/>
      <c r="B563" s="24"/>
      <c r="C563" s="60"/>
      <c r="E563" s="47"/>
      <c r="F563" s="48"/>
      <c r="G563" s="47"/>
      <c r="J563" s="61"/>
      <c r="K563" s="61"/>
      <c r="L563" s="30"/>
      <c r="N563" s="97"/>
      <c r="O563" s="48"/>
      <c r="P563" s="47"/>
      <c r="Q563" s="24"/>
    </row>
    <row r="564" spans="1:17">
      <c r="A564" s="61"/>
      <c r="B564" s="24"/>
      <c r="C564" s="60"/>
      <c r="E564" s="47"/>
      <c r="F564" s="48"/>
      <c r="G564" s="47"/>
      <c r="J564" s="61"/>
      <c r="K564" s="61"/>
      <c r="L564" s="30"/>
      <c r="N564" s="97"/>
      <c r="O564" s="48"/>
      <c r="P564" s="47"/>
      <c r="Q564" s="24"/>
    </row>
    <row r="565" spans="1:17">
      <c r="A565" s="61"/>
      <c r="B565" s="24"/>
      <c r="C565" s="60"/>
      <c r="E565" s="47"/>
      <c r="F565" s="48"/>
      <c r="G565" s="47"/>
      <c r="J565" s="61"/>
      <c r="K565" s="61"/>
      <c r="L565" s="30"/>
      <c r="N565" s="97"/>
      <c r="O565" s="48"/>
      <c r="P565" s="47"/>
      <c r="Q565" s="24"/>
    </row>
    <row r="566" spans="1:17">
      <c r="A566" s="61"/>
      <c r="B566" s="24"/>
      <c r="C566" s="60"/>
      <c r="E566" s="47"/>
      <c r="F566" s="48"/>
      <c r="G566" s="47"/>
      <c r="J566" s="61"/>
      <c r="K566" s="61"/>
      <c r="L566" s="30"/>
      <c r="N566" s="97"/>
      <c r="O566" s="48"/>
      <c r="P566" s="47"/>
      <c r="Q566" s="24"/>
    </row>
    <row r="567" spans="1:17">
      <c r="A567" s="61"/>
      <c r="B567" s="24"/>
      <c r="C567" s="60"/>
      <c r="E567" s="47"/>
      <c r="F567" s="48"/>
      <c r="G567" s="47"/>
      <c r="J567" s="61"/>
      <c r="K567" s="61"/>
      <c r="L567" s="30"/>
      <c r="N567" s="97"/>
      <c r="O567" s="48"/>
      <c r="P567" s="47"/>
      <c r="Q567" s="24"/>
    </row>
    <row r="568" spans="1:17">
      <c r="A568" s="61"/>
      <c r="B568" s="24"/>
      <c r="C568" s="60"/>
      <c r="E568" s="47"/>
      <c r="F568" s="48"/>
      <c r="G568" s="47"/>
      <c r="J568" s="61"/>
      <c r="K568" s="61"/>
      <c r="L568" s="30"/>
      <c r="N568" s="97"/>
      <c r="O568" s="48"/>
      <c r="P568" s="47"/>
      <c r="Q568" s="24"/>
    </row>
    <row r="569" spans="1:17">
      <c r="A569" s="61"/>
      <c r="B569" s="24"/>
      <c r="C569" s="60"/>
      <c r="E569" s="47"/>
      <c r="F569" s="48"/>
      <c r="G569" s="47"/>
      <c r="J569" s="61"/>
      <c r="K569" s="61"/>
      <c r="L569" s="30"/>
      <c r="N569" s="97"/>
      <c r="O569" s="48"/>
      <c r="P569" s="47"/>
      <c r="Q569" s="24"/>
    </row>
    <row r="570" spans="1:17">
      <c r="A570" s="61"/>
      <c r="B570" s="24"/>
      <c r="C570" s="60"/>
      <c r="E570" s="47"/>
      <c r="F570" s="48"/>
      <c r="G570" s="47"/>
      <c r="J570" s="61"/>
      <c r="K570" s="61"/>
      <c r="L570" s="30"/>
      <c r="N570" s="97"/>
      <c r="O570" s="48"/>
      <c r="P570" s="47"/>
      <c r="Q570" s="24"/>
    </row>
    <row r="571" spans="1:17">
      <c r="A571" s="61"/>
      <c r="B571" s="24"/>
      <c r="C571" s="60"/>
      <c r="E571" s="47"/>
      <c r="F571" s="48"/>
      <c r="G571" s="47"/>
      <c r="J571" s="61"/>
      <c r="K571" s="61"/>
      <c r="L571" s="30"/>
      <c r="N571" s="97"/>
      <c r="O571" s="48"/>
      <c r="P571" s="47"/>
      <c r="Q571" s="24"/>
    </row>
    <row r="572" spans="1:17">
      <c r="A572" s="61"/>
      <c r="B572" s="24"/>
      <c r="C572" s="60"/>
      <c r="E572" s="47"/>
      <c r="F572" s="48"/>
      <c r="G572" s="47"/>
      <c r="J572" s="61"/>
      <c r="K572" s="61"/>
      <c r="L572" s="30"/>
      <c r="N572" s="97"/>
      <c r="O572" s="48"/>
      <c r="P572" s="47"/>
      <c r="Q572" s="24"/>
    </row>
    <row r="573" spans="1:17">
      <c r="A573" s="61"/>
      <c r="B573" s="24"/>
      <c r="C573" s="60"/>
      <c r="E573" s="47"/>
      <c r="F573" s="48"/>
      <c r="G573" s="47"/>
      <c r="J573" s="61"/>
      <c r="K573" s="61"/>
      <c r="L573" s="30"/>
      <c r="N573" s="97"/>
      <c r="O573" s="48"/>
      <c r="P573" s="47"/>
      <c r="Q573" s="24"/>
    </row>
    <row r="574" spans="1:17">
      <c r="A574" s="61"/>
      <c r="B574" s="24"/>
      <c r="C574" s="60"/>
      <c r="E574" s="47"/>
      <c r="F574" s="48"/>
      <c r="G574" s="47"/>
      <c r="J574" s="61"/>
      <c r="K574" s="61"/>
      <c r="L574" s="30"/>
      <c r="N574" s="97"/>
      <c r="O574" s="48"/>
      <c r="P574" s="47"/>
      <c r="Q574" s="24"/>
    </row>
    <row r="575" spans="1:17">
      <c r="A575" s="61"/>
      <c r="B575" s="24"/>
      <c r="C575" s="60"/>
      <c r="E575" s="47"/>
      <c r="F575" s="48"/>
      <c r="G575" s="47"/>
      <c r="J575" s="61"/>
      <c r="K575" s="61"/>
      <c r="L575" s="30"/>
      <c r="N575" s="97"/>
      <c r="O575" s="48"/>
      <c r="P575" s="47"/>
      <c r="Q575" s="24"/>
    </row>
    <row r="576" spans="1:17">
      <c r="A576" s="61"/>
      <c r="B576" s="24"/>
      <c r="C576" s="60"/>
      <c r="E576" s="47"/>
      <c r="F576" s="48"/>
      <c r="G576" s="47"/>
      <c r="J576" s="61"/>
      <c r="K576" s="61"/>
      <c r="L576" s="30"/>
      <c r="N576" s="97"/>
      <c r="O576" s="48"/>
      <c r="P576" s="47"/>
      <c r="Q576" s="24"/>
    </row>
    <row r="577" spans="1:17">
      <c r="A577" s="61"/>
      <c r="B577" s="24"/>
      <c r="C577" s="60"/>
      <c r="E577" s="47"/>
      <c r="F577" s="48"/>
      <c r="G577" s="47"/>
      <c r="J577" s="61"/>
      <c r="K577" s="61"/>
      <c r="L577" s="30"/>
      <c r="N577" s="97"/>
      <c r="O577" s="48"/>
      <c r="P577" s="47"/>
      <c r="Q577" s="24"/>
    </row>
    <row r="578" spans="1:17">
      <c r="A578" s="61"/>
      <c r="B578" s="24"/>
      <c r="C578" s="60"/>
      <c r="E578" s="47"/>
      <c r="F578" s="48"/>
      <c r="G578" s="47"/>
      <c r="J578" s="61"/>
      <c r="K578" s="61"/>
      <c r="L578" s="30"/>
      <c r="N578" s="97"/>
      <c r="O578" s="48"/>
      <c r="P578" s="47"/>
      <c r="Q578" s="24"/>
    </row>
    <row r="579" spans="1:17">
      <c r="A579" s="61"/>
      <c r="B579" s="24"/>
      <c r="C579" s="60"/>
      <c r="E579" s="47"/>
      <c r="F579" s="48"/>
      <c r="G579" s="47"/>
      <c r="J579" s="61"/>
      <c r="K579" s="61"/>
      <c r="L579" s="30"/>
      <c r="N579" s="97"/>
      <c r="O579" s="48"/>
      <c r="P579" s="47"/>
      <c r="Q579" s="24"/>
    </row>
    <row r="580" spans="1:17">
      <c r="A580" s="61"/>
      <c r="B580" s="24"/>
      <c r="C580" s="60"/>
      <c r="E580" s="47"/>
      <c r="F580" s="48"/>
      <c r="G580" s="47"/>
      <c r="J580" s="61"/>
      <c r="K580" s="61"/>
      <c r="L580" s="30"/>
      <c r="N580" s="97"/>
      <c r="O580" s="48"/>
      <c r="P580" s="47"/>
      <c r="Q580" s="24"/>
    </row>
    <row r="581" spans="1:17">
      <c r="A581" s="61"/>
      <c r="B581" s="24"/>
      <c r="C581" s="60"/>
      <c r="E581" s="47"/>
      <c r="F581" s="48"/>
      <c r="G581" s="47"/>
      <c r="J581" s="61"/>
      <c r="K581" s="61"/>
      <c r="L581" s="30"/>
      <c r="N581" s="97"/>
      <c r="O581" s="48"/>
      <c r="P581" s="47"/>
      <c r="Q581" s="24"/>
    </row>
    <row r="582" spans="1:17">
      <c r="A582" s="61"/>
      <c r="B582" s="24"/>
      <c r="C582" s="60"/>
      <c r="E582" s="47"/>
      <c r="F582" s="48"/>
      <c r="G582" s="47"/>
      <c r="J582" s="61"/>
      <c r="K582" s="61"/>
      <c r="L582" s="30"/>
      <c r="N582" s="97"/>
      <c r="O582" s="48"/>
      <c r="P582" s="47"/>
      <c r="Q582" s="24"/>
    </row>
    <row r="583" spans="1:17">
      <c r="A583" s="61"/>
      <c r="B583" s="24"/>
      <c r="C583" s="60"/>
      <c r="E583" s="47"/>
      <c r="F583" s="48"/>
      <c r="G583" s="47"/>
      <c r="J583" s="61"/>
      <c r="K583" s="61"/>
      <c r="L583" s="30"/>
      <c r="N583" s="97"/>
      <c r="O583" s="48"/>
      <c r="P583" s="47"/>
      <c r="Q583" s="24"/>
    </row>
    <row r="584" spans="1:17">
      <c r="A584" s="61"/>
      <c r="B584" s="24"/>
      <c r="C584" s="60"/>
      <c r="E584" s="47"/>
      <c r="F584" s="48"/>
      <c r="G584" s="47"/>
      <c r="J584" s="61"/>
      <c r="K584" s="61"/>
      <c r="L584" s="30"/>
      <c r="N584" s="97"/>
      <c r="O584" s="48"/>
      <c r="P584" s="47"/>
      <c r="Q584" s="24"/>
    </row>
    <row r="585" spans="1:17">
      <c r="A585" s="61"/>
      <c r="B585" s="24"/>
      <c r="C585" s="60"/>
      <c r="E585" s="47"/>
      <c r="F585" s="48"/>
      <c r="G585" s="47"/>
      <c r="J585" s="61"/>
      <c r="K585" s="61"/>
      <c r="L585" s="30"/>
      <c r="N585" s="97"/>
      <c r="O585" s="48"/>
      <c r="P585" s="47"/>
      <c r="Q585" s="24"/>
    </row>
    <row r="586" spans="1:17">
      <c r="A586" s="61"/>
      <c r="B586" s="24"/>
      <c r="C586" s="60"/>
      <c r="E586" s="47"/>
      <c r="F586" s="48"/>
      <c r="G586" s="47"/>
      <c r="J586" s="61"/>
      <c r="K586" s="61"/>
      <c r="L586" s="30"/>
      <c r="N586" s="97"/>
      <c r="O586" s="48"/>
      <c r="P586" s="47"/>
      <c r="Q586" s="24"/>
    </row>
    <row r="587" spans="1:17">
      <c r="A587" s="61"/>
      <c r="B587" s="24"/>
      <c r="C587" s="60"/>
      <c r="E587" s="47"/>
      <c r="F587" s="48"/>
      <c r="G587" s="47"/>
      <c r="J587" s="61"/>
      <c r="K587" s="61"/>
      <c r="L587" s="30"/>
      <c r="N587" s="97"/>
      <c r="O587" s="48"/>
      <c r="P587" s="47"/>
      <c r="Q587" s="24"/>
    </row>
    <row r="588" spans="1:17">
      <c r="A588" s="61"/>
      <c r="B588" s="24"/>
      <c r="C588" s="60"/>
      <c r="E588" s="47"/>
      <c r="F588" s="48"/>
      <c r="G588" s="47"/>
      <c r="J588" s="61"/>
      <c r="K588" s="61"/>
      <c r="L588" s="30"/>
      <c r="N588" s="97"/>
      <c r="O588" s="48"/>
      <c r="P588" s="47"/>
      <c r="Q588" s="24"/>
    </row>
    <row r="589" spans="1:17">
      <c r="A589" s="61"/>
      <c r="B589" s="24"/>
      <c r="C589" s="60"/>
      <c r="E589" s="47"/>
      <c r="F589" s="48"/>
      <c r="G589" s="47"/>
      <c r="J589" s="61"/>
      <c r="K589" s="61"/>
      <c r="L589" s="30"/>
      <c r="N589" s="97"/>
      <c r="O589" s="48"/>
      <c r="P589" s="47"/>
      <c r="Q589" s="24"/>
    </row>
    <row r="590" spans="1:17">
      <c r="A590" s="61"/>
      <c r="B590" s="24"/>
      <c r="C590" s="60"/>
      <c r="E590" s="47"/>
      <c r="F590" s="48"/>
      <c r="G590" s="47"/>
      <c r="J590" s="61"/>
      <c r="K590" s="61"/>
      <c r="L590" s="30"/>
      <c r="N590" s="97"/>
      <c r="O590" s="48"/>
      <c r="P590" s="47"/>
      <c r="Q590" s="24"/>
    </row>
    <row r="591" spans="1:17">
      <c r="A591" s="61"/>
      <c r="B591" s="24"/>
      <c r="C591" s="60"/>
      <c r="E591" s="47"/>
      <c r="F591" s="48"/>
      <c r="G591" s="47"/>
      <c r="J591" s="61"/>
      <c r="K591" s="61"/>
      <c r="L591" s="30"/>
      <c r="N591" s="97"/>
      <c r="O591" s="48"/>
      <c r="P591" s="47"/>
      <c r="Q591" s="24"/>
    </row>
    <row r="592" spans="1:17">
      <c r="A592" s="61"/>
      <c r="B592" s="24"/>
      <c r="C592" s="60"/>
      <c r="E592" s="47"/>
      <c r="F592" s="48"/>
      <c r="G592" s="47"/>
      <c r="J592" s="61"/>
      <c r="K592" s="61"/>
      <c r="L592" s="30"/>
      <c r="N592" s="97"/>
      <c r="O592" s="48"/>
      <c r="P592" s="47"/>
      <c r="Q592" s="24"/>
    </row>
    <row r="593" spans="1:17">
      <c r="A593" s="61"/>
      <c r="B593" s="24"/>
      <c r="C593" s="60"/>
      <c r="E593" s="47"/>
      <c r="F593" s="48"/>
      <c r="G593" s="47"/>
      <c r="J593" s="61"/>
      <c r="K593" s="61"/>
      <c r="L593" s="30"/>
      <c r="N593" s="97"/>
      <c r="O593" s="48"/>
      <c r="P593" s="47"/>
      <c r="Q593" s="24"/>
    </row>
    <row r="594" spans="1:17">
      <c r="A594" s="61"/>
      <c r="B594" s="24"/>
      <c r="C594" s="60"/>
      <c r="E594" s="47"/>
      <c r="F594" s="48"/>
      <c r="G594" s="47"/>
      <c r="J594" s="61"/>
      <c r="K594" s="61"/>
      <c r="L594" s="30"/>
      <c r="N594" s="97"/>
      <c r="O594" s="48"/>
      <c r="P594" s="47"/>
      <c r="Q594" s="24"/>
    </row>
    <row r="595" spans="1:17">
      <c r="A595" s="61"/>
      <c r="B595" s="24"/>
      <c r="C595" s="60"/>
      <c r="E595" s="47"/>
      <c r="F595" s="48"/>
      <c r="G595" s="47"/>
      <c r="J595" s="61"/>
      <c r="K595" s="61"/>
      <c r="L595" s="30"/>
      <c r="N595" s="97"/>
      <c r="O595" s="48"/>
      <c r="P595" s="47"/>
      <c r="Q595" s="24"/>
    </row>
    <row r="596" spans="1:17">
      <c r="A596" s="61"/>
      <c r="B596" s="24"/>
      <c r="C596" s="60"/>
      <c r="E596" s="47"/>
      <c r="F596" s="48"/>
      <c r="G596" s="47"/>
      <c r="J596" s="61"/>
      <c r="K596" s="61"/>
      <c r="L596" s="30"/>
      <c r="N596" s="97"/>
      <c r="O596" s="48"/>
      <c r="P596" s="47"/>
      <c r="Q596" s="24"/>
    </row>
    <row r="597" spans="1:17">
      <c r="A597" s="61"/>
      <c r="B597" s="24"/>
      <c r="C597" s="60"/>
      <c r="E597" s="47"/>
      <c r="F597" s="48"/>
      <c r="G597" s="47"/>
      <c r="J597" s="61"/>
      <c r="K597" s="61"/>
      <c r="L597" s="30"/>
      <c r="N597" s="97"/>
      <c r="O597" s="48"/>
      <c r="P597" s="47"/>
      <c r="Q597" s="24"/>
    </row>
    <row r="598" spans="1:17">
      <c r="A598" s="61"/>
      <c r="B598" s="24"/>
      <c r="C598" s="60"/>
      <c r="E598" s="47"/>
      <c r="F598" s="48"/>
      <c r="G598" s="47"/>
      <c r="J598" s="61"/>
      <c r="K598" s="61"/>
      <c r="L598" s="30"/>
      <c r="N598" s="97"/>
      <c r="O598" s="48"/>
      <c r="P598" s="47"/>
      <c r="Q598" s="24"/>
    </row>
    <row r="599" spans="1:17">
      <c r="A599" s="61"/>
      <c r="B599" s="24"/>
      <c r="C599" s="60"/>
      <c r="E599" s="47"/>
      <c r="F599" s="48"/>
      <c r="G599" s="47"/>
      <c r="J599" s="61"/>
      <c r="K599" s="61"/>
      <c r="L599" s="30"/>
      <c r="N599" s="97"/>
      <c r="O599" s="48"/>
      <c r="P599" s="47"/>
      <c r="Q599" s="24"/>
    </row>
    <row r="600" spans="1:17">
      <c r="A600" s="61"/>
      <c r="B600" s="24"/>
      <c r="C600" s="60"/>
      <c r="E600" s="47"/>
      <c r="F600" s="48"/>
      <c r="G600" s="47"/>
      <c r="J600" s="61"/>
      <c r="K600" s="61"/>
      <c r="L600" s="30"/>
      <c r="N600" s="97"/>
      <c r="O600" s="48"/>
      <c r="P600" s="47"/>
      <c r="Q600" s="24"/>
    </row>
    <row r="601" spans="1:17">
      <c r="A601" s="61"/>
      <c r="B601" s="24"/>
      <c r="C601" s="60"/>
      <c r="E601" s="47"/>
      <c r="F601" s="48"/>
      <c r="G601" s="47"/>
      <c r="J601" s="61"/>
      <c r="K601" s="61"/>
      <c r="L601" s="30"/>
      <c r="N601" s="97"/>
      <c r="O601" s="48"/>
      <c r="P601" s="47"/>
      <c r="Q601" s="24"/>
    </row>
    <row r="602" spans="1:17">
      <c r="A602" s="61"/>
      <c r="B602" s="24"/>
      <c r="C602" s="60"/>
      <c r="E602" s="47"/>
      <c r="F602" s="48"/>
      <c r="G602" s="47"/>
      <c r="J602" s="61"/>
      <c r="K602" s="61"/>
      <c r="L602" s="30"/>
      <c r="N602" s="97"/>
      <c r="O602" s="48"/>
      <c r="P602" s="47"/>
      <c r="Q602" s="24"/>
    </row>
    <row r="603" spans="1:17">
      <c r="A603" s="61"/>
      <c r="B603" s="24"/>
      <c r="C603" s="60"/>
      <c r="E603" s="47"/>
      <c r="F603" s="48"/>
      <c r="G603" s="47"/>
      <c r="J603" s="61"/>
      <c r="K603" s="61"/>
      <c r="L603" s="30"/>
      <c r="N603" s="97"/>
      <c r="O603" s="48"/>
      <c r="P603" s="47"/>
      <c r="Q603" s="24"/>
    </row>
    <row r="604" spans="1:17">
      <c r="A604" s="61"/>
      <c r="B604" s="24"/>
      <c r="C604" s="60"/>
      <c r="E604" s="47"/>
      <c r="F604" s="48"/>
      <c r="G604" s="47"/>
      <c r="J604" s="61"/>
      <c r="K604" s="61"/>
      <c r="L604" s="30"/>
      <c r="N604" s="97"/>
      <c r="O604" s="48"/>
      <c r="P604" s="47"/>
      <c r="Q604" s="24"/>
    </row>
    <row r="605" spans="1:17">
      <c r="A605" s="61"/>
      <c r="B605" s="24"/>
      <c r="C605" s="60"/>
      <c r="E605" s="47"/>
      <c r="F605" s="48"/>
      <c r="G605" s="47"/>
      <c r="J605" s="61"/>
      <c r="K605" s="61"/>
      <c r="L605" s="30"/>
      <c r="N605" s="97"/>
      <c r="O605" s="48"/>
      <c r="P605" s="47"/>
      <c r="Q605" s="24"/>
    </row>
    <row r="606" spans="1:17">
      <c r="A606" s="61"/>
      <c r="B606" s="24"/>
      <c r="C606" s="60"/>
      <c r="E606" s="47"/>
      <c r="F606" s="48"/>
      <c r="G606" s="47"/>
      <c r="J606" s="61"/>
      <c r="K606" s="61"/>
      <c r="L606" s="30"/>
      <c r="N606" s="97"/>
      <c r="O606" s="48"/>
      <c r="P606" s="47"/>
      <c r="Q606" s="24"/>
    </row>
    <row r="607" spans="1:17">
      <c r="A607" s="61"/>
      <c r="B607" s="24"/>
      <c r="C607" s="60"/>
      <c r="E607" s="47"/>
      <c r="F607" s="48"/>
      <c r="G607" s="47"/>
      <c r="J607" s="61"/>
      <c r="K607" s="61"/>
      <c r="L607" s="30"/>
      <c r="N607" s="97"/>
      <c r="O607" s="48"/>
      <c r="P607" s="47"/>
      <c r="Q607" s="24"/>
    </row>
    <row r="608" spans="1:17">
      <c r="A608" s="61"/>
      <c r="B608" s="24"/>
      <c r="C608" s="60"/>
      <c r="E608" s="47"/>
      <c r="F608" s="48"/>
      <c r="G608" s="47"/>
      <c r="J608" s="61"/>
      <c r="K608" s="61"/>
      <c r="L608" s="30"/>
      <c r="N608" s="97"/>
      <c r="O608" s="48"/>
      <c r="P608" s="47"/>
      <c r="Q608" s="24"/>
    </row>
    <row r="609" spans="1:17">
      <c r="A609" s="61"/>
      <c r="B609" s="24"/>
      <c r="C609" s="60"/>
      <c r="E609" s="47"/>
      <c r="F609" s="48"/>
      <c r="G609" s="47"/>
      <c r="J609" s="61"/>
      <c r="K609" s="61"/>
      <c r="L609" s="30"/>
      <c r="N609" s="97"/>
      <c r="O609" s="48"/>
      <c r="P609" s="47"/>
      <c r="Q609" s="24"/>
    </row>
    <row r="610" spans="1:17">
      <c r="A610" s="61"/>
      <c r="B610" s="24"/>
      <c r="C610" s="60"/>
      <c r="E610" s="47"/>
      <c r="F610" s="48"/>
      <c r="G610" s="47"/>
      <c r="J610" s="61"/>
      <c r="K610" s="61"/>
      <c r="L610" s="30"/>
      <c r="N610" s="97"/>
      <c r="O610" s="48"/>
      <c r="P610" s="47"/>
      <c r="Q610" s="24"/>
    </row>
    <row r="611" spans="1:17">
      <c r="A611" s="61"/>
      <c r="B611" s="24"/>
      <c r="C611" s="60"/>
      <c r="E611" s="47"/>
      <c r="F611" s="48"/>
      <c r="G611" s="47"/>
      <c r="J611" s="61"/>
      <c r="K611" s="61"/>
      <c r="L611" s="30"/>
      <c r="N611" s="97"/>
      <c r="O611" s="48"/>
      <c r="P611" s="47"/>
      <c r="Q611" s="24"/>
    </row>
    <row r="612" spans="1:17">
      <c r="A612" s="61"/>
      <c r="B612" s="24"/>
      <c r="C612" s="60"/>
      <c r="E612" s="47"/>
      <c r="F612" s="48"/>
      <c r="G612" s="47"/>
      <c r="J612" s="61"/>
      <c r="K612" s="61"/>
      <c r="L612" s="30"/>
      <c r="N612" s="97"/>
      <c r="O612" s="48"/>
      <c r="P612" s="47"/>
      <c r="Q612" s="24"/>
    </row>
    <row r="613" spans="1:17">
      <c r="A613" s="61"/>
      <c r="B613" s="24"/>
      <c r="C613" s="60"/>
      <c r="E613" s="47"/>
      <c r="F613" s="48"/>
      <c r="G613" s="47"/>
      <c r="J613" s="61"/>
      <c r="K613" s="61"/>
      <c r="L613" s="30"/>
      <c r="N613" s="97"/>
      <c r="O613" s="48"/>
      <c r="P613" s="47"/>
      <c r="Q613" s="24"/>
    </row>
    <row r="614" spans="1:17">
      <c r="A614" s="61"/>
      <c r="B614" s="24"/>
      <c r="C614" s="60"/>
      <c r="E614" s="47"/>
      <c r="F614" s="48"/>
      <c r="G614" s="47"/>
      <c r="J614" s="61"/>
      <c r="K614" s="61"/>
      <c r="L614" s="30"/>
      <c r="N614" s="97"/>
      <c r="O614" s="48"/>
      <c r="P614" s="47"/>
      <c r="Q614" s="24"/>
    </row>
    <row r="615" spans="1:17">
      <c r="A615" s="61"/>
      <c r="B615" s="24"/>
      <c r="C615" s="60"/>
      <c r="E615" s="47"/>
      <c r="F615" s="48"/>
      <c r="G615" s="47"/>
      <c r="J615" s="61"/>
      <c r="K615" s="61"/>
      <c r="L615" s="30"/>
      <c r="N615" s="97"/>
      <c r="O615" s="48"/>
      <c r="P615" s="47"/>
      <c r="Q615" s="24"/>
    </row>
    <row r="616" spans="1:17">
      <c r="A616" s="61"/>
      <c r="B616" s="24"/>
      <c r="C616" s="60"/>
      <c r="E616" s="47"/>
      <c r="F616" s="48"/>
      <c r="G616" s="47"/>
      <c r="J616" s="61"/>
      <c r="K616" s="61"/>
      <c r="L616" s="30"/>
      <c r="N616" s="97"/>
      <c r="O616" s="48"/>
      <c r="P616" s="47"/>
      <c r="Q616" s="24"/>
    </row>
    <row r="617" spans="1:17">
      <c r="A617" s="61"/>
      <c r="B617" s="24"/>
      <c r="C617" s="60"/>
      <c r="E617" s="47"/>
      <c r="F617" s="48"/>
      <c r="G617" s="47"/>
      <c r="J617" s="61"/>
      <c r="K617" s="61"/>
      <c r="L617" s="30"/>
      <c r="N617" s="97"/>
      <c r="O617" s="48"/>
      <c r="P617" s="47"/>
      <c r="Q617" s="24"/>
    </row>
    <row r="618" spans="1:17">
      <c r="A618" s="61"/>
      <c r="B618" s="24"/>
      <c r="C618" s="60"/>
      <c r="E618" s="47"/>
      <c r="F618" s="48"/>
      <c r="G618" s="47"/>
      <c r="J618" s="61"/>
      <c r="K618" s="61"/>
      <c r="L618" s="30"/>
      <c r="N618" s="97"/>
      <c r="O618" s="48"/>
      <c r="P618" s="47"/>
      <c r="Q618" s="24"/>
    </row>
    <row r="619" spans="1:17">
      <c r="A619" s="61"/>
      <c r="B619" s="24"/>
      <c r="C619" s="60"/>
      <c r="E619" s="47"/>
      <c r="F619" s="48"/>
      <c r="G619" s="47"/>
      <c r="J619" s="61"/>
      <c r="K619" s="61"/>
      <c r="L619" s="30"/>
      <c r="N619" s="97"/>
      <c r="O619" s="48"/>
      <c r="P619" s="47"/>
      <c r="Q619" s="24"/>
    </row>
    <row r="620" spans="1:17">
      <c r="A620" s="61"/>
      <c r="B620" s="24"/>
      <c r="C620" s="60"/>
      <c r="E620" s="47"/>
      <c r="F620" s="48"/>
      <c r="G620" s="47"/>
      <c r="J620" s="61"/>
      <c r="K620" s="61"/>
      <c r="L620" s="30"/>
      <c r="N620" s="97"/>
      <c r="O620" s="48"/>
      <c r="P620" s="47"/>
      <c r="Q620" s="24"/>
    </row>
    <row r="621" spans="1:17">
      <c r="A621" s="61"/>
      <c r="B621" s="24"/>
      <c r="C621" s="60"/>
      <c r="E621" s="47"/>
      <c r="F621" s="48"/>
      <c r="G621" s="47"/>
      <c r="J621" s="61"/>
      <c r="K621" s="61"/>
      <c r="L621" s="30"/>
      <c r="N621" s="97"/>
      <c r="O621" s="48"/>
      <c r="P621" s="47"/>
      <c r="Q621" s="24"/>
    </row>
    <row r="622" spans="1:17">
      <c r="A622" s="61"/>
      <c r="B622" s="24"/>
      <c r="C622" s="60"/>
      <c r="E622" s="47"/>
      <c r="F622" s="48"/>
      <c r="G622" s="47"/>
      <c r="J622" s="61"/>
      <c r="K622" s="61"/>
      <c r="L622" s="30"/>
      <c r="N622" s="97"/>
      <c r="O622" s="48"/>
      <c r="P622" s="47"/>
      <c r="Q622" s="24"/>
    </row>
    <row r="623" spans="1:17">
      <c r="A623" s="61"/>
      <c r="B623" s="24"/>
      <c r="C623" s="60"/>
      <c r="E623" s="47"/>
      <c r="F623" s="48"/>
      <c r="G623" s="47"/>
      <c r="J623" s="61"/>
      <c r="K623" s="61"/>
      <c r="L623" s="30"/>
      <c r="N623" s="97"/>
      <c r="O623" s="48"/>
      <c r="P623" s="47"/>
      <c r="Q623" s="24"/>
    </row>
    <row r="624" spans="1:17">
      <c r="A624" s="61"/>
      <c r="B624" s="24"/>
      <c r="C624" s="60"/>
      <c r="E624" s="47"/>
      <c r="F624" s="48"/>
      <c r="G624" s="47"/>
      <c r="J624" s="61"/>
      <c r="K624" s="61"/>
      <c r="L624" s="30"/>
      <c r="N624" s="97"/>
      <c r="O624" s="48"/>
      <c r="P624" s="47"/>
      <c r="Q624" s="24"/>
    </row>
    <row r="625" spans="1:17">
      <c r="A625" s="61"/>
      <c r="B625" s="24"/>
      <c r="C625" s="60"/>
      <c r="E625" s="47"/>
      <c r="F625" s="48"/>
      <c r="G625" s="47"/>
      <c r="J625" s="61"/>
      <c r="K625" s="61"/>
      <c r="L625" s="30"/>
      <c r="N625" s="97"/>
      <c r="O625" s="48"/>
      <c r="P625" s="47"/>
      <c r="Q625" s="24"/>
    </row>
    <row r="626" spans="1:17">
      <c r="A626" s="61"/>
      <c r="B626" s="24"/>
      <c r="C626" s="60"/>
      <c r="E626" s="47"/>
      <c r="F626" s="48"/>
      <c r="G626" s="47"/>
      <c r="J626" s="61"/>
      <c r="K626" s="61"/>
      <c r="L626" s="30"/>
      <c r="N626" s="97"/>
      <c r="O626" s="48"/>
      <c r="P626" s="47"/>
      <c r="Q626" s="24"/>
    </row>
    <row r="627" spans="1:17">
      <c r="A627" s="61"/>
      <c r="B627" s="24"/>
      <c r="C627" s="60"/>
      <c r="E627" s="47"/>
      <c r="F627" s="48"/>
      <c r="G627" s="47"/>
      <c r="J627" s="61"/>
      <c r="K627" s="61"/>
      <c r="L627" s="30"/>
      <c r="N627" s="97"/>
      <c r="O627" s="48"/>
      <c r="P627" s="47"/>
      <c r="Q627" s="24"/>
    </row>
    <row r="628" spans="1:17">
      <c r="A628" s="61"/>
      <c r="B628" s="24"/>
      <c r="C628" s="60"/>
      <c r="E628" s="47"/>
      <c r="F628" s="48"/>
      <c r="G628" s="47"/>
      <c r="J628" s="61"/>
      <c r="K628" s="61"/>
      <c r="L628" s="30"/>
      <c r="N628" s="97"/>
      <c r="O628" s="48"/>
      <c r="P628" s="47"/>
      <c r="Q628" s="24"/>
    </row>
    <row r="629" spans="1:17">
      <c r="A629" s="61"/>
      <c r="B629" s="24"/>
      <c r="C629" s="60"/>
      <c r="E629" s="47"/>
      <c r="F629" s="48"/>
      <c r="G629" s="47"/>
      <c r="J629" s="61"/>
      <c r="K629" s="61"/>
      <c r="L629" s="30"/>
      <c r="N629" s="97"/>
      <c r="O629" s="48"/>
      <c r="P629" s="47"/>
      <c r="Q629" s="24"/>
    </row>
    <row r="630" spans="1:17">
      <c r="A630" s="61"/>
      <c r="B630" s="24"/>
      <c r="C630" s="60"/>
      <c r="E630" s="47"/>
      <c r="F630" s="48"/>
      <c r="G630" s="47"/>
      <c r="J630" s="61"/>
      <c r="K630" s="61"/>
      <c r="L630" s="30"/>
      <c r="N630" s="97"/>
      <c r="O630" s="48"/>
      <c r="P630" s="47"/>
      <c r="Q630" s="24"/>
    </row>
    <row r="631" spans="1:17">
      <c r="A631" s="61"/>
      <c r="B631" s="24"/>
      <c r="C631" s="60"/>
      <c r="E631" s="47"/>
      <c r="F631" s="48"/>
      <c r="G631" s="47"/>
      <c r="J631" s="61"/>
      <c r="K631" s="61"/>
      <c r="L631" s="30"/>
      <c r="N631" s="97"/>
      <c r="O631" s="48"/>
      <c r="P631" s="47"/>
      <c r="Q631" s="24"/>
    </row>
    <row r="632" spans="1:17">
      <c r="A632" s="61"/>
      <c r="B632" s="24"/>
      <c r="C632" s="60"/>
      <c r="E632" s="47"/>
      <c r="F632" s="48"/>
      <c r="G632" s="47"/>
      <c r="J632" s="61"/>
      <c r="K632" s="61"/>
      <c r="L632" s="30"/>
      <c r="N632" s="97"/>
      <c r="O632" s="48"/>
      <c r="P632" s="47"/>
      <c r="Q632" s="24"/>
    </row>
    <row r="633" spans="1:17">
      <c r="A633" s="61"/>
      <c r="B633" s="24"/>
      <c r="C633" s="60"/>
      <c r="E633" s="47"/>
      <c r="F633" s="48"/>
      <c r="G633" s="47"/>
      <c r="J633" s="61"/>
      <c r="K633" s="61"/>
      <c r="L633" s="30"/>
      <c r="N633" s="97"/>
      <c r="O633" s="48"/>
      <c r="P633" s="47"/>
      <c r="Q633" s="24"/>
    </row>
    <row r="634" spans="1:17">
      <c r="A634" s="61"/>
      <c r="B634" s="24"/>
      <c r="C634" s="60"/>
      <c r="E634" s="47"/>
      <c r="F634" s="48"/>
      <c r="G634" s="47"/>
      <c r="J634" s="61"/>
      <c r="K634" s="61"/>
      <c r="L634" s="30"/>
      <c r="N634" s="97"/>
      <c r="O634" s="48"/>
      <c r="P634" s="47"/>
      <c r="Q634" s="24"/>
    </row>
    <row r="635" spans="1:17">
      <c r="A635" s="61"/>
      <c r="B635" s="24"/>
      <c r="C635" s="60"/>
      <c r="E635" s="47"/>
      <c r="F635" s="48"/>
      <c r="G635" s="47"/>
      <c r="J635" s="61"/>
      <c r="K635" s="61"/>
      <c r="L635" s="30"/>
      <c r="N635" s="97"/>
      <c r="O635" s="48"/>
      <c r="P635" s="47"/>
      <c r="Q635" s="24"/>
    </row>
    <row r="636" spans="1:17">
      <c r="A636" s="61"/>
      <c r="B636" s="24"/>
      <c r="C636" s="60"/>
      <c r="E636" s="47"/>
      <c r="F636" s="48"/>
      <c r="G636" s="47"/>
      <c r="J636" s="61"/>
      <c r="K636" s="61"/>
      <c r="L636" s="30"/>
      <c r="N636" s="97"/>
      <c r="O636" s="48"/>
      <c r="P636" s="47"/>
      <c r="Q636" s="24"/>
    </row>
    <row r="637" spans="1:17">
      <c r="A637" s="61"/>
      <c r="B637" s="24"/>
      <c r="C637" s="60"/>
      <c r="E637" s="47"/>
      <c r="F637" s="48"/>
      <c r="G637" s="47"/>
      <c r="J637" s="61"/>
      <c r="K637" s="61"/>
      <c r="L637" s="30"/>
      <c r="N637" s="97"/>
      <c r="O637" s="48"/>
      <c r="P637" s="47"/>
      <c r="Q637" s="24"/>
    </row>
    <row r="638" spans="1:17">
      <c r="A638" s="61"/>
      <c r="B638" s="24"/>
      <c r="C638" s="60"/>
      <c r="E638" s="47"/>
      <c r="F638" s="48"/>
      <c r="G638" s="47"/>
      <c r="J638" s="61"/>
      <c r="K638" s="61"/>
      <c r="L638" s="30"/>
      <c r="N638" s="97"/>
      <c r="O638" s="48"/>
      <c r="P638" s="47"/>
      <c r="Q638" s="24"/>
    </row>
    <row r="639" spans="1:17">
      <c r="A639" s="61"/>
      <c r="B639" s="24"/>
      <c r="C639" s="60"/>
      <c r="E639" s="47"/>
      <c r="F639" s="48"/>
      <c r="G639" s="47"/>
      <c r="J639" s="61"/>
      <c r="K639" s="61"/>
      <c r="L639" s="30"/>
      <c r="N639" s="97"/>
      <c r="O639" s="48"/>
      <c r="P639" s="47"/>
      <c r="Q639" s="24"/>
    </row>
    <row r="640" spans="1:17">
      <c r="A640" s="61"/>
      <c r="B640" s="24"/>
      <c r="C640" s="60"/>
      <c r="E640" s="47"/>
      <c r="F640" s="48"/>
      <c r="G640" s="47"/>
      <c r="J640" s="61"/>
      <c r="K640" s="61"/>
      <c r="L640" s="30"/>
      <c r="N640" s="97"/>
      <c r="O640" s="48"/>
      <c r="P640" s="47"/>
      <c r="Q640" s="24"/>
    </row>
    <row r="641" spans="1:17">
      <c r="A641" s="61"/>
      <c r="B641" s="24"/>
      <c r="C641" s="60"/>
      <c r="E641" s="47"/>
      <c r="F641" s="48"/>
      <c r="G641" s="47"/>
      <c r="J641" s="61"/>
      <c r="K641" s="61"/>
      <c r="L641" s="30"/>
      <c r="N641" s="97"/>
      <c r="O641" s="48"/>
      <c r="P641" s="47"/>
      <c r="Q641" s="24"/>
    </row>
    <row r="642" spans="1:17">
      <c r="A642" s="61"/>
      <c r="B642" s="24"/>
      <c r="C642" s="60"/>
      <c r="E642" s="47"/>
      <c r="F642" s="48"/>
      <c r="G642" s="47"/>
      <c r="J642" s="61"/>
      <c r="K642" s="61"/>
      <c r="L642" s="30"/>
      <c r="N642" s="97"/>
      <c r="O642" s="48"/>
      <c r="P642" s="47"/>
      <c r="Q642" s="24"/>
    </row>
    <row r="643" spans="1:17">
      <c r="A643" s="61"/>
      <c r="B643" s="24"/>
      <c r="C643" s="60"/>
      <c r="E643" s="47"/>
      <c r="F643" s="48"/>
      <c r="G643" s="47"/>
      <c r="J643" s="61"/>
      <c r="K643" s="61"/>
      <c r="L643" s="30"/>
      <c r="N643" s="97"/>
      <c r="O643" s="48"/>
      <c r="P643" s="47"/>
      <c r="Q643" s="24"/>
    </row>
    <row r="644" spans="1:17">
      <c r="A644" s="61"/>
      <c r="B644" s="24"/>
      <c r="C644" s="60"/>
      <c r="E644" s="47"/>
      <c r="F644" s="48"/>
      <c r="G644" s="47"/>
      <c r="J644" s="61"/>
      <c r="K644" s="61"/>
      <c r="L644" s="30"/>
      <c r="N644" s="97"/>
      <c r="O644" s="48"/>
      <c r="P644" s="47"/>
      <c r="Q644" s="24"/>
    </row>
    <row r="645" spans="1:17">
      <c r="A645" s="61"/>
      <c r="B645" s="24"/>
      <c r="C645" s="60"/>
      <c r="E645" s="47"/>
      <c r="F645" s="48"/>
      <c r="G645" s="47"/>
      <c r="J645" s="61"/>
      <c r="K645" s="61"/>
      <c r="L645" s="30"/>
      <c r="N645" s="97"/>
      <c r="O645" s="48"/>
      <c r="P645" s="47"/>
      <c r="Q645" s="24"/>
    </row>
    <row r="646" spans="1:17">
      <c r="A646" s="61"/>
      <c r="B646" s="24"/>
      <c r="C646" s="60"/>
      <c r="E646" s="47"/>
      <c r="F646" s="48"/>
      <c r="G646" s="47"/>
      <c r="J646" s="61"/>
      <c r="K646" s="61"/>
      <c r="L646" s="30"/>
      <c r="N646" s="97"/>
      <c r="O646" s="48"/>
      <c r="P646" s="47"/>
      <c r="Q646" s="24"/>
    </row>
    <row r="647" spans="1:17">
      <c r="A647" s="61"/>
      <c r="B647" s="24"/>
      <c r="C647" s="60"/>
      <c r="E647" s="47"/>
      <c r="F647" s="48"/>
      <c r="G647" s="47"/>
      <c r="J647" s="61"/>
      <c r="K647" s="61"/>
      <c r="L647" s="30"/>
      <c r="N647" s="97"/>
      <c r="O647" s="48"/>
      <c r="P647" s="47"/>
      <c r="Q647" s="24"/>
    </row>
    <row r="648" spans="1:17">
      <c r="A648" s="61"/>
      <c r="B648" s="24"/>
      <c r="C648" s="60"/>
      <c r="E648" s="47"/>
      <c r="F648" s="48"/>
      <c r="G648" s="47"/>
      <c r="J648" s="61"/>
      <c r="K648" s="61"/>
      <c r="L648" s="30"/>
      <c r="N648" s="97"/>
      <c r="O648" s="48"/>
      <c r="P648" s="47"/>
      <c r="Q648" s="24"/>
    </row>
    <row r="649" spans="1:17">
      <c r="A649" s="61"/>
      <c r="B649" s="24"/>
      <c r="C649" s="60"/>
      <c r="E649" s="47"/>
      <c r="F649" s="48"/>
      <c r="G649" s="47"/>
      <c r="J649" s="61"/>
      <c r="K649" s="61"/>
      <c r="L649" s="30"/>
      <c r="N649" s="97"/>
      <c r="O649" s="48"/>
      <c r="P649" s="47"/>
      <c r="Q649" s="24"/>
    </row>
    <row r="650" spans="1:17">
      <c r="A650" s="61"/>
      <c r="B650" s="24"/>
      <c r="C650" s="60"/>
      <c r="E650" s="47"/>
      <c r="F650" s="48"/>
      <c r="G650" s="47"/>
      <c r="J650" s="61"/>
      <c r="K650" s="61"/>
      <c r="L650" s="30"/>
      <c r="N650" s="97"/>
      <c r="O650" s="48"/>
      <c r="P650" s="47"/>
      <c r="Q650" s="24"/>
    </row>
    <row r="651" spans="1:17">
      <c r="A651" s="61"/>
      <c r="B651" s="24"/>
      <c r="C651" s="60"/>
      <c r="E651" s="47"/>
      <c r="F651" s="48"/>
      <c r="G651" s="47"/>
      <c r="J651" s="61"/>
      <c r="K651" s="61"/>
      <c r="L651" s="30"/>
      <c r="N651" s="97"/>
      <c r="O651" s="48"/>
      <c r="P651" s="47"/>
      <c r="Q651" s="24"/>
    </row>
    <row r="652" spans="1:17">
      <c r="A652" s="61"/>
      <c r="B652" s="24"/>
      <c r="C652" s="60"/>
      <c r="E652" s="47"/>
      <c r="F652" s="48"/>
      <c r="G652" s="47"/>
      <c r="J652" s="61"/>
      <c r="K652" s="61"/>
      <c r="L652" s="30"/>
      <c r="N652" s="97"/>
      <c r="O652" s="48"/>
      <c r="P652" s="47"/>
      <c r="Q652" s="24"/>
    </row>
    <row r="653" spans="1:17">
      <c r="A653" s="61"/>
      <c r="B653" s="24"/>
      <c r="C653" s="60"/>
      <c r="E653" s="47"/>
      <c r="F653" s="48"/>
      <c r="G653" s="47"/>
      <c r="J653" s="61"/>
      <c r="K653" s="61"/>
      <c r="L653" s="30"/>
      <c r="N653" s="97"/>
      <c r="O653" s="48"/>
      <c r="P653" s="47"/>
      <c r="Q653" s="24"/>
    </row>
    <row r="654" spans="1:17">
      <c r="A654" s="61"/>
      <c r="B654" s="24"/>
      <c r="C654" s="60"/>
      <c r="E654" s="47"/>
      <c r="F654" s="48"/>
      <c r="G654" s="47"/>
      <c r="J654" s="61"/>
      <c r="K654" s="61"/>
      <c r="L654" s="30"/>
      <c r="N654" s="97"/>
      <c r="O654" s="48"/>
      <c r="P654" s="47"/>
      <c r="Q654" s="24"/>
    </row>
    <row r="655" spans="1:17">
      <c r="A655" s="61"/>
      <c r="B655" s="24"/>
      <c r="C655" s="60"/>
      <c r="E655" s="47"/>
      <c r="F655" s="48"/>
      <c r="G655" s="47"/>
      <c r="J655" s="61"/>
      <c r="K655" s="61"/>
      <c r="L655" s="30"/>
      <c r="N655" s="97"/>
      <c r="O655" s="48"/>
      <c r="P655" s="47"/>
      <c r="Q655" s="24"/>
    </row>
    <row r="656" spans="1:17">
      <c r="A656" s="61"/>
      <c r="B656" s="24"/>
      <c r="C656" s="60"/>
      <c r="E656" s="47"/>
      <c r="F656" s="48"/>
      <c r="G656" s="47"/>
      <c r="J656" s="61"/>
      <c r="K656" s="61"/>
      <c r="L656" s="30"/>
      <c r="N656" s="97"/>
      <c r="O656" s="48"/>
      <c r="P656" s="47"/>
      <c r="Q656" s="24"/>
    </row>
    <row r="657" spans="1:17">
      <c r="A657" s="61"/>
      <c r="B657" s="24"/>
      <c r="C657" s="60"/>
      <c r="E657" s="47"/>
      <c r="F657" s="48"/>
      <c r="G657" s="47"/>
      <c r="J657" s="61"/>
      <c r="K657" s="61"/>
      <c r="L657" s="30"/>
      <c r="N657" s="97"/>
      <c r="O657" s="48"/>
      <c r="P657" s="47"/>
      <c r="Q657" s="24"/>
    </row>
    <row r="658" spans="1:17">
      <c r="A658" s="61"/>
      <c r="B658" s="24"/>
      <c r="C658" s="60"/>
      <c r="E658" s="47"/>
      <c r="F658" s="48"/>
      <c r="G658" s="47"/>
      <c r="J658" s="61"/>
      <c r="K658" s="61"/>
      <c r="L658" s="30"/>
      <c r="N658" s="97"/>
      <c r="O658" s="48"/>
      <c r="P658" s="47"/>
      <c r="Q658" s="24"/>
    </row>
    <row r="659" spans="1:17">
      <c r="A659" s="61"/>
      <c r="B659" s="24"/>
      <c r="C659" s="60"/>
      <c r="E659" s="47"/>
      <c r="F659" s="48"/>
      <c r="G659" s="47"/>
      <c r="J659" s="61"/>
      <c r="K659" s="61"/>
      <c r="L659" s="30"/>
      <c r="N659" s="97"/>
      <c r="O659" s="48"/>
      <c r="P659" s="47"/>
      <c r="Q659" s="24"/>
    </row>
    <row r="660" spans="1:17">
      <c r="A660" s="61"/>
      <c r="B660" s="24"/>
      <c r="C660" s="60"/>
      <c r="E660" s="47"/>
      <c r="F660" s="48"/>
      <c r="G660" s="47"/>
      <c r="J660" s="61"/>
      <c r="K660" s="61"/>
      <c r="L660" s="30"/>
      <c r="N660" s="97"/>
      <c r="O660" s="48"/>
      <c r="P660" s="47"/>
      <c r="Q660" s="24"/>
    </row>
    <row r="661" spans="1:17">
      <c r="A661" s="61"/>
      <c r="B661" s="24"/>
      <c r="C661" s="60"/>
      <c r="E661" s="47"/>
      <c r="F661" s="48"/>
      <c r="G661" s="47"/>
      <c r="J661" s="61"/>
      <c r="K661" s="61"/>
      <c r="L661" s="30"/>
      <c r="N661" s="97"/>
      <c r="O661" s="48"/>
      <c r="P661" s="47"/>
      <c r="Q661" s="24"/>
    </row>
    <row r="662" spans="1:17">
      <c r="A662" s="61"/>
      <c r="B662" s="24"/>
      <c r="C662" s="60"/>
      <c r="E662" s="47"/>
      <c r="F662" s="48"/>
      <c r="G662" s="47"/>
      <c r="J662" s="61"/>
      <c r="K662" s="61"/>
      <c r="L662" s="30"/>
      <c r="N662" s="97"/>
      <c r="O662" s="48"/>
      <c r="P662" s="47"/>
      <c r="Q662" s="24"/>
    </row>
    <row r="663" spans="1:17">
      <c r="A663" s="61"/>
      <c r="B663" s="24"/>
      <c r="C663" s="60"/>
      <c r="E663" s="47"/>
      <c r="F663" s="48"/>
      <c r="G663" s="47"/>
      <c r="J663" s="61"/>
      <c r="K663" s="61"/>
      <c r="L663" s="30"/>
      <c r="N663" s="97"/>
      <c r="O663" s="48"/>
      <c r="P663" s="47"/>
      <c r="Q663" s="24"/>
    </row>
    <row r="664" spans="1:17">
      <c r="A664" s="61"/>
      <c r="B664" s="24"/>
      <c r="C664" s="60"/>
      <c r="E664" s="47"/>
      <c r="F664" s="48"/>
      <c r="G664" s="47"/>
      <c r="J664" s="61"/>
      <c r="K664" s="61"/>
      <c r="L664" s="30"/>
      <c r="N664" s="97"/>
      <c r="O664" s="48"/>
      <c r="P664" s="47"/>
      <c r="Q664" s="24"/>
    </row>
    <row r="665" spans="1:17">
      <c r="A665" s="61"/>
      <c r="B665" s="24"/>
      <c r="C665" s="60"/>
      <c r="E665" s="47"/>
      <c r="F665" s="48"/>
      <c r="G665" s="47"/>
      <c r="J665" s="61"/>
      <c r="K665" s="61"/>
      <c r="L665" s="30"/>
      <c r="N665" s="97"/>
      <c r="O665" s="48"/>
      <c r="P665" s="47"/>
      <c r="Q665" s="24"/>
    </row>
    <row r="666" spans="1:17">
      <c r="A666" s="61"/>
      <c r="B666" s="24"/>
      <c r="C666" s="60"/>
      <c r="E666" s="47"/>
      <c r="F666" s="48"/>
      <c r="G666" s="47"/>
      <c r="J666" s="61"/>
      <c r="K666" s="61"/>
      <c r="L666" s="30"/>
      <c r="N666" s="97"/>
      <c r="O666" s="48"/>
      <c r="P666" s="47"/>
      <c r="Q666" s="24"/>
    </row>
    <row r="667" spans="1:17">
      <c r="A667" s="61"/>
      <c r="B667" s="24"/>
      <c r="C667" s="60"/>
      <c r="E667" s="47"/>
      <c r="F667" s="48"/>
      <c r="G667" s="47"/>
      <c r="J667" s="61"/>
      <c r="K667" s="61"/>
      <c r="L667" s="30"/>
      <c r="N667" s="97"/>
      <c r="O667" s="48"/>
      <c r="P667" s="47"/>
      <c r="Q667" s="24"/>
    </row>
    <row r="668" spans="1:17">
      <c r="A668" s="61"/>
      <c r="B668" s="24"/>
      <c r="C668" s="60"/>
      <c r="E668" s="47"/>
      <c r="F668" s="48"/>
      <c r="G668" s="47"/>
      <c r="J668" s="61"/>
      <c r="K668" s="61"/>
      <c r="L668" s="30"/>
      <c r="N668" s="97"/>
      <c r="O668" s="48"/>
      <c r="P668" s="47"/>
      <c r="Q668" s="24"/>
    </row>
    <row r="669" spans="1:17">
      <c r="A669" s="61"/>
      <c r="B669" s="24"/>
      <c r="C669" s="60"/>
      <c r="E669" s="47"/>
      <c r="F669" s="48"/>
      <c r="G669" s="47"/>
      <c r="J669" s="61"/>
      <c r="K669" s="61"/>
      <c r="L669" s="30"/>
      <c r="N669" s="97"/>
      <c r="O669" s="48"/>
      <c r="P669" s="47"/>
      <c r="Q669" s="24"/>
    </row>
    <row r="670" spans="1:17">
      <c r="A670" s="61"/>
      <c r="B670" s="24"/>
      <c r="C670" s="60"/>
      <c r="E670" s="47"/>
      <c r="F670" s="48"/>
      <c r="G670" s="47"/>
      <c r="J670" s="61"/>
      <c r="K670" s="61"/>
      <c r="L670" s="30"/>
      <c r="N670" s="97"/>
      <c r="O670" s="48"/>
      <c r="P670" s="47"/>
      <c r="Q670" s="24"/>
    </row>
    <row r="671" spans="1:17">
      <c r="A671" s="61"/>
      <c r="B671" s="24"/>
      <c r="C671" s="60"/>
      <c r="E671" s="47"/>
      <c r="F671" s="48"/>
      <c r="G671" s="47"/>
      <c r="J671" s="61"/>
      <c r="K671" s="61"/>
      <c r="L671" s="30"/>
      <c r="N671" s="97"/>
      <c r="O671" s="48"/>
      <c r="P671" s="47"/>
      <c r="Q671" s="24"/>
    </row>
    <row r="672" spans="1:17">
      <c r="A672" s="61"/>
      <c r="B672" s="24"/>
      <c r="C672" s="60"/>
      <c r="E672" s="47"/>
      <c r="F672" s="48"/>
      <c r="G672" s="47"/>
      <c r="J672" s="61"/>
      <c r="K672" s="61"/>
      <c r="L672" s="30"/>
      <c r="N672" s="97"/>
      <c r="O672" s="48"/>
      <c r="P672" s="47"/>
      <c r="Q672" s="24"/>
    </row>
    <row r="673" spans="1:17">
      <c r="A673" s="61"/>
      <c r="B673" s="24"/>
      <c r="C673" s="60"/>
      <c r="E673" s="47"/>
      <c r="F673" s="48"/>
      <c r="G673" s="47"/>
      <c r="J673" s="61"/>
      <c r="K673" s="61"/>
      <c r="L673" s="30"/>
      <c r="N673" s="97"/>
      <c r="O673" s="48"/>
      <c r="P673" s="47"/>
      <c r="Q673" s="24"/>
    </row>
    <row r="674" spans="1:17">
      <c r="A674" s="61"/>
      <c r="B674" s="24"/>
      <c r="C674" s="60"/>
      <c r="E674" s="47"/>
      <c r="F674" s="48"/>
      <c r="G674" s="47"/>
      <c r="J674" s="61"/>
      <c r="K674" s="61"/>
      <c r="L674" s="30"/>
      <c r="N674" s="97"/>
      <c r="O674" s="48"/>
      <c r="P674" s="47"/>
      <c r="Q674" s="24"/>
    </row>
    <row r="675" spans="1:17">
      <c r="A675" s="61"/>
      <c r="B675" s="24"/>
      <c r="C675" s="60"/>
      <c r="E675" s="47"/>
      <c r="F675" s="48"/>
      <c r="G675" s="47"/>
      <c r="J675" s="61"/>
      <c r="K675" s="61"/>
      <c r="L675" s="30"/>
      <c r="N675" s="97"/>
      <c r="O675" s="48"/>
      <c r="P675" s="47"/>
      <c r="Q675" s="24"/>
    </row>
    <row r="676" spans="1:17">
      <c r="A676" s="61"/>
      <c r="B676" s="24"/>
      <c r="C676" s="60"/>
      <c r="E676" s="47"/>
      <c r="F676" s="48"/>
      <c r="G676" s="47"/>
      <c r="J676" s="61"/>
      <c r="K676" s="61"/>
      <c r="L676" s="30"/>
      <c r="N676" s="97"/>
      <c r="O676" s="48"/>
      <c r="P676" s="47"/>
      <c r="Q676" s="24"/>
    </row>
    <row r="677" spans="1:17">
      <c r="A677" s="61"/>
      <c r="B677" s="24"/>
      <c r="C677" s="60"/>
      <c r="E677" s="47"/>
      <c r="F677" s="48"/>
      <c r="G677" s="47"/>
      <c r="J677" s="61"/>
      <c r="K677" s="61"/>
      <c r="L677" s="30"/>
      <c r="N677" s="97"/>
      <c r="O677" s="48"/>
      <c r="P677" s="47"/>
      <c r="Q677" s="24"/>
    </row>
    <row r="678" spans="1:17">
      <c r="A678" s="61"/>
      <c r="B678" s="24"/>
      <c r="C678" s="60"/>
      <c r="E678" s="47"/>
      <c r="F678" s="48"/>
      <c r="G678" s="47"/>
      <c r="J678" s="61"/>
      <c r="K678" s="61"/>
      <c r="L678" s="30"/>
      <c r="N678" s="97"/>
      <c r="O678" s="48"/>
      <c r="P678" s="47"/>
      <c r="Q678" s="24"/>
    </row>
    <row r="679" spans="1:17">
      <c r="A679" s="61"/>
      <c r="B679" s="24"/>
      <c r="C679" s="60"/>
      <c r="E679" s="47"/>
      <c r="F679" s="48"/>
      <c r="G679" s="47"/>
      <c r="J679" s="61"/>
      <c r="K679" s="61"/>
      <c r="L679" s="30"/>
      <c r="N679" s="97"/>
      <c r="O679" s="48"/>
      <c r="P679" s="47"/>
      <c r="Q679" s="24"/>
    </row>
    <row r="680" spans="1:17">
      <c r="A680" s="61"/>
      <c r="B680" s="24"/>
      <c r="C680" s="60"/>
      <c r="E680" s="47"/>
      <c r="F680" s="48"/>
      <c r="G680" s="47"/>
      <c r="J680" s="61"/>
      <c r="K680" s="61"/>
      <c r="L680" s="30"/>
      <c r="N680" s="97"/>
      <c r="O680" s="48"/>
      <c r="P680" s="47"/>
      <c r="Q680" s="24"/>
    </row>
    <row r="681" spans="1:17">
      <c r="A681" s="61"/>
      <c r="B681" s="24"/>
      <c r="C681" s="60"/>
      <c r="E681" s="47"/>
      <c r="F681" s="48"/>
      <c r="G681" s="47"/>
      <c r="J681" s="61"/>
      <c r="K681" s="61"/>
      <c r="L681" s="30"/>
      <c r="N681" s="97"/>
      <c r="O681" s="48"/>
      <c r="P681" s="47"/>
      <c r="Q681" s="24"/>
    </row>
    <row r="682" spans="1:17">
      <c r="A682" s="61"/>
      <c r="B682" s="24"/>
      <c r="C682" s="60"/>
      <c r="E682" s="47"/>
      <c r="F682" s="48"/>
      <c r="G682" s="47"/>
      <c r="J682" s="61"/>
      <c r="K682" s="61"/>
      <c r="L682" s="30"/>
      <c r="N682" s="97"/>
      <c r="O682" s="48"/>
      <c r="P682" s="47"/>
      <c r="Q682" s="24"/>
    </row>
    <row r="683" spans="1:17">
      <c r="A683" s="61"/>
      <c r="B683" s="24"/>
      <c r="C683" s="60"/>
      <c r="E683" s="47"/>
      <c r="F683" s="48"/>
      <c r="G683" s="47"/>
      <c r="J683" s="61"/>
      <c r="K683" s="61"/>
      <c r="L683" s="30"/>
      <c r="N683" s="97"/>
      <c r="O683" s="48"/>
      <c r="P683" s="47"/>
      <c r="Q683" s="24"/>
    </row>
    <row r="684" spans="1:17">
      <c r="A684" s="61"/>
      <c r="B684" s="24"/>
      <c r="C684" s="60"/>
      <c r="E684" s="47"/>
      <c r="F684" s="48"/>
      <c r="G684" s="47"/>
      <c r="J684" s="61"/>
      <c r="K684" s="61"/>
      <c r="L684" s="30"/>
      <c r="N684" s="97"/>
      <c r="O684" s="48"/>
      <c r="P684" s="47"/>
      <c r="Q684" s="24"/>
    </row>
    <row r="685" spans="1:17">
      <c r="A685" s="61"/>
      <c r="B685" s="24"/>
      <c r="C685" s="60"/>
      <c r="E685" s="47"/>
      <c r="F685" s="48"/>
      <c r="G685" s="47"/>
      <c r="J685" s="61"/>
      <c r="K685" s="61"/>
      <c r="L685" s="30"/>
      <c r="N685" s="97"/>
      <c r="O685" s="48"/>
      <c r="P685" s="47"/>
      <c r="Q685" s="24"/>
    </row>
    <row r="686" spans="1:17">
      <c r="A686" s="61"/>
      <c r="B686" s="24"/>
      <c r="C686" s="60"/>
      <c r="E686" s="47"/>
      <c r="F686" s="48"/>
      <c r="G686" s="47"/>
      <c r="J686" s="61"/>
      <c r="K686" s="61"/>
      <c r="L686" s="30"/>
      <c r="N686" s="97"/>
      <c r="O686" s="48"/>
      <c r="P686" s="47"/>
      <c r="Q686" s="24"/>
    </row>
    <row r="687" spans="1:17">
      <c r="A687" s="61"/>
      <c r="B687" s="24"/>
      <c r="C687" s="60"/>
      <c r="E687" s="47"/>
      <c r="F687" s="48"/>
      <c r="G687" s="47"/>
      <c r="J687" s="61"/>
      <c r="K687" s="61"/>
      <c r="L687" s="30"/>
      <c r="N687" s="97"/>
      <c r="O687" s="48"/>
      <c r="P687" s="47"/>
      <c r="Q687" s="24"/>
    </row>
    <row r="688" spans="1:17">
      <c r="A688" s="61"/>
      <c r="B688" s="24"/>
      <c r="C688" s="60"/>
      <c r="E688" s="47"/>
      <c r="F688" s="48"/>
      <c r="G688" s="47"/>
      <c r="J688" s="61"/>
      <c r="K688" s="61"/>
      <c r="L688" s="30"/>
      <c r="N688" s="97"/>
      <c r="O688" s="48"/>
      <c r="P688" s="47"/>
      <c r="Q688" s="24"/>
    </row>
    <row r="689" spans="1:17">
      <c r="A689" s="61"/>
      <c r="B689" s="24"/>
      <c r="C689" s="60"/>
      <c r="E689" s="47"/>
      <c r="F689" s="48"/>
      <c r="G689" s="47"/>
      <c r="J689" s="61"/>
      <c r="K689" s="61"/>
      <c r="L689" s="30"/>
      <c r="N689" s="97"/>
      <c r="O689" s="48"/>
      <c r="P689" s="47"/>
      <c r="Q689" s="24"/>
    </row>
    <row r="690" spans="1:17">
      <c r="A690" s="61"/>
      <c r="B690" s="24"/>
      <c r="C690" s="60"/>
      <c r="E690" s="47"/>
      <c r="F690" s="48"/>
      <c r="G690" s="47"/>
      <c r="J690" s="61"/>
      <c r="K690" s="61"/>
      <c r="L690" s="30"/>
      <c r="N690" s="97"/>
      <c r="O690" s="48"/>
      <c r="P690" s="47"/>
      <c r="Q690" s="24"/>
    </row>
    <row r="691" spans="1:17">
      <c r="A691" s="61"/>
      <c r="B691" s="24"/>
      <c r="C691" s="60"/>
      <c r="E691" s="47"/>
      <c r="F691" s="48"/>
      <c r="G691" s="47"/>
      <c r="J691" s="61"/>
      <c r="K691" s="61"/>
      <c r="L691" s="30"/>
      <c r="N691" s="97"/>
      <c r="O691" s="48"/>
      <c r="P691" s="47"/>
      <c r="Q691" s="24"/>
    </row>
    <row r="692" spans="1:17">
      <c r="A692" s="61"/>
      <c r="B692" s="24"/>
      <c r="C692" s="60"/>
      <c r="E692" s="47"/>
      <c r="F692" s="48"/>
      <c r="G692" s="47"/>
      <c r="J692" s="61"/>
      <c r="K692" s="61"/>
      <c r="L692" s="30"/>
      <c r="N692" s="97"/>
      <c r="O692" s="48"/>
      <c r="P692" s="47"/>
      <c r="Q692" s="24"/>
    </row>
    <row r="693" spans="1:17">
      <c r="A693" s="61"/>
      <c r="B693" s="24"/>
      <c r="C693" s="60"/>
      <c r="E693" s="47"/>
      <c r="F693" s="48"/>
      <c r="G693" s="47"/>
      <c r="J693" s="61"/>
      <c r="K693" s="61"/>
      <c r="L693" s="30"/>
      <c r="N693" s="97"/>
      <c r="O693" s="48"/>
      <c r="P693" s="47"/>
      <c r="Q693" s="24"/>
    </row>
    <row r="694" spans="1:17">
      <c r="A694" s="61"/>
      <c r="B694" s="24"/>
      <c r="C694" s="60"/>
      <c r="E694" s="47"/>
      <c r="F694" s="48"/>
      <c r="G694" s="47"/>
      <c r="J694" s="61"/>
      <c r="K694" s="61"/>
      <c r="L694" s="30"/>
      <c r="N694" s="97"/>
      <c r="O694" s="48"/>
      <c r="P694" s="47"/>
      <c r="Q694" s="24"/>
    </row>
    <row r="695" spans="1:17">
      <c r="A695" s="61"/>
      <c r="B695" s="24"/>
      <c r="C695" s="60"/>
      <c r="E695" s="47"/>
      <c r="F695" s="48"/>
      <c r="G695" s="47"/>
      <c r="J695" s="61"/>
      <c r="K695" s="61"/>
      <c r="L695" s="30"/>
      <c r="N695" s="97"/>
      <c r="O695" s="48"/>
      <c r="P695" s="47"/>
      <c r="Q695" s="24"/>
    </row>
    <row r="696" spans="1:17">
      <c r="A696" s="61"/>
      <c r="B696" s="24"/>
      <c r="C696" s="60"/>
      <c r="E696" s="47"/>
      <c r="F696" s="48"/>
      <c r="G696" s="47"/>
      <c r="J696" s="61"/>
      <c r="K696" s="61"/>
      <c r="L696" s="30"/>
      <c r="N696" s="97"/>
      <c r="O696" s="48"/>
      <c r="P696" s="47"/>
      <c r="Q696" s="24"/>
    </row>
    <row r="697" spans="1:17">
      <c r="A697" s="61"/>
      <c r="B697" s="24"/>
      <c r="C697" s="60"/>
      <c r="E697" s="47"/>
      <c r="F697" s="48"/>
      <c r="G697" s="47"/>
      <c r="J697" s="61"/>
      <c r="K697" s="61"/>
      <c r="L697" s="30"/>
      <c r="N697" s="97"/>
      <c r="O697" s="48"/>
      <c r="P697" s="47"/>
      <c r="Q697" s="24"/>
    </row>
    <row r="698" spans="1:17">
      <c r="A698" s="61"/>
      <c r="B698" s="24"/>
      <c r="C698" s="60"/>
      <c r="E698" s="47"/>
      <c r="F698" s="48"/>
      <c r="G698" s="47"/>
      <c r="J698" s="61"/>
      <c r="K698" s="61"/>
      <c r="L698" s="30"/>
      <c r="N698" s="97"/>
      <c r="O698" s="48"/>
      <c r="P698" s="47"/>
      <c r="Q698" s="24"/>
    </row>
    <row r="699" spans="1:17">
      <c r="A699" s="61"/>
      <c r="B699" s="24"/>
      <c r="C699" s="60"/>
      <c r="E699" s="47"/>
      <c r="F699" s="48"/>
      <c r="G699" s="47"/>
      <c r="J699" s="61"/>
      <c r="K699" s="61"/>
      <c r="L699" s="30"/>
      <c r="N699" s="97"/>
      <c r="O699" s="48"/>
      <c r="P699" s="47"/>
      <c r="Q699" s="24"/>
    </row>
    <row r="700" spans="1:17">
      <c r="A700" s="61"/>
      <c r="B700" s="24"/>
      <c r="C700" s="60"/>
      <c r="E700" s="47"/>
      <c r="F700" s="48"/>
      <c r="G700" s="47"/>
      <c r="J700" s="61"/>
      <c r="K700" s="61"/>
      <c r="L700" s="30"/>
      <c r="N700" s="97"/>
      <c r="O700" s="48"/>
      <c r="P700" s="47"/>
      <c r="Q700" s="24"/>
    </row>
    <row r="701" spans="1:17">
      <c r="A701" s="61"/>
      <c r="B701" s="24"/>
      <c r="C701" s="60"/>
      <c r="E701" s="47"/>
      <c r="F701" s="48"/>
      <c r="G701" s="47"/>
      <c r="J701" s="61"/>
      <c r="K701" s="61"/>
      <c r="L701" s="30"/>
      <c r="N701" s="97"/>
      <c r="O701" s="48"/>
      <c r="P701" s="47"/>
      <c r="Q701" s="24"/>
    </row>
    <row r="702" spans="1:17">
      <c r="A702" s="61"/>
      <c r="B702" s="24"/>
      <c r="C702" s="60"/>
      <c r="E702" s="47"/>
      <c r="F702" s="48"/>
      <c r="G702" s="47"/>
      <c r="J702" s="61"/>
      <c r="K702" s="61"/>
      <c r="L702" s="30"/>
      <c r="N702" s="97"/>
      <c r="O702" s="48"/>
      <c r="P702" s="47"/>
      <c r="Q702" s="24"/>
    </row>
    <row r="703" spans="1:17">
      <c r="A703" s="61"/>
      <c r="B703" s="24"/>
      <c r="C703" s="60"/>
      <c r="E703" s="47"/>
      <c r="F703" s="48"/>
      <c r="G703" s="47"/>
      <c r="J703" s="61"/>
      <c r="K703" s="61"/>
      <c r="L703" s="30"/>
      <c r="N703" s="97"/>
      <c r="O703" s="48"/>
      <c r="P703" s="47"/>
      <c r="Q703" s="24"/>
    </row>
    <row r="704" spans="1:17">
      <c r="A704" s="61"/>
      <c r="B704" s="24"/>
      <c r="C704" s="60"/>
      <c r="E704" s="47"/>
      <c r="F704" s="48"/>
      <c r="G704" s="47"/>
      <c r="J704" s="61"/>
      <c r="K704" s="61"/>
      <c r="L704" s="30"/>
      <c r="N704" s="97"/>
      <c r="O704" s="48"/>
      <c r="P704" s="47"/>
      <c r="Q704" s="24"/>
    </row>
    <row r="705" spans="1:17">
      <c r="A705" s="61"/>
      <c r="B705" s="24"/>
      <c r="C705" s="60"/>
      <c r="E705" s="47"/>
      <c r="F705" s="48"/>
      <c r="G705" s="47"/>
      <c r="J705" s="61"/>
      <c r="K705" s="61"/>
      <c r="L705" s="30"/>
      <c r="N705" s="97"/>
      <c r="O705" s="48"/>
      <c r="P705" s="47"/>
      <c r="Q705" s="24"/>
    </row>
    <row r="706" spans="1:17">
      <c r="A706" s="61"/>
      <c r="B706" s="24"/>
      <c r="C706" s="60"/>
      <c r="E706" s="47"/>
      <c r="F706" s="48"/>
      <c r="G706" s="47"/>
      <c r="J706" s="61"/>
      <c r="K706" s="61"/>
      <c r="L706" s="30"/>
      <c r="N706" s="97"/>
      <c r="O706" s="48"/>
      <c r="P706" s="47"/>
      <c r="Q706" s="24"/>
    </row>
    <row r="707" spans="1:17">
      <c r="A707" s="61"/>
      <c r="B707" s="24"/>
      <c r="C707" s="60"/>
      <c r="E707" s="47"/>
      <c r="F707" s="48"/>
      <c r="G707" s="47"/>
      <c r="J707" s="61"/>
      <c r="K707" s="61"/>
      <c r="L707" s="30"/>
      <c r="N707" s="97"/>
      <c r="O707" s="48"/>
      <c r="P707" s="47"/>
      <c r="Q707" s="24"/>
    </row>
    <row r="708" spans="1:17">
      <c r="A708" s="61"/>
      <c r="B708" s="24"/>
      <c r="C708" s="60"/>
      <c r="E708" s="47"/>
      <c r="F708" s="48"/>
      <c r="G708" s="47"/>
      <c r="J708" s="61"/>
      <c r="K708" s="61"/>
      <c r="L708" s="30"/>
      <c r="N708" s="97"/>
      <c r="O708" s="48"/>
      <c r="P708" s="47"/>
      <c r="Q708" s="24"/>
    </row>
    <row r="709" spans="1:17">
      <c r="A709" s="61"/>
      <c r="B709" s="24"/>
      <c r="C709" s="60"/>
      <c r="E709" s="47"/>
      <c r="F709" s="48"/>
      <c r="G709" s="47"/>
      <c r="J709" s="61"/>
      <c r="K709" s="61"/>
      <c r="L709" s="30"/>
      <c r="N709" s="97"/>
      <c r="O709" s="48"/>
      <c r="P709" s="47"/>
      <c r="Q709" s="24"/>
    </row>
    <row r="710" spans="1:17">
      <c r="A710" s="61"/>
      <c r="B710" s="24"/>
      <c r="C710" s="60"/>
      <c r="E710" s="47"/>
      <c r="F710" s="48"/>
      <c r="G710" s="47"/>
      <c r="J710" s="61"/>
      <c r="K710" s="61"/>
      <c r="L710" s="30"/>
      <c r="N710" s="97"/>
      <c r="O710" s="48"/>
      <c r="P710" s="47"/>
      <c r="Q710" s="24"/>
    </row>
    <row r="711" spans="1:17">
      <c r="A711" s="61"/>
      <c r="B711" s="24"/>
      <c r="C711" s="60"/>
      <c r="E711" s="47"/>
      <c r="F711" s="48"/>
      <c r="G711" s="47"/>
      <c r="J711" s="61"/>
      <c r="K711" s="61"/>
      <c r="L711" s="30"/>
      <c r="N711" s="97"/>
      <c r="O711" s="48"/>
      <c r="P711" s="47"/>
      <c r="Q711" s="24"/>
    </row>
    <row r="712" spans="1:17">
      <c r="A712" s="61"/>
      <c r="B712" s="24"/>
      <c r="C712" s="60"/>
      <c r="E712" s="47"/>
      <c r="F712" s="48"/>
      <c r="G712" s="47"/>
      <c r="J712" s="61"/>
      <c r="K712" s="61"/>
      <c r="L712" s="30"/>
      <c r="N712" s="97"/>
      <c r="O712" s="48"/>
      <c r="P712" s="47"/>
      <c r="Q712" s="24"/>
    </row>
    <row r="713" spans="1:17">
      <c r="A713" s="61"/>
      <c r="B713" s="24"/>
      <c r="C713" s="60"/>
      <c r="E713" s="47"/>
      <c r="F713" s="48"/>
      <c r="G713" s="47"/>
      <c r="J713" s="61"/>
      <c r="K713" s="61"/>
      <c r="L713" s="30"/>
      <c r="N713" s="97"/>
      <c r="O713" s="48"/>
      <c r="P713" s="47"/>
      <c r="Q713" s="24"/>
    </row>
    <row r="714" spans="1:17">
      <c r="A714" s="61"/>
      <c r="B714" s="24"/>
      <c r="C714" s="60"/>
      <c r="E714" s="47"/>
      <c r="F714" s="48"/>
      <c r="G714" s="47"/>
      <c r="J714" s="61"/>
      <c r="K714" s="61"/>
      <c r="L714" s="30"/>
      <c r="N714" s="97"/>
      <c r="O714" s="48"/>
      <c r="P714" s="47"/>
      <c r="Q714" s="24"/>
    </row>
    <row r="715" spans="1:17">
      <c r="A715" s="61"/>
      <c r="B715" s="24"/>
      <c r="C715" s="60"/>
      <c r="E715" s="47"/>
      <c r="F715" s="48"/>
      <c r="G715" s="47"/>
      <c r="J715" s="61"/>
      <c r="K715" s="61"/>
      <c r="L715" s="30"/>
      <c r="N715" s="97"/>
      <c r="O715" s="48"/>
      <c r="P715" s="47"/>
      <c r="Q715" s="24"/>
    </row>
    <row r="716" spans="1:17">
      <c r="A716" s="61"/>
      <c r="B716" s="24"/>
      <c r="C716" s="60"/>
      <c r="E716" s="47"/>
      <c r="F716" s="48"/>
      <c r="G716" s="47"/>
      <c r="J716" s="61"/>
      <c r="K716" s="61"/>
      <c r="L716" s="30"/>
      <c r="N716" s="97"/>
      <c r="O716" s="48"/>
      <c r="P716" s="47"/>
      <c r="Q716" s="24"/>
    </row>
    <row r="717" spans="1:17">
      <c r="A717" s="61"/>
      <c r="B717" s="24"/>
      <c r="C717" s="60"/>
      <c r="E717" s="47"/>
      <c r="F717" s="48"/>
      <c r="G717" s="47"/>
      <c r="J717" s="61"/>
      <c r="K717" s="61"/>
      <c r="L717" s="30"/>
      <c r="N717" s="97"/>
      <c r="O717" s="48"/>
      <c r="P717" s="47"/>
      <c r="Q717" s="24"/>
    </row>
    <row r="718" spans="1:17">
      <c r="A718" s="61"/>
      <c r="B718" s="24"/>
      <c r="C718" s="60"/>
      <c r="E718" s="47"/>
      <c r="F718" s="48"/>
      <c r="G718" s="47"/>
      <c r="J718" s="61"/>
      <c r="K718" s="61"/>
      <c r="L718" s="30"/>
      <c r="N718" s="97"/>
      <c r="O718" s="48"/>
      <c r="P718" s="47"/>
      <c r="Q718" s="24"/>
    </row>
    <row r="719" spans="1:17">
      <c r="A719" s="61"/>
      <c r="B719" s="24"/>
      <c r="C719" s="60"/>
      <c r="E719" s="47"/>
      <c r="F719" s="48"/>
      <c r="G719" s="47"/>
      <c r="J719" s="61"/>
      <c r="K719" s="61"/>
      <c r="L719" s="30"/>
      <c r="N719" s="97"/>
      <c r="O719" s="48"/>
      <c r="P719" s="47"/>
      <c r="Q719" s="24"/>
    </row>
    <row r="720" spans="1:17">
      <c r="A720" s="61"/>
      <c r="B720" s="24"/>
      <c r="C720" s="60"/>
      <c r="E720" s="47"/>
      <c r="F720" s="48"/>
      <c r="G720" s="47"/>
      <c r="J720" s="61"/>
      <c r="K720" s="61"/>
      <c r="L720" s="30"/>
      <c r="N720" s="97"/>
      <c r="O720" s="48"/>
      <c r="P720" s="47"/>
      <c r="Q720" s="24"/>
    </row>
    <row r="721" spans="1:17">
      <c r="A721" s="61"/>
      <c r="B721" s="24"/>
      <c r="C721" s="60"/>
      <c r="E721" s="47"/>
      <c r="F721" s="48"/>
      <c r="G721" s="47"/>
      <c r="J721" s="61"/>
      <c r="K721" s="61"/>
      <c r="L721" s="30"/>
      <c r="N721" s="97"/>
      <c r="O721" s="48"/>
      <c r="P721" s="47"/>
      <c r="Q721" s="24"/>
    </row>
    <row r="722" spans="1:17">
      <c r="A722" s="61"/>
      <c r="B722" s="24"/>
      <c r="C722" s="60"/>
      <c r="E722" s="47"/>
      <c r="F722" s="48"/>
      <c r="G722" s="47"/>
      <c r="J722" s="61"/>
      <c r="K722" s="61"/>
      <c r="L722" s="30"/>
      <c r="N722" s="97"/>
      <c r="O722" s="48"/>
      <c r="P722" s="47"/>
      <c r="Q722" s="24"/>
    </row>
    <row r="723" spans="1:17">
      <c r="A723" s="61"/>
      <c r="B723" s="24"/>
      <c r="C723" s="60"/>
      <c r="E723" s="47"/>
      <c r="F723" s="48"/>
      <c r="G723" s="47"/>
      <c r="J723" s="61"/>
      <c r="K723" s="61"/>
      <c r="L723" s="30"/>
      <c r="N723" s="97"/>
      <c r="O723" s="48"/>
      <c r="P723" s="47"/>
      <c r="Q723" s="24"/>
    </row>
    <row r="724" spans="1:17">
      <c r="A724" s="61"/>
      <c r="B724" s="24"/>
      <c r="C724" s="60"/>
      <c r="E724" s="47"/>
      <c r="F724" s="48"/>
      <c r="G724" s="47"/>
      <c r="J724" s="61"/>
      <c r="K724" s="61"/>
      <c r="L724" s="30"/>
      <c r="N724" s="97"/>
      <c r="O724" s="48"/>
      <c r="P724" s="47"/>
      <c r="Q724" s="24"/>
    </row>
    <row r="725" spans="1:17">
      <c r="A725" s="61"/>
      <c r="B725" s="24"/>
      <c r="C725" s="60"/>
      <c r="E725" s="47"/>
      <c r="F725" s="48"/>
      <c r="G725" s="47"/>
      <c r="J725" s="61"/>
      <c r="K725" s="61"/>
      <c r="L725" s="30"/>
      <c r="N725" s="97"/>
      <c r="O725" s="48"/>
      <c r="P725" s="47"/>
      <c r="Q725" s="24"/>
    </row>
    <row r="726" spans="1:17">
      <c r="A726" s="61"/>
      <c r="B726" s="24"/>
      <c r="C726" s="60"/>
      <c r="E726" s="47"/>
      <c r="F726" s="48"/>
      <c r="G726" s="47"/>
      <c r="J726" s="61"/>
      <c r="K726" s="61"/>
      <c r="L726" s="30"/>
      <c r="N726" s="97"/>
      <c r="O726" s="48"/>
      <c r="P726" s="47"/>
      <c r="Q726" s="24"/>
    </row>
    <row r="727" spans="1:17">
      <c r="A727" s="61"/>
      <c r="B727" s="24"/>
      <c r="C727" s="60"/>
      <c r="E727" s="47"/>
      <c r="F727" s="48"/>
      <c r="G727" s="47"/>
      <c r="J727" s="61"/>
      <c r="K727" s="61"/>
      <c r="L727" s="30"/>
      <c r="N727" s="97"/>
      <c r="O727" s="48"/>
      <c r="P727" s="47"/>
      <c r="Q727" s="24"/>
    </row>
    <row r="728" spans="1:17">
      <c r="A728" s="61"/>
      <c r="B728" s="24"/>
      <c r="C728" s="60"/>
      <c r="E728" s="47"/>
      <c r="F728" s="48"/>
      <c r="G728" s="47"/>
      <c r="J728" s="61"/>
      <c r="K728" s="61"/>
      <c r="L728" s="30"/>
      <c r="N728" s="97"/>
      <c r="O728" s="48"/>
      <c r="P728" s="47"/>
      <c r="Q728" s="24"/>
    </row>
    <row r="729" spans="1:17">
      <c r="A729" s="61"/>
      <c r="B729" s="24"/>
      <c r="C729" s="60"/>
      <c r="E729" s="47"/>
      <c r="F729" s="48"/>
      <c r="G729" s="47"/>
      <c r="J729" s="61"/>
      <c r="K729" s="61"/>
      <c r="L729" s="30"/>
      <c r="N729" s="97"/>
      <c r="O729" s="48"/>
      <c r="P729" s="47"/>
      <c r="Q729" s="24"/>
    </row>
    <row r="730" spans="1:17">
      <c r="A730" s="61"/>
      <c r="B730" s="24"/>
      <c r="C730" s="60"/>
      <c r="E730" s="47"/>
      <c r="F730" s="48"/>
      <c r="G730" s="47"/>
      <c r="J730" s="61"/>
      <c r="K730" s="61"/>
      <c r="L730" s="30"/>
      <c r="N730" s="97"/>
      <c r="O730" s="48"/>
      <c r="P730" s="47"/>
      <c r="Q730" s="24"/>
    </row>
    <row r="731" spans="1:17">
      <c r="A731" s="61"/>
      <c r="B731" s="24"/>
      <c r="C731" s="60"/>
      <c r="E731" s="47"/>
      <c r="F731" s="48"/>
      <c r="G731" s="47"/>
      <c r="J731" s="61"/>
      <c r="K731" s="61"/>
      <c r="L731" s="30"/>
      <c r="N731" s="97"/>
      <c r="O731" s="48"/>
      <c r="P731" s="47"/>
      <c r="Q731" s="24"/>
    </row>
    <row r="732" spans="1:17">
      <c r="A732" s="61"/>
      <c r="B732" s="24"/>
      <c r="C732" s="60"/>
      <c r="E732" s="47"/>
      <c r="F732" s="48"/>
      <c r="G732" s="47"/>
      <c r="J732" s="61"/>
      <c r="K732" s="61"/>
      <c r="L732" s="30"/>
      <c r="N732" s="97"/>
      <c r="O732" s="48"/>
      <c r="P732" s="47"/>
      <c r="Q732" s="24"/>
    </row>
    <row r="733" spans="1:17">
      <c r="A733" s="61"/>
      <c r="B733" s="24"/>
      <c r="C733" s="60"/>
      <c r="E733" s="47"/>
      <c r="F733" s="48"/>
      <c r="G733" s="47"/>
      <c r="J733" s="61"/>
      <c r="K733" s="61"/>
      <c r="L733" s="30"/>
      <c r="N733" s="97"/>
      <c r="O733" s="48"/>
      <c r="P733" s="47"/>
      <c r="Q733" s="24"/>
    </row>
    <row r="734" spans="1:17">
      <c r="A734" s="61"/>
      <c r="B734" s="24"/>
      <c r="C734" s="60"/>
      <c r="E734" s="47"/>
      <c r="F734" s="48"/>
      <c r="G734" s="47"/>
      <c r="J734" s="61"/>
      <c r="K734" s="61"/>
      <c r="L734" s="30"/>
      <c r="N734" s="97"/>
      <c r="O734" s="48"/>
      <c r="P734" s="47"/>
      <c r="Q734" s="24"/>
    </row>
    <row r="735" spans="1:17">
      <c r="A735" s="61"/>
      <c r="B735" s="24"/>
      <c r="C735" s="60"/>
      <c r="E735" s="47"/>
      <c r="F735" s="48"/>
      <c r="G735" s="47"/>
      <c r="J735" s="61"/>
      <c r="K735" s="61"/>
      <c r="L735" s="30"/>
      <c r="N735" s="97"/>
      <c r="O735" s="48"/>
      <c r="P735" s="47"/>
      <c r="Q735" s="24"/>
    </row>
    <row r="736" spans="1:17">
      <c r="A736" s="61"/>
      <c r="B736" s="24"/>
      <c r="C736" s="60"/>
      <c r="E736" s="47"/>
      <c r="F736" s="48"/>
      <c r="G736" s="47"/>
      <c r="J736" s="61"/>
      <c r="K736" s="61"/>
      <c r="L736" s="30"/>
      <c r="N736" s="97"/>
      <c r="O736" s="48"/>
      <c r="P736" s="47"/>
      <c r="Q736" s="24"/>
    </row>
    <row r="737" spans="1:17">
      <c r="A737" s="61"/>
      <c r="B737" s="24"/>
      <c r="C737" s="60"/>
      <c r="E737" s="47"/>
      <c r="F737" s="48"/>
      <c r="G737" s="47"/>
      <c r="J737" s="61"/>
      <c r="K737" s="61"/>
      <c r="L737" s="30"/>
      <c r="N737" s="97"/>
      <c r="O737" s="48"/>
      <c r="P737" s="47"/>
      <c r="Q737" s="24"/>
    </row>
    <row r="738" spans="1:17">
      <c r="A738" s="61"/>
      <c r="B738" s="24"/>
      <c r="C738" s="60"/>
      <c r="E738" s="47"/>
      <c r="F738" s="48"/>
      <c r="G738" s="47"/>
      <c r="J738" s="61"/>
      <c r="K738" s="61"/>
      <c r="L738" s="30"/>
      <c r="N738" s="97"/>
      <c r="O738" s="48"/>
      <c r="P738" s="47"/>
      <c r="Q738" s="24"/>
    </row>
    <row r="739" spans="1:17">
      <c r="A739" s="61"/>
      <c r="B739" s="24"/>
      <c r="C739" s="60"/>
      <c r="E739" s="47"/>
      <c r="F739" s="48"/>
      <c r="G739" s="47"/>
      <c r="J739" s="61"/>
      <c r="K739" s="61"/>
      <c r="L739" s="30"/>
      <c r="N739" s="97"/>
      <c r="O739" s="48"/>
      <c r="P739" s="47"/>
      <c r="Q739" s="24"/>
    </row>
    <row r="740" spans="1:17">
      <c r="A740" s="61"/>
      <c r="B740" s="24"/>
      <c r="C740" s="60"/>
      <c r="E740" s="47"/>
      <c r="F740" s="48"/>
      <c r="G740" s="47"/>
      <c r="J740" s="61"/>
      <c r="K740" s="61"/>
      <c r="L740" s="30"/>
      <c r="N740" s="97"/>
      <c r="O740" s="48"/>
      <c r="P740" s="47"/>
      <c r="Q740" s="24"/>
    </row>
    <row r="741" spans="1:17">
      <c r="A741" s="61"/>
      <c r="B741" s="24"/>
      <c r="C741" s="60"/>
      <c r="E741" s="47"/>
      <c r="F741" s="48"/>
      <c r="G741" s="47"/>
      <c r="J741" s="61"/>
      <c r="K741" s="61"/>
      <c r="L741" s="30"/>
      <c r="N741" s="97"/>
      <c r="O741" s="48"/>
      <c r="P741" s="47"/>
      <c r="Q741" s="24"/>
    </row>
    <row r="742" spans="1:17">
      <c r="A742" s="61"/>
      <c r="B742" s="24"/>
      <c r="C742" s="60"/>
      <c r="E742" s="47"/>
      <c r="F742" s="48"/>
      <c r="G742" s="47"/>
      <c r="J742" s="61"/>
      <c r="K742" s="61"/>
      <c r="L742" s="30"/>
      <c r="N742" s="97"/>
      <c r="O742" s="48"/>
      <c r="P742" s="47"/>
      <c r="Q742" s="24"/>
    </row>
    <row r="743" spans="1:17">
      <c r="A743" s="61"/>
      <c r="B743" s="24"/>
      <c r="C743" s="60"/>
      <c r="E743" s="47"/>
      <c r="F743" s="48"/>
      <c r="G743" s="47"/>
      <c r="J743" s="61"/>
      <c r="K743" s="61"/>
      <c r="L743" s="30"/>
      <c r="N743" s="97"/>
      <c r="O743" s="48"/>
      <c r="P743" s="47"/>
      <c r="Q743" s="24"/>
    </row>
    <row r="744" spans="1:17">
      <c r="A744" s="61"/>
      <c r="B744" s="24"/>
      <c r="C744" s="60"/>
      <c r="E744" s="47"/>
      <c r="F744" s="48"/>
      <c r="G744" s="47"/>
      <c r="J744" s="61"/>
      <c r="K744" s="61"/>
      <c r="L744" s="30"/>
      <c r="N744" s="97"/>
      <c r="O744" s="48"/>
      <c r="P744" s="47"/>
      <c r="Q744" s="24"/>
    </row>
    <row r="745" spans="1:17">
      <c r="A745" s="61"/>
      <c r="B745" s="24"/>
      <c r="C745" s="60"/>
      <c r="E745" s="47"/>
      <c r="F745" s="48"/>
      <c r="G745" s="47"/>
      <c r="J745" s="61"/>
      <c r="K745" s="61"/>
      <c r="L745" s="30"/>
      <c r="N745" s="97"/>
      <c r="O745" s="48"/>
      <c r="P745" s="47"/>
      <c r="Q745" s="24"/>
    </row>
    <row r="746" spans="1:17">
      <c r="A746" s="61"/>
      <c r="B746" s="24"/>
      <c r="C746" s="60"/>
      <c r="E746" s="47"/>
      <c r="F746" s="48"/>
      <c r="G746" s="47"/>
      <c r="J746" s="61"/>
      <c r="K746" s="61"/>
      <c r="L746" s="30"/>
      <c r="N746" s="97"/>
      <c r="O746" s="48"/>
      <c r="P746" s="47"/>
      <c r="Q746" s="24"/>
    </row>
    <row r="747" spans="1:17">
      <c r="A747" s="61"/>
      <c r="B747" s="24"/>
      <c r="C747" s="60"/>
      <c r="E747" s="47"/>
      <c r="F747" s="48"/>
      <c r="G747" s="47"/>
      <c r="J747" s="61"/>
      <c r="K747" s="61"/>
      <c r="L747" s="30"/>
      <c r="N747" s="97"/>
      <c r="O747" s="48"/>
      <c r="P747" s="47"/>
      <c r="Q747" s="24"/>
    </row>
    <row r="748" spans="1:17">
      <c r="A748" s="61"/>
      <c r="B748" s="24"/>
      <c r="C748" s="60"/>
      <c r="E748" s="47"/>
      <c r="F748" s="48"/>
      <c r="G748" s="47"/>
      <c r="J748" s="61"/>
      <c r="K748" s="61"/>
      <c r="L748" s="30"/>
      <c r="N748" s="97"/>
      <c r="O748" s="48"/>
      <c r="P748" s="47"/>
      <c r="Q748" s="24"/>
    </row>
    <row r="749" spans="1:17" ht="15">
      <c r="A749" s="61"/>
      <c r="B749" s="24"/>
      <c r="C749" s="60"/>
      <c r="E749" s="47"/>
      <c r="F749" s="48"/>
      <c r="G749" s="47"/>
      <c r="J749" s="61"/>
      <c r="K749" s="61"/>
      <c r="N749" s="97"/>
      <c r="O749" s="49"/>
      <c r="P749" s="50"/>
      <c r="Q749" s="51">
        <f>SUM(Q82:Q748)</f>
        <v>0</v>
      </c>
    </row>
    <row r="750" spans="1:17">
      <c r="A750" s="61"/>
      <c r="B750" s="24"/>
      <c r="C750" s="60"/>
      <c r="E750" s="47"/>
      <c r="F750" s="48"/>
      <c r="G750" s="47"/>
    </row>
    <row r="751" spans="1:17">
      <c r="A751" s="61"/>
      <c r="B751" s="24"/>
      <c r="C751" s="60"/>
      <c r="E751" s="47"/>
      <c r="F751" s="48"/>
      <c r="G751" s="47"/>
    </row>
    <row r="752" spans="1:17">
      <c r="B752" s="24"/>
      <c r="C752" s="60"/>
      <c r="E752" s="47"/>
      <c r="F752" s="48"/>
      <c r="G752" s="47"/>
    </row>
    <row r="753" spans="5:7" ht="15">
      <c r="E753" s="49"/>
      <c r="F753" s="50"/>
      <c r="G753" s="51">
        <f>SUM(G84:G752)</f>
        <v>0</v>
      </c>
    </row>
  </sheetData>
  <mergeCells count="14">
    <mergeCell ref="Y2:Z2"/>
    <mergeCell ref="AL2:AM2"/>
    <mergeCell ref="AX2:AY2"/>
    <mergeCell ref="B3:B4"/>
    <mergeCell ref="C3:C4"/>
    <mergeCell ref="E3:G3"/>
    <mergeCell ref="I3:K3"/>
    <mergeCell ref="M3:M4"/>
    <mergeCell ref="N3:N4"/>
    <mergeCell ref="Y5:Z5"/>
    <mergeCell ref="AL5:AM5"/>
    <mergeCell ref="AX5:AY5"/>
    <mergeCell ref="A82:G82"/>
    <mergeCell ref="J82:Q82"/>
  </mergeCells>
  <conditionalFormatting sqref="T17">
    <cfRule type="containsText" dxfId="3" priority="6" operator="containsText" text="ERROR">
      <formula>NOT(ISERROR(SEARCH("ERROR",T17)))</formula>
    </cfRule>
  </conditionalFormatting>
  <conditionalFormatting sqref="T42">
    <cfRule type="containsText" dxfId="2" priority="5" operator="containsText" text="ERROR">
      <formula>NOT(ISERROR(SEARCH("ERROR",T42)))</formula>
    </cfRule>
  </conditionalFormatting>
  <conditionalFormatting sqref="W19">
    <cfRule type="containsText" dxfId="1" priority="1" operator="containsText" text="ERROR">
      <formula>NOT(ISERROR(SEARCH("ERROR",W19)))</formula>
    </cfRule>
  </conditionalFormatting>
  <conditionalFormatting sqref="BL72">
    <cfRule type="containsText" dxfId="0" priority="2" operator="containsText" text="ERROR">
      <formula>NOT(ISERROR(SEARCH("ERROR",BL72)))</formula>
    </cfRule>
  </conditionalFormatting>
  <dataValidations count="5">
    <dataValidation type="list" allowBlank="1" showInputMessage="1" showErrorMessage="1" sqref="N84:N749" xr:uid="{121350FB-B156-49EA-AB0A-2F696953C812}">
      <formula1>Govadjust</formula1>
    </dataValidation>
    <dataValidation type="list" allowBlank="1" showErrorMessage="1" errorTitle="Taxes" error="Non valid entry. Please check the tax list" promptTitle="Taxes" prompt="Please select the tax subject to adjustment" sqref="B84:B105" xr:uid="{85428631-394E-428B-B65A-CF6272C947ED}">
      <formula1>$A$135:$A$136</formula1>
    </dataValidation>
    <dataValidation type="list" allowBlank="1" showInputMessage="1" showErrorMessage="1" sqref="C84:C752" xr:uid="{B74220D5-A6E2-4220-B0E5-E20B7739ED05}">
      <formula1>Compadjust</formula1>
    </dataValidation>
    <dataValidation type="list" allowBlank="1" showInputMessage="1" showErrorMessage="1" sqref="M129:M746 L84:L746" xr:uid="{8F375C69-23AC-4D1E-B8D9-2D692653DF7B}">
      <formula1>Taxes</formula1>
    </dataValidation>
    <dataValidation type="list" allowBlank="1" showInputMessage="1" showErrorMessage="1" sqref="N5:N8 N73 N75 N77:N79 N10:N71" xr:uid="{02336893-26D1-463B-A44E-466218EDE9F3}">
      <formula1>FinalDiff</formula1>
    </dataValidation>
  </dataValidations>
  <pageMargins left="0.7" right="0.7" top="0.75" bottom="0.75" header="0.3" footer="0.3"/>
  <pageSetup paperSize="9" orientation="landscape"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Taxes" error="Non valid entry. Please check the tax list" promptTitle="Taxes" prompt="Please select the tax subject to adjustment" xr:uid="{94B91222-6186-4F0A-8789-2FDE1B2FB351}">
          <x14:formula1>
            <xm:f>Lists!$A$131:$A$132</xm:f>
          </x14:formula1>
          <xm:sqref>K84:K749</xm:sqref>
        </x14:dataValidation>
        <x14:dataValidation type="list" allowBlank="1" showInputMessage="1" showErrorMessage="1" xr:uid="{33E77C30-6D2E-49AF-8CA7-EBD15EEF3D38}">
          <x14:formula1>
            <xm:f>Lists!$A$7:$A$64</xm:f>
          </x14:formula1>
          <xm:sqref>J84:J749</xm:sqref>
        </x14:dataValidation>
        <x14:dataValidation type="list" allowBlank="1" showErrorMessage="1" errorTitle="Taxes" error="Non valid entry. Please check the tax list" promptTitle="Taxes" prompt="Please select the tax subject to adjustment" xr:uid="{90B5A313-34AC-44D9-838B-2A6B595B490F}">
          <x14:formula1>
            <xm:f>Lists!$A$7:$A$64</xm:f>
          </x14:formula1>
          <xm:sqref>A84:A751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93</vt:i4>
      </vt:variant>
      <vt:variant>
        <vt:lpstr>Plages nommées</vt:lpstr>
      </vt:variant>
      <vt:variant>
        <vt:i4>21</vt:i4>
      </vt:variant>
    </vt:vector>
  </HeadingPairs>
  <TitlesOfParts>
    <vt:vector size="114" baseType="lpstr">
      <vt:lpstr>Follow-up Gvrn</vt:lpstr>
      <vt:lpstr>Reporting by tax</vt:lpstr>
      <vt:lpstr>Reporting by Comp</vt:lpstr>
      <vt:lpstr>Tableau Général</vt:lpstr>
      <vt:lpstr>Tableau (1)</vt:lpstr>
      <vt:lpstr>Tableau (2)</vt:lpstr>
      <vt:lpstr>Tableau (3)</vt:lpstr>
      <vt:lpstr>1 (2)</vt:lpstr>
      <vt:lpstr>Tableau (4)</vt:lpstr>
      <vt:lpstr>Tableau (5)</vt:lpstr>
      <vt:lpstr>Tableau 6</vt:lpstr>
      <vt:lpstr>Tableau 7</vt:lpstr>
      <vt:lpstr>Tableau 8</vt:lpstr>
      <vt:lpstr>Tableau 11</vt:lpstr>
      <vt:lpstr>Reporting by tax (2)</vt:lpstr>
      <vt:lpstr>Tableau (21)</vt:lpstr>
      <vt:lpstr>Tableau (22)</vt:lpstr>
      <vt:lpstr>Tbaleau (31)</vt:lpstr>
      <vt:lpstr>Tableau (29)</vt:lpstr>
      <vt:lpstr>Tableau (30)</vt:lpstr>
      <vt:lpstr>Tableau (31)</vt:lpstr>
      <vt:lpstr>Tableau (32)</vt:lpstr>
      <vt:lpstr>Tableau (33)</vt:lpstr>
      <vt:lpstr>Tableau (36a)</vt:lpstr>
      <vt:lpstr>Tableau (34)</vt:lpstr>
      <vt:lpstr>Tableau 37</vt:lpstr>
      <vt:lpstr>Tableau (35)</vt:lpstr>
      <vt:lpstr>Tableau 39</vt:lpstr>
      <vt:lpstr>Tableau (36)</vt:lpstr>
      <vt:lpstr>Tableau (38)</vt:lpstr>
      <vt:lpstr>Tableau-(39)</vt:lpstr>
      <vt:lpstr>Tableau -40</vt:lpstr>
      <vt:lpstr>Tableau-(41)</vt:lpstr>
      <vt:lpstr>Tableau-(42)</vt:lpstr>
      <vt:lpstr>Tableau (44)</vt:lpstr>
      <vt:lpstr>Tableau-(45)</vt:lpstr>
      <vt:lpstr>Tableau (46)</vt:lpstr>
      <vt:lpstr>Tableau 47 ()</vt:lpstr>
      <vt:lpstr>Tableau-(51)</vt:lpstr>
      <vt:lpstr>Tableau-(52)</vt:lpstr>
      <vt:lpstr>Tableau (53)</vt:lpstr>
      <vt:lpstr>Tableau (54)</vt:lpstr>
      <vt:lpstr>Tableau (55)</vt:lpstr>
      <vt:lpstr>Tableau 52</vt:lpstr>
      <vt:lpstr>Tableau 59</vt:lpstr>
      <vt:lpstr>Tableau 57</vt:lpstr>
      <vt:lpstr>Tableau (58)</vt:lpstr>
      <vt:lpstr>Tableau (60-61)</vt:lpstr>
      <vt:lpstr>Tableau (61)</vt:lpstr>
      <vt:lpstr>Tab 64-65-66-67-68-69-70-71</vt:lpstr>
      <vt:lpstr>Tableau (72)</vt:lpstr>
      <vt:lpstr>Tableau (73)</vt:lpstr>
      <vt:lpstr>Tableau (74)</vt:lpstr>
      <vt:lpstr>Tableau (75)</vt:lpstr>
      <vt:lpstr>TT</vt:lpstr>
      <vt:lpstr>Flux schema</vt:lpstr>
      <vt:lpstr>Tableau NC Minier</vt:lpstr>
      <vt:lpstr>Tableau NC (3)</vt:lpstr>
      <vt:lpstr>Tableau 61</vt:lpstr>
      <vt:lpstr>Tableau 63</vt:lpstr>
      <vt:lpstr>Lists</vt:lpstr>
      <vt:lpstr>Company adjustment</vt:lpstr>
      <vt:lpstr>Government adjustment</vt:lpstr>
      <vt:lpstr>Taxes RCA 2022</vt:lpstr>
      <vt:lpstr>Taux de change RCA 2022</vt:lpstr>
      <vt:lpstr>Companies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'Tableau (4)'!_ftn1</vt:lpstr>
      <vt:lpstr>'Tableau (35)'!_ftn2</vt:lpstr>
      <vt:lpstr>'Tableau (4)'!_ftnref1</vt:lpstr>
      <vt:lpstr>'Tableau (35)'!_ftnref2</vt:lpstr>
      <vt:lpstr>'Tableau (4)'!_ftnref4</vt:lpstr>
      <vt:lpstr>'Tableau (5)'!_Hlk177481095</vt:lpstr>
      <vt:lpstr>'Tbaleau (31)'!_Toc121224407</vt:lpstr>
      <vt:lpstr>'Tableau 11'!_Toc153553216</vt:lpstr>
      <vt:lpstr>'Tableau (36)'!_Toc153553234</vt:lpstr>
      <vt:lpstr>'Tableau (38)'!_Toc153553235</vt:lpstr>
      <vt:lpstr>'Tab 64-65-66-67-68-69-70-71'!_Toc159605192</vt:lpstr>
      <vt:lpstr>'Tableau (4)'!_Toc176207760</vt:lpstr>
      <vt:lpstr>'Tableau-(39)'!_Toc176377041</vt:lpstr>
      <vt:lpstr>'Tableau (72)'!_Toc179466673</vt:lpstr>
      <vt:lpstr>'Tableau (73)'!_Toc179466674</vt:lpstr>
      <vt:lpstr>'Tableau (75)'!_Toc179466676</vt:lpstr>
      <vt:lpstr>Compadjust</vt:lpstr>
      <vt:lpstr>FinalDiff</vt:lpstr>
      <vt:lpstr>Govadjust</vt:lpstr>
      <vt:lpstr>'Reporting by Comp'!Impression_des_titres</vt:lpstr>
      <vt:lpstr>Taxes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Radhouane</dc:creator>
  <cp:lastModifiedBy>Abdessalem Turki</cp:lastModifiedBy>
  <cp:lastPrinted>2022-10-17T08:04:51Z</cp:lastPrinted>
  <dcterms:created xsi:type="dcterms:W3CDTF">2011-09-06T13:15:54Z</dcterms:created>
  <dcterms:modified xsi:type="dcterms:W3CDTF">2024-12-16T11:05:40Z</dcterms:modified>
</cp:coreProperties>
</file>